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183AC109-1406-422D-8041-24ED4BA9EC0B}" xr6:coauthVersionLast="47" xr6:coauthVersionMax="47" xr10:uidLastSave="{00000000-0000-0000-0000-000000000000}"/>
  <bookViews>
    <workbookView xWindow="-120" yWindow="-120" windowWidth="38640" windowHeight="15720" xr2:uid="{A415C917-5540-4D28-8482-79E705277F65}"/>
  </bookViews>
  <sheets>
    <sheet name="Daily Prod.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kday">#REF!</definedName>
    <definedName name="kmonth">#REF!</definedName>
    <definedName name="MOF_month">#REF!</definedName>
    <definedName name="Pal_Workbook_GUID" hidden="1">"3YLWB5NG99ETRYCKB6WKD521"</definedName>
    <definedName name="_xlnm.Print_Area" localSheetId="0">'Daily Prod.'!$A:$AY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Z_CE8BE4A6_0A9F_4F0A_9886_963CCF7A0D3A_.wvu.Rows" localSheetId="0" hidden="1">'Daily Prod.'!$2:$2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28" i="1" l="1"/>
  <c r="Y429" i="1" s="1"/>
  <c r="Y427" i="1"/>
  <c r="AY425" i="1"/>
  <c r="AY426" i="1" s="1"/>
  <c r="AY428" i="1" s="1"/>
  <c r="AX425" i="1"/>
  <c r="AX427" i="1" s="1"/>
  <c r="AV425" i="1"/>
  <c r="AV426" i="1" s="1"/>
  <c r="AV428" i="1" s="1"/>
  <c r="AS425" i="1"/>
  <c r="AS427" i="1" s="1"/>
  <c r="AR425" i="1"/>
  <c r="AQ425" i="1"/>
  <c r="AQ427" i="1" s="1"/>
  <c r="AP425" i="1"/>
  <c r="AP426" i="1" s="1"/>
  <c r="AP428" i="1" s="1"/>
  <c r="AO425" i="1"/>
  <c r="AO427" i="1" s="1"/>
  <c r="AN425" i="1"/>
  <c r="AN427" i="1" s="1"/>
  <c r="AM425" i="1"/>
  <c r="AM427" i="1" s="1"/>
  <c r="AK425" i="1"/>
  <c r="AK427" i="1" s="1"/>
  <c r="AJ425" i="1"/>
  <c r="AJ426" i="1" s="1"/>
  <c r="AJ428" i="1" s="1"/>
  <c r="AI425" i="1"/>
  <c r="AI427" i="1" s="1"/>
  <c r="AG425" i="1"/>
  <c r="AF425" i="1"/>
  <c r="AD425" i="1"/>
  <c r="AD426" i="1" s="1"/>
  <c r="Z425" i="1"/>
  <c r="X425" i="1"/>
  <c r="X427" i="1" s="1"/>
  <c r="W425" i="1"/>
  <c r="W427" i="1" s="1"/>
  <c r="V425" i="1"/>
  <c r="V427" i="1" s="1"/>
  <c r="T425" i="1"/>
  <c r="T426" i="1" s="1"/>
  <c r="T428" i="1" s="1"/>
  <c r="S425" i="1"/>
  <c r="R425" i="1"/>
  <c r="R426" i="1" s="1"/>
  <c r="R428" i="1" s="1"/>
  <c r="Q425" i="1"/>
  <c r="Q426" i="1" s="1"/>
  <c r="Q428" i="1" s="1"/>
  <c r="P425" i="1"/>
  <c r="P426" i="1" s="1"/>
  <c r="P428" i="1" s="1"/>
  <c r="O425" i="1"/>
  <c r="O427" i="1" s="1"/>
  <c r="N425" i="1"/>
  <c r="N427" i="1" s="1"/>
  <c r="M425" i="1"/>
  <c r="M427" i="1" s="1"/>
  <c r="K425" i="1"/>
  <c r="K426" i="1" s="1"/>
  <c r="K428" i="1" s="1"/>
  <c r="J425" i="1"/>
  <c r="J427" i="1" s="1"/>
  <c r="I425" i="1"/>
  <c r="H425" i="1"/>
  <c r="H426" i="1" s="1"/>
  <c r="H428" i="1" s="1"/>
  <c r="G425" i="1"/>
  <c r="G426" i="1" s="1"/>
  <c r="G428" i="1" s="1"/>
  <c r="F425" i="1"/>
  <c r="F426" i="1" s="1"/>
  <c r="F428" i="1" s="1"/>
  <c r="E425" i="1"/>
  <c r="E426" i="1" s="1"/>
  <c r="E428" i="1" s="1"/>
  <c r="D425" i="1"/>
  <c r="D427" i="1" s="1"/>
  <c r="C425" i="1"/>
  <c r="AW424" i="1"/>
  <c r="AL424" i="1"/>
  <c r="AH424" i="1"/>
  <c r="AE424" i="1" s="1"/>
  <c r="AB424" i="1"/>
  <c r="U424" i="1"/>
  <c r="L424" i="1"/>
  <c r="B424" i="1"/>
  <c r="AW423" i="1"/>
  <c r="AL423" i="1"/>
  <c r="AH423" i="1"/>
  <c r="AB423" i="1"/>
  <c r="U423" i="1"/>
  <c r="B423" i="1"/>
  <c r="AW422" i="1"/>
  <c r="AL422" i="1"/>
  <c r="AH422" i="1"/>
  <c r="AE422" i="1" s="1"/>
  <c r="AB422" i="1"/>
  <c r="U422" i="1"/>
  <c r="L422" i="1"/>
  <c r="B422" i="1"/>
  <c r="AW421" i="1"/>
  <c r="AL421" i="1"/>
  <c r="AH421" i="1"/>
  <c r="AE421" i="1" s="1"/>
  <c r="AB421" i="1"/>
  <c r="U421" i="1"/>
  <c r="L421" i="1"/>
  <c r="B421" i="1"/>
  <c r="AW420" i="1"/>
  <c r="AL420" i="1"/>
  <c r="AE420" i="1"/>
  <c r="AB420" i="1"/>
  <c r="L420" i="1"/>
  <c r="B420" i="1"/>
  <c r="AC392" i="1"/>
  <c r="AA392" i="1"/>
  <c r="Y392" i="1"/>
  <c r="AC391" i="1"/>
  <c r="AA391" i="1"/>
  <c r="Y391" i="1"/>
  <c r="AY389" i="1"/>
  <c r="AY391" i="1" s="1"/>
  <c r="AX389" i="1"/>
  <c r="AX391" i="1" s="1"/>
  <c r="AV389" i="1"/>
  <c r="AV391" i="1" s="1"/>
  <c r="AU389" i="1"/>
  <c r="AU391" i="1" s="1"/>
  <c r="AT389" i="1"/>
  <c r="AS389" i="1"/>
  <c r="AR389" i="1"/>
  <c r="AR390" i="1" s="1"/>
  <c r="AR392" i="1" s="1"/>
  <c r="AQ389" i="1"/>
  <c r="AQ391" i="1" s="1"/>
  <c r="AP389" i="1"/>
  <c r="AP391" i="1" s="1"/>
  <c r="AO389" i="1"/>
  <c r="AO390" i="1" s="1"/>
  <c r="AO392" i="1" s="1"/>
  <c r="AN389" i="1"/>
  <c r="AN391" i="1" s="1"/>
  <c r="AM389" i="1"/>
  <c r="AK389" i="1"/>
  <c r="AK390" i="1" s="1"/>
  <c r="AK392" i="1" s="1"/>
  <c r="AJ389" i="1"/>
  <c r="AJ390" i="1" s="1"/>
  <c r="AJ392" i="1" s="1"/>
  <c r="AI389" i="1"/>
  <c r="AF389" i="1"/>
  <c r="AF390" i="1" s="1"/>
  <c r="AF392" i="1" s="1"/>
  <c r="AD389" i="1"/>
  <c r="AD390" i="1" s="1"/>
  <c r="AD392" i="1" s="1"/>
  <c r="Z389" i="1"/>
  <c r="Z390" i="1" s="1"/>
  <c r="Z392" i="1" s="1"/>
  <c r="X389" i="1"/>
  <c r="X391" i="1" s="1"/>
  <c r="W389" i="1"/>
  <c r="W391" i="1" s="1"/>
  <c r="V389" i="1"/>
  <c r="V390" i="1" s="1"/>
  <c r="V392" i="1" s="1"/>
  <c r="T389" i="1"/>
  <c r="S389" i="1"/>
  <c r="R389" i="1"/>
  <c r="R391" i="1" s="1"/>
  <c r="Q389" i="1"/>
  <c r="Q391" i="1" s="1"/>
  <c r="P389" i="1"/>
  <c r="O389" i="1"/>
  <c r="O391" i="1" s="1"/>
  <c r="N389" i="1"/>
  <c r="N390" i="1" s="1"/>
  <c r="N392" i="1" s="1"/>
  <c r="K389" i="1"/>
  <c r="J389" i="1"/>
  <c r="J390" i="1" s="1"/>
  <c r="J392" i="1" s="1"/>
  <c r="I389" i="1"/>
  <c r="I390" i="1" s="1"/>
  <c r="I392" i="1" s="1"/>
  <c r="H389" i="1"/>
  <c r="G389" i="1"/>
  <c r="G391" i="1" s="1"/>
  <c r="F389" i="1"/>
  <c r="F390" i="1" s="1"/>
  <c r="F392" i="1" s="1"/>
  <c r="E389" i="1"/>
  <c r="E390" i="1" s="1"/>
  <c r="E392" i="1" s="1"/>
  <c r="D389" i="1"/>
  <c r="D391" i="1" s="1"/>
  <c r="C389" i="1"/>
  <c r="B389" i="1"/>
  <c r="AW385" i="1"/>
  <c r="AL385" i="1"/>
  <c r="AH385" i="1"/>
  <c r="AE385" i="1" s="1"/>
  <c r="AG385" i="1"/>
  <c r="AB385" i="1"/>
  <c r="U385" i="1"/>
  <c r="M385" i="1"/>
  <c r="L385" i="1"/>
  <c r="AW384" i="1"/>
  <c r="AL384" i="1"/>
  <c r="AH384" i="1"/>
  <c r="AE384" i="1" s="1"/>
  <c r="AG384" i="1"/>
  <c r="AB384" i="1"/>
  <c r="U384" i="1"/>
  <c r="M384" i="1"/>
  <c r="L384" i="1"/>
  <c r="AW383" i="1"/>
  <c r="AL383" i="1"/>
  <c r="AH383" i="1"/>
  <c r="AE383" i="1" s="1"/>
  <c r="AG383" i="1"/>
  <c r="AB383" i="1"/>
  <c r="U383" i="1"/>
  <c r="M383" i="1"/>
  <c r="L383" i="1"/>
  <c r="AW382" i="1"/>
  <c r="AL382" i="1"/>
  <c r="AH382" i="1"/>
  <c r="AE382" i="1" s="1"/>
  <c r="AG382" i="1"/>
  <c r="AB382" i="1"/>
  <c r="U382" i="1"/>
  <c r="M382" i="1"/>
  <c r="L382" i="1"/>
  <c r="AW381" i="1"/>
  <c r="AL381" i="1"/>
  <c r="AH381" i="1"/>
  <c r="AE381" i="1" s="1"/>
  <c r="AG381" i="1"/>
  <c r="AB381" i="1"/>
  <c r="U381" i="1"/>
  <c r="L381" i="1"/>
  <c r="AW380" i="1"/>
  <c r="AL380" i="1"/>
  <c r="AH380" i="1"/>
  <c r="AE380" i="1" s="1"/>
  <c r="AG380" i="1"/>
  <c r="AB380" i="1"/>
  <c r="U380" i="1"/>
  <c r="L380" i="1"/>
  <c r="AW379" i="1"/>
  <c r="AL379" i="1"/>
  <c r="AG379" i="1"/>
  <c r="AE379" i="1"/>
  <c r="AB379" i="1"/>
  <c r="U379" i="1"/>
  <c r="M379" i="1"/>
  <c r="L379" i="1"/>
  <c r="AW378" i="1"/>
  <c r="AL378" i="1"/>
  <c r="AG378" i="1"/>
  <c r="AE378" i="1"/>
  <c r="AB378" i="1"/>
  <c r="U378" i="1"/>
  <c r="M378" i="1"/>
  <c r="L378" i="1"/>
  <c r="AW377" i="1"/>
  <c r="AL377" i="1"/>
  <c r="AG377" i="1"/>
  <c r="AE377" i="1"/>
  <c r="AB377" i="1"/>
  <c r="U377" i="1"/>
  <c r="M377" i="1"/>
  <c r="L377" i="1"/>
  <c r="AW376" i="1"/>
  <c r="AL376" i="1"/>
  <c r="AG376" i="1"/>
  <c r="AB376" i="1"/>
  <c r="U376" i="1"/>
  <c r="M376" i="1"/>
  <c r="L376" i="1"/>
  <c r="AW375" i="1"/>
  <c r="AL375" i="1"/>
  <c r="AG375" i="1"/>
  <c r="AE375" i="1"/>
  <c r="AB375" i="1"/>
  <c r="U375" i="1"/>
  <c r="M375" i="1"/>
  <c r="L375" i="1"/>
  <c r="AW374" i="1"/>
  <c r="AL374" i="1"/>
  <c r="AG374" i="1"/>
  <c r="AE374" i="1"/>
  <c r="AB374" i="1"/>
  <c r="U374" i="1"/>
  <c r="M374" i="1"/>
  <c r="L374" i="1"/>
  <c r="AW373" i="1"/>
  <c r="AL373" i="1"/>
  <c r="AG373" i="1"/>
  <c r="AE373" i="1"/>
  <c r="AB373" i="1"/>
  <c r="U373" i="1"/>
  <c r="M373" i="1"/>
  <c r="L373" i="1"/>
  <c r="AC357" i="1"/>
  <c r="AA357" i="1"/>
  <c r="Y357" i="1"/>
  <c r="Y356" i="1" s="1"/>
  <c r="AY354" i="1"/>
  <c r="AY355" i="1" s="1"/>
  <c r="AY357" i="1" s="1"/>
  <c r="AX354" i="1"/>
  <c r="AX355" i="1" s="1"/>
  <c r="AX357" i="1" s="1"/>
  <c r="AW354" i="1"/>
  <c r="AW355" i="1" s="1"/>
  <c r="AW357" i="1" s="1"/>
  <c r="AV354" i="1"/>
  <c r="AV355" i="1" s="1"/>
  <c r="AV357" i="1" s="1"/>
  <c r="AV356" i="1" s="1"/>
  <c r="AS354" i="1"/>
  <c r="AS355" i="1" s="1"/>
  <c r="AS357" i="1" s="1"/>
  <c r="AR354" i="1"/>
  <c r="AR355" i="1" s="1"/>
  <c r="AR357" i="1" s="1"/>
  <c r="AQ354" i="1"/>
  <c r="AQ355" i="1" s="1"/>
  <c r="AQ357" i="1" s="1"/>
  <c r="AP354" i="1"/>
  <c r="AP355" i="1" s="1"/>
  <c r="AP357" i="1" s="1"/>
  <c r="AP356" i="1" s="1"/>
  <c r="AO354" i="1"/>
  <c r="AO355" i="1" s="1"/>
  <c r="AO357" i="1" s="1"/>
  <c r="AO356" i="1" s="1"/>
  <c r="AN354" i="1"/>
  <c r="AN355" i="1" s="1"/>
  <c r="AN357" i="1" s="1"/>
  <c r="AM354" i="1"/>
  <c r="AM355" i="1" s="1"/>
  <c r="AM357" i="1" s="1"/>
  <c r="AL354" i="1"/>
  <c r="AL355" i="1" s="1"/>
  <c r="AL357" i="1" s="1"/>
  <c r="AL356" i="1" s="1"/>
  <c r="AK354" i="1"/>
  <c r="AK355" i="1" s="1"/>
  <c r="AK357" i="1" s="1"/>
  <c r="AK356" i="1" s="1"/>
  <c r="AJ354" i="1"/>
  <c r="AJ355" i="1" s="1"/>
  <c r="AJ357" i="1" s="1"/>
  <c r="AI354" i="1"/>
  <c r="AI355" i="1" s="1"/>
  <c r="AI357" i="1" s="1"/>
  <c r="AI356" i="1" s="1"/>
  <c r="AH354" i="1"/>
  <c r="AH355" i="1" s="1"/>
  <c r="AH357" i="1" s="1"/>
  <c r="AG354" i="1"/>
  <c r="AG355" i="1" s="1"/>
  <c r="AG357" i="1" s="1"/>
  <c r="AG356" i="1" s="1"/>
  <c r="AF354" i="1"/>
  <c r="AF355" i="1" s="1"/>
  <c r="AF357" i="1" s="1"/>
  <c r="AF356" i="1" s="1"/>
  <c r="AE354" i="1"/>
  <c r="AE355" i="1" s="1"/>
  <c r="AE357" i="1" s="1"/>
  <c r="AD354" i="1"/>
  <c r="AD355" i="1" s="1"/>
  <c r="AD357" i="1" s="1"/>
  <c r="AB354" i="1"/>
  <c r="AB355" i="1" s="1"/>
  <c r="AB357" i="1" s="1"/>
  <c r="Z354" i="1"/>
  <c r="Z355" i="1" s="1"/>
  <c r="Z357" i="1" s="1"/>
  <c r="Z356" i="1" s="1"/>
  <c r="X354" i="1"/>
  <c r="X355" i="1" s="1"/>
  <c r="X357" i="1" s="1"/>
  <c r="W354" i="1"/>
  <c r="W355" i="1" s="1"/>
  <c r="W357" i="1" s="1"/>
  <c r="V354" i="1"/>
  <c r="V355" i="1" s="1"/>
  <c r="V357" i="1" s="1"/>
  <c r="V356" i="1" s="1"/>
  <c r="U354" i="1"/>
  <c r="U355" i="1" s="1"/>
  <c r="U357" i="1" s="1"/>
  <c r="T354" i="1"/>
  <c r="T355" i="1" s="1"/>
  <c r="T357" i="1" s="1"/>
  <c r="S354" i="1"/>
  <c r="S355" i="1" s="1"/>
  <c r="S357" i="1" s="1"/>
  <c r="R354" i="1"/>
  <c r="R355" i="1" s="1"/>
  <c r="R357" i="1" s="1"/>
  <c r="R356" i="1" s="1"/>
  <c r="Q354" i="1"/>
  <c r="Q355" i="1" s="1"/>
  <c r="Q357" i="1" s="1"/>
  <c r="P354" i="1"/>
  <c r="P355" i="1" s="1"/>
  <c r="P357" i="1" s="1"/>
  <c r="P356" i="1" s="1"/>
  <c r="O354" i="1"/>
  <c r="O355" i="1" s="1"/>
  <c r="O357" i="1" s="1"/>
  <c r="O356" i="1" s="1"/>
  <c r="N354" i="1"/>
  <c r="N355" i="1" s="1"/>
  <c r="N357" i="1" s="1"/>
  <c r="N356" i="1" s="1"/>
  <c r="M354" i="1"/>
  <c r="M355" i="1" s="1"/>
  <c r="M357" i="1" s="1"/>
  <c r="M356" i="1" s="1"/>
  <c r="L354" i="1"/>
  <c r="L355" i="1" s="1"/>
  <c r="L357" i="1" s="1"/>
  <c r="K354" i="1"/>
  <c r="K355" i="1" s="1"/>
  <c r="K357" i="1" s="1"/>
  <c r="K356" i="1" s="1"/>
  <c r="J354" i="1"/>
  <c r="J355" i="1" s="1"/>
  <c r="J357" i="1" s="1"/>
  <c r="I354" i="1"/>
  <c r="I355" i="1" s="1"/>
  <c r="I357" i="1" s="1"/>
  <c r="H354" i="1"/>
  <c r="H355" i="1" s="1"/>
  <c r="H357" i="1" s="1"/>
  <c r="G354" i="1"/>
  <c r="G355" i="1" s="1"/>
  <c r="G357" i="1" s="1"/>
  <c r="F354" i="1"/>
  <c r="F355" i="1" s="1"/>
  <c r="F357" i="1" s="1"/>
  <c r="E354" i="1"/>
  <c r="E355" i="1" s="1"/>
  <c r="E357" i="1" s="1"/>
  <c r="D354" i="1"/>
  <c r="D355" i="1" s="1"/>
  <c r="D357" i="1" s="1"/>
  <c r="D356" i="1" s="1"/>
  <c r="C354" i="1"/>
  <c r="C355" i="1" s="1"/>
  <c r="C357" i="1" s="1"/>
  <c r="B354" i="1"/>
  <c r="B355" i="1" s="1"/>
  <c r="B357" i="1" s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X319" i="1"/>
  <c r="AX321" i="1" s="1"/>
  <c r="AW319" i="1"/>
  <c r="AW321" i="1" s="1"/>
  <c r="AV319" i="1"/>
  <c r="AV321" i="1" s="1"/>
  <c r="AS319" i="1"/>
  <c r="AS321" i="1" s="1"/>
  <c r="AR319" i="1"/>
  <c r="AR321" i="1" s="1"/>
  <c r="AQ319" i="1"/>
  <c r="AQ321" i="1" s="1"/>
  <c r="AP319" i="1"/>
  <c r="AP321" i="1" s="1"/>
  <c r="AO319" i="1"/>
  <c r="AO321" i="1" s="1"/>
  <c r="AN319" i="1"/>
  <c r="AN321" i="1" s="1"/>
  <c r="AM319" i="1"/>
  <c r="AM321" i="1" s="1"/>
  <c r="AL319" i="1"/>
  <c r="AL321" i="1" s="1"/>
  <c r="AK319" i="1"/>
  <c r="AK321" i="1" s="1"/>
  <c r="AJ319" i="1"/>
  <c r="AJ321" i="1" s="1"/>
  <c r="AY318" i="1"/>
  <c r="AY320" i="1" s="1"/>
  <c r="AI318" i="1"/>
  <c r="AH318" i="1"/>
  <c r="AG318" i="1"/>
  <c r="AG320" i="1" s="1"/>
  <c r="AF318" i="1"/>
  <c r="AE318" i="1"/>
  <c r="AE320" i="1" s="1"/>
  <c r="AD318" i="1"/>
  <c r="AD319" i="1" s="1"/>
  <c r="AD321" i="1" s="1"/>
  <c r="AC318" i="1"/>
  <c r="AB318" i="1"/>
  <c r="AB319" i="1" s="1"/>
  <c r="AB321" i="1" s="1"/>
  <c r="AA318" i="1"/>
  <c r="Z318" i="1"/>
  <c r="Y318" i="1"/>
  <c r="Y319" i="1" s="1"/>
  <c r="Y321" i="1" s="1"/>
  <c r="X318" i="1"/>
  <c r="X320" i="1" s="1"/>
  <c r="W318" i="1"/>
  <c r="W319" i="1" s="1"/>
  <c r="W321" i="1" s="1"/>
  <c r="V318" i="1"/>
  <c r="V319" i="1" s="1"/>
  <c r="V321" i="1" s="1"/>
  <c r="U318" i="1"/>
  <c r="T318" i="1"/>
  <c r="T320" i="1" s="1"/>
  <c r="S318" i="1"/>
  <c r="S320" i="1" s="1"/>
  <c r="R318" i="1"/>
  <c r="Q318" i="1"/>
  <c r="Q320" i="1" s="1"/>
  <c r="P318" i="1"/>
  <c r="P320" i="1" s="1"/>
  <c r="O318" i="1"/>
  <c r="O320" i="1" s="1"/>
  <c r="N318" i="1"/>
  <c r="N319" i="1" s="1"/>
  <c r="N321" i="1" s="1"/>
  <c r="M318" i="1"/>
  <c r="M320" i="1" s="1"/>
  <c r="L318" i="1"/>
  <c r="K318" i="1"/>
  <c r="K320" i="1" s="1"/>
  <c r="J318" i="1"/>
  <c r="J320" i="1" s="1"/>
  <c r="I318" i="1"/>
  <c r="I320" i="1" s="1"/>
  <c r="H318" i="1"/>
  <c r="H320" i="1" s="1"/>
  <c r="G318" i="1"/>
  <c r="F318" i="1"/>
  <c r="F319" i="1" s="1"/>
  <c r="F321" i="1" s="1"/>
  <c r="E318" i="1"/>
  <c r="E319" i="1" s="1"/>
  <c r="E321" i="1" s="1"/>
  <c r="D318" i="1"/>
  <c r="D320" i="1" s="1"/>
  <c r="C318" i="1"/>
  <c r="C320" i="1" s="1"/>
  <c r="B318" i="1"/>
  <c r="AC286" i="1"/>
  <c r="AA286" i="1"/>
  <c r="Y286" i="1"/>
  <c r="AC285" i="1"/>
  <c r="AA285" i="1"/>
  <c r="Y285" i="1"/>
  <c r="AY283" i="1"/>
  <c r="AX283" i="1"/>
  <c r="AW283" i="1"/>
  <c r="AW285" i="1" s="1"/>
  <c r="AV283" i="1"/>
  <c r="AS283" i="1"/>
  <c r="AS284" i="1" s="1"/>
  <c r="AS286" i="1" s="1"/>
  <c r="AR283" i="1"/>
  <c r="AQ283" i="1"/>
  <c r="AP283" i="1"/>
  <c r="AO283" i="1"/>
  <c r="AN283" i="1"/>
  <c r="AN285" i="1" s="1"/>
  <c r="AM283" i="1"/>
  <c r="AM285" i="1" s="1"/>
  <c r="AL283" i="1"/>
  <c r="AL285" i="1" s="1"/>
  <c r="AK283" i="1"/>
  <c r="AJ283" i="1"/>
  <c r="AI283" i="1"/>
  <c r="AH283" i="1"/>
  <c r="AH285" i="1" s="1"/>
  <c r="AG283" i="1"/>
  <c r="AG284" i="1" s="1"/>
  <c r="AG286" i="1" s="1"/>
  <c r="AF283" i="1"/>
  <c r="AF284" i="1" s="1"/>
  <c r="AF286" i="1" s="1"/>
  <c r="AE283" i="1"/>
  <c r="AD283" i="1"/>
  <c r="AB283" i="1"/>
  <c r="AB285" i="1" s="1"/>
  <c r="Z283" i="1"/>
  <c r="X283" i="1"/>
  <c r="W283" i="1"/>
  <c r="W284" i="1" s="1"/>
  <c r="W286" i="1" s="1"/>
  <c r="V283" i="1"/>
  <c r="V284" i="1" s="1"/>
  <c r="V286" i="1" s="1"/>
  <c r="U283" i="1"/>
  <c r="U284" i="1" s="1"/>
  <c r="U286" i="1" s="1"/>
  <c r="T283" i="1"/>
  <c r="T284" i="1" s="1"/>
  <c r="T286" i="1" s="1"/>
  <c r="S283" i="1"/>
  <c r="S285" i="1" s="1"/>
  <c r="R283" i="1"/>
  <c r="Q283" i="1"/>
  <c r="P283" i="1"/>
  <c r="O283" i="1"/>
  <c r="O285" i="1" s="1"/>
  <c r="N283" i="1"/>
  <c r="N285" i="1" s="1"/>
  <c r="M283" i="1"/>
  <c r="M285" i="1" s="1"/>
  <c r="L283" i="1"/>
  <c r="L285" i="1" s="1"/>
  <c r="K283" i="1"/>
  <c r="K285" i="1" s="1"/>
  <c r="J283" i="1"/>
  <c r="J284" i="1" s="1"/>
  <c r="J286" i="1" s="1"/>
  <c r="I283" i="1"/>
  <c r="H283" i="1"/>
  <c r="G283" i="1"/>
  <c r="F283" i="1"/>
  <c r="E283" i="1"/>
  <c r="D283" i="1"/>
  <c r="C283" i="1"/>
  <c r="C285" i="1" s="1"/>
  <c r="B283" i="1"/>
  <c r="B284" i="1" s="1"/>
  <c r="B286" i="1" s="1"/>
  <c r="AC250" i="1"/>
  <c r="AA250" i="1"/>
  <c r="Y250" i="1"/>
  <c r="AC249" i="1"/>
  <c r="AA249" i="1"/>
  <c r="Y249" i="1"/>
  <c r="AY247" i="1"/>
  <c r="AY248" i="1" s="1"/>
  <c r="AY250" i="1" s="1"/>
  <c r="AX247" i="1"/>
  <c r="AX248" i="1" s="1"/>
  <c r="AX250" i="1" s="1"/>
  <c r="AX249" i="1" s="1"/>
  <c r="AV247" i="1"/>
  <c r="AV248" i="1" s="1"/>
  <c r="AV250" i="1" s="1"/>
  <c r="AS247" i="1"/>
  <c r="AS248" i="1" s="1"/>
  <c r="AS250" i="1" s="1"/>
  <c r="AS249" i="1" s="1"/>
  <c r="AR247" i="1"/>
  <c r="AR248" i="1" s="1"/>
  <c r="AR250" i="1" s="1"/>
  <c r="AQ247" i="1"/>
  <c r="AQ248" i="1" s="1"/>
  <c r="AQ250" i="1" s="1"/>
  <c r="AP247" i="1"/>
  <c r="AP248" i="1" s="1"/>
  <c r="AP250" i="1" s="1"/>
  <c r="AP249" i="1" s="1"/>
  <c r="AO247" i="1"/>
  <c r="AO248" i="1" s="1"/>
  <c r="AO250" i="1" s="1"/>
  <c r="AO249" i="1" s="1"/>
  <c r="AN247" i="1"/>
  <c r="AN248" i="1" s="1"/>
  <c r="AN250" i="1" s="1"/>
  <c r="AM247" i="1"/>
  <c r="AM248" i="1" s="1"/>
  <c r="AM250" i="1" s="1"/>
  <c r="AK247" i="1"/>
  <c r="AK248" i="1" s="1"/>
  <c r="AK250" i="1" s="1"/>
  <c r="AJ247" i="1"/>
  <c r="AJ248" i="1" s="1"/>
  <c r="AJ250" i="1" s="1"/>
  <c r="AF247" i="1"/>
  <c r="AE247" i="1"/>
  <c r="AE248" i="1" s="1"/>
  <c r="AE250" i="1" s="1"/>
  <c r="AD247" i="1"/>
  <c r="AD248" i="1" s="1"/>
  <c r="AD250" i="1" s="1"/>
  <c r="Z247" i="1"/>
  <c r="X247" i="1"/>
  <c r="X249" i="1" s="1"/>
  <c r="W247" i="1"/>
  <c r="V247" i="1"/>
  <c r="V249" i="1" s="1"/>
  <c r="U247" i="1"/>
  <c r="U248" i="1" s="1"/>
  <c r="U250" i="1" s="1"/>
  <c r="T247" i="1"/>
  <c r="S247" i="1"/>
  <c r="S248" i="1" s="1"/>
  <c r="S250" i="1" s="1"/>
  <c r="R247" i="1"/>
  <c r="R248" i="1" s="1"/>
  <c r="R250" i="1" s="1"/>
  <c r="Q247" i="1"/>
  <c r="P247" i="1"/>
  <c r="P249" i="1" s="1"/>
  <c r="O247" i="1"/>
  <c r="N247" i="1"/>
  <c r="N249" i="1" s="1"/>
  <c r="K247" i="1"/>
  <c r="K249" i="1" s="1"/>
  <c r="J247" i="1"/>
  <c r="I247" i="1"/>
  <c r="H247" i="1"/>
  <c r="H249" i="1" s="1"/>
  <c r="G247" i="1"/>
  <c r="G248" i="1" s="1"/>
  <c r="G250" i="1" s="1"/>
  <c r="F247" i="1"/>
  <c r="E247" i="1"/>
  <c r="E248" i="1" s="1"/>
  <c r="E250" i="1" s="1"/>
  <c r="D247" i="1"/>
  <c r="C247" i="1"/>
  <c r="C249" i="1" s="1"/>
  <c r="AI222" i="1"/>
  <c r="AI247" i="1" s="1"/>
  <c r="AH222" i="1"/>
  <c r="AH247" i="1" s="1"/>
  <c r="AH248" i="1" s="1"/>
  <c r="AH250" i="1" s="1"/>
  <c r="AG222" i="1"/>
  <c r="L222" i="1"/>
  <c r="B222" i="1"/>
  <c r="AW216" i="1"/>
  <c r="AW247" i="1" s="1"/>
  <c r="AW248" i="1" s="1"/>
  <c r="AW250" i="1" s="1"/>
  <c r="AW249" i="1" s="1"/>
  <c r="AL216" i="1"/>
  <c r="AG216" i="1"/>
  <c r="AB216" i="1"/>
  <c r="AB247" i="1" s="1"/>
  <c r="M216" i="1"/>
  <c r="M247" i="1" s="1"/>
  <c r="M248" i="1" s="1"/>
  <c r="M250" i="1" s="1"/>
  <c r="L216" i="1"/>
  <c r="B216" i="1"/>
  <c r="AY211" i="1"/>
  <c r="AY213" i="1" s="1"/>
  <c r="AX211" i="1"/>
  <c r="AX213" i="1" s="1"/>
  <c r="AV211" i="1"/>
  <c r="AS211" i="1"/>
  <c r="AS213" i="1" s="1"/>
  <c r="AR211" i="1"/>
  <c r="AQ211" i="1"/>
  <c r="AQ213" i="1" s="1"/>
  <c r="AP211" i="1"/>
  <c r="AP212" i="1" s="1"/>
  <c r="AP214" i="1" s="1"/>
  <c r="AO211" i="1"/>
  <c r="AO213" i="1" s="1"/>
  <c r="AN211" i="1"/>
  <c r="AM211" i="1"/>
  <c r="AM213" i="1" s="1"/>
  <c r="AK211" i="1"/>
  <c r="AJ211" i="1"/>
  <c r="AI211" i="1"/>
  <c r="AI213" i="1" s="1"/>
  <c r="AH211" i="1"/>
  <c r="AH212" i="1" s="1"/>
  <c r="AH214" i="1" s="1"/>
  <c r="AF211" i="1"/>
  <c r="AF213" i="1" s="1"/>
  <c r="AE211" i="1"/>
  <c r="AE213" i="1" s="1"/>
  <c r="AD211" i="1"/>
  <c r="AD213" i="1" s="1"/>
  <c r="AC211" i="1"/>
  <c r="AC212" i="1" s="1"/>
  <c r="AC214" i="1" s="1"/>
  <c r="AA211" i="1"/>
  <c r="AA212" i="1" s="1"/>
  <c r="AA214" i="1" s="1"/>
  <c r="Z211" i="1"/>
  <c r="Z212" i="1" s="1"/>
  <c r="Z214" i="1" s="1"/>
  <c r="Y211" i="1"/>
  <c r="X211" i="1"/>
  <c r="X213" i="1" s="1"/>
  <c r="W211" i="1"/>
  <c r="W212" i="1" s="1"/>
  <c r="W214" i="1" s="1"/>
  <c r="V211" i="1"/>
  <c r="V212" i="1" s="1"/>
  <c r="V214" i="1" s="1"/>
  <c r="T211" i="1"/>
  <c r="T212" i="1" s="1"/>
  <c r="T214" i="1" s="1"/>
  <c r="S211" i="1"/>
  <c r="S213" i="1" s="1"/>
  <c r="R211" i="1"/>
  <c r="R213" i="1" s="1"/>
  <c r="Q211" i="1"/>
  <c r="P211" i="1"/>
  <c r="P213" i="1" s="1"/>
  <c r="O211" i="1"/>
  <c r="O213" i="1" s="1"/>
  <c r="N211" i="1"/>
  <c r="K211" i="1"/>
  <c r="K213" i="1" s="1"/>
  <c r="J211" i="1"/>
  <c r="J213" i="1" s="1"/>
  <c r="I211" i="1"/>
  <c r="H211" i="1"/>
  <c r="G211" i="1"/>
  <c r="G213" i="1" s="1"/>
  <c r="F211" i="1"/>
  <c r="F212" i="1" s="1"/>
  <c r="F214" i="1" s="1"/>
  <c r="E211" i="1"/>
  <c r="E212" i="1" s="1"/>
  <c r="E214" i="1" s="1"/>
  <c r="D211" i="1"/>
  <c r="D213" i="1" s="1"/>
  <c r="C211" i="1"/>
  <c r="C213" i="1" s="1"/>
  <c r="AW210" i="1"/>
  <c r="AL210" i="1"/>
  <c r="AG210" i="1"/>
  <c r="AB210" i="1"/>
  <c r="U210" i="1"/>
  <c r="M210" i="1"/>
  <c r="L210" i="1"/>
  <c r="B210" i="1"/>
  <c r="AW209" i="1"/>
  <c r="AL209" i="1"/>
  <c r="AG209" i="1"/>
  <c r="AB209" i="1"/>
  <c r="U209" i="1"/>
  <c r="M209" i="1"/>
  <c r="L209" i="1"/>
  <c r="B209" i="1"/>
  <c r="AW208" i="1"/>
  <c r="AL208" i="1"/>
  <c r="AG208" i="1"/>
  <c r="AB208" i="1"/>
  <c r="U208" i="1"/>
  <c r="M208" i="1"/>
  <c r="L208" i="1"/>
  <c r="B208" i="1"/>
  <c r="AW207" i="1"/>
  <c r="AL207" i="1"/>
  <c r="AG207" i="1"/>
  <c r="AB207" i="1"/>
  <c r="U207" i="1"/>
  <c r="M207" i="1"/>
  <c r="L207" i="1"/>
  <c r="B207" i="1"/>
  <c r="AW206" i="1"/>
  <c r="AL206" i="1"/>
  <c r="AG206" i="1"/>
  <c r="AB206" i="1"/>
  <c r="U206" i="1"/>
  <c r="M206" i="1"/>
  <c r="L206" i="1"/>
  <c r="B206" i="1"/>
  <c r="AW205" i="1"/>
  <c r="AL205" i="1"/>
  <c r="AG205" i="1"/>
  <c r="AB205" i="1"/>
  <c r="U205" i="1"/>
  <c r="M205" i="1"/>
  <c r="L205" i="1"/>
  <c r="B205" i="1"/>
  <c r="AW204" i="1"/>
  <c r="AL204" i="1"/>
  <c r="AG204" i="1"/>
  <c r="AB204" i="1"/>
  <c r="U204" i="1"/>
  <c r="M204" i="1"/>
  <c r="L204" i="1"/>
  <c r="B204" i="1"/>
  <c r="AW203" i="1"/>
  <c r="AL203" i="1"/>
  <c r="AG203" i="1"/>
  <c r="AB203" i="1"/>
  <c r="U203" i="1"/>
  <c r="L203" i="1"/>
  <c r="B203" i="1"/>
  <c r="AW202" i="1"/>
  <c r="AL202" i="1"/>
  <c r="AG202" i="1"/>
  <c r="AB202" i="1"/>
  <c r="U202" i="1"/>
  <c r="B202" i="1"/>
  <c r="AW201" i="1"/>
  <c r="AL201" i="1"/>
  <c r="AG201" i="1"/>
  <c r="AB201" i="1"/>
  <c r="U201" i="1"/>
  <c r="B201" i="1"/>
  <c r="AW200" i="1"/>
  <c r="AL200" i="1"/>
  <c r="AG200" i="1"/>
  <c r="AB200" i="1"/>
  <c r="U200" i="1"/>
  <c r="AW199" i="1"/>
  <c r="AL199" i="1"/>
  <c r="AG199" i="1"/>
  <c r="AB199" i="1"/>
  <c r="U199" i="1"/>
  <c r="M199" i="1"/>
  <c r="L199" i="1"/>
  <c r="B199" i="1"/>
  <c r="AW198" i="1"/>
  <c r="AL198" i="1"/>
  <c r="AG198" i="1"/>
  <c r="AB198" i="1"/>
  <c r="U198" i="1"/>
  <c r="M198" i="1"/>
  <c r="L198" i="1"/>
  <c r="B198" i="1"/>
  <c r="AW197" i="1"/>
  <c r="AL197" i="1"/>
  <c r="AG197" i="1"/>
  <c r="AB197" i="1"/>
  <c r="U197" i="1"/>
  <c r="B197" i="1"/>
  <c r="AW196" i="1"/>
  <c r="AL196" i="1"/>
  <c r="AG196" i="1"/>
  <c r="AB196" i="1"/>
  <c r="U196" i="1"/>
  <c r="B196" i="1"/>
  <c r="AW195" i="1"/>
  <c r="AL195" i="1"/>
  <c r="AG195" i="1"/>
  <c r="AB195" i="1"/>
  <c r="U195" i="1"/>
  <c r="M195" i="1"/>
  <c r="L195" i="1"/>
  <c r="B195" i="1"/>
  <c r="AW194" i="1"/>
  <c r="AL194" i="1"/>
  <c r="AG194" i="1"/>
  <c r="AB194" i="1"/>
  <c r="U194" i="1"/>
  <c r="M194" i="1"/>
  <c r="B194" i="1"/>
  <c r="AW193" i="1"/>
  <c r="AL193" i="1"/>
  <c r="AG193" i="1"/>
  <c r="AB193" i="1"/>
  <c r="U193" i="1"/>
  <c r="M193" i="1"/>
  <c r="B193" i="1"/>
  <c r="AW192" i="1"/>
  <c r="AL192" i="1"/>
  <c r="AG192" i="1"/>
  <c r="AB192" i="1"/>
  <c r="M192" i="1"/>
  <c r="L192" i="1"/>
  <c r="B192" i="1"/>
  <c r="AW191" i="1"/>
  <c r="AL191" i="1"/>
  <c r="AG191" i="1"/>
  <c r="AB191" i="1"/>
  <c r="U191" i="1"/>
  <c r="M191" i="1"/>
  <c r="L191" i="1"/>
  <c r="B191" i="1"/>
  <c r="AW190" i="1"/>
  <c r="AL190" i="1"/>
  <c r="AG190" i="1"/>
  <c r="AB190" i="1"/>
  <c r="U190" i="1"/>
  <c r="B190" i="1"/>
  <c r="AW189" i="1"/>
  <c r="AL189" i="1"/>
  <c r="AG189" i="1"/>
  <c r="AB189" i="1"/>
  <c r="U189" i="1"/>
  <c r="M189" i="1"/>
  <c r="L189" i="1"/>
  <c r="B189" i="1"/>
  <c r="AW188" i="1"/>
  <c r="AL188" i="1"/>
  <c r="AG188" i="1"/>
  <c r="AB188" i="1"/>
  <c r="U188" i="1"/>
  <c r="B188" i="1"/>
  <c r="AW187" i="1"/>
  <c r="AL187" i="1"/>
  <c r="AG187" i="1"/>
  <c r="AB187" i="1"/>
  <c r="U187" i="1"/>
  <c r="B187" i="1"/>
  <c r="AW186" i="1"/>
  <c r="AL186" i="1"/>
  <c r="AG186" i="1"/>
  <c r="AB186" i="1"/>
  <c r="U186" i="1"/>
  <c r="B186" i="1"/>
  <c r="AW185" i="1"/>
  <c r="AL185" i="1"/>
  <c r="AG185" i="1"/>
  <c r="AB185" i="1"/>
  <c r="U185" i="1"/>
  <c r="M185" i="1"/>
  <c r="L185" i="1"/>
  <c r="B185" i="1"/>
  <c r="AW184" i="1"/>
  <c r="AL184" i="1"/>
  <c r="AG184" i="1"/>
  <c r="AB184" i="1"/>
  <c r="U184" i="1"/>
  <c r="M184" i="1"/>
  <c r="L184" i="1"/>
  <c r="B184" i="1"/>
  <c r="AW183" i="1"/>
  <c r="AL183" i="1"/>
  <c r="AG183" i="1"/>
  <c r="AB183" i="1"/>
  <c r="U183" i="1"/>
  <c r="M183" i="1"/>
  <c r="L183" i="1"/>
  <c r="B183" i="1"/>
  <c r="AW182" i="1"/>
  <c r="AL182" i="1"/>
  <c r="AG182" i="1"/>
  <c r="AB182" i="1"/>
  <c r="U182" i="1"/>
  <c r="M182" i="1"/>
  <c r="L182" i="1"/>
  <c r="B182" i="1"/>
  <c r="AW181" i="1"/>
  <c r="AL181" i="1"/>
  <c r="AG181" i="1"/>
  <c r="AB181" i="1"/>
  <c r="U181" i="1"/>
  <c r="M181" i="1"/>
  <c r="L181" i="1"/>
  <c r="B181" i="1"/>
  <c r="AC179" i="1"/>
  <c r="AA179" i="1"/>
  <c r="Y179" i="1"/>
  <c r="AC178" i="1"/>
  <c r="AA178" i="1"/>
  <c r="Y178" i="1"/>
  <c r="AY176" i="1"/>
  <c r="AY177" i="1" s="1"/>
  <c r="AY179" i="1" s="1"/>
  <c r="AX176" i="1"/>
  <c r="AX177" i="1" s="1"/>
  <c r="AX179" i="1" s="1"/>
  <c r="AW176" i="1"/>
  <c r="AV176" i="1"/>
  <c r="AV177" i="1" s="1"/>
  <c r="AV179" i="1" s="1"/>
  <c r="AS176" i="1"/>
  <c r="AR176" i="1"/>
  <c r="AR177" i="1" s="1"/>
  <c r="AR179" i="1" s="1"/>
  <c r="AQ176" i="1"/>
  <c r="AQ178" i="1" s="1"/>
  <c r="AP176" i="1"/>
  <c r="AO176" i="1"/>
  <c r="AN176" i="1"/>
  <c r="AN178" i="1" s="1"/>
  <c r="AM176" i="1"/>
  <c r="AM177" i="1" s="1"/>
  <c r="AM179" i="1" s="1"/>
  <c r="AL176" i="1"/>
  <c r="AL178" i="1" s="1"/>
  <c r="AK176" i="1"/>
  <c r="AK178" i="1" s="1"/>
  <c r="AJ176" i="1"/>
  <c r="AJ177" i="1" s="1"/>
  <c r="AJ179" i="1" s="1"/>
  <c r="AI176" i="1"/>
  <c r="AI177" i="1" s="1"/>
  <c r="AI179" i="1" s="1"/>
  <c r="AH176" i="1"/>
  <c r="AH177" i="1" s="1"/>
  <c r="AH179" i="1" s="1"/>
  <c r="AG176" i="1"/>
  <c r="AG177" i="1" s="1"/>
  <c r="AG179" i="1" s="1"/>
  <c r="AF176" i="1"/>
  <c r="AF178" i="1" s="1"/>
  <c r="AE176" i="1"/>
  <c r="AE178" i="1" s="1"/>
  <c r="AD176" i="1"/>
  <c r="AB176" i="1"/>
  <c r="AB177" i="1" s="1"/>
  <c r="AB179" i="1" s="1"/>
  <c r="Z176" i="1"/>
  <c r="X176" i="1"/>
  <c r="W176" i="1"/>
  <c r="W178" i="1" s="1"/>
  <c r="V176" i="1"/>
  <c r="U176" i="1"/>
  <c r="U178" i="1" s="1"/>
  <c r="T176" i="1"/>
  <c r="T177" i="1" s="1"/>
  <c r="T179" i="1" s="1"/>
  <c r="S176" i="1"/>
  <c r="S178" i="1" s="1"/>
  <c r="R176" i="1"/>
  <c r="R178" i="1" s="1"/>
  <c r="Q176" i="1"/>
  <c r="P176" i="1"/>
  <c r="O176" i="1"/>
  <c r="O178" i="1" s="1"/>
  <c r="N176" i="1"/>
  <c r="M176" i="1"/>
  <c r="L176" i="1"/>
  <c r="K176" i="1"/>
  <c r="K178" i="1" s="1"/>
  <c r="J176" i="1"/>
  <c r="J178" i="1" s="1"/>
  <c r="I176" i="1"/>
  <c r="I178" i="1" s="1"/>
  <c r="H176" i="1"/>
  <c r="H178" i="1" s="1"/>
  <c r="G176" i="1"/>
  <c r="G178" i="1" s="1"/>
  <c r="F176" i="1"/>
  <c r="F178" i="1" s="1"/>
  <c r="E176" i="1"/>
  <c r="E178" i="1" s="1"/>
  <c r="D176" i="1"/>
  <c r="C176" i="1"/>
  <c r="C177" i="1" s="1"/>
  <c r="C179" i="1" s="1"/>
  <c r="B176" i="1"/>
  <c r="AY140" i="1"/>
  <c r="AX140" i="1"/>
  <c r="AX142" i="1" s="1"/>
  <c r="AV140" i="1"/>
  <c r="AS140" i="1"/>
  <c r="AS142" i="1" s="1"/>
  <c r="AR140" i="1"/>
  <c r="AR142" i="1" s="1"/>
  <c r="AQ140" i="1"/>
  <c r="AQ142" i="1" s="1"/>
  <c r="AP140" i="1"/>
  <c r="AP142" i="1" s="1"/>
  <c r="AO140" i="1"/>
  <c r="AO142" i="1" s="1"/>
  <c r="AN140" i="1"/>
  <c r="AN142" i="1" s="1"/>
  <c r="AM140" i="1"/>
  <c r="AM141" i="1" s="1"/>
  <c r="AM143" i="1" s="1"/>
  <c r="AK140" i="1"/>
  <c r="AK141" i="1" s="1"/>
  <c r="AK143" i="1" s="1"/>
  <c r="AJ140" i="1"/>
  <c r="AJ142" i="1" s="1"/>
  <c r="AI140" i="1"/>
  <c r="AI142" i="1" s="1"/>
  <c r="AH140" i="1"/>
  <c r="AH142" i="1" s="1"/>
  <c r="AF140" i="1"/>
  <c r="AF141" i="1" s="1"/>
  <c r="AF143" i="1" s="1"/>
  <c r="AE140" i="1"/>
  <c r="AE141" i="1" s="1"/>
  <c r="AE143" i="1" s="1"/>
  <c r="AD140" i="1"/>
  <c r="AD142" i="1" s="1"/>
  <c r="AC140" i="1"/>
  <c r="AC142" i="1" s="1"/>
  <c r="AA140" i="1"/>
  <c r="AA141" i="1" s="1"/>
  <c r="AA143" i="1" s="1"/>
  <c r="Z140" i="1"/>
  <c r="Z142" i="1" s="1"/>
  <c r="Y140" i="1"/>
  <c r="Y142" i="1" s="1"/>
  <c r="X140" i="1"/>
  <c r="X142" i="1" s="1"/>
  <c r="W140" i="1"/>
  <c r="W142" i="1" s="1"/>
  <c r="V140" i="1"/>
  <c r="T140" i="1"/>
  <c r="S140" i="1"/>
  <c r="S141" i="1" s="1"/>
  <c r="S143" i="1" s="1"/>
  <c r="R140" i="1"/>
  <c r="Q140" i="1"/>
  <c r="Q142" i="1" s="1"/>
  <c r="P140" i="1"/>
  <c r="P142" i="1" s="1"/>
  <c r="O140" i="1"/>
  <c r="O141" i="1" s="1"/>
  <c r="O143" i="1" s="1"/>
  <c r="N140" i="1"/>
  <c r="N142" i="1" s="1"/>
  <c r="K140" i="1"/>
  <c r="J140" i="1"/>
  <c r="I140" i="1"/>
  <c r="I142" i="1" s="1"/>
  <c r="H140" i="1"/>
  <c r="H142" i="1" s="1"/>
  <c r="G140" i="1"/>
  <c r="G142" i="1" s="1"/>
  <c r="F140" i="1"/>
  <c r="F141" i="1" s="1"/>
  <c r="F143" i="1" s="1"/>
  <c r="E140" i="1"/>
  <c r="E141" i="1" s="1"/>
  <c r="E143" i="1" s="1"/>
  <c r="D140" i="1"/>
  <c r="C140" i="1"/>
  <c r="C141" i="1" s="1"/>
  <c r="C143" i="1" s="1"/>
  <c r="AW139" i="1"/>
  <c r="AL139" i="1"/>
  <c r="AG139" i="1"/>
  <c r="AB139" i="1"/>
  <c r="U139" i="1"/>
  <c r="B139" i="1"/>
  <c r="AW138" i="1"/>
  <c r="AL138" i="1"/>
  <c r="AG138" i="1"/>
  <c r="AB138" i="1"/>
  <c r="U138" i="1"/>
  <c r="B138" i="1"/>
  <c r="AW137" i="1"/>
  <c r="AL137" i="1"/>
  <c r="AB137" i="1"/>
  <c r="U137" i="1"/>
  <c r="B137" i="1"/>
  <c r="AW136" i="1"/>
  <c r="AL136" i="1"/>
  <c r="AB136" i="1"/>
  <c r="U136" i="1"/>
  <c r="M136" i="1"/>
  <c r="L136" i="1"/>
  <c r="B136" i="1"/>
  <c r="AW135" i="1"/>
  <c r="AL135" i="1"/>
  <c r="AB135" i="1"/>
  <c r="U135" i="1"/>
  <c r="M135" i="1"/>
  <c r="L135" i="1"/>
  <c r="B135" i="1"/>
  <c r="AW134" i="1"/>
  <c r="AL134" i="1"/>
  <c r="AB134" i="1"/>
  <c r="U134" i="1"/>
  <c r="B134" i="1"/>
  <c r="AW133" i="1"/>
  <c r="AL133" i="1"/>
  <c r="AB133" i="1"/>
  <c r="U133" i="1"/>
  <c r="M133" i="1"/>
  <c r="L133" i="1"/>
  <c r="B133" i="1"/>
  <c r="AW132" i="1"/>
  <c r="AL132" i="1"/>
  <c r="AB132" i="1"/>
  <c r="U132" i="1"/>
  <c r="M132" i="1"/>
  <c r="L132" i="1"/>
  <c r="B132" i="1"/>
  <c r="AW131" i="1"/>
  <c r="AL131" i="1"/>
  <c r="AB131" i="1"/>
  <c r="U131" i="1"/>
  <c r="B131" i="1"/>
  <c r="AW130" i="1"/>
  <c r="AL130" i="1"/>
  <c r="AB130" i="1"/>
  <c r="U130" i="1"/>
  <c r="B130" i="1"/>
  <c r="AW129" i="1"/>
  <c r="AL129" i="1"/>
  <c r="AB129" i="1"/>
  <c r="U129" i="1"/>
  <c r="M129" i="1"/>
  <c r="L129" i="1"/>
  <c r="B129" i="1"/>
  <c r="AW128" i="1"/>
  <c r="AL128" i="1"/>
  <c r="AB128" i="1"/>
  <c r="U128" i="1"/>
  <c r="M128" i="1"/>
  <c r="L128" i="1"/>
  <c r="B128" i="1"/>
  <c r="AW127" i="1"/>
  <c r="AL127" i="1"/>
  <c r="AB127" i="1"/>
  <c r="U127" i="1"/>
  <c r="M127" i="1"/>
  <c r="L127" i="1"/>
  <c r="B127" i="1"/>
  <c r="AW126" i="1"/>
  <c r="AL126" i="1"/>
  <c r="AB126" i="1"/>
  <c r="U126" i="1"/>
  <c r="M126" i="1"/>
  <c r="L126" i="1"/>
  <c r="B126" i="1"/>
  <c r="B122" i="1"/>
  <c r="AC108" i="1"/>
  <c r="AA108" i="1"/>
  <c r="Y108" i="1"/>
  <c r="AC107" i="1"/>
  <c r="AA107" i="1"/>
  <c r="Y107" i="1"/>
  <c r="AY105" i="1"/>
  <c r="AX105" i="1"/>
  <c r="AX107" i="1" s="1"/>
  <c r="AV105" i="1"/>
  <c r="AS105" i="1"/>
  <c r="AR105" i="1"/>
  <c r="AQ105" i="1"/>
  <c r="AQ107" i="1" s="1"/>
  <c r="AP105" i="1"/>
  <c r="AP107" i="1" s="1"/>
  <c r="AO105" i="1"/>
  <c r="AO107" i="1" s="1"/>
  <c r="AN105" i="1"/>
  <c r="AN107" i="1" s="1"/>
  <c r="AM105" i="1"/>
  <c r="AM107" i="1" s="1"/>
  <c r="AK105" i="1"/>
  <c r="AK107" i="1" s="1"/>
  <c r="AJ105" i="1"/>
  <c r="AI105" i="1"/>
  <c r="AI106" i="1" s="1"/>
  <c r="AI108" i="1" s="1"/>
  <c r="AH105" i="1"/>
  <c r="AF105" i="1"/>
  <c r="AF106" i="1" s="1"/>
  <c r="AF108" i="1" s="1"/>
  <c r="AE105" i="1"/>
  <c r="AE107" i="1" s="1"/>
  <c r="AD105" i="1"/>
  <c r="AD106" i="1" s="1"/>
  <c r="AD108" i="1" s="1"/>
  <c r="Z105" i="1"/>
  <c r="Z106" i="1" s="1"/>
  <c r="Z108" i="1" s="1"/>
  <c r="X105" i="1"/>
  <c r="W105" i="1"/>
  <c r="W107" i="1" s="1"/>
  <c r="V105" i="1"/>
  <c r="V106" i="1" s="1"/>
  <c r="V108" i="1" s="1"/>
  <c r="T105" i="1"/>
  <c r="T107" i="1" s="1"/>
  <c r="S105" i="1"/>
  <c r="S107" i="1" s="1"/>
  <c r="R105" i="1"/>
  <c r="R106" i="1" s="1"/>
  <c r="R108" i="1" s="1"/>
  <c r="Q105" i="1"/>
  <c r="P105" i="1"/>
  <c r="O105" i="1"/>
  <c r="O106" i="1" s="1"/>
  <c r="O108" i="1" s="1"/>
  <c r="N105" i="1"/>
  <c r="N106" i="1" s="1"/>
  <c r="N108" i="1" s="1"/>
  <c r="K105" i="1"/>
  <c r="K106" i="1" s="1"/>
  <c r="K108" i="1" s="1"/>
  <c r="J105" i="1"/>
  <c r="I105" i="1"/>
  <c r="I107" i="1" s="1"/>
  <c r="H105" i="1"/>
  <c r="H107" i="1" s="1"/>
  <c r="G105" i="1"/>
  <c r="G106" i="1" s="1"/>
  <c r="G108" i="1" s="1"/>
  <c r="F105" i="1"/>
  <c r="F106" i="1" s="1"/>
  <c r="F108" i="1" s="1"/>
  <c r="E105" i="1"/>
  <c r="E107" i="1" s="1"/>
  <c r="D105" i="1"/>
  <c r="D107" i="1" s="1"/>
  <c r="C105" i="1"/>
  <c r="AW104" i="1"/>
  <c r="AL104" i="1"/>
  <c r="AG104" i="1"/>
  <c r="AB104" i="1"/>
  <c r="U104" i="1"/>
  <c r="M104" i="1"/>
  <c r="B104" i="1"/>
  <c r="AW103" i="1"/>
  <c r="AL103" i="1"/>
  <c r="AG103" i="1"/>
  <c r="AB103" i="1"/>
  <c r="U103" i="1"/>
  <c r="M103" i="1"/>
  <c r="B103" i="1"/>
  <c r="AW102" i="1"/>
  <c r="AL102" i="1"/>
  <c r="AG102" i="1"/>
  <c r="AB102" i="1"/>
  <c r="U102" i="1"/>
  <c r="M102" i="1"/>
  <c r="B102" i="1"/>
  <c r="AW101" i="1"/>
  <c r="AL101" i="1"/>
  <c r="AG101" i="1"/>
  <c r="AB101" i="1"/>
  <c r="U101" i="1"/>
  <c r="M101" i="1"/>
  <c r="B101" i="1"/>
  <c r="AW100" i="1"/>
  <c r="AL100" i="1"/>
  <c r="AB100" i="1"/>
  <c r="U100" i="1"/>
  <c r="AW99" i="1"/>
  <c r="AL99" i="1"/>
  <c r="AB99" i="1"/>
  <c r="U99" i="1"/>
  <c r="AW98" i="1"/>
  <c r="AL98" i="1"/>
  <c r="AB98" i="1"/>
  <c r="U98" i="1"/>
  <c r="AW97" i="1"/>
  <c r="AL97" i="1"/>
  <c r="AB97" i="1"/>
  <c r="U97" i="1"/>
  <c r="M97" i="1"/>
  <c r="L97" i="1"/>
  <c r="AW96" i="1"/>
  <c r="AL96" i="1"/>
  <c r="AB96" i="1"/>
  <c r="U96" i="1"/>
  <c r="M96" i="1"/>
  <c r="L96" i="1"/>
  <c r="AW95" i="1"/>
  <c r="AL95" i="1"/>
  <c r="AB95" i="1"/>
  <c r="U95" i="1"/>
  <c r="M95" i="1"/>
  <c r="L95" i="1"/>
  <c r="AW94" i="1"/>
  <c r="AL94" i="1"/>
  <c r="AB94" i="1"/>
  <c r="U94" i="1"/>
  <c r="M94" i="1"/>
  <c r="L94" i="1"/>
  <c r="AW93" i="1"/>
  <c r="AL93" i="1"/>
  <c r="AB93" i="1"/>
  <c r="U93" i="1"/>
  <c r="M93" i="1"/>
  <c r="L93" i="1"/>
  <c r="AW92" i="1"/>
  <c r="AL92" i="1"/>
  <c r="AB92" i="1"/>
  <c r="U92" i="1"/>
  <c r="M92" i="1"/>
  <c r="L92" i="1"/>
  <c r="AW91" i="1"/>
  <c r="AL91" i="1"/>
  <c r="AB91" i="1"/>
  <c r="U91" i="1"/>
  <c r="M91" i="1"/>
  <c r="L91" i="1"/>
  <c r="AW90" i="1"/>
  <c r="AL90" i="1"/>
  <c r="AB90" i="1"/>
  <c r="U90" i="1"/>
  <c r="M90" i="1"/>
  <c r="AW89" i="1"/>
  <c r="AL89" i="1"/>
  <c r="AB89" i="1"/>
  <c r="U89" i="1"/>
  <c r="M89" i="1"/>
  <c r="L89" i="1"/>
  <c r="AW88" i="1"/>
  <c r="AL88" i="1"/>
  <c r="AB88" i="1"/>
  <c r="U88" i="1"/>
  <c r="M88" i="1"/>
  <c r="L88" i="1"/>
  <c r="AW87" i="1"/>
  <c r="AL87" i="1"/>
  <c r="AB87" i="1"/>
  <c r="U87" i="1"/>
  <c r="M87" i="1"/>
  <c r="L87" i="1"/>
  <c r="AW86" i="1"/>
  <c r="AL86" i="1"/>
  <c r="AB86" i="1"/>
  <c r="U86" i="1"/>
  <c r="M86" i="1"/>
  <c r="L86" i="1"/>
  <c r="AW85" i="1"/>
  <c r="AL85" i="1"/>
  <c r="AB85" i="1"/>
  <c r="U85" i="1"/>
  <c r="M85" i="1"/>
  <c r="L85" i="1"/>
  <c r="AW84" i="1"/>
  <c r="AL84" i="1"/>
  <c r="AB84" i="1"/>
  <c r="U84" i="1"/>
  <c r="M84" i="1"/>
  <c r="L84" i="1"/>
  <c r="AW83" i="1"/>
  <c r="AL83" i="1"/>
  <c r="AB83" i="1"/>
  <c r="U83" i="1"/>
  <c r="AW82" i="1"/>
  <c r="AL82" i="1"/>
  <c r="AB82" i="1"/>
  <c r="U82" i="1"/>
  <c r="M82" i="1"/>
  <c r="L82" i="1"/>
  <c r="AW81" i="1"/>
  <c r="AL81" i="1"/>
  <c r="AB81" i="1"/>
  <c r="U81" i="1"/>
  <c r="M81" i="1"/>
  <c r="L81" i="1"/>
  <c r="AW80" i="1"/>
  <c r="AL80" i="1"/>
  <c r="AB80" i="1"/>
  <c r="U80" i="1"/>
  <c r="M80" i="1"/>
  <c r="L80" i="1"/>
  <c r="AW79" i="1"/>
  <c r="AL79" i="1"/>
  <c r="AB79" i="1"/>
  <c r="U79" i="1"/>
  <c r="M79" i="1"/>
  <c r="L79" i="1"/>
  <c r="AW78" i="1"/>
  <c r="AL78" i="1"/>
  <c r="AB78" i="1"/>
  <c r="U78" i="1"/>
  <c r="M78" i="1"/>
  <c r="L78" i="1"/>
  <c r="AW77" i="1"/>
  <c r="AL77" i="1"/>
  <c r="AB77" i="1"/>
  <c r="U77" i="1"/>
  <c r="AW76" i="1"/>
  <c r="AL76" i="1"/>
  <c r="AB76" i="1"/>
  <c r="U76" i="1"/>
  <c r="AW75" i="1"/>
  <c r="AL75" i="1"/>
  <c r="AB75" i="1"/>
  <c r="U75" i="1"/>
  <c r="M75" i="1"/>
  <c r="L75" i="1"/>
  <c r="AW74" i="1"/>
  <c r="AL74" i="1"/>
  <c r="AB74" i="1"/>
  <c r="U74" i="1"/>
  <c r="M74" i="1"/>
  <c r="L74" i="1"/>
  <c r="AY69" i="1"/>
  <c r="AY71" i="1" s="1"/>
  <c r="AX69" i="1"/>
  <c r="AV69" i="1"/>
  <c r="AS69" i="1"/>
  <c r="AS71" i="1" s="1"/>
  <c r="AR69" i="1"/>
  <c r="AR71" i="1" s="1"/>
  <c r="AQ69" i="1"/>
  <c r="AQ70" i="1" s="1"/>
  <c r="AQ72" i="1" s="1"/>
  <c r="AP69" i="1"/>
  <c r="AP71" i="1" s="1"/>
  <c r="AO69" i="1"/>
  <c r="AO70" i="1" s="1"/>
  <c r="AO72" i="1" s="1"/>
  <c r="AN69" i="1"/>
  <c r="AM69" i="1"/>
  <c r="AK69" i="1"/>
  <c r="AK71" i="1" s="1"/>
  <c r="AJ69" i="1"/>
  <c r="AJ71" i="1" s="1"/>
  <c r="AI69" i="1"/>
  <c r="AI70" i="1" s="1"/>
  <c r="AI72" i="1" s="1"/>
  <c r="AF69" i="1"/>
  <c r="AF71" i="1" s="1"/>
  <c r="AE69" i="1"/>
  <c r="AE71" i="1" s="1"/>
  <c r="AD69" i="1"/>
  <c r="AD71" i="1" s="1"/>
  <c r="AC69" i="1"/>
  <c r="AC71" i="1" s="1"/>
  <c r="AA69" i="1"/>
  <c r="AA70" i="1" s="1"/>
  <c r="AA72" i="1" s="1"/>
  <c r="AA73" i="1" s="1"/>
  <c r="Z69" i="1"/>
  <c r="Z70" i="1" s="1"/>
  <c r="Z72" i="1" s="1"/>
  <c r="Y69" i="1"/>
  <c r="Y70" i="1" s="1"/>
  <c r="Y72" i="1" s="1"/>
  <c r="Y73" i="1" s="1"/>
  <c r="X69" i="1"/>
  <c r="X70" i="1" s="1"/>
  <c r="X72" i="1" s="1"/>
  <c r="W69" i="1"/>
  <c r="W70" i="1" s="1"/>
  <c r="W72" i="1" s="1"/>
  <c r="V69" i="1"/>
  <c r="V71" i="1" s="1"/>
  <c r="T69" i="1"/>
  <c r="T70" i="1" s="1"/>
  <c r="T72" i="1" s="1"/>
  <c r="S69" i="1"/>
  <c r="R69" i="1"/>
  <c r="R71" i="1" s="1"/>
  <c r="Q69" i="1"/>
  <c r="Q70" i="1" s="1"/>
  <c r="Q72" i="1" s="1"/>
  <c r="P69" i="1"/>
  <c r="P70" i="1" s="1"/>
  <c r="P72" i="1" s="1"/>
  <c r="O69" i="1"/>
  <c r="O70" i="1" s="1"/>
  <c r="O72" i="1" s="1"/>
  <c r="N69" i="1"/>
  <c r="N71" i="1" s="1"/>
  <c r="K69" i="1"/>
  <c r="K71" i="1" s="1"/>
  <c r="J69" i="1"/>
  <c r="J71" i="1" s="1"/>
  <c r="I69" i="1"/>
  <c r="I71" i="1" s="1"/>
  <c r="H69" i="1"/>
  <c r="H71" i="1" s="1"/>
  <c r="G69" i="1"/>
  <c r="G71" i="1" s="1"/>
  <c r="F69" i="1"/>
  <c r="E69" i="1"/>
  <c r="E70" i="1" s="1"/>
  <c r="E72" i="1" s="1"/>
  <c r="D69" i="1"/>
  <c r="C69" i="1"/>
  <c r="C71" i="1" s="1"/>
  <c r="B69" i="1"/>
  <c r="B71" i="1" s="1"/>
  <c r="AW67" i="1"/>
  <c r="AL67" i="1"/>
  <c r="AH67" i="1"/>
  <c r="AG67" i="1"/>
  <c r="AB67" i="1"/>
  <c r="U67" i="1"/>
  <c r="M67" i="1"/>
  <c r="AW66" i="1"/>
  <c r="AL66" i="1"/>
  <c r="AH66" i="1"/>
  <c r="AG66" i="1"/>
  <c r="AB66" i="1"/>
  <c r="U66" i="1"/>
  <c r="M66" i="1"/>
  <c r="AW65" i="1"/>
  <c r="AL65" i="1"/>
  <c r="AH65" i="1"/>
  <c r="AG65" i="1"/>
  <c r="AB65" i="1"/>
  <c r="U65" i="1"/>
  <c r="M65" i="1"/>
  <c r="L65" i="1"/>
  <c r="AW64" i="1"/>
  <c r="AL64" i="1"/>
  <c r="AH64" i="1"/>
  <c r="AG64" i="1"/>
  <c r="AB64" i="1"/>
  <c r="U64" i="1"/>
  <c r="M64" i="1"/>
  <c r="L64" i="1"/>
  <c r="AW63" i="1"/>
  <c r="AL63" i="1"/>
  <c r="AH63" i="1"/>
  <c r="AG63" i="1"/>
  <c r="AB63" i="1"/>
  <c r="U63" i="1"/>
  <c r="M63" i="1"/>
  <c r="L63" i="1"/>
  <c r="AW62" i="1"/>
  <c r="AL62" i="1"/>
  <c r="AH62" i="1"/>
  <c r="AG62" i="1"/>
  <c r="AB62" i="1"/>
  <c r="U62" i="1"/>
  <c r="AW61" i="1"/>
  <c r="AL61" i="1"/>
  <c r="AH61" i="1"/>
  <c r="AG61" i="1"/>
  <c r="AB61" i="1"/>
  <c r="U61" i="1"/>
  <c r="AW60" i="1"/>
  <c r="AL60" i="1"/>
  <c r="AH60" i="1"/>
  <c r="AG60" i="1"/>
  <c r="AB60" i="1"/>
  <c r="U60" i="1"/>
  <c r="AH59" i="1"/>
  <c r="AG59" i="1"/>
  <c r="AB59" i="1"/>
  <c r="U59" i="1"/>
  <c r="M59" i="1"/>
  <c r="AH58" i="1"/>
  <c r="AG58" i="1"/>
  <c r="AB58" i="1"/>
  <c r="U58" i="1"/>
  <c r="AH57" i="1"/>
  <c r="AG57" i="1"/>
  <c r="AB57" i="1"/>
  <c r="U57" i="1"/>
  <c r="M57" i="1"/>
  <c r="L57" i="1"/>
  <c r="AH56" i="1"/>
  <c r="AG56" i="1"/>
  <c r="AB56" i="1"/>
  <c r="U56" i="1"/>
  <c r="M56" i="1"/>
  <c r="L56" i="1"/>
  <c r="AH55" i="1"/>
  <c r="AG55" i="1"/>
  <c r="AB55" i="1"/>
  <c r="U55" i="1"/>
  <c r="M55" i="1"/>
  <c r="L55" i="1"/>
  <c r="AH54" i="1"/>
  <c r="AG54" i="1"/>
  <c r="AB54" i="1"/>
  <c r="U54" i="1"/>
  <c r="M54" i="1"/>
  <c r="L54" i="1"/>
  <c r="AH53" i="1"/>
  <c r="AG53" i="1"/>
  <c r="AB53" i="1"/>
  <c r="U53" i="1"/>
  <c r="M53" i="1"/>
  <c r="L53" i="1"/>
  <c r="AH52" i="1"/>
  <c r="AG52" i="1"/>
  <c r="AB52" i="1"/>
  <c r="U52" i="1"/>
  <c r="M52" i="1"/>
  <c r="L52" i="1"/>
  <c r="AH51" i="1"/>
  <c r="AG51" i="1"/>
  <c r="AB51" i="1"/>
  <c r="U51" i="1"/>
  <c r="M51" i="1"/>
  <c r="L51" i="1"/>
  <c r="AH50" i="1"/>
  <c r="AG50" i="1"/>
  <c r="AB50" i="1"/>
  <c r="U50" i="1"/>
  <c r="M50" i="1"/>
  <c r="L50" i="1"/>
  <c r="AH49" i="1"/>
  <c r="AG49" i="1"/>
  <c r="AB49" i="1"/>
  <c r="U49" i="1"/>
  <c r="M49" i="1"/>
  <c r="L49" i="1"/>
  <c r="AH48" i="1"/>
  <c r="AG48" i="1"/>
  <c r="AB48" i="1"/>
  <c r="U48" i="1"/>
  <c r="M48" i="1"/>
  <c r="L48" i="1"/>
  <c r="AH47" i="1"/>
  <c r="AG47" i="1"/>
  <c r="AB47" i="1"/>
  <c r="U47" i="1"/>
  <c r="M47" i="1"/>
  <c r="AH46" i="1"/>
  <c r="AG46" i="1"/>
  <c r="AB46" i="1"/>
  <c r="U46" i="1"/>
  <c r="M46" i="1"/>
  <c r="AH45" i="1"/>
  <c r="AG45" i="1"/>
  <c r="AB45" i="1"/>
  <c r="U45" i="1"/>
  <c r="M45" i="1"/>
  <c r="L45" i="1"/>
  <c r="AH44" i="1"/>
  <c r="AG44" i="1"/>
  <c r="AB44" i="1"/>
  <c r="U44" i="1"/>
  <c r="M44" i="1"/>
  <c r="L44" i="1"/>
  <c r="AH43" i="1"/>
  <c r="AG43" i="1"/>
  <c r="AB43" i="1"/>
  <c r="U43" i="1"/>
  <c r="M43" i="1"/>
  <c r="L43" i="1"/>
  <c r="AH42" i="1"/>
  <c r="AG42" i="1"/>
  <c r="AB42" i="1"/>
  <c r="U42" i="1"/>
  <c r="AH41" i="1"/>
  <c r="AG41" i="1"/>
  <c r="U41" i="1"/>
  <c r="AH40" i="1"/>
  <c r="U40" i="1"/>
  <c r="AY35" i="1"/>
  <c r="AY36" i="1" s="1"/>
  <c r="AY38" i="1" s="1"/>
  <c r="AY39" i="1" s="1"/>
  <c r="AX35" i="1"/>
  <c r="AW35" i="1"/>
  <c r="AW36" i="1" s="1"/>
  <c r="AW38" i="1" s="1"/>
  <c r="AW39" i="1" s="1"/>
  <c r="AV35" i="1"/>
  <c r="AV37" i="1" s="1"/>
  <c r="AS35" i="1"/>
  <c r="AS37" i="1" s="1"/>
  <c r="AR35" i="1"/>
  <c r="AR37" i="1" s="1"/>
  <c r="AQ35" i="1"/>
  <c r="AQ37" i="1" s="1"/>
  <c r="AP35" i="1"/>
  <c r="AP36" i="1" s="1"/>
  <c r="AP38" i="1" s="1"/>
  <c r="AP39" i="1" s="1"/>
  <c r="AO35" i="1"/>
  <c r="AO36" i="1" s="1"/>
  <c r="AO38" i="1" s="1"/>
  <c r="AO39" i="1" s="1"/>
  <c r="AN35" i="1"/>
  <c r="AN36" i="1" s="1"/>
  <c r="AN38" i="1" s="1"/>
  <c r="AN39" i="1" s="1"/>
  <c r="AM35" i="1"/>
  <c r="AM36" i="1" s="1"/>
  <c r="AM38" i="1" s="1"/>
  <c r="AM39" i="1" s="1"/>
  <c r="AL35" i="1"/>
  <c r="AL36" i="1" s="1"/>
  <c r="AL38" i="1" s="1"/>
  <c r="AL39" i="1" s="1"/>
  <c r="AK35" i="1"/>
  <c r="AK37" i="1" s="1"/>
  <c r="AJ35" i="1"/>
  <c r="AJ37" i="1" s="1"/>
  <c r="AI35" i="1"/>
  <c r="AI37" i="1" s="1"/>
  <c r="AH35" i="1"/>
  <c r="AH36" i="1" s="1"/>
  <c r="AH38" i="1" s="1"/>
  <c r="AH39" i="1" s="1"/>
  <c r="AG35" i="1"/>
  <c r="AG36" i="1" s="1"/>
  <c r="AG38" i="1" s="1"/>
  <c r="AG39" i="1" s="1"/>
  <c r="AF35" i="1"/>
  <c r="AF36" i="1" s="1"/>
  <c r="AF38" i="1" s="1"/>
  <c r="AF39" i="1" s="1"/>
  <c r="AE35" i="1"/>
  <c r="AE37" i="1" s="1"/>
  <c r="AD35" i="1"/>
  <c r="AD36" i="1" s="1"/>
  <c r="AD38" i="1" s="1"/>
  <c r="AD39" i="1" s="1"/>
  <c r="AB35" i="1"/>
  <c r="AB37" i="1" s="1"/>
  <c r="Z35" i="1"/>
  <c r="Z37" i="1" s="1"/>
  <c r="X35" i="1"/>
  <c r="X37" i="1" s="1"/>
  <c r="W35" i="1"/>
  <c r="W37" i="1" s="1"/>
  <c r="V35" i="1"/>
  <c r="V37" i="1" s="1"/>
  <c r="T35" i="1"/>
  <c r="S35" i="1"/>
  <c r="S36" i="1" s="1"/>
  <c r="S38" i="1" s="1"/>
  <c r="S39" i="1" s="1"/>
  <c r="R35" i="1"/>
  <c r="R36" i="1" s="1"/>
  <c r="R38" i="1" s="1"/>
  <c r="R39" i="1" s="1"/>
  <c r="Q35" i="1"/>
  <c r="Q37" i="1" s="1"/>
  <c r="P35" i="1"/>
  <c r="P36" i="1" s="1"/>
  <c r="P38" i="1" s="1"/>
  <c r="P39" i="1" s="1"/>
  <c r="O35" i="1"/>
  <c r="O37" i="1" s="1"/>
  <c r="N35" i="1"/>
  <c r="N37" i="1" s="1"/>
  <c r="K35" i="1"/>
  <c r="K37" i="1" s="1"/>
  <c r="J35" i="1"/>
  <c r="J37" i="1" s="1"/>
  <c r="I35" i="1"/>
  <c r="I36" i="1" s="1"/>
  <c r="I38" i="1" s="1"/>
  <c r="I39" i="1" s="1"/>
  <c r="H35" i="1"/>
  <c r="G35" i="1"/>
  <c r="G36" i="1" s="1"/>
  <c r="G38" i="1" s="1"/>
  <c r="G39" i="1" s="1"/>
  <c r="F35" i="1"/>
  <c r="F36" i="1" s="1"/>
  <c r="F38" i="1" s="1"/>
  <c r="F39" i="1" s="1"/>
  <c r="E35" i="1"/>
  <c r="E37" i="1" s="1"/>
  <c r="D35" i="1"/>
  <c r="D36" i="1" s="1"/>
  <c r="D38" i="1" s="1"/>
  <c r="D39" i="1" s="1"/>
  <c r="C35" i="1"/>
  <c r="C36" i="1" s="1"/>
  <c r="C38" i="1" s="1"/>
  <c r="C39" i="1" s="1"/>
  <c r="U34" i="1"/>
  <c r="B34" i="1"/>
  <c r="U33" i="1"/>
  <c r="B33" i="1"/>
  <c r="U32" i="1"/>
  <c r="B32" i="1"/>
  <c r="U31" i="1"/>
  <c r="B31" i="1"/>
  <c r="U30" i="1"/>
  <c r="B30" i="1"/>
  <c r="U29" i="1"/>
  <c r="B29" i="1"/>
  <c r="B28" i="1"/>
  <c r="B27" i="1"/>
  <c r="M26" i="1"/>
  <c r="L26" i="1"/>
  <c r="B26" i="1"/>
  <c r="M25" i="1"/>
  <c r="L25" i="1"/>
  <c r="B25" i="1"/>
  <c r="B24" i="1"/>
  <c r="B23" i="1"/>
  <c r="L22" i="1"/>
  <c r="B22" i="1"/>
  <c r="L21" i="1"/>
  <c r="B21" i="1"/>
  <c r="L20" i="1"/>
  <c r="B20" i="1"/>
  <c r="AU2" i="1"/>
  <c r="AU211" i="1" s="1"/>
  <c r="E71" i="1" l="1"/>
  <c r="I70" i="1"/>
  <c r="I72" i="1" s="1"/>
  <c r="O177" i="1"/>
  <c r="O179" i="1" s="1"/>
  <c r="Q319" i="1"/>
  <c r="Q321" i="1" s="1"/>
  <c r="AP390" i="1"/>
  <c r="AP392" i="1" s="1"/>
  <c r="AI107" i="1"/>
  <c r="AD141" i="1"/>
  <c r="AD143" i="1" s="1"/>
  <c r="AD249" i="1"/>
  <c r="AY356" i="1"/>
  <c r="AF70" i="1"/>
  <c r="AF72" i="1" s="1"/>
  <c r="AF73" i="1" s="1"/>
  <c r="AF109" i="1" s="1"/>
  <c r="AF144" i="1" s="1"/>
  <c r="AN106" i="1"/>
  <c r="AN108" i="1" s="1"/>
  <c r="AO71" i="1"/>
  <c r="AQ106" i="1"/>
  <c r="AQ108" i="1" s="1"/>
  <c r="W426" i="1"/>
  <c r="W428" i="1" s="1"/>
  <c r="AF285" i="1"/>
  <c r="AO141" i="1"/>
  <c r="AO143" i="1" s="1"/>
  <c r="O107" i="1"/>
  <c r="AG140" i="1"/>
  <c r="AG142" i="1" s="1"/>
  <c r="AK142" i="1"/>
  <c r="AQ390" i="1"/>
  <c r="AQ392" i="1" s="1"/>
  <c r="AG247" i="1"/>
  <c r="AG248" i="1" s="1"/>
  <c r="AG250" i="1" s="1"/>
  <c r="AY390" i="1"/>
  <c r="AY392" i="1" s="1"/>
  <c r="Z36" i="1"/>
  <c r="Z38" i="1" s="1"/>
  <c r="Z39" i="1" s="1"/>
  <c r="B70" i="1"/>
  <c r="B72" i="1" s="1"/>
  <c r="AO212" i="1"/>
  <c r="AO214" i="1" s="1"/>
  <c r="V391" i="1"/>
  <c r="M426" i="1"/>
  <c r="M428" i="1" s="1"/>
  <c r="I73" i="1"/>
  <c r="AK70" i="1"/>
  <c r="AK72" i="1" s="1"/>
  <c r="AH178" i="1"/>
  <c r="AQ212" i="1"/>
  <c r="AQ214" i="1" s="1"/>
  <c r="AH284" i="1"/>
  <c r="AH286" i="1" s="1"/>
  <c r="K427" i="1"/>
  <c r="AR178" i="1"/>
  <c r="V248" i="1"/>
  <c r="V250" i="1" s="1"/>
  <c r="AL284" i="1"/>
  <c r="AL286" i="1" s="1"/>
  <c r="I319" i="1"/>
  <c r="I321" i="1" s="1"/>
  <c r="AS70" i="1"/>
  <c r="AS72" i="1" s="1"/>
  <c r="J319" i="1"/>
  <c r="J321" i="1" s="1"/>
  <c r="AY319" i="1"/>
  <c r="AY321" i="1" s="1"/>
  <c r="AD427" i="1"/>
  <c r="AD428" i="1" s="1"/>
  <c r="Y320" i="1"/>
  <c r="W141" i="1"/>
  <c r="W143" i="1" s="1"/>
  <c r="AD320" i="1"/>
  <c r="M284" i="1"/>
  <c r="M286" i="1" s="1"/>
  <c r="AE36" i="1"/>
  <c r="AE38" i="1" s="1"/>
  <c r="AE39" i="1" s="1"/>
  <c r="AO106" i="1"/>
  <c r="AO108" i="1" s="1"/>
  <c r="Z141" i="1"/>
  <c r="Z143" i="1" s="1"/>
  <c r="N284" i="1"/>
  <c r="N286" i="1" s="1"/>
  <c r="AO391" i="1"/>
  <c r="O284" i="1"/>
  <c r="O286" i="1" s="1"/>
  <c r="K319" i="1"/>
  <c r="K321" i="1" s="1"/>
  <c r="F107" i="1"/>
  <c r="AM178" i="1"/>
  <c r="AV36" i="1"/>
  <c r="AV38" i="1" s="1"/>
  <c r="AV39" i="1" s="1"/>
  <c r="C70" i="1"/>
  <c r="C72" i="1" s="1"/>
  <c r="C73" i="1" s="1"/>
  <c r="AY70" i="1"/>
  <c r="AY72" i="1" s="1"/>
  <c r="AY73" i="1" s="1"/>
  <c r="K107" i="1"/>
  <c r="AI141" i="1"/>
  <c r="AI143" i="1" s="1"/>
  <c r="D212" i="1"/>
  <c r="D214" i="1" s="1"/>
  <c r="AS212" i="1"/>
  <c r="AS214" i="1" s="1"/>
  <c r="AE249" i="1"/>
  <c r="AE319" i="1"/>
  <c r="AE321" i="1" s="1"/>
  <c r="J391" i="1"/>
  <c r="U425" i="1"/>
  <c r="U426" i="1" s="1"/>
  <c r="U428" i="1" s="1"/>
  <c r="V426" i="1"/>
  <c r="V428" i="1" s="1"/>
  <c r="G212" i="1"/>
  <c r="G214" i="1" s="1"/>
  <c r="P37" i="1"/>
  <c r="J70" i="1"/>
  <c r="J72" i="1" s="1"/>
  <c r="O71" i="1"/>
  <c r="W177" i="1"/>
  <c r="W179" i="1" s="1"/>
  <c r="AX178" i="1"/>
  <c r="O212" i="1"/>
  <c r="O214" i="1" s="1"/>
  <c r="Z213" i="1"/>
  <c r="J285" i="1"/>
  <c r="AJ427" i="1"/>
  <c r="AD37" i="1"/>
  <c r="N70" i="1"/>
  <c r="N72" i="1" s="1"/>
  <c r="Q71" i="1"/>
  <c r="V107" i="1"/>
  <c r="AQ141" i="1"/>
  <c r="AQ143" i="1" s="1"/>
  <c r="S212" i="1"/>
  <c r="S214" i="1" s="1"/>
  <c r="AA213" i="1"/>
  <c r="U389" i="1"/>
  <c r="U391" i="1" s="1"/>
  <c r="G390" i="1"/>
  <c r="G392" i="1" s="1"/>
  <c r="AM426" i="1"/>
  <c r="AM428" i="1" s="1"/>
  <c r="E36" i="1"/>
  <c r="E38" i="1" s="1"/>
  <c r="E39" i="1" s="1"/>
  <c r="E73" i="1" s="1"/>
  <c r="AE70" i="1"/>
  <c r="AE72" i="1" s="1"/>
  <c r="T71" i="1"/>
  <c r="AS141" i="1"/>
  <c r="AS143" i="1" s="1"/>
  <c r="AH213" i="1"/>
  <c r="Q390" i="1"/>
  <c r="Q392" i="1" s="1"/>
  <c r="AY427" i="1"/>
  <c r="AX212" i="1"/>
  <c r="AX214" i="1" s="1"/>
  <c r="J36" i="1"/>
  <c r="J38" i="1" s="1"/>
  <c r="J39" i="1" s="1"/>
  <c r="AF37" i="1"/>
  <c r="X71" i="1"/>
  <c r="AE106" i="1"/>
  <c r="AE108" i="1" s="1"/>
  <c r="G141" i="1"/>
  <c r="G143" i="1" s="1"/>
  <c r="AX141" i="1"/>
  <c r="AX143" i="1" s="1"/>
  <c r="AE212" i="1"/>
  <c r="AE214" i="1" s="1"/>
  <c r="T285" i="1"/>
  <c r="R390" i="1"/>
  <c r="R392" i="1" s="1"/>
  <c r="AO426" i="1"/>
  <c r="AO428" i="1" s="1"/>
  <c r="O36" i="1"/>
  <c r="O38" i="1" s="1"/>
  <c r="O39" i="1" s="1"/>
  <c r="O73" i="1" s="1"/>
  <c r="O109" i="1" s="1"/>
  <c r="O144" i="1" s="1"/>
  <c r="AM37" i="1"/>
  <c r="AA71" i="1"/>
  <c r="AK106" i="1"/>
  <c r="AK108" i="1" s="1"/>
  <c r="I141" i="1"/>
  <c r="I143" i="1" s="1"/>
  <c r="C142" i="1"/>
  <c r="C178" i="1"/>
  <c r="AN390" i="1"/>
  <c r="AN392" i="1" s="1"/>
  <c r="F427" i="1"/>
  <c r="L389" i="1"/>
  <c r="L390" i="1" s="1"/>
  <c r="L392" i="1" s="1"/>
  <c r="AL425" i="1"/>
  <c r="AL427" i="1" s="1"/>
  <c r="X36" i="1"/>
  <c r="X38" i="1" s="1"/>
  <c r="X39" i="1" s="1"/>
  <c r="X73" i="1" s="1"/>
  <c r="AN37" i="1"/>
  <c r="AJ70" i="1"/>
  <c r="AJ72" i="1" s="1"/>
  <c r="AI71" i="1"/>
  <c r="AG105" i="1"/>
  <c r="AG107" i="1" s="1"/>
  <c r="AM106" i="1"/>
  <c r="AM108" i="1" s="1"/>
  <c r="M140" i="1"/>
  <c r="M142" i="1" s="1"/>
  <c r="N141" i="1"/>
  <c r="N143" i="1" s="1"/>
  <c r="S142" i="1"/>
  <c r="AF212" i="1"/>
  <c r="AF214" i="1" s="1"/>
  <c r="AB425" i="1"/>
  <c r="AB427" i="1" s="1"/>
  <c r="AB428" i="1" s="1"/>
  <c r="G427" i="1"/>
  <c r="P73" i="1"/>
  <c r="S106" i="1"/>
  <c r="S108" i="1" s="1"/>
  <c r="AF107" i="1"/>
  <c r="H141" i="1"/>
  <c r="H143" i="1" s="1"/>
  <c r="AC141" i="1"/>
  <c r="AC143" i="1" s="1"/>
  <c r="H177" i="1"/>
  <c r="H179" i="1" s="1"/>
  <c r="AE177" i="1"/>
  <c r="AE179" i="1" s="1"/>
  <c r="AV178" i="1"/>
  <c r="C212" i="1"/>
  <c r="C214" i="1" s="1"/>
  <c r="AD212" i="1"/>
  <c r="AD214" i="1" s="1"/>
  <c r="AP213" i="1"/>
  <c r="X248" i="1"/>
  <c r="X250" i="1" s="1"/>
  <c r="AG285" i="1"/>
  <c r="V320" i="1"/>
  <c r="O390" i="1"/>
  <c r="O392" i="1" s="1"/>
  <c r="N391" i="1"/>
  <c r="AK391" i="1"/>
  <c r="AK426" i="1"/>
  <c r="AK428" i="1" s="1"/>
  <c r="T213" i="1"/>
  <c r="H427" i="1"/>
  <c r="G177" i="1"/>
  <c r="G179" i="1" s="1"/>
  <c r="Q36" i="1"/>
  <c r="Q38" i="1" s="1"/>
  <c r="Q39" i="1" s="1"/>
  <c r="Q73" i="1" s="1"/>
  <c r="C37" i="1"/>
  <c r="AL37" i="1"/>
  <c r="Y71" i="1"/>
  <c r="R107" i="1"/>
  <c r="J177" i="1"/>
  <c r="J179" i="1" s="1"/>
  <c r="V213" i="1"/>
  <c r="AY249" i="1"/>
  <c r="S284" i="1"/>
  <c r="S286" i="1" s="1"/>
  <c r="M319" i="1"/>
  <c r="M321" i="1" s="1"/>
  <c r="AN426" i="1"/>
  <c r="AN428" i="1" s="1"/>
  <c r="AQ177" i="1"/>
  <c r="AQ179" i="1" s="1"/>
  <c r="T106" i="1"/>
  <c r="T108" i="1" s="1"/>
  <c r="I177" i="1"/>
  <c r="I179" i="1" s="1"/>
  <c r="AG319" i="1"/>
  <c r="AG321" i="1" s="1"/>
  <c r="W320" i="1"/>
  <c r="V36" i="1"/>
  <c r="V38" i="1" s="1"/>
  <c r="V39" i="1" s="1"/>
  <c r="D37" i="1"/>
  <c r="G70" i="1"/>
  <c r="G72" i="1" s="1"/>
  <c r="G73" i="1" s="1"/>
  <c r="G109" i="1" s="1"/>
  <c r="Z71" i="1"/>
  <c r="AP106" i="1"/>
  <c r="AP108" i="1" s="1"/>
  <c r="AA109" i="1"/>
  <c r="AA144" i="1" s="1"/>
  <c r="AA180" i="1" s="1"/>
  <c r="AA215" i="1" s="1"/>
  <c r="AA251" i="1" s="1"/>
  <c r="AA287" i="1" s="1"/>
  <c r="K177" i="1"/>
  <c r="K179" i="1" s="1"/>
  <c r="AG178" i="1"/>
  <c r="K212" i="1"/>
  <c r="K214" i="1" s="1"/>
  <c r="W213" i="1"/>
  <c r="H248" i="1"/>
  <c r="H250" i="1" s="1"/>
  <c r="G249" i="1"/>
  <c r="AM284" i="1"/>
  <c r="AM286" i="1" s="1"/>
  <c r="U285" i="1"/>
  <c r="P319" i="1"/>
  <c r="P321" i="1" s="1"/>
  <c r="E320" i="1"/>
  <c r="AB320" i="1"/>
  <c r="B425" i="1"/>
  <c r="Q427" i="1"/>
  <c r="AU35" i="1"/>
  <c r="AU37" i="1" s="1"/>
  <c r="F37" i="1"/>
  <c r="L140" i="1"/>
  <c r="L141" i="1" s="1"/>
  <c r="L143" i="1" s="1"/>
  <c r="P141" i="1"/>
  <c r="P143" i="1" s="1"/>
  <c r="E142" i="1"/>
  <c r="AK177" i="1"/>
  <c r="AK179" i="1" s="1"/>
  <c r="AJ178" i="1"/>
  <c r="P212" i="1"/>
  <c r="P214" i="1" s="1"/>
  <c r="AI212" i="1"/>
  <c r="AI214" i="1" s="1"/>
  <c r="AY212" i="1"/>
  <c r="AY214" i="1" s="1"/>
  <c r="N248" i="1"/>
  <c r="N250" i="1" s="1"/>
  <c r="M249" i="1"/>
  <c r="V285" i="1"/>
  <c r="S319" i="1"/>
  <c r="S321" i="1" s="1"/>
  <c r="AV390" i="1"/>
  <c r="AV392" i="1" s="1"/>
  <c r="X426" i="1"/>
  <c r="X428" i="1" s="1"/>
  <c r="AQ71" i="1"/>
  <c r="AA142" i="1"/>
  <c r="AN284" i="1"/>
  <c r="AN286" i="1" s="1"/>
  <c r="AT2" i="1"/>
  <c r="L35" i="1"/>
  <c r="L37" i="1" s="1"/>
  <c r="AB36" i="1"/>
  <c r="AB38" i="1" s="1"/>
  <c r="AB39" i="1" s="1"/>
  <c r="AG69" i="1"/>
  <c r="AG70" i="1" s="1"/>
  <c r="AG72" i="1" s="1"/>
  <c r="AG73" i="1" s="1"/>
  <c r="K70" i="1"/>
  <c r="K72" i="1" s="1"/>
  <c r="G107" i="1"/>
  <c r="AU140" i="1"/>
  <c r="AU142" i="1" s="1"/>
  <c r="Q141" i="1"/>
  <c r="Q143" i="1" s="1"/>
  <c r="AJ141" i="1"/>
  <c r="AJ143" i="1" s="1"/>
  <c r="F142" i="1"/>
  <c r="AE142" i="1"/>
  <c r="AL177" i="1"/>
  <c r="AL179" i="1" s="1"/>
  <c r="P248" i="1"/>
  <c r="P250" i="1" s="1"/>
  <c r="W285" i="1"/>
  <c r="T319" i="1"/>
  <c r="T321" i="1" s="1"/>
  <c r="W390" i="1"/>
  <c r="W392" i="1" s="1"/>
  <c r="AX390" i="1"/>
  <c r="AX392" i="1" s="1"/>
  <c r="Z391" i="1"/>
  <c r="R427" i="1"/>
  <c r="F320" i="1"/>
  <c r="AP37" i="1"/>
  <c r="H106" i="1"/>
  <c r="H108" i="1" s="1"/>
  <c r="AL140" i="1"/>
  <c r="AL141" i="1" s="1"/>
  <c r="AL143" i="1" s="1"/>
  <c r="B211" i="1"/>
  <c r="B213" i="1" s="1"/>
  <c r="E213" i="1"/>
  <c r="R249" i="1"/>
  <c r="C319" i="1"/>
  <c r="C321" i="1" s="1"/>
  <c r="X390" i="1"/>
  <c r="X392" i="1" s="1"/>
  <c r="AQ426" i="1"/>
  <c r="AQ428" i="1" s="1"/>
  <c r="T427" i="1"/>
  <c r="AP427" i="1"/>
  <c r="AJ36" i="1"/>
  <c r="AJ38" i="1" s="1"/>
  <c r="AJ39" i="1" s="1"/>
  <c r="AH69" i="1"/>
  <c r="AH70" i="1" s="1"/>
  <c r="AH72" i="1" s="1"/>
  <c r="AH73" i="1" s="1"/>
  <c r="AP70" i="1"/>
  <c r="AP72" i="1" s="1"/>
  <c r="AP73" i="1" s="1"/>
  <c r="P71" i="1"/>
  <c r="AW105" i="1"/>
  <c r="AW107" i="1" s="1"/>
  <c r="I106" i="1"/>
  <c r="I108" i="1" s="1"/>
  <c r="AN141" i="1"/>
  <c r="AN143" i="1" s="1"/>
  <c r="AF142" i="1"/>
  <c r="R177" i="1"/>
  <c r="R179" i="1" s="1"/>
  <c r="AN177" i="1"/>
  <c r="AN179" i="1" s="1"/>
  <c r="AM212" i="1"/>
  <c r="AM214" i="1" s="1"/>
  <c r="F213" i="1"/>
  <c r="S249" i="1"/>
  <c r="C284" i="1"/>
  <c r="C286" i="1" s="1"/>
  <c r="D319" i="1"/>
  <c r="D321" i="1" s="1"/>
  <c r="E391" i="1"/>
  <c r="AR391" i="1"/>
  <c r="D426" i="1"/>
  <c r="D428" i="1" s="1"/>
  <c r="AS426" i="1"/>
  <c r="AS428" i="1" s="1"/>
  <c r="K248" i="1"/>
  <c r="K250" i="1" s="1"/>
  <c r="AK36" i="1"/>
  <c r="AK38" i="1" s="1"/>
  <c r="AK39" i="1" s="1"/>
  <c r="AW37" i="1"/>
  <c r="AU69" i="1"/>
  <c r="R70" i="1"/>
  <c r="R72" i="1" s="1"/>
  <c r="R73" i="1" s="1"/>
  <c r="R109" i="1" s="1"/>
  <c r="AD107" i="1"/>
  <c r="O142" i="1"/>
  <c r="E177" i="1"/>
  <c r="E179" i="1" s="1"/>
  <c r="S177" i="1"/>
  <c r="S179" i="1" s="1"/>
  <c r="T178" i="1"/>
  <c r="U249" i="1"/>
  <c r="B285" i="1"/>
  <c r="F391" i="1"/>
  <c r="AD391" i="1"/>
  <c r="AI426" i="1"/>
  <c r="AI428" i="1" s="1"/>
  <c r="AW69" i="1"/>
  <c r="AW70" i="1" s="1"/>
  <c r="AW72" i="1" s="1"/>
  <c r="AW73" i="1" s="1"/>
  <c r="AR70" i="1"/>
  <c r="AR72" i="1" s="1"/>
  <c r="N107" i="1"/>
  <c r="Y141" i="1"/>
  <c r="Y143" i="1" s="1"/>
  <c r="AP141" i="1"/>
  <c r="AP143" i="1" s="1"/>
  <c r="F177" i="1"/>
  <c r="F179" i="1" s="1"/>
  <c r="U177" i="1"/>
  <c r="U179" i="1" s="1"/>
  <c r="X212" i="1"/>
  <c r="X214" i="1" s="1"/>
  <c r="AH249" i="1"/>
  <c r="L284" i="1"/>
  <c r="L286" i="1" s="1"/>
  <c r="AS285" i="1"/>
  <c r="H319" i="1"/>
  <c r="H321" i="1" s="1"/>
  <c r="I391" i="1"/>
  <c r="AJ391" i="1"/>
  <c r="E427" i="1"/>
  <c r="AX36" i="1"/>
  <c r="AX38" i="1" s="1"/>
  <c r="AX39" i="1" s="1"/>
  <c r="AX37" i="1"/>
  <c r="AV70" i="1"/>
  <c r="AV72" i="1" s="1"/>
  <c r="AV71" i="1"/>
  <c r="Z73" i="1"/>
  <c r="Z109" i="1" s="1"/>
  <c r="AO73" i="1"/>
  <c r="AM71" i="1"/>
  <c r="AM70" i="1"/>
  <c r="AM72" i="1" s="1"/>
  <c r="AM73" i="1" s="1"/>
  <c r="U35" i="1"/>
  <c r="S71" i="1"/>
  <c r="S70" i="1"/>
  <c r="S72" i="1" s="1"/>
  <c r="S73" i="1" s="1"/>
  <c r="AR107" i="1"/>
  <c r="AR106" i="1"/>
  <c r="AR108" i="1" s="1"/>
  <c r="J107" i="1"/>
  <c r="J106" i="1"/>
  <c r="J108" i="1" s="1"/>
  <c r="AH107" i="1"/>
  <c r="AH106" i="1"/>
  <c r="AH108" i="1" s="1"/>
  <c r="AB105" i="1"/>
  <c r="T36" i="1"/>
  <c r="T38" i="1" s="1"/>
  <c r="T39" i="1" s="1"/>
  <c r="T73" i="1" s="1"/>
  <c r="T37" i="1"/>
  <c r="U105" i="1"/>
  <c r="X107" i="1"/>
  <c r="X106" i="1"/>
  <c r="X108" i="1" s="1"/>
  <c r="N36" i="1"/>
  <c r="N38" i="1" s="1"/>
  <c r="N39" i="1" s="1"/>
  <c r="S37" i="1"/>
  <c r="AL69" i="1"/>
  <c r="W71" i="1"/>
  <c r="AW177" i="1"/>
  <c r="AW179" i="1" s="1"/>
  <c r="AW178" i="1"/>
  <c r="AQ249" i="1"/>
  <c r="AB69" i="1"/>
  <c r="AN70" i="1"/>
  <c r="AN72" i="1" s="1"/>
  <c r="AN73" i="1" s="1"/>
  <c r="AN71" i="1"/>
  <c r="AL105" i="1"/>
  <c r="D178" i="1"/>
  <c r="D177" i="1"/>
  <c r="D179" i="1" s="1"/>
  <c r="P177" i="1"/>
  <c r="P179" i="1" s="1"/>
  <c r="P178" i="1"/>
  <c r="X177" i="1"/>
  <c r="X179" i="1" s="1"/>
  <c r="X178" i="1"/>
  <c r="AP178" i="1"/>
  <c r="AP177" i="1"/>
  <c r="AP179" i="1" s="1"/>
  <c r="AO177" i="1"/>
  <c r="AO179" i="1" s="1"/>
  <c r="AO178" i="1"/>
  <c r="AO37" i="1"/>
  <c r="AX70" i="1"/>
  <c r="AX72" i="1" s="1"/>
  <c r="AX71" i="1"/>
  <c r="Q178" i="1"/>
  <c r="Q177" i="1"/>
  <c r="Q179" i="1" s="1"/>
  <c r="Z178" i="1"/>
  <c r="Z177" i="1"/>
  <c r="Z179" i="1" s="1"/>
  <c r="W36" i="1"/>
  <c r="W38" i="1" s="1"/>
  <c r="W39" i="1" s="1"/>
  <c r="W73" i="1" s="1"/>
  <c r="G37" i="1"/>
  <c r="U69" i="1"/>
  <c r="D70" i="1"/>
  <c r="D72" i="1" s="1"/>
  <c r="D71" i="1"/>
  <c r="P107" i="1"/>
  <c r="P106" i="1"/>
  <c r="P108" i="1" s="1"/>
  <c r="AV107" i="1"/>
  <c r="AV106" i="1"/>
  <c r="AV108" i="1" s="1"/>
  <c r="AQ36" i="1"/>
  <c r="AQ38" i="1" s="1"/>
  <c r="AQ39" i="1" s="1"/>
  <c r="AQ73" i="1" s="1"/>
  <c r="AQ109" i="1" s="1"/>
  <c r="AQ144" i="1" s="1"/>
  <c r="I37" i="1"/>
  <c r="AG37" i="1"/>
  <c r="L105" i="1"/>
  <c r="C106" i="1"/>
  <c r="C108" i="1" s="1"/>
  <c r="C107" i="1"/>
  <c r="Q107" i="1"/>
  <c r="Q106" i="1"/>
  <c r="Q108" i="1" s="1"/>
  <c r="Y109" i="1"/>
  <c r="AI178" i="1"/>
  <c r="AY178" i="1"/>
  <c r="M69" i="1"/>
  <c r="AU212" i="1"/>
  <c r="AU214" i="1" s="1"/>
  <c r="AU213" i="1"/>
  <c r="M35" i="1"/>
  <c r="AR36" i="1"/>
  <c r="AR38" i="1" s="1"/>
  <c r="AR39" i="1" s="1"/>
  <c r="F70" i="1"/>
  <c r="F72" i="1" s="1"/>
  <c r="F73" i="1" s="1"/>
  <c r="F109" i="1" s="1"/>
  <c r="F144" i="1" s="1"/>
  <c r="F71" i="1"/>
  <c r="AY107" i="1"/>
  <c r="AY106" i="1"/>
  <c r="AY108" i="1" s="1"/>
  <c r="J141" i="1"/>
  <c r="J143" i="1" s="1"/>
  <c r="J142" i="1"/>
  <c r="T141" i="1"/>
  <c r="T143" i="1" s="1"/>
  <c r="T142" i="1"/>
  <c r="AM142" i="1"/>
  <c r="AB211" i="1"/>
  <c r="AO284" i="1"/>
  <c r="AO286" i="1" s="1"/>
  <c r="AO285" i="1"/>
  <c r="AX284" i="1"/>
  <c r="AX286" i="1" s="1"/>
  <c r="AX285" i="1"/>
  <c r="AH37" i="1"/>
  <c r="AY37" i="1"/>
  <c r="B105" i="1"/>
  <c r="D106" i="1"/>
  <c r="D108" i="1" s="1"/>
  <c r="K141" i="1"/>
  <c r="K143" i="1" s="1"/>
  <c r="K142" i="1"/>
  <c r="U140" i="1"/>
  <c r="AV142" i="1"/>
  <c r="AV141" i="1"/>
  <c r="AV143" i="1" s="1"/>
  <c r="AV212" i="1"/>
  <c r="AV214" i="1" s="1"/>
  <c r="AV213" i="1"/>
  <c r="AJ106" i="1"/>
  <c r="AJ108" i="1" s="1"/>
  <c r="AJ107" i="1"/>
  <c r="K36" i="1"/>
  <c r="K38" i="1" s="1"/>
  <c r="K39" i="1" s="1"/>
  <c r="AS36" i="1"/>
  <c r="AS38" i="1" s="1"/>
  <c r="AS39" i="1" s="1"/>
  <c r="H70" i="1"/>
  <c r="H72" i="1" s="1"/>
  <c r="V70" i="1"/>
  <c r="V72" i="1" s="1"/>
  <c r="M105" i="1"/>
  <c r="E106" i="1"/>
  <c r="E108" i="1" s="1"/>
  <c r="Z107" i="1"/>
  <c r="AW140" i="1"/>
  <c r="H213" i="1"/>
  <c r="H212" i="1"/>
  <c r="H214" i="1" s="1"/>
  <c r="AN213" i="1"/>
  <c r="AN212" i="1"/>
  <c r="AN214" i="1" s="1"/>
  <c r="H36" i="1"/>
  <c r="H38" i="1" s="1"/>
  <c r="H39" i="1" s="1"/>
  <c r="H37" i="1"/>
  <c r="B35" i="1"/>
  <c r="AI36" i="1"/>
  <c r="AI38" i="1" s="1"/>
  <c r="AI39" i="1" s="1"/>
  <c r="AI73" i="1" s="1"/>
  <c r="AI109" i="1" s="1"/>
  <c r="W106" i="1"/>
  <c r="W108" i="1" s="1"/>
  <c r="V142" i="1"/>
  <c r="V141" i="1"/>
  <c r="V143" i="1" s="1"/>
  <c r="AY141" i="1"/>
  <c r="AY143" i="1" s="1"/>
  <c r="AY142" i="1"/>
  <c r="R37" i="1"/>
  <c r="L69" i="1"/>
  <c r="B140" i="1"/>
  <c r="AS106" i="1"/>
  <c r="AS108" i="1" s="1"/>
  <c r="AS107" i="1"/>
  <c r="AU425" i="1"/>
  <c r="AU319" i="1"/>
  <c r="AU321" i="1" s="1"/>
  <c r="AU354" i="1"/>
  <c r="AU355" i="1" s="1"/>
  <c r="AU357" i="1" s="1"/>
  <c r="AU283" i="1"/>
  <c r="AU176" i="1"/>
  <c r="AU105" i="1"/>
  <c r="AU247" i="1"/>
  <c r="AU248" i="1" s="1"/>
  <c r="AU250" i="1" s="1"/>
  <c r="D142" i="1"/>
  <c r="D141" i="1"/>
  <c r="D143" i="1" s="1"/>
  <c r="AF249" i="1"/>
  <c r="AF248" i="1"/>
  <c r="AF250" i="1" s="1"/>
  <c r="L211" i="1"/>
  <c r="I248" i="1"/>
  <c r="I250" i="1" s="1"/>
  <c r="I249" i="1"/>
  <c r="T248" i="1"/>
  <c r="T250" i="1" s="1"/>
  <c r="T249" i="1"/>
  <c r="AB140" i="1"/>
  <c r="AH141" i="1"/>
  <c r="AH143" i="1" s="1"/>
  <c r="AR141" i="1"/>
  <c r="AR143" i="1" s="1"/>
  <c r="M211" i="1"/>
  <c r="J249" i="1"/>
  <c r="J248" i="1"/>
  <c r="J250" i="1" s="1"/>
  <c r="L177" i="1"/>
  <c r="L179" i="1" s="1"/>
  <c r="L178" i="1"/>
  <c r="AS178" i="1"/>
  <c r="AS177" i="1"/>
  <c r="AS179" i="1" s="1"/>
  <c r="U211" i="1"/>
  <c r="AC70" i="1"/>
  <c r="AC72" i="1" s="1"/>
  <c r="AC73" i="1" s="1"/>
  <c r="AC109" i="1" s="1"/>
  <c r="AX106" i="1"/>
  <c r="AX108" i="1" s="1"/>
  <c r="M178" i="1"/>
  <c r="M177" i="1"/>
  <c r="M179" i="1" s="1"/>
  <c r="AW211" i="1"/>
  <c r="AD70" i="1"/>
  <c r="AD72" i="1" s="1"/>
  <c r="AD73" i="1" s="1"/>
  <c r="AD109" i="1" s="1"/>
  <c r="R142" i="1"/>
  <c r="R141" i="1"/>
  <c r="R143" i="1" s="1"/>
  <c r="X141" i="1"/>
  <c r="X143" i="1" s="1"/>
  <c r="B177" i="1"/>
  <c r="B179" i="1" s="1"/>
  <c r="B178" i="1"/>
  <c r="N177" i="1"/>
  <c r="N179" i="1" s="1"/>
  <c r="N178" i="1"/>
  <c r="V177" i="1"/>
  <c r="V179" i="1" s="1"/>
  <c r="V178" i="1"/>
  <c r="AF177" i="1"/>
  <c r="AF179" i="1" s="1"/>
  <c r="AJ212" i="1"/>
  <c r="AJ214" i="1" s="1"/>
  <c r="AJ213" i="1"/>
  <c r="O249" i="1"/>
  <c r="O248" i="1"/>
  <c r="O250" i="1" s="1"/>
  <c r="W249" i="1"/>
  <c r="W248" i="1"/>
  <c r="W250" i="1" s="1"/>
  <c r="AJ249" i="1"/>
  <c r="AR249" i="1"/>
  <c r="D284" i="1"/>
  <c r="D286" i="1" s="1"/>
  <c r="D285" i="1"/>
  <c r="P284" i="1"/>
  <c r="P286" i="1" s="1"/>
  <c r="P285" i="1"/>
  <c r="X284" i="1"/>
  <c r="X286" i="1" s="1"/>
  <c r="X285" i="1"/>
  <c r="AI284" i="1"/>
  <c r="AI286" i="1" s="1"/>
  <c r="AI285" i="1"/>
  <c r="AP285" i="1"/>
  <c r="AP284" i="1"/>
  <c r="AP286" i="1" s="1"/>
  <c r="AY284" i="1"/>
  <c r="AY286" i="1" s="1"/>
  <c r="AY285" i="1"/>
  <c r="F356" i="1"/>
  <c r="AB356" i="1"/>
  <c r="AI249" i="1"/>
  <c r="AI248" i="1"/>
  <c r="AI250" i="1" s="1"/>
  <c r="E285" i="1"/>
  <c r="E284" i="1"/>
  <c r="E286" i="1" s="1"/>
  <c r="Q285" i="1"/>
  <c r="Q284" i="1"/>
  <c r="Q286" i="1" s="1"/>
  <c r="Z285" i="1"/>
  <c r="Z284" i="1"/>
  <c r="Z286" i="1" s="1"/>
  <c r="N212" i="1"/>
  <c r="N214" i="1" s="1"/>
  <c r="N213" i="1"/>
  <c r="AB249" i="1"/>
  <c r="AB248" i="1"/>
  <c r="AB250" i="1" s="1"/>
  <c r="I285" i="1"/>
  <c r="I284" i="1"/>
  <c r="I286" i="1" s="1"/>
  <c r="R284" i="1"/>
  <c r="R286" i="1" s="1"/>
  <c r="R285" i="1"/>
  <c r="AK249" i="1"/>
  <c r="AA356" i="1"/>
  <c r="AM249" i="1"/>
  <c r="AD178" i="1"/>
  <c r="AD177" i="1"/>
  <c r="AD179" i="1" s="1"/>
  <c r="AL247" i="1"/>
  <c r="AL248" i="1" s="1"/>
  <c r="AL250" i="1" s="1"/>
  <c r="AN249" i="1"/>
  <c r="AV249" i="1"/>
  <c r="AJ284" i="1"/>
  <c r="AJ286" i="1" s="1"/>
  <c r="AJ285" i="1"/>
  <c r="C356" i="1"/>
  <c r="W356" i="1"/>
  <c r="AH356" i="1"/>
  <c r="J356" i="1"/>
  <c r="G285" i="1"/>
  <c r="G284" i="1"/>
  <c r="G286" i="1" s="1"/>
  <c r="AD285" i="1"/>
  <c r="AD284" i="1"/>
  <c r="AD286" i="1" s="1"/>
  <c r="AB178" i="1"/>
  <c r="AG211" i="1"/>
  <c r="R212" i="1"/>
  <c r="R214" i="1" s="1"/>
  <c r="H285" i="1"/>
  <c r="H284" i="1"/>
  <c r="H286" i="1" s="1"/>
  <c r="AE285" i="1"/>
  <c r="AE284" i="1"/>
  <c r="AE286" i="1" s="1"/>
  <c r="AK285" i="1"/>
  <c r="AK284" i="1"/>
  <c r="AK286" i="1" s="1"/>
  <c r="AQ285" i="1"/>
  <c r="AQ284" i="1"/>
  <c r="AQ286" i="1" s="1"/>
  <c r="I213" i="1"/>
  <c r="I212" i="1"/>
  <c r="I214" i="1" s="1"/>
  <c r="AC213" i="1"/>
  <c r="B247" i="1"/>
  <c r="Q248" i="1"/>
  <c r="Q250" i="1" s="1"/>
  <c r="Q249" i="1"/>
  <c r="Z248" i="1"/>
  <c r="Z250" i="1" s="1"/>
  <c r="Z249" i="1"/>
  <c r="C248" i="1"/>
  <c r="C250" i="1" s="1"/>
  <c r="L320" i="1"/>
  <c r="L319" i="1"/>
  <c r="L321" i="1" s="1"/>
  <c r="U320" i="1"/>
  <c r="U319" i="1"/>
  <c r="U321" i="1" s="1"/>
  <c r="H356" i="1"/>
  <c r="AE356" i="1"/>
  <c r="AK213" i="1"/>
  <c r="AK212" i="1"/>
  <c r="AK214" i="1" s="1"/>
  <c r="AR212" i="1"/>
  <c r="AR214" i="1" s="1"/>
  <c r="AR213" i="1"/>
  <c r="L247" i="1"/>
  <c r="D249" i="1"/>
  <c r="D248" i="1"/>
  <c r="D250" i="1" s="1"/>
  <c r="AW284" i="1"/>
  <c r="AW286" i="1" s="1"/>
  <c r="K390" i="1"/>
  <c r="K392" i="1" s="1"/>
  <c r="K391" i="1"/>
  <c r="U390" i="1"/>
  <c r="U392" i="1" s="1"/>
  <c r="AI390" i="1"/>
  <c r="AI392" i="1" s="1"/>
  <c r="AI391" i="1"/>
  <c r="AL211" i="1"/>
  <c r="J212" i="1"/>
  <c r="J214" i="1" s="1"/>
  <c r="E249" i="1"/>
  <c r="AV285" i="1"/>
  <c r="AV284" i="1"/>
  <c r="AV286" i="1" s="1"/>
  <c r="F285" i="1"/>
  <c r="F284" i="1"/>
  <c r="F286" i="1" s="1"/>
  <c r="L356" i="1"/>
  <c r="AJ356" i="1"/>
  <c r="AE423" i="1"/>
  <c r="AH425" i="1"/>
  <c r="Q213" i="1"/>
  <c r="Q212" i="1"/>
  <c r="Q214" i="1" s="1"/>
  <c r="Y213" i="1"/>
  <c r="Y212" i="1"/>
  <c r="Y214" i="1" s="1"/>
  <c r="F248" i="1"/>
  <c r="F250" i="1" s="1"/>
  <c r="F249" i="1"/>
  <c r="AR285" i="1"/>
  <c r="AR284" i="1"/>
  <c r="AR286" i="1" s="1"/>
  <c r="K284" i="1"/>
  <c r="K286" i="1" s="1"/>
  <c r="AB284" i="1"/>
  <c r="AB286" i="1" s="1"/>
  <c r="G320" i="1"/>
  <c r="G319" i="1"/>
  <c r="G321" i="1" s="1"/>
  <c r="AA320" i="1"/>
  <c r="AA319" i="1"/>
  <c r="AA321" i="1" s="1"/>
  <c r="AI319" i="1"/>
  <c r="AI321" i="1" s="1"/>
  <c r="AI320" i="1"/>
  <c r="G356" i="1"/>
  <c r="AQ356" i="1"/>
  <c r="Z319" i="1"/>
  <c r="Z321" i="1" s="1"/>
  <c r="Z320" i="1"/>
  <c r="AH319" i="1"/>
  <c r="AH321" i="1" s="1"/>
  <c r="AH320" i="1"/>
  <c r="I427" i="1"/>
  <c r="I426" i="1"/>
  <c r="I428" i="1" s="1"/>
  <c r="S426" i="1"/>
  <c r="S428" i="1" s="1"/>
  <c r="S427" i="1"/>
  <c r="AM391" i="1"/>
  <c r="AM390" i="1"/>
  <c r="AM392" i="1" s="1"/>
  <c r="AT391" i="1"/>
  <c r="AT390" i="1"/>
  <c r="AT392" i="1" s="1"/>
  <c r="AW356" i="1"/>
  <c r="R319" i="1"/>
  <c r="R321" i="1" s="1"/>
  <c r="R320" i="1"/>
  <c r="AC319" i="1"/>
  <c r="AC321" i="1" s="1"/>
  <c r="AC320" i="1"/>
  <c r="AN356" i="1"/>
  <c r="AD356" i="1"/>
  <c r="AS356" i="1"/>
  <c r="B356" i="1"/>
  <c r="U356" i="1"/>
  <c r="B319" i="1"/>
  <c r="B321" i="1" s="1"/>
  <c r="B320" i="1"/>
  <c r="AF319" i="1"/>
  <c r="AF321" i="1" s="1"/>
  <c r="AF320" i="1"/>
  <c r="B390" i="1"/>
  <c r="B392" i="1" s="1"/>
  <c r="B391" i="1"/>
  <c r="N320" i="1"/>
  <c r="S356" i="1"/>
  <c r="AG389" i="1"/>
  <c r="Q356" i="1"/>
  <c r="X319" i="1"/>
  <c r="X321" i="1" s="1"/>
  <c r="AH389" i="1"/>
  <c r="O319" i="1"/>
  <c r="O321" i="1" s="1"/>
  <c r="M389" i="1"/>
  <c r="AX356" i="1"/>
  <c r="H391" i="1"/>
  <c r="H390" i="1"/>
  <c r="H392" i="1" s="1"/>
  <c r="C427" i="1"/>
  <c r="C426" i="1"/>
  <c r="C428" i="1" s="1"/>
  <c r="Z427" i="1"/>
  <c r="Z428" i="1" s="1"/>
  <c r="Z426" i="1"/>
  <c r="X356" i="1"/>
  <c r="S390" i="1"/>
  <c r="S392" i="1" s="1"/>
  <c r="S391" i="1"/>
  <c r="AW389" i="1"/>
  <c r="P427" i="1"/>
  <c r="E356" i="1"/>
  <c r="AC356" i="1"/>
  <c r="T390" i="1"/>
  <c r="T392" i="1" s="1"/>
  <c r="T391" i="1"/>
  <c r="L425" i="1"/>
  <c r="AX426" i="1"/>
  <c r="AX428" i="1" s="1"/>
  <c r="C391" i="1"/>
  <c r="C390" i="1"/>
  <c r="C392" i="1" s="1"/>
  <c r="AR426" i="1"/>
  <c r="AR428" i="1" s="1"/>
  <c r="AR427" i="1"/>
  <c r="AW425" i="1"/>
  <c r="AF427" i="1"/>
  <c r="AF428" i="1" s="1"/>
  <c r="AF426" i="1"/>
  <c r="J426" i="1"/>
  <c r="J428" i="1" s="1"/>
  <c r="AB389" i="1"/>
  <c r="AM356" i="1"/>
  <c r="I356" i="1"/>
  <c r="T356" i="1"/>
  <c r="AR356" i="1"/>
  <c r="AS391" i="1"/>
  <c r="AS390" i="1"/>
  <c r="AS392" i="1" s="1"/>
  <c r="AL389" i="1"/>
  <c r="P391" i="1"/>
  <c r="P390" i="1"/>
  <c r="P392" i="1" s="1"/>
  <c r="D390" i="1"/>
  <c r="D392" i="1" s="1"/>
  <c r="AF391" i="1"/>
  <c r="N426" i="1"/>
  <c r="N428" i="1" s="1"/>
  <c r="O426" i="1"/>
  <c r="O428" i="1" s="1"/>
  <c r="AV427" i="1"/>
  <c r="AE389" i="1"/>
  <c r="AU390" i="1"/>
  <c r="AU392" i="1" s="1"/>
  <c r="AG427" i="1"/>
  <c r="AG428" i="1" s="1"/>
  <c r="AG426" i="1"/>
  <c r="AN109" i="1" l="1"/>
  <c r="O180" i="1"/>
  <c r="AX73" i="1"/>
  <c r="AB426" i="1"/>
  <c r="L391" i="1"/>
  <c r="L36" i="1"/>
  <c r="L38" i="1" s="1"/>
  <c r="L39" i="1" s="1"/>
  <c r="AT69" i="1"/>
  <c r="AT71" i="1" s="1"/>
  <c r="AT247" i="1"/>
  <c r="AT248" i="1" s="1"/>
  <c r="AT250" i="1" s="1"/>
  <c r="AT249" i="1" s="1"/>
  <c r="O215" i="1"/>
  <c r="AT35" i="1"/>
  <c r="AT36" i="1" s="1"/>
  <c r="AT38" i="1" s="1"/>
  <c r="AT39" i="1" s="1"/>
  <c r="AU141" i="1"/>
  <c r="AU143" i="1" s="1"/>
  <c r="AT140" i="1"/>
  <c r="AT141" i="1" s="1"/>
  <c r="AT143" i="1" s="1"/>
  <c r="AT319" i="1"/>
  <c r="AT321" i="1" s="1"/>
  <c r="AG249" i="1"/>
  <c r="AG106" i="1"/>
  <c r="AG108" i="1" s="1"/>
  <c r="AG109" i="1" s="1"/>
  <c r="AJ73" i="1"/>
  <c r="AJ109" i="1" s="1"/>
  <c r="AJ144" i="1" s="1"/>
  <c r="AJ180" i="1" s="1"/>
  <c r="AJ215" i="1" s="1"/>
  <c r="AJ251" i="1" s="1"/>
  <c r="AJ287" i="1" s="1"/>
  <c r="AJ322" i="1" s="1"/>
  <c r="AJ358" i="1" s="1"/>
  <c r="AJ393" i="1" s="1"/>
  <c r="AJ429" i="1" s="1"/>
  <c r="U427" i="1"/>
  <c r="L142" i="1"/>
  <c r="S109" i="1"/>
  <c r="S144" i="1" s="1"/>
  <c r="S180" i="1" s="1"/>
  <c r="S215" i="1" s="1"/>
  <c r="S251" i="1" s="1"/>
  <c r="S287" i="1" s="1"/>
  <c r="S322" i="1" s="1"/>
  <c r="S358" i="1" s="1"/>
  <c r="S393" i="1" s="1"/>
  <c r="S429" i="1" s="1"/>
  <c r="V73" i="1"/>
  <c r="V109" i="1" s="1"/>
  <c r="V144" i="1" s="1"/>
  <c r="V180" i="1" s="1"/>
  <c r="V215" i="1" s="1"/>
  <c r="V251" i="1" s="1"/>
  <c r="V287" i="1" s="1"/>
  <c r="V322" i="1" s="1"/>
  <c r="V358" i="1" s="1"/>
  <c r="V393" i="1" s="1"/>
  <c r="V429" i="1" s="1"/>
  <c r="AI144" i="1"/>
  <c r="AI180" i="1" s="1"/>
  <c r="AI215" i="1" s="1"/>
  <c r="AI251" i="1" s="1"/>
  <c r="AI287" i="1" s="1"/>
  <c r="AI322" i="1" s="1"/>
  <c r="AI358" i="1" s="1"/>
  <c r="AI393" i="1" s="1"/>
  <c r="AI429" i="1" s="1"/>
  <c r="J73" i="1"/>
  <c r="J109" i="1" s="1"/>
  <c r="J144" i="1" s="1"/>
  <c r="J180" i="1" s="1"/>
  <c r="J215" i="1" s="1"/>
  <c r="J251" i="1" s="1"/>
  <c r="J287" i="1" s="1"/>
  <c r="J322" i="1" s="1"/>
  <c r="J358" i="1" s="1"/>
  <c r="J393" i="1" s="1"/>
  <c r="J429" i="1" s="1"/>
  <c r="G144" i="1"/>
  <c r="G180" i="1" s="1"/>
  <c r="G215" i="1" s="1"/>
  <c r="G251" i="1" s="1"/>
  <c r="G287" i="1" s="1"/>
  <c r="G322" i="1" s="1"/>
  <c r="G358" i="1" s="1"/>
  <c r="G393" i="1" s="1"/>
  <c r="G429" i="1" s="1"/>
  <c r="AQ180" i="1"/>
  <c r="AQ215" i="1" s="1"/>
  <c r="AQ251" i="1" s="1"/>
  <c r="AQ287" i="1" s="1"/>
  <c r="AQ322" i="1" s="1"/>
  <c r="AQ358" i="1" s="1"/>
  <c r="AQ393" i="1" s="1"/>
  <c r="AQ429" i="1" s="1"/>
  <c r="M141" i="1"/>
  <c r="M143" i="1" s="1"/>
  <c r="E109" i="1"/>
  <c r="E144" i="1" s="1"/>
  <c r="E180" i="1" s="1"/>
  <c r="E215" i="1" s="1"/>
  <c r="E251" i="1" s="1"/>
  <c r="E287" i="1" s="1"/>
  <c r="E322" i="1" s="1"/>
  <c r="E358" i="1" s="1"/>
  <c r="E393" i="1" s="1"/>
  <c r="E429" i="1" s="1"/>
  <c r="C109" i="1"/>
  <c r="C144" i="1" s="1"/>
  <c r="C180" i="1" s="1"/>
  <c r="C215" i="1" s="1"/>
  <c r="C251" i="1" s="1"/>
  <c r="C287" i="1" s="1"/>
  <c r="C322" i="1" s="1"/>
  <c r="C358" i="1" s="1"/>
  <c r="C393" i="1" s="1"/>
  <c r="C429" i="1" s="1"/>
  <c r="P109" i="1"/>
  <c r="P144" i="1" s="1"/>
  <c r="P180" i="1" s="1"/>
  <c r="P215" i="1" s="1"/>
  <c r="P251" i="1" s="1"/>
  <c r="P287" i="1" s="1"/>
  <c r="P322" i="1" s="1"/>
  <c r="P358" i="1" s="1"/>
  <c r="P393" i="1" s="1"/>
  <c r="P429" i="1" s="1"/>
  <c r="I109" i="1"/>
  <c r="I144" i="1" s="1"/>
  <c r="I180" i="1" s="1"/>
  <c r="I215" i="1" s="1"/>
  <c r="I251" i="1" s="1"/>
  <c r="I287" i="1" s="1"/>
  <c r="I322" i="1" s="1"/>
  <c r="I358" i="1" s="1"/>
  <c r="I393" i="1" s="1"/>
  <c r="I429" i="1" s="1"/>
  <c r="AL426" i="1"/>
  <c r="AL428" i="1" s="1"/>
  <c r="AD144" i="1"/>
  <c r="AD180" i="1" s="1"/>
  <c r="AD215" i="1" s="1"/>
  <c r="AD251" i="1" s="1"/>
  <c r="AD287" i="1" s="1"/>
  <c r="AD322" i="1" s="1"/>
  <c r="AD358" i="1" s="1"/>
  <c r="AD393" i="1" s="1"/>
  <c r="AD429" i="1" s="1"/>
  <c r="AS73" i="1"/>
  <c r="AS109" i="1" s="1"/>
  <c r="AS144" i="1" s="1"/>
  <c r="AS180" i="1" s="1"/>
  <c r="AS215" i="1" s="1"/>
  <c r="AS251" i="1" s="1"/>
  <c r="AS287" i="1" s="1"/>
  <c r="AS322" i="1" s="1"/>
  <c r="AS358" i="1" s="1"/>
  <c r="AS393" i="1" s="1"/>
  <c r="AS429" i="1" s="1"/>
  <c r="N73" i="1"/>
  <c r="N109" i="1" s="1"/>
  <c r="N144" i="1" s="1"/>
  <c r="N180" i="1" s="1"/>
  <c r="N215" i="1" s="1"/>
  <c r="N251" i="1" s="1"/>
  <c r="N287" i="1" s="1"/>
  <c r="N322" i="1" s="1"/>
  <c r="N358" i="1" s="1"/>
  <c r="N393" i="1" s="1"/>
  <c r="N429" i="1" s="1"/>
  <c r="K73" i="1"/>
  <c r="K109" i="1" s="1"/>
  <c r="K144" i="1" s="1"/>
  <c r="K180" i="1" s="1"/>
  <c r="K215" i="1" s="1"/>
  <c r="K251" i="1" s="1"/>
  <c r="K287" i="1" s="1"/>
  <c r="K322" i="1" s="1"/>
  <c r="K358" i="1" s="1"/>
  <c r="K393" i="1" s="1"/>
  <c r="K429" i="1" s="1"/>
  <c r="AN144" i="1"/>
  <c r="AN180" i="1" s="1"/>
  <c r="AN215" i="1" s="1"/>
  <c r="AN251" i="1" s="1"/>
  <c r="AN287" i="1" s="1"/>
  <c r="AN322" i="1" s="1"/>
  <c r="AN358" i="1" s="1"/>
  <c r="AN393" i="1" s="1"/>
  <c r="AN429" i="1" s="1"/>
  <c r="AG71" i="1"/>
  <c r="AT425" i="1"/>
  <c r="AT427" i="1" s="1"/>
  <c r="AE73" i="1"/>
  <c r="AE109" i="1" s="1"/>
  <c r="AE144" i="1" s="1"/>
  <c r="AE180" i="1" s="1"/>
  <c r="AE215" i="1" s="1"/>
  <c r="AE251" i="1" s="1"/>
  <c r="AE287" i="1" s="1"/>
  <c r="AE322" i="1" s="1"/>
  <c r="AE358" i="1" s="1"/>
  <c r="AO109" i="1"/>
  <c r="AO144" i="1" s="1"/>
  <c r="AO180" i="1" s="1"/>
  <c r="AO215" i="1" s="1"/>
  <c r="AO251" i="1" s="1"/>
  <c r="AO287" i="1" s="1"/>
  <c r="AO322" i="1" s="1"/>
  <c r="AO358" i="1" s="1"/>
  <c r="AO393" i="1" s="1"/>
  <c r="AO429" i="1" s="1"/>
  <c r="AK73" i="1"/>
  <c r="AM109" i="1"/>
  <c r="AM144" i="1" s="1"/>
  <c r="AM180" i="1" s="1"/>
  <c r="AM215" i="1" s="1"/>
  <c r="AM251" i="1" s="1"/>
  <c r="AM287" i="1" s="1"/>
  <c r="AM322" i="1" s="1"/>
  <c r="AM358" i="1" s="1"/>
  <c r="AM393" i="1" s="1"/>
  <c r="AM429" i="1" s="1"/>
  <c r="AT283" i="1"/>
  <c r="AT285" i="1" s="1"/>
  <c r="AT176" i="1"/>
  <c r="AT178" i="1" s="1"/>
  <c r="AT354" i="1"/>
  <c r="AT355" i="1" s="1"/>
  <c r="AT357" i="1" s="1"/>
  <c r="AG141" i="1"/>
  <c r="AG143" i="1" s="1"/>
  <c r="F180" i="1"/>
  <c r="F215" i="1" s="1"/>
  <c r="F251" i="1" s="1"/>
  <c r="F287" i="1" s="1"/>
  <c r="F322" i="1" s="1"/>
  <c r="F358" i="1" s="1"/>
  <c r="F393" i="1" s="1"/>
  <c r="F429" i="1" s="1"/>
  <c r="Z144" i="1"/>
  <c r="Z180" i="1" s="1"/>
  <c r="Z215" i="1" s="1"/>
  <c r="Z251" i="1" s="1"/>
  <c r="Z287" i="1" s="1"/>
  <c r="Z322" i="1" s="1"/>
  <c r="Z358" i="1" s="1"/>
  <c r="Z393" i="1" s="1"/>
  <c r="Z429" i="1" s="1"/>
  <c r="AT105" i="1"/>
  <c r="AT107" i="1" s="1"/>
  <c r="AT211" i="1"/>
  <c r="AT212" i="1" s="1"/>
  <c r="AT214" i="1" s="1"/>
  <c r="AP109" i="1"/>
  <c r="AP144" i="1" s="1"/>
  <c r="AP180" i="1" s="1"/>
  <c r="AP215" i="1" s="1"/>
  <c r="AP251" i="1" s="1"/>
  <c r="AP287" i="1" s="1"/>
  <c r="AP322" i="1" s="1"/>
  <c r="AP358" i="1" s="1"/>
  <c r="AP393" i="1" s="1"/>
  <c r="AP429" i="1" s="1"/>
  <c r="AC144" i="1"/>
  <c r="AC180" i="1" s="1"/>
  <c r="AC215" i="1" s="1"/>
  <c r="AC251" i="1" s="1"/>
  <c r="AC287" i="1" s="1"/>
  <c r="AC322" i="1" s="1"/>
  <c r="AC358" i="1" s="1"/>
  <c r="AH71" i="1"/>
  <c r="AW71" i="1"/>
  <c r="R144" i="1"/>
  <c r="R180" i="1" s="1"/>
  <c r="R215" i="1" s="1"/>
  <c r="R251" i="1" s="1"/>
  <c r="R287" i="1" s="1"/>
  <c r="R322" i="1" s="1"/>
  <c r="R358" i="1" s="1"/>
  <c r="R393" i="1" s="1"/>
  <c r="R429" i="1" s="1"/>
  <c r="Y144" i="1"/>
  <c r="Y180" i="1" s="1"/>
  <c r="Y215" i="1" s="1"/>
  <c r="Y251" i="1" s="1"/>
  <c r="Y287" i="1" s="1"/>
  <c r="Y322" i="1" s="1"/>
  <c r="Y358" i="1" s="1"/>
  <c r="B212" i="1"/>
  <c r="B214" i="1" s="1"/>
  <c r="AK109" i="1"/>
  <c r="AK144" i="1" s="1"/>
  <c r="AK180" i="1" s="1"/>
  <c r="AK215" i="1" s="1"/>
  <c r="AK251" i="1" s="1"/>
  <c r="AK287" i="1" s="1"/>
  <c r="AK322" i="1" s="1"/>
  <c r="AK358" i="1" s="1"/>
  <c r="AK393" i="1" s="1"/>
  <c r="AK429" i="1" s="1"/>
  <c r="AW106" i="1"/>
  <c r="AW108" i="1" s="1"/>
  <c r="AW109" i="1" s="1"/>
  <c r="AR73" i="1"/>
  <c r="AR109" i="1" s="1"/>
  <c r="AR144" i="1" s="1"/>
  <c r="AR180" i="1" s="1"/>
  <c r="AR215" i="1" s="1"/>
  <c r="AR251" i="1" s="1"/>
  <c r="AR287" i="1" s="1"/>
  <c r="AR322" i="1" s="1"/>
  <c r="AR358" i="1" s="1"/>
  <c r="AR393" i="1" s="1"/>
  <c r="AR429" i="1" s="1"/>
  <c r="AL142" i="1"/>
  <c r="AV73" i="1"/>
  <c r="AV109" i="1" s="1"/>
  <c r="AV144" i="1" s="1"/>
  <c r="AV180" i="1" s="1"/>
  <c r="AV215" i="1" s="1"/>
  <c r="AV251" i="1" s="1"/>
  <c r="AV287" i="1" s="1"/>
  <c r="AV322" i="1" s="1"/>
  <c r="AV358" i="1" s="1"/>
  <c r="AV393" i="1" s="1"/>
  <c r="AV429" i="1" s="1"/>
  <c r="X109" i="1"/>
  <c r="X144" i="1" s="1"/>
  <c r="X180" i="1" s="1"/>
  <c r="X215" i="1" s="1"/>
  <c r="X251" i="1" s="1"/>
  <c r="X287" i="1" s="1"/>
  <c r="X322" i="1" s="1"/>
  <c r="X358" i="1" s="1"/>
  <c r="X393" i="1" s="1"/>
  <c r="X429" i="1" s="1"/>
  <c r="AX109" i="1"/>
  <c r="AX144" i="1" s="1"/>
  <c r="AX180" i="1" s="1"/>
  <c r="AX215" i="1" s="1"/>
  <c r="AX251" i="1" s="1"/>
  <c r="AX287" i="1" s="1"/>
  <c r="AX322" i="1" s="1"/>
  <c r="AX358" i="1" s="1"/>
  <c r="AX393" i="1" s="1"/>
  <c r="AX429" i="1" s="1"/>
  <c r="AU70" i="1"/>
  <c r="AU72" i="1" s="1"/>
  <c r="AU71" i="1"/>
  <c r="B427" i="1"/>
  <c r="B426" i="1"/>
  <c r="B428" i="1" s="1"/>
  <c r="AE425" i="1"/>
  <c r="AE426" i="1" s="1"/>
  <c r="AU36" i="1"/>
  <c r="AU38" i="1" s="1"/>
  <c r="AU39" i="1" s="1"/>
  <c r="T109" i="1"/>
  <c r="T144" i="1" s="1"/>
  <c r="T180" i="1" s="1"/>
  <c r="T215" i="1" s="1"/>
  <c r="T251" i="1" s="1"/>
  <c r="T287" i="1" s="1"/>
  <c r="T322" i="1" s="1"/>
  <c r="T358" i="1" s="1"/>
  <c r="T393" i="1" s="1"/>
  <c r="T429" i="1" s="1"/>
  <c r="H73" i="1"/>
  <c r="H109" i="1" s="1"/>
  <c r="H144" i="1" s="1"/>
  <c r="H180" i="1" s="1"/>
  <c r="H215" i="1" s="1"/>
  <c r="H251" i="1" s="1"/>
  <c r="H287" i="1" s="1"/>
  <c r="H322" i="1" s="1"/>
  <c r="H358" i="1" s="1"/>
  <c r="H393" i="1" s="1"/>
  <c r="H429" i="1" s="1"/>
  <c r="L426" i="1"/>
  <c r="L428" i="1" s="1"/>
  <c r="L427" i="1"/>
  <c r="AH426" i="1"/>
  <c r="AH427" i="1"/>
  <c r="AH428" i="1" s="1"/>
  <c r="AL249" i="1"/>
  <c r="AU356" i="1"/>
  <c r="O251" i="1"/>
  <c r="O287" i="1" s="1"/>
  <c r="O322" i="1" s="1"/>
  <c r="O358" i="1" s="1"/>
  <c r="O393" i="1" s="1"/>
  <c r="O429" i="1" s="1"/>
  <c r="W109" i="1"/>
  <c r="W144" i="1" s="1"/>
  <c r="W180" i="1" s="1"/>
  <c r="W215" i="1" s="1"/>
  <c r="W251" i="1" s="1"/>
  <c r="W287" i="1" s="1"/>
  <c r="W322" i="1" s="1"/>
  <c r="W358" i="1" s="1"/>
  <c r="W393" i="1" s="1"/>
  <c r="W429" i="1" s="1"/>
  <c r="B106" i="1"/>
  <c r="B108" i="1" s="1"/>
  <c r="B107" i="1"/>
  <c r="AH109" i="1"/>
  <c r="AH144" i="1" s="1"/>
  <c r="AH180" i="1" s="1"/>
  <c r="AH215" i="1" s="1"/>
  <c r="AH251" i="1" s="1"/>
  <c r="AH287" i="1" s="1"/>
  <c r="AH322" i="1" s="1"/>
  <c r="AH358" i="1" s="1"/>
  <c r="AB390" i="1"/>
  <c r="AB392" i="1" s="1"/>
  <c r="AB391" i="1"/>
  <c r="AA322" i="1"/>
  <c r="AA358" i="1" s="1"/>
  <c r="B249" i="1"/>
  <c r="B248" i="1"/>
  <c r="B250" i="1" s="1"/>
  <c r="AU427" i="1"/>
  <c r="AU426" i="1"/>
  <c r="AU428" i="1" s="1"/>
  <c r="B142" i="1"/>
  <c r="B141" i="1"/>
  <c r="B143" i="1" s="1"/>
  <c r="U141" i="1"/>
  <c r="U143" i="1" s="1"/>
  <c r="U142" i="1"/>
  <c r="AY109" i="1"/>
  <c r="AY144" i="1" s="1"/>
  <c r="AY180" i="1" s="1"/>
  <c r="AY215" i="1" s="1"/>
  <c r="AY251" i="1" s="1"/>
  <c r="AY287" i="1" s="1"/>
  <c r="AY322" i="1" s="1"/>
  <c r="AY358" i="1" s="1"/>
  <c r="AY393" i="1" s="1"/>
  <c r="AY429" i="1" s="1"/>
  <c r="AL70" i="1"/>
  <c r="AL72" i="1" s="1"/>
  <c r="AL73" i="1" s="1"/>
  <c r="AL71" i="1"/>
  <c r="AL390" i="1"/>
  <c r="AL392" i="1" s="1"/>
  <c r="AL391" i="1"/>
  <c r="AB70" i="1"/>
  <c r="AB72" i="1" s="1"/>
  <c r="AB73" i="1" s="1"/>
  <c r="AB71" i="1"/>
  <c r="AG391" i="1"/>
  <c r="AG390" i="1"/>
  <c r="AG392" i="1" s="1"/>
  <c r="M212" i="1"/>
  <c r="M214" i="1" s="1"/>
  <c r="M213" i="1"/>
  <c r="M37" i="1"/>
  <c r="M36" i="1"/>
  <c r="M38" i="1" s="1"/>
  <c r="M39" i="1" s="1"/>
  <c r="D73" i="1"/>
  <c r="D109" i="1" s="1"/>
  <c r="D144" i="1" s="1"/>
  <c r="D180" i="1" s="1"/>
  <c r="D215" i="1" s="1"/>
  <c r="D251" i="1" s="1"/>
  <c r="D287" i="1" s="1"/>
  <c r="D322" i="1" s="1"/>
  <c r="D358" i="1" s="1"/>
  <c r="D393" i="1" s="1"/>
  <c r="D429" i="1" s="1"/>
  <c r="U36" i="1"/>
  <c r="U38" i="1" s="1"/>
  <c r="U39" i="1" s="1"/>
  <c r="U37" i="1"/>
  <c r="AE391" i="1"/>
  <c r="AE390" i="1"/>
  <c r="AE392" i="1" s="1"/>
  <c r="M391" i="1"/>
  <c r="M390" i="1"/>
  <c r="M392" i="1" s="1"/>
  <c r="B36" i="1"/>
  <c r="B38" i="1" s="1"/>
  <c r="B37" i="1"/>
  <c r="M107" i="1"/>
  <c r="M106" i="1"/>
  <c r="M108" i="1" s="1"/>
  <c r="AL212" i="1"/>
  <c r="AL214" i="1" s="1"/>
  <c r="AL213" i="1"/>
  <c r="AB142" i="1"/>
  <c r="AB141" i="1"/>
  <c r="AB143" i="1" s="1"/>
  <c r="L213" i="1"/>
  <c r="L212" i="1"/>
  <c r="L214" i="1" s="1"/>
  <c r="AU249" i="1"/>
  <c r="L249" i="1"/>
  <c r="L248" i="1"/>
  <c r="L250" i="1" s="1"/>
  <c r="AW426" i="1"/>
  <c r="AW428" i="1" s="1"/>
  <c r="AW427" i="1"/>
  <c r="AW390" i="1"/>
  <c r="AW391" i="1"/>
  <c r="AW392" i="1" s="1"/>
  <c r="AW213" i="1"/>
  <c r="AW212" i="1"/>
  <c r="AW214" i="1" s="1"/>
  <c r="AU106" i="1"/>
  <c r="AU108" i="1" s="1"/>
  <c r="AU107" i="1"/>
  <c r="AW142" i="1"/>
  <c r="AW141" i="1"/>
  <c r="AW143" i="1" s="1"/>
  <c r="AB212" i="1"/>
  <c r="AB214" i="1" s="1"/>
  <c r="AB213" i="1"/>
  <c r="L107" i="1"/>
  <c r="L106" i="1"/>
  <c r="L108" i="1" s="1"/>
  <c r="U213" i="1"/>
  <c r="U212" i="1"/>
  <c r="U214" i="1" s="1"/>
  <c r="L71" i="1"/>
  <c r="L70" i="1"/>
  <c r="L72" i="1" s="1"/>
  <c r="L73" i="1" s="1"/>
  <c r="AF180" i="1"/>
  <c r="AF215" i="1" s="1"/>
  <c r="AF251" i="1" s="1"/>
  <c r="AF287" i="1" s="1"/>
  <c r="AF322" i="1" s="1"/>
  <c r="AF358" i="1" s="1"/>
  <c r="AF393" i="1" s="1"/>
  <c r="AF429" i="1" s="1"/>
  <c r="AU177" i="1"/>
  <c r="AU179" i="1" s="1"/>
  <c r="AU178" i="1"/>
  <c r="M70" i="1"/>
  <c r="M72" i="1" s="1"/>
  <c r="M71" i="1"/>
  <c r="Q109" i="1"/>
  <c r="Q144" i="1" s="1"/>
  <c r="Q180" i="1" s="1"/>
  <c r="Q215" i="1" s="1"/>
  <c r="Q251" i="1" s="1"/>
  <c r="Q287" i="1" s="1"/>
  <c r="Q322" i="1" s="1"/>
  <c r="Q358" i="1" s="1"/>
  <c r="Q393" i="1" s="1"/>
  <c r="Q429" i="1" s="1"/>
  <c r="U71" i="1"/>
  <c r="U70" i="1"/>
  <c r="U72" i="1" s="1"/>
  <c r="AL106" i="1"/>
  <c r="AL108" i="1" s="1"/>
  <c r="AL107" i="1"/>
  <c r="AH391" i="1"/>
  <c r="AH390" i="1"/>
  <c r="AH392" i="1" s="1"/>
  <c r="AB106" i="1"/>
  <c r="AB108" i="1" s="1"/>
  <c r="AB107" i="1"/>
  <c r="AG213" i="1"/>
  <c r="AG212" i="1"/>
  <c r="AG214" i="1" s="1"/>
  <c r="AU285" i="1"/>
  <c r="AU284" i="1"/>
  <c r="AU286" i="1" s="1"/>
  <c r="U107" i="1"/>
  <c r="U106" i="1"/>
  <c r="U108" i="1" s="1"/>
  <c r="AT37" i="1" l="1"/>
  <c r="AT70" i="1"/>
  <c r="AT72" i="1" s="1"/>
  <c r="AT73" i="1" s="1"/>
  <c r="AT284" i="1"/>
  <c r="AT286" i="1" s="1"/>
  <c r="AT142" i="1"/>
  <c r="AT213" i="1"/>
  <c r="AT356" i="1"/>
  <c r="AU73" i="1"/>
  <c r="AU109" i="1" s="1"/>
  <c r="AU144" i="1" s="1"/>
  <c r="AU180" i="1" s="1"/>
  <c r="AU215" i="1" s="1"/>
  <c r="AU251" i="1" s="1"/>
  <c r="AU287" i="1" s="1"/>
  <c r="AU322" i="1" s="1"/>
  <c r="AU358" i="1" s="1"/>
  <c r="AU393" i="1" s="1"/>
  <c r="AU429" i="1" s="1"/>
  <c r="AT426" i="1"/>
  <c r="AT428" i="1" s="1"/>
  <c r="AT177" i="1"/>
  <c r="AT179" i="1" s="1"/>
  <c r="AE393" i="1"/>
  <c r="AT106" i="1"/>
  <c r="AT108" i="1" s="1"/>
  <c r="AG144" i="1"/>
  <c r="AG180" i="1" s="1"/>
  <c r="AG215" i="1" s="1"/>
  <c r="AG251" i="1" s="1"/>
  <c r="AG287" i="1" s="1"/>
  <c r="AG322" i="1" s="1"/>
  <c r="AG358" i="1" s="1"/>
  <c r="AG393" i="1" s="1"/>
  <c r="AG429" i="1" s="1"/>
  <c r="AH393" i="1"/>
  <c r="AH429" i="1" s="1"/>
  <c r="AE427" i="1"/>
  <c r="AE428" i="1" s="1"/>
  <c r="AL109" i="1"/>
  <c r="AL144" i="1" s="1"/>
  <c r="AL180" i="1" s="1"/>
  <c r="AL215" i="1" s="1"/>
  <c r="AL251" i="1" s="1"/>
  <c r="AL287" i="1" s="1"/>
  <c r="AL322" i="1" s="1"/>
  <c r="AL358" i="1" s="1"/>
  <c r="AL393" i="1" s="1"/>
  <c r="AL429" i="1" s="1"/>
  <c r="AW144" i="1"/>
  <c r="AW180" i="1" s="1"/>
  <c r="AW215" i="1" s="1"/>
  <c r="AW251" i="1" s="1"/>
  <c r="AW287" i="1" s="1"/>
  <c r="AW322" i="1" s="1"/>
  <c r="AW358" i="1" s="1"/>
  <c r="AW393" i="1" s="1"/>
  <c r="AW429" i="1" s="1"/>
  <c r="AB109" i="1"/>
  <c r="AB144" i="1" s="1"/>
  <c r="AB180" i="1" s="1"/>
  <c r="AB215" i="1" s="1"/>
  <c r="AB251" i="1" s="1"/>
  <c r="AB287" i="1" s="1"/>
  <c r="AB322" i="1" s="1"/>
  <c r="AB358" i="1" s="1"/>
  <c r="AB393" i="1" s="1"/>
  <c r="AB429" i="1" s="1"/>
  <c r="M73" i="1"/>
  <c r="M109" i="1" s="1"/>
  <c r="M144" i="1" s="1"/>
  <c r="M180" i="1" s="1"/>
  <c r="M215" i="1" s="1"/>
  <c r="M251" i="1" s="1"/>
  <c r="M287" i="1" s="1"/>
  <c r="M322" i="1" s="1"/>
  <c r="M358" i="1" s="1"/>
  <c r="M393" i="1" s="1"/>
  <c r="M429" i="1" s="1"/>
  <c r="L109" i="1"/>
  <c r="L144" i="1" s="1"/>
  <c r="L180" i="1" s="1"/>
  <c r="L215" i="1" s="1"/>
  <c r="L251" i="1" s="1"/>
  <c r="L287" i="1" s="1"/>
  <c r="L322" i="1" s="1"/>
  <c r="L358" i="1" s="1"/>
  <c r="L393" i="1" s="1"/>
  <c r="L429" i="1" s="1"/>
  <c r="B39" i="1"/>
  <c r="B73" i="1" s="1"/>
  <c r="B109" i="1" s="1"/>
  <c r="B144" i="1" s="1"/>
  <c r="B180" i="1" s="1"/>
  <c r="B215" i="1" s="1"/>
  <c r="B251" i="1" s="1"/>
  <c r="B287" i="1" s="1"/>
  <c r="B322" i="1" s="1"/>
  <c r="B358" i="1" s="1"/>
  <c r="B393" i="1" s="1"/>
  <c r="B429" i="1" s="1"/>
  <c r="U73" i="1"/>
  <c r="U109" i="1" s="1"/>
  <c r="U144" i="1" s="1"/>
  <c r="U180" i="1" s="1"/>
  <c r="U215" i="1" s="1"/>
  <c r="U251" i="1" s="1"/>
  <c r="U287" i="1" s="1"/>
  <c r="U322" i="1" s="1"/>
  <c r="U358" i="1" s="1"/>
  <c r="U393" i="1" s="1"/>
  <c r="U429" i="1" s="1"/>
  <c r="AE429" i="1" l="1"/>
  <c r="AT109" i="1"/>
  <c r="AT144" i="1" s="1"/>
  <c r="AT180" i="1" s="1"/>
  <c r="AT215" i="1" s="1"/>
  <c r="AT251" i="1" s="1"/>
  <c r="AT287" i="1" s="1"/>
  <c r="AT322" i="1" s="1"/>
  <c r="AT358" i="1" s="1"/>
  <c r="AT393" i="1" s="1"/>
  <c r="AT4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Huu Khang</author>
    <author>Le Dang Thuc</author>
    <author>Pham Hong Son</author>
    <author>ktdk</author>
    <author>dungtm</author>
    <author>Le  Dang Thuc</author>
  </authors>
  <commentList>
    <comment ref="B2" authorId="0" shapeId="0" xr:uid="{894DF900-11CE-410A-A43E-87807807B273}">
      <text>
        <r>
          <rPr>
            <sz val="8"/>
            <color indexed="81"/>
            <rFont val="Tahoma"/>
            <family val="2"/>
          </rPr>
          <t>Bbls/ Ton</t>
        </r>
      </text>
    </comment>
    <comment ref="K2" authorId="0" shapeId="0" xr:uid="{F3C19A10-B276-4534-B778-7EBA6EE6F74D}">
      <text>
        <r>
          <rPr>
            <b/>
            <sz val="8"/>
            <color indexed="81"/>
            <rFont val="Tahoma"/>
            <family val="2"/>
            <charset val="204"/>
          </rPr>
          <t xml:space="preserve">Thucld :
Theo sô liệu cung cấp của CLJOC </t>
        </r>
      </text>
    </comment>
    <comment ref="L2" authorId="1" shapeId="0" xr:uid="{D2A04924-C7E7-48F9-AFC6-E15A093733F9}">
      <text>
        <r>
          <rPr>
            <b/>
            <sz val="8"/>
            <color indexed="81"/>
            <rFont val="Tahoma"/>
            <family val="2"/>
          </rPr>
          <t>Le Dang Thuc:</t>
        </r>
        <r>
          <rPr>
            <sz val="8"/>
            <color indexed="81"/>
            <rFont val="Tahoma"/>
            <family val="2"/>
          </rPr>
          <t xml:space="preserve">
Thucld :
Theo sô liệu cung cấp của CLJOC </t>
        </r>
      </text>
    </comment>
    <comment ref="T2" authorId="0" shapeId="0" xr:uid="{291B0941-88B4-45F7-B8E3-F4459AAC764C}">
      <text>
        <r>
          <rPr>
            <b/>
            <sz val="8"/>
            <color indexed="81"/>
            <rFont val="Tahoma"/>
            <family val="2"/>
          </rPr>
          <t>Nguyen Huu Khang:</t>
        </r>
        <r>
          <rPr>
            <sz val="8"/>
            <color indexed="81"/>
            <rFont val="Tahoma"/>
            <family val="2"/>
          </rPr>
          <t xml:space="preserve">
Ap dung tu 1/1/2012</t>
        </r>
      </text>
    </comment>
    <comment ref="O3" authorId="0" shapeId="0" xr:uid="{35EC0F77-3271-4DD2-9AED-44274D93BF37}">
      <text>
        <r>
          <rPr>
            <b/>
            <sz val="8"/>
            <color indexed="8"/>
            <rFont val="Tahoma"/>
            <family val="2"/>
          </rPr>
          <t>Nguyen Huu Khang: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Chỉ tính phía VN (50%)
</t>
        </r>
      </text>
    </comment>
    <comment ref="U3" authorId="0" shapeId="0" xr:uid="{6D9DEC90-E03D-4FD3-A7D4-615FC6CCE210}">
      <text>
        <r>
          <rPr>
            <b/>
            <sz val="8"/>
            <color indexed="8"/>
            <rFont val="Tahoma"/>
            <family val="2"/>
            <charset val="204"/>
          </rPr>
          <t>Nguyen Huu Khang:</t>
        </r>
        <r>
          <rPr>
            <sz val="8"/>
            <color indexed="8"/>
            <rFont val="Tahoma"/>
            <family val="2"/>
            <charset val="204"/>
          </rPr>
          <t xml:space="preserve">
</t>
        </r>
        <r>
          <rPr>
            <sz val="8"/>
            <color indexed="8"/>
            <rFont val="Tahoma"/>
            <family val="2"/>
            <charset val="204"/>
          </rPr>
          <t>Convert từ m3 sang thùng: 6.2898107704</t>
        </r>
      </text>
    </comment>
    <comment ref="AG3" authorId="0" shapeId="0" xr:uid="{FFFC4ED4-49C5-4F0C-8282-E9B4F61F447F}">
      <text>
        <r>
          <rPr>
            <b/>
            <sz val="8"/>
            <color indexed="8"/>
            <rFont val="Tahoma"/>
            <family val="2"/>
          </rPr>
          <t>Nguyen Huu Khang: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Chỉ tính phía VN (49%)</t>
        </r>
      </text>
    </comment>
    <comment ref="AI3" authorId="2" shapeId="0" xr:uid="{F9A182A6-9A0A-4D05-9679-1CCB7A665BE1}">
      <text>
        <r>
          <rPr>
            <b/>
            <sz val="9"/>
            <color indexed="81"/>
            <rFont val="Tahoma"/>
            <family val="2"/>
          </rPr>
          <t>Pham Hong Son:</t>
        </r>
        <r>
          <rPr>
            <sz val="9"/>
            <color indexed="81"/>
            <rFont val="Tahoma"/>
            <family val="2"/>
          </rPr>
          <t xml:space="preserve">
*0.4
</t>
        </r>
      </text>
    </comment>
    <comment ref="AL3" authorId="0" shapeId="0" xr:uid="{D709AB26-9875-4840-A85A-E7C223E539CC}">
      <text>
        <r>
          <rPr>
            <b/>
            <sz val="8"/>
            <color indexed="81"/>
            <rFont val="Tahoma"/>
            <family val="2"/>
            <charset val="204"/>
          </rPr>
          <t>Nguyen Huu Khang:</t>
        </r>
        <r>
          <rPr>
            <sz val="8"/>
            <color indexed="81"/>
            <rFont val="Tahoma"/>
            <family val="2"/>
            <charset val="204"/>
          </rPr>
          <t xml:space="preserve">
Gross Gas (including 8-9%CO2)</t>
        </r>
      </text>
    </comment>
    <comment ref="AE39" authorId="0" shapeId="0" xr:uid="{D31A4514-A638-4901-AE97-1DA9533D0F9D}">
      <text>
        <r>
          <rPr>
            <b/>
            <sz val="9"/>
            <color indexed="81"/>
            <rFont val="Tahoma"/>
            <family val="2"/>
          </rPr>
          <t>Allocated</t>
        </r>
      </text>
    </comment>
    <comment ref="AX72" authorId="0" shapeId="0" xr:uid="{77F7ED20-EE98-4728-AFAB-96723E9D97FE}">
      <text>
        <r>
          <rPr>
            <sz val="9"/>
            <color indexed="81"/>
            <rFont val="Tahoma"/>
            <family val="2"/>
          </rPr>
          <t xml:space="preserve">
allocated</t>
        </r>
      </text>
    </comment>
    <comment ref="AE73" authorId="0" shapeId="0" xr:uid="{0AFF1A53-CD83-4858-BF6D-684702BE0FA2}">
      <text>
        <r>
          <rPr>
            <b/>
            <sz val="9"/>
            <color indexed="81"/>
            <rFont val="Tahoma"/>
            <family val="2"/>
          </rPr>
          <t>Allocated</t>
        </r>
      </text>
    </comment>
    <comment ref="X105" authorId="3" shapeId="0" xr:uid="{D45F203A-BF0B-4EA7-9F2E-275505B26489}">
      <text>
        <r>
          <rPr>
            <b/>
            <sz val="8"/>
            <color indexed="81"/>
            <rFont val="Tahoma"/>
            <family val="2"/>
          </rPr>
          <t xml:space="preserve">allocated 
</t>
        </r>
      </text>
    </comment>
    <comment ref="Z105" authorId="3" shapeId="0" xr:uid="{01A7BF74-4AE4-47C0-857B-079B7AC54B7F}">
      <text>
        <r>
          <rPr>
            <b/>
            <sz val="8"/>
            <color indexed="81"/>
            <rFont val="Tahoma"/>
            <family val="2"/>
          </rPr>
          <t xml:space="preserve">allocated 
</t>
        </r>
      </text>
    </comment>
    <comment ref="AX107" authorId="3" shapeId="0" xr:uid="{7FE89783-D18B-4C85-890F-41F2585BA718}">
      <text>
        <r>
          <rPr>
            <b/>
            <sz val="8"/>
            <color indexed="81"/>
            <rFont val="Tahoma"/>
            <family val="2"/>
          </rPr>
          <t>Allocated</t>
        </r>
      </text>
    </comment>
    <comment ref="AE109" authorId="0" shapeId="0" xr:uid="{F94D3BD3-658E-4AC6-B43A-1129A8EC6D4D}">
      <text>
        <r>
          <rPr>
            <b/>
            <sz val="9"/>
            <color indexed="8"/>
            <rFont val="Tahoma"/>
            <family val="2"/>
          </rPr>
          <t>Allocated</t>
        </r>
      </text>
    </comment>
    <comment ref="O249" authorId="4" shapeId="0" xr:uid="{060902DD-E8A0-4A5C-B731-B261B22D3ECC}">
      <text>
        <r>
          <rPr>
            <b/>
            <sz val="9"/>
            <color indexed="81"/>
            <rFont val="Tahoma"/>
            <family val="2"/>
          </rPr>
          <t>dungtm:</t>
        </r>
        <r>
          <rPr>
            <sz val="9"/>
            <color indexed="81"/>
            <rFont val="Tahoma"/>
            <family val="2"/>
          </rPr>
          <t xml:space="preserve">
Provisional</t>
        </r>
      </text>
    </comment>
    <comment ref="P249" authorId="4" shapeId="0" xr:uid="{2AE51F09-EFA7-4388-8B31-F741F974AA5F}">
      <text>
        <r>
          <rPr>
            <b/>
            <sz val="9"/>
            <color indexed="81"/>
            <rFont val="Tahoma"/>
            <family val="2"/>
          </rPr>
          <t>dungtm:</t>
        </r>
        <r>
          <rPr>
            <sz val="9"/>
            <color indexed="81"/>
            <rFont val="Tahoma"/>
            <family val="2"/>
          </rPr>
          <t xml:space="preserve">
Provisional</t>
        </r>
      </text>
    </comment>
    <comment ref="W288" authorId="5" shapeId="0" xr:uid="{DBC9342F-7C4B-4243-8405-8C70DA3E5BEE}">
      <text>
        <r>
          <rPr>
            <b/>
            <sz val="9"/>
            <color indexed="81"/>
            <rFont val="Tahoma"/>
            <family val="2"/>
          </rPr>
          <t xml:space="preserve">• Oil production, gas export and water injection remained shut down pending  rectification on control system panel at turret -  replaced all damaged parts, loop tested and system reinstatement. 
• Production has been restarted at about 06:00 am on 2 September. 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<sst xmlns="http://schemas.openxmlformats.org/spreadsheetml/2006/main" count="112" uniqueCount="57">
  <si>
    <t>DATE</t>
  </si>
  <si>
    <t>GAS (Lưu ý: đơn vị đo xem từng mỏ)</t>
  </si>
  <si>
    <t>Bach Ho
Crude oil (T)</t>
  </si>
  <si>
    <t>Rong
(T)</t>
  </si>
  <si>
    <t>Gau Trang
(T)</t>
  </si>
  <si>
    <t>Tho Trang
(T)</t>
  </si>
  <si>
    <t>Nam Rong
VSP (T)</t>
  </si>
  <si>
    <t>Doi Moi
VRJ (T)</t>
  </si>
  <si>
    <t>Su Tu Den
(bbls)</t>
  </si>
  <si>
    <t>Su Tu Vang
(bbls)</t>
  </si>
  <si>
    <t>Su Tu Den ĐB
(bbls)</t>
  </si>
  <si>
    <t>Su Tu Trang
(bbls)</t>
  </si>
  <si>
    <t>Su Tu Nau 
(bbls)</t>
  </si>
  <si>
    <t>Rang Dong
(bbls)</t>
  </si>
  <si>
    <t>Phương Dong
(bbls)</t>
  </si>
  <si>
    <t>PM3CAA
(bbls)</t>
  </si>
  <si>
    <t>Block 46CN
(bbls)</t>
  </si>
  <si>
    <t>Ruby
(bbls)</t>
  </si>
  <si>
    <t>Ca Ngu Vang
(bbls)</t>
  </si>
  <si>
    <t>Te Giac Trang
(bbls)</t>
  </si>
  <si>
    <t>Dai Hung
(bbls)</t>
  </si>
  <si>
    <t>Lan Tay
(bbls)</t>
  </si>
  <si>
    <t>RĐ-RĐT
(bbls)</t>
  </si>
  <si>
    <t>Chim Sao
(bbls)</t>
  </si>
  <si>
    <t>Hai Su Trang (bbls)</t>
  </si>
  <si>
    <t>Hai Su Den (bbls)</t>
  </si>
  <si>
    <t>Thang Long +Đông Đô    (bbls)</t>
  </si>
  <si>
    <t>Dong Do     bbls)</t>
  </si>
  <si>
    <t>Ca Tam (ton)</t>
  </si>
  <si>
    <t>Moc Tinh   (bbls)</t>
  </si>
  <si>
    <t>Hai Thach-Mộc Tinh  (bbls)</t>
  </si>
  <si>
    <t>Cond. DC (Bể CL) &amp; GPP Ca Mau (T)</t>
  </si>
  <si>
    <t>Sao Vang    (bbl)</t>
  </si>
  <si>
    <t>Nhenhexky
(T)</t>
  </si>
  <si>
    <t>Thien Ung (ton) 1m3=0.75 ton</t>
  </si>
  <si>
    <t xml:space="preserve"> Algeria(bbls)</t>
  </si>
  <si>
    <t>Lan Tay
(tr.m3)</t>
  </si>
  <si>
    <t>RĐ-RĐT
(tr.m3)</t>
  </si>
  <si>
    <t>PM3&amp;46CN
Về bờ (tr.ft3)</t>
  </si>
  <si>
    <t>Bach Ho
Wet gas (tr.m3)</t>
  </si>
  <si>
    <t>Rang Dong (tr.ft3)</t>
  </si>
  <si>
    <t>Cá Ngừ Vàng (tr.ft3)</t>
  </si>
  <si>
    <t>Tê Giác Trắng
(tr. ft3)</t>
  </si>
  <si>
    <t>Sư Tử Trắng
(tr.ft3)</t>
  </si>
  <si>
    <t>Chim Sáo
(tr.ft3)</t>
  </si>
  <si>
    <t>HSĐ-HST (tr,ft3)</t>
  </si>
  <si>
    <t>Cá Tầm            (tr.m3)</t>
  </si>
  <si>
    <t>Sao Vàng   (tr.m3)</t>
  </si>
  <si>
    <t>Hai Thach (tr.m3)</t>
  </si>
  <si>
    <t>Thái Bình 
(tr.ft3)</t>
  </si>
  <si>
    <t>Đại Hùng 
(tr.m3)</t>
  </si>
  <si>
    <t>Thiên Ưng
(tr.m3)</t>
  </si>
  <si>
    <t>M.Total (sum-blls-ft)</t>
  </si>
  <si>
    <t>M.Total (sum-tons-m3)</t>
  </si>
  <si>
    <t>M.Total (allocate-blls)</t>
  </si>
  <si>
    <t>M.Total (allocate-tons)</t>
  </si>
  <si>
    <t>YTD (allocate-tons-m3)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</si>
</sst>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;@"/>
    <numFmt numFmtId="165" formatCode="0.0000"/>
    <numFmt numFmtId="166" formatCode="#,##0.0000"/>
    <numFmt numFmtId="168" formatCode="_(* #,##0_);_(* \(#,##0\);_(* &quot;-&quot;??_);_(@_)"/>
    <numFmt numFmtId="169" formatCode="dd\-mmm\-yyyy"/>
    <numFmt numFmtId="170" formatCode="#,##0.0"/>
    <numFmt numFmtId="171" formatCode="#,##0.000"/>
    <numFmt numFmtId="172" formatCode="_(* #,##0.00000_);_(* \(#,##0.00000\);_(* &quot;-&quot;??_);_(@_)"/>
  </numFmts>
  <fonts count="38" x14ac:knownFonts="1">
    <font>
      <sz val="10"/>
      <name val="Arial"/>
    </font>
    <font>
      <b/>
      <sz val="10"/>
      <name val="Arial"/>
      <family val="2"/>
      <charset val="204"/>
    </font>
    <font>
      <b/>
      <sz val="12"/>
      <color indexed="27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9"/>
      <color indexed="17"/>
      <name val="Arial"/>
      <family val="2"/>
      <charset val="204"/>
    </font>
    <font>
      <sz val="10"/>
      <name val="Arial"/>
      <family val="2"/>
    </font>
    <font>
      <sz val="9"/>
      <color indexed="10"/>
      <name val="Arial"/>
      <family val="2"/>
      <charset val="204"/>
    </font>
    <font>
      <sz val="9"/>
      <color indexed="10"/>
      <name val="Arial"/>
      <family val="2"/>
    </font>
    <font>
      <b/>
      <sz val="9"/>
      <color indexed="17"/>
      <name val="Arial"/>
      <family val="2"/>
      <charset val="163"/>
    </font>
    <font>
      <sz val="10"/>
      <color indexed="10"/>
      <name val="Arial"/>
      <family val="2"/>
      <charset val="204"/>
    </font>
    <font>
      <sz val="11"/>
      <color rgb="FFFF0000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color indexed="13"/>
      <name val="Arial"/>
      <family val="2"/>
    </font>
    <font>
      <sz val="11"/>
      <color indexed="10"/>
      <name val="Arial"/>
      <family val="2"/>
    </font>
    <font>
      <b/>
      <sz val="10"/>
      <color indexed="13"/>
      <name val="Times New Roman"/>
      <family val="1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b/>
      <sz val="10"/>
      <color theme="1"/>
      <name val="Arial"/>
      <family val="2"/>
    </font>
    <font>
      <b/>
      <sz val="10"/>
      <color rgb="FFFFFF00"/>
      <name val="Arial"/>
      <family val="2"/>
    </font>
    <font>
      <sz val="10"/>
      <color rgb="FFFF0000"/>
      <name val="Arial"/>
      <family val="2"/>
    </font>
    <font>
      <sz val="11"/>
      <color indexed="10"/>
      <name val="Arial"/>
      <family val="2"/>
      <charset val="204"/>
    </font>
    <font>
      <sz val="10"/>
      <color rgb="FFFF0000"/>
      <name val="Times New Roman"/>
      <family val="1"/>
    </font>
    <font>
      <sz val="10"/>
      <color indexed="17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  <charset val="204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04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9"/>
      </patternFill>
    </fill>
    <fill>
      <patternFill patternType="solid">
        <fgColor indexed="13"/>
        <bgColor indexed="13"/>
      </patternFill>
    </fill>
    <fill>
      <patternFill patternType="solid">
        <fgColor indexed="13"/>
        <bgColor indexed="50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5" fillId="0" borderId="0" applyFont="0" applyFill="0" applyBorder="0" applyAlignment="0" applyProtection="0"/>
    <xf numFmtId="0" fontId="5" fillId="0" borderId="0"/>
    <xf numFmtId="0" fontId="18" fillId="0" borderId="0"/>
    <xf numFmtId="0" fontId="5" fillId="0" borderId="0"/>
  </cellStyleXfs>
  <cellXfs count="18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5" borderId="0" xfId="0" applyFill="1"/>
    <xf numFmtId="164" fontId="1" fillId="2" borderId="7" xfId="0" applyNumberFormat="1" applyFont="1" applyFill="1" applyBorder="1" applyAlignment="1">
      <alignment horizontal="center" vertical="center"/>
    </xf>
    <xf numFmtId="165" fontId="4" fillId="6" borderId="8" xfId="0" applyNumberFormat="1" applyFont="1" applyFill="1" applyBorder="1" applyAlignment="1">
      <alignment horizontal="center" vertical="center" wrapText="1"/>
    </xf>
    <xf numFmtId="165" fontId="4" fillId="6" borderId="8" xfId="1" applyNumberFormat="1" applyFont="1" applyFill="1" applyBorder="1" applyAlignment="1">
      <alignment horizontal="center" vertical="center" wrapText="1"/>
    </xf>
    <xf numFmtId="1" fontId="4" fillId="6" borderId="8" xfId="0" applyNumberFormat="1" applyFont="1" applyFill="1" applyBorder="1" applyAlignment="1">
      <alignment horizontal="center" vertical="center"/>
    </xf>
    <xf numFmtId="166" fontId="4" fillId="6" borderId="8" xfId="0" applyNumberFormat="1" applyFont="1" applyFill="1" applyBorder="1" applyAlignment="1">
      <alignment horizontal="center" vertical="center"/>
    </xf>
    <xf numFmtId="165" fontId="4" fillId="6" borderId="8" xfId="0" applyNumberFormat="1" applyFont="1" applyFill="1" applyBorder="1" applyAlignment="1">
      <alignment horizontal="center" vertical="center"/>
    </xf>
    <xf numFmtId="165" fontId="4" fillId="6" borderId="8" xfId="1" applyNumberFormat="1" applyFont="1" applyFill="1" applyBorder="1" applyAlignment="1">
      <alignment horizontal="center" vertical="center"/>
    </xf>
    <xf numFmtId="165" fontId="4" fillId="6" borderId="2" xfId="1" applyNumberFormat="1" applyFont="1" applyFill="1" applyBorder="1" applyAlignment="1">
      <alignment horizontal="center" vertical="center"/>
    </xf>
    <xf numFmtId="165" fontId="6" fillId="7" borderId="8" xfId="0" applyNumberFormat="1" applyFont="1" applyFill="1" applyBorder="1" applyAlignment="1">
      <alignment horizontal="center" vertical="center" wrapText="1"/>
    </xf>
    <xf numFmtId="165" fontId="6" fillId="7" borderId="4" xfId="0" applyNumberFormat="1" applyFont="1" applyFill="1" applyBorder="1" applyAlignment="1">
      <alignment horizontal="center" vertical="center" wrapText="1"/>
    </xf>
    <xf numFmtId="165" fontId="7" fillId="7" borderId="8" xfId="0" applyNumberFormat="1" applyFont="1" applyFill="1" applyBorder="1" applyAlignment="1">
      <alignment horizontal="center" vertical="center"/>
    </xf>
    <xf numFmtId="2" fontId="6" fillId="7" borderId="8" xfId="0" applyNumberFormat="1" applyFont="1" applyFill="1" applyBorder="1" applyAlignment="1">
      <alignment horizontal="center" vertical="center" wrapText="1"/>
    </xf>
    <xf numFmtId="4" fontId="6" fillId="7" borderId="8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168" fontId="4" fillId="8" borderId="1" xfId="0" applyNumberFormat="1" applyFont="1" applyFill="1" applyBorder="1" applyAlignment="1">
      <alignment horizontal="center" vertical="center" wrapText="1"/>
    </xf>
    <xf numFmtId="168" fontId="4" fillId="8" borderId="1" xfId="1" applyNumberFormat="1" applyFont="1" applyFill="1" applyBorder="1" applyAlignment="1">
      <alignment horizontal="center" vertical="center" wrapText="1"/>
    </xf>
    <xf numFmtId="168" fontId="4" fillId="6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3" fontId="4" fillId="8" borderId="8" xfId="0" applyNumberFormat="1" applyFont="1" applyFill="1" applyBorder="1" applyAlignment="1">
      <alignment horizontal="center" vertical="center" wrapText="1"/>
    </xf>
    <xf numFmtId="168" fontId="4" fillId="6" borderId="8" xfId="0" applyNumberFormat="1" applyFont="1" applyFill="1" applyBorder="1" applyAlignment="1">
      <alignment horizontal="center" vertical="center" wrapText="1"/>
    </xf>
    <xf numFmtId="168" fontId="4" fillId="8" borderId="8" xfId="0" applyNumberFormat="1" applyFont="1" applyFill="1" applyBorder="1" applyAlignment="1">
      <alignment horizontal="center" vertical="center" wrapText="1"/>
    </xf>
    <xf numFmtId="168" fontId="4" fillId="8" borderId="2" xfId="1" applyNumberFormat="1" applyFont="1" applyFill="1" applyBorder="1" applyAlignment="1">
      <alignment horizontal="center" vertical="center" wrapText="1"/>
    </xf>
    <xf numFmtId="168" fontId="4" fillId="8" borderId="8" xfId="1" applyNumberFormat="1" applyFont="1" applyFill="1" applyBorder="1" applyAlignment="1">
      <alignment horizontal="center" vertical="center" wrapText="1"/>
    </xf>
    <xf numFmtId="168" fontId="8" fillId="8" borderId="8" xfId="0" applyNumberFormat="1" applyFont="1" applyFill="1" applyBorder="1" applyAlignment="1">
      <alignment horizontal="center" vertical="center" wrapText="1"/>
    </xf>
    <xf numFmtId="43" fontId="6" fillId="8" borderId="8" xfId="1" applyFont="1" applyFill="1" applyBorder="1" applyAlignment="1">
      <alignment horizontal="center" vertical="center" wrapText="1"/>
    </xf>
    <xf numFmtId="169" fontId="6" fillId="8" borderId="8" xfId="0" applyNumberFormat="1" applyFont="1" applyFill="1" applyBorder="1" applyAlignment="1">
      <alignment horizontal="center" vertical="center" wrapText="1"/>
    </xf>
    <xf numFmtId="169" fontId="6" fillId="7" borderId="8" xfId="0" applyNumberFormat="1" applyFont="1" applyFill="1" applyBorder="1" applyAlignment="1">
      <alignment horizontal="center" vertical="center" wrapText="1"/>
    </xf>
    <xf numFmtId="2" fontId="6" fillId="8" borderId="4" xfId="0" applyNumberFormat="1" applyFont="1" applyFill="1" applyBorder="1" applyAlignment="1">
      <alignment horizontal="center" vertical="center" wrapText="1"/>
    </xf>
    <xf numFmtId="2" fontId="6" fillId="8" borderId="8" xfId="0" applyNumberFormat="1" applyFont="1" applyFill="1" applyBorder="1" applyAlignment="1">
      <alignment horizontal="center" vertical="center" wrapText="1"/>
    </xf>
    <xf numFmtId="169" fontId="7" fillId="8" borderId="8" xfId="0" applyNumberFormat="1" applyFont="1" applyFill="1" applyBorder="1" applyAlignment="1">
      <alignment horizontal="center" vertical="center" wrapText="1"/>
    </xf>
    <xf numFmtId="3" fontId="6" fillId="8" borderId="8" xfId="0" applyNumberFormat="1" applyFont="1" applyFill="1" applyBorder="1" applyAlignment="1">
      <alignment horizontal="center" vertical="center" wrapText="1"/>
    </xf>
    <xf numFmtId="4" fontId="6" fillId="8" borderId="8" xfId="0" applyNumberFormat="1" applyFont="1" applyFill="1" applyBorder="1" applyAlignment="1">
      <alignment horizontal="center" vertical="center" wrapText="1"/>
    </xf>
    <xf numFmtId="3" fontId="6" fillId="7" borderId="8" xfId="0" applyNumberFormat="1" applyFont="1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/>
    </xf>
    <xf numFmtId="3" fontId="9" fillId="9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1" fontId="9" fillId="9" borderId="0" xfId="1" applyNumberFormat="1" applyFont="1" applyFill="1" applyBorder="1" applyAlignment="1">
      <alignment horizontal="center" vertical="center"/>
    </xf>
    <xf numFmtId="3" fontId="11" fillId="9" borderId="0" xfId="0" applyNumberFormat="1" applyFont="1" applyFill="1" applyAlignment="1">
      <alignment horizontal="center" vertical="center"/>
    </xf>
    <xf numFmtId="4" fontId="9" fillId="9" borderId="0" xfId="0" applyNumberFormat="1" applyFont="1" applyFill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4" fontId="11" fillId="9" borderId="10" xfId="0" applyNumberFormat="1" applyFont="1" applyFill="1" applyBorder="1" applyAlignment="1">
      <alignment horizontal="center" vertical="center"/>
    </xf>
    <xf numFmtId="0" fontId="0" fillId="9" borderId="0" xfId="0" applyFill="1"/>
    <xf numFmtId="0" fontId="12" fillId="10" borderId="8" xfId="0" applyFont="1" applyFill="1" applyBorder="1"/>
    <xf numFmtId="3" fontId="13" fillId="11" borderId="9" xfId="1" applyNumberFormat="1" applyFont="1" applyFill="1" applyBorder="1" applyAlignment="1">
      <alignment horizontal="center" vertical="center"/>
    </xf>
    <xf numFmtId="3" fontId="13" fillId="11" borderId="8" xfId="1" applyNumberFormat="1" applyFont="1" applyFill="1" applyBorder="1" applyAlignment="1">
      <alignment horizontal="center" vertical="center"/>
    </xf>
    <xf numFmtId="1" fontId="13" fillId="11" borderId="8" xfId="1" applyNumberFormat="1" applyFont="1" applyFill="1" applyBorder="1" applyAlignment="1">
      <alignment horizontal="center" vertical="center"/>
    </xf>
    <xf numFmtId="170" fontId="13" fillId="11" borderId="8" xfId="1" applyNumberFormat="1" applyFont="1" applyFill="1" applyBorder="1" applyAlignment="1">
      <alignment horizontal="center" vertical="center"/>
    </xf>
    <xf numFmtId="3" fontId="13" fillId="11" borderId="8" xfId="0" applyNumberFormat="1" applyFont="1" applyFill="1" applyBorder="1" applyAlignment="1">
      <alignment horizontal="center" vertical="center"/>
    </xf>
    <xf numFmtId="4" fontId="13" fillId="11" borderId="4" xfId="0" applyNumberFormat="1" applyFont="1" applyFill="1" applyBorder="1" applyAlignment="1">
      <alignment horizontal="center" vertical="center"/>
    </xf>
    <xf numFmtId="4" fontId="13" fillId="11" borderId="8" xfId="0" applyNumberFormat="1" applyFont="1" applyFill="1" applyBorder="1" applyAlignment="1">
      <alignment horizontal="center" vertical="center"/>
    </xf>
    <xf numFmtId="2" fontId="13" fillId="11" borderId="8" xfId="0" applyNumberFormat="1" applyFont="1" applyFill="1" applyBorder="1" applyAlignment="1">
      <alignment horizontal="center" vertical="center"/>
    </xf>
    <xf numFmtId="3" fontId="14" fillId="11" borderId="8" xfId="0" applyNumberFormat="1" applyFont="1" applyFill="1" applyBorder="1" applyAlignment="1">
      <alignment horizontal="center" vertical="center"/>
    </xf>
    <xf numFmtId="1" fontId="14" fillId="11" borderId="8" xfId="0" applyNumberFormat="1" applyFont="1" applyFill="1" applyBorder="1" applyAlignment="1">
      <alignment horizontal="center" vertical="center"/>
    </xf>
    <xf numFmtId="4" fontId="14" fillId="11" borderId="4" xfId="0" applyNumberFormat="1" applyFont="1" applyFill="1" applyBorder="1" applyAlignment="1">
      <alignment horizontal="center" vertical="center"/>
    </xf>
    <xf numFmtId="4" fontId="14" fillId="11" borderId="8" xfId="0" applyNumberFormat="1" applyFont="1" applyFill="1" applyBorder="1" applyAlignment="1">
      <alignment horizontal="center" vertical="center"/>
    </xf>
    <xf numFmtId="3" fontId="14" fillId="11" borderId="8" xfId="1" applyNumberFormat="1" applyFont="1" applyFill="1" applyBorder="1" applyAlignment="1">
      <alignment horizontal="center" vertical="center"/>
    </xf>
    <xf numFmtId="4" fontId="0" fillId="5" borderId="0" xfId="0" applyNumberFormat="1" applyFill="1"/>
    <xf numFmtId="3" fontId="14" fillId="11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" fontId="9" fillId="9" borderId="0" xfId="0" applyNumberFormat="1" applyFont="1" applyFill="1" applyAlignment="1">
      <alignment horizontal="center" vertical="center"/>
    </xf>
    <xf numFmtId="3" fontId="15" fillId="9" borderId="0" xfId="0" applyNumberFormat="1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1" fontId="15" fillId="9" borderId="0" xfId="0" applyNumberFormat="1" applyFont="1" applyFill="1" applyAlignment="1">
      <alignment horizontal="center" vertical="center" wrapText="1"/>
    </xf>
    <xf numFmtId="0" fontId="0" fillId="12" borderId="0" xfId="0" applyFill="1"/>
    <xf numFmtId="3" fontId="12" fillId="11" borderId="8" xfId="1" applyNumberFormat="1" applyFont="1" applyFill="1" applyBorder="1" applyAlignment="1">
      <alignment horizontal="center" vertical="center"/>
    </xf>
    <xf numFmtId="1" fontId="12" fillId="11" borderId="9" xfId="1" applyNumberFormat="1" applyFont="1" applyFill="1" applyBorder="1" applyAlignment="1">
      <alignment horizontal="center" vertical="center"/>
    </xf>
    <xf numFmtId="3" fontId="12" fillId="11" borderId="9" xfId="1" applyNumberFormat="1" applyFont="1" applyFill="1" applyBorder="1" applyAlignment="1">
      <alignment horizontal="center" vertical="center"/>
    </xf>
    <xf numFmtId="170" fontId="12" fillId="11" borderId="8" xfId="1" applyNumberFormat="1" applyFont="1" applyFill="1" applyBorder="1" applyAlignment="1">
      <alignment horizontal="center" vertical="center"/>
    </xf>
    <xf numFmtId="1" fontId="12" fillId="11" borderId="8" xfId="1" applyNumberFormat="1" applyFont="1" applyFill="1" applyBorder="1" applyAlignment="1">
      <alignment horizontal="center" vertical="center"/>
    </xf>
    <xf numFmtId="3" fontId="16" fillId="11" borderId="8" xfId="0" applyNumberFormat="1" applyFont="1" applyFill="1" applyBorder="1" applyAlignment="1">
      <alignment horizontal="center" vertical="center"/>
    </xf>
    <xf numFmtId="1" fontId="16" fillId="11" borderId="8" xfId="0" applyNumberFormat="1" applyFont="1" applyFill="1" applyBorder="1" applyAlignment="1">
      <alignment horizontal="center" vertical="center"/>
    </xf>
    <xf numFmtId="3" fontId="16" fillId="11" borderId="8" xfId="1" applyNumberFormat="1" applyFont="1" applyFill="1" applyBorder="1" applyAlignment="1">
      <alignment horizontal="center" vertical="center"/>
    </xf>
    <xf numFmtId="171" fontId="9" fillId="9" borderId="0" xfId="0" applyNumberFormat="1" applyFont="1" applyFill="1" applyAlignment="1">
      <alignment horizontal="center" vertical="center"/>
    </xf>
    <xf numFmtId="1" fontId="9" fillId="8" borderId="0" xfId="0" applyNumberFormat="1" applyFont="1" applyFill="1" applyAlignment="1">
      <alignment horizontal="center" vertical="center"/>
    </xf>
    <xf numFmtId="3" fontId="9" fillId="8" borderId="0" xfId="0" applyNumberFormat="1" applyFont="1" applyFill="1" applyAlignment="1">
      <alignment horizontal="center" vertical="center"/>
    </xf>
    <xf numFmtId="3" fontId="11" fillId="8" borderId="0" xfId="0" applyNumberFormat="1" applyFont="1" applyFill="1" applyAlignment="1">
      <alignment horizontal="center" vertical="center"/>
    </xf>
    <xf numFmtId="171" fontId="13" fillId="11" borderId="8" xfId="0" applyNumberFormat="1" applyFont="1" applyFill="1" applyBorder="1" applyAlignment="1">
      <alignment horizontal="center" vertical="center"/>
    </xf>
    <xf numFmtId="4" fontId="9" fillId="9" borderId="10" xfId="0" applyNumberFormat="1" applyFont="1" applyFill="1" applyBorder="1" applyAlignment="1">
      <alignment horizontal="center" vertical="center"/>
    </xf>
    <xf numFmtId="1" fontId="13" fillId="11" borderId="9" xfId="1" applyNumberFormat="1" applyFont="1" applyFill="1" applyBorder="1" applyAlignment="1">
      <alignment horizontal="center" vertical="center"/>
    </xf>
    <xf numFmtId="3" fontId="17" fillId="11" borderId="8" xfId="0" applyNumberFormat="1" applyFont="1" applyFill="1" applyBorder="1" applyAlignment="1">
      <alignment horizontal="center" vertical="center"/>
    </xf>
    <xf numFmtId="1" fontId="17" fillId="11" borderId="8" xfId="0" applyNumberFormat="1" applyFont="1" applyFill="1" applyBorder="1" applyAlignment="1">
      <alignment horizontal="center" vertical="center"/>
    </xf>
    <xf numFmtId="4" fontId="17" fillId="11" borderId="8" xfId="0" applyNumberFormat="1" applyFont="1" applyFill="1" applyBorder="1" applyAlignment="1">
      <alignment horizontal="center" vertical="center"/>
    </xf>
    <xf numFmtId="2" fontId="17" fillId="11" borderId="8" xfId="0" applyNumberFormat="1" applyFont="1" applyFill="1" applyBorder="1" applyAlignment="1">
      <alignment horizontal="center" vertical="center"/>
    </xf>
    <xf numFmtId="3" fontId="17" fillId="11" borderId="8" xfId="1" applyNumberFormat="1" applyFont="1" applyFill="1" applyBorder="1" applyAlignment="1">
      <alignment horizontal="center" vertical="center"/>
    </xf>
    <xf numFmtId="1" fontId="17" fillId="11" borderId="8" xfId="1" applyNumberFormat="1" applyFont="1" applyFill="1" applyBorder="1" applyAlignment="1">
      <alignment horizontal="center" vertical="center"/>
    </xf>
    <xf numFmtId="1" fontId="14" fillId="11" borderId="1" xfId="0" applyNumberFormat="1" applyFont="1" applyFill="1" applyBorder="1" applyAlignment="1">
      <alignment horizontal="center" vertical="center"/>
    </xf>
    <xf numFmtId="4" fontId="14" fillId="11" borderId="1" xfId="0" applyNumberFormat="1" applyFont="1" applyFill="1" applyBorder="1" applyAlignment="1">
      <alignment horizontal="center" vertical="center"/>
    </xf>
    <xf numFmtId="2" fontId="14" fillId="11" borderId="1" xfId="0" applyNumberFormat="1" applyFont="1" applyFill="1" applyBorder="1" applyAlignment="1">
      <alignment horizontal="center" vertical="center"/>
    </xf>
    <xf numFmtId="3" fontId="11" fillId="9" borderId="0" xfId="0" applyNumberFormat="1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3" fontId="11" fillId="13" borderId="0" xfId="0" applyNumberFormat="1" applyFont="1" applyFill="1" applyAlignment="1">
      <alignment horizontal="center" vertical="center"/>
    </xf>
    <xf numFmtId="3" fontId="11" fillId="14" borderId="0" xfId="0" applyNumberFormat="1" applyFont="1" applyFill="1" applyAlignment="1">
      <alignment horizontal="center" vertical="center"/>
    </xf>
    <xf numFmtId="2" fontId="11" fillId="9" borderId="0" xfId="0" applyNumberFormat="1" applyFont="1" applyFill="1" applyAlignment="1">
      <alignment horizontal="center" vertical="center"/>
    </xf>
    <xf numFmtId="2" fontId="11" fillId="13" borderId="0" xfId="2" applyNumberFormat="1" applyFont="1" applyFill="1" applyAlignment="1">
      <alignment horizontal="center" vertical="center"/>
    </xf>
    <xf numFmtId="2" fontId="11" fillId="15" borderId="0" xfId="3" applyNumberFormat="1" applyFont="1" applyFill="1" applyAlignment="1">
      <alignment horizontal="center" vertical="center"/>
    </xf>
    <xf numFmtId="2" fontId="11" fillId="13" borderId="0" xfId="4" applyNumberFormat="1" applyFont="1" applyFill="1" applyAlignment="1">
      <alignment horizontal="center" vertical="center"/>
    </xf>
    <xf numFmtId="2" fontId="11" fillId="13" borderId="0" xfId="5" applyNumberFormat="1" applyFont="1" applyFill="1" applyAlignment="1">
      <alignment horizontal="center" vertical="center"/>
    </xf>
    <xf numFmtId="2" fontId="11" fillId="9" borderId="0" xfId="6" applyNumberFormat="1" applyFont="1" applyFill="1" applyBorder="1" applyAlignment="1">
      <alignment horizontal="center" vertical="center"/>
    </xf>
    <xf numFmtId="2" fontId="11" fillId="13" borderId="0" xfId="0" applyNumberFormat="1" applyFont="1" applyFill="1" applyAlignment="1">
      <alignment horizontal="center" vertical="center"/>
    </xf>
    <xf numFmtId="2" fontId="11" fillId="13" borderId="0" xfId="3" applyNumberFormat="1" applyFont="1" applyFill="1" applyAlignment="1">
      <alignment horizontal="center" vertical="center"/>
    </xf>
    <xf numFmtId="1" fontId="11" fillId="9" borderId="0" xfId="0" applyNumberFormat="1" applyFont="1" applyFill="1" applyAlignment="1">
      <alignment horizontal="center" vertical="center"/>
    </xf>
    <xf numFmtId="0" fontId="0" fillId="16" borderId="0" xfId="0" applyFill="1"/>
    <xf numFmtId="2" fontId="11" fillId="14" borderId="0" xfId="0" applyNumberFormat="1" applyFont="1" applyFill="1" applyAlignment="1">
      <alignment horizontal="center" vertical="center"/>
    </xf>
    <xf numFmtId="2" fontId="19" fillId="9" borderId="0" xfId="0" applyNumberFormat="1" applyFont="1" applyFill="1" applyAlignment="1">
      <alignment horizontal="center" vertical="center"/>
    </xf>
    <xf numFmtId="2" fontId="20" fillId="9" borderId="0" xfId="0" applyNumberFormat="1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 wrapText="1"/>
    </xf>
    <xf numFmtId="2" fontId="19" fillId="9" borderId="0" xfId="0" applyNumberFormat="1" applyFont="1" applyFill="1" applyAlignment="1">
      <alignment horizontal="center" vertical="center" wrapText="1"/>
    </xf>
    <xf numFmtId="2" fontId="20" fillId="9" borderId="0" xfId="0" applyNumberFormat="1" applyFont="1" applyFill="1" applyAlignment="1">
      <alignment horizontal="center" vertical="center" wrapText="1"/>
    </xf>
    <xf numFmtId="2" fontId="11" fillId="9" borderId="0" xfId="0" applyNumberFormat="1" applyFont="1" applyFill="1" applyAlignment="1">
      <alignment horizontal="center" vertical="center" wrapText="1"/>
    </xf>
    <xf numFmtId="1" fontId="11" fillId="9" borderId="0" xfId="0" applyNumberFormat="1" applyFont="1" applyFill="1" applyAlignment="1">
      <alignment horizontal="center" vertical="center" wrapText="1"/>
    </xf>
    <xf numFmtId="3" fontId="13" fillId="11" borderId="9" xfId="6" applyNumberFormat="1" applyFont="1" applyFill="1" applyBorder="1" applyAlignment="1">
      <alignment horizontal="center" vertical="center"/>
    </xf>
    <xf numFmtId="1" fontId="13" fillId="11" borderId="9" xfId="6" applyNumberFormat="1" applyFont="1" applyFill="1" applyBorder="1" applyAlignment="1">
      <alignment horizontal="center" vertical="center"/>
    </xf>
    <xf numFmtId="3" fontId="13" fillId="11" borderId="8" xfId="6" applyNumberFormat="1" applyFont="1" applyFill="1" applyBorder="1" applyAlignment="1">
      <alignment horizontal="center" vertical="center"/>
    </xf>
    <xf numFmtId="4" fontId="21" fillId="11" borderId="11" xfId="0" applyNumberFormat="1" applyFont="1" applyFill="1" applyBorder="1" applyAlignment="1">
      <alignment horizontal="center" vertical="center"/>
    </xf>
    <xf numFmtId="4" fontId="13" fillId="11" borderId="9" xfId="0" applyNumberFormat="1" applyFont="1" applyFill="1" applyBorder="1" applyAlignment="1">
      <alignment horizontal="center" vertical="center"/>
    </xf>
    <xf numFmtId="1" fontId="13" fillId="11" borderId="8" xfId="6" applyNumberFormat="1" applyFont="1" applyFill="1" applyBorder="1" applyAlignment="1">
      <alignment horizontal="center" vertical="center"/>
    </xf>
    <xf numFmtId="4" fontId="21" fillId="11" borderId="4" xfId="0" applyNumberFormat="1" applyFont="1" applyFill="1" applyBorder="1" applyAlignment="1">
      <alignment horizontal="center" vertical="center"/>
    </xf>
    <xf numFmtId="3" fontId="14" fillId="11" borderId="8" xfId="7" applyNumberFormat="1" applyFont="1" applyFill="1" applyBorder="1" applyAlignment="1">
      <alignment horizontal="center" vertical="center"/>
    </xf>
    <xf numFmtId="1" fontId="14" fillId="11" borderId="8" xfId="7" applyNumberFormat="1" applyFont="1" applyFill="1" applyBorder="1" applyAlignment="1">
      <alignment horizontal="center" vertical="center"/>
    </xf>
    <xf numFmtId="4" fontId="14" fillId="11" borderId="12" xfId="0" applyNumberFormat="1" applyFont="1" applyFill="1" applyBorder="1" applyAlignment="1">
      <alignment horizontal="center" vertical="center"/>
    </xf>
    <xf numFmtId="3" fontId="9" fillId="9" borderId="0" xfId="0" applyNumberFormat="1" applyFont="1" applyFill="1" applyAlignment="1">
      <alignment horizontal="center" vertical="center" wrapText="1"/>
    </xf>
    <xf numFmtId="4" fontId="9" fillId="9" borderId="0" xfId="0" applyNumberFormat="1" applyFont="1" applyFill="1" applyAlignment="1">
      <alignment horizontal="center" vertical="center" wrapText="1"/>
    </xf>
    <xf numFmtId="3" fontId="11" fillId="14" borderId="0" xfId="8" applyNumberFormat="1" applyFont="1" applyFill="1" applyAlignment="1">
      <alignment horizontal="center" vertical="center"/>
    </xf>
    <xf numFmtId="3" fontId="9" fillId="14" borderId="0" xfId="8" applyNumberFormat="1" applyFont="1" applyFill="1" applyAlignment="1">
      <alignment horizontal="center" vertical="center"/>
    </xf>
    <xf numFmtId="4" fontId="14" fillId="11" borderId="11" xfId="0" applyNumberFormat="1" applyFont="1" applyFill="1" applyBorder="1" applyAlignment="1">
      <alignment horizontal="center" vertical="center"/>
    </xf>
    <xf numFmtId="4" fontId="13" fillId="11" borderId="11" xfId="0" applyNumberFormat="1" applyFont="1" applyFill="1" applyBorder="1" applyAlignment="1">
      <alignment horizontal="center" vertical="center"/>
    </xf>
    <xf numFmtId="4" fontId="22" fillId="11" borderId="4" xfId="0" applyNumberFormat="1" applyFont="1" applyFill="1" applyBorder="1" applyAlignment="1">
      <alignment horizontal="center" vertical="center"/>
    </xf>
    <xf numFmtId="4" fontId="22" fillId="11" borderId="8" xfId="0" applyNumberFormat="1" applyFont="1" applyFill="1" applyBorder="1" applyAlignment="1">
      <alignment horizontal="center" vertical="center"/>
    </xf>
    <xf numFmtId="4" fontId="22" fillId="11" borderId="12" xfId="0" applyNumberFormat="1" applyFont="1" applyFill="1" applyBorder="1" applyAlignment="1">
      <alignment horizontal="center" vertical="center"/>
    </xf>
    <xf numFmtId="4" fontId="22" fillId="11" borderId="1" xfId="0" applyNumberFormat="1" applyFont="1" applyFill="1" applyBorder="1" applyAlignment="1">
      <alignment horizontal="center" vertical="center"/>
    </xf>
    <xf numFmtId="1" fontId="11" fillId="14" borderId="0" xfId="0" applyNumberFormat="1" applyFont="1" applyFill="1" applyAlignment="1">
      <alignment horizontal="center" vertical="center"/>
    </xf>
    <xf numFmtId="3" fontId="23" fillId="8" borderId="0" xfId="0" applyNumberFormat="1" applyFont="1" applyFill="1" applyAlignment="1">
      <alignment horizontal="center" vertical="center"/>
    </xf>
    <xf numFmtId="1" fontId="11" fillId="14" borderId="0" xfId="8" applyNumberFormat="1" applyFont="1" applyFill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 wrapText="1"/>
    </xf>
    <xf numFmtId="1" fontId="11" fillId="9" borderId="0" xfId="8" applyNumberFormat="1" applyFont="1" applyFill="1" applyAlignment="1">
      <alignment horizontal="center" vertical="center"/>
    </xf>
    <xf numFmtId="3" fontId="22" fillId="17" borderId="8" xfId="0" applyNumberFormat="1" applyFont="1" applyFill="1" applyBorder="1" applyAlignment="1">
      <alignment horizontal="center" vertical="center"/>
    </xf>
    <xf numFmtId="1" fontId="22" fillId="17" borderId="8" xfId="0" applyNumberFormat="1" applyFont="1" applyFill="1" applyBorder="1" applyAlignment="1">
      <alignment horizontal="center" vertical="center"/>
    </xf>
    <xf numFmtId="3" fontId="22" fillId="17" borderId="1" xfId="0" applyNumberFormat="1" applyFont="1" applyFill="1" applyBorder="1" applyAlignment="1">
      <alignment horizontal="center" vertical="center"/>
    </xf>
    <xf numFmtId="1" fontId="22" fillId="17" borderId="1" xfId="0" applyNumberFormat="1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 wrapText="1"/>
    </xf>
    <xf numFmtId="1" fontId="24" fillId="9" borderId="0" xfId="0" applyNumberFormat="1" applyFont="1" applyFill="1" applyAlignment="1">
      <alignment horizontal="center" vertical="center" wrapText="1"/>
    </xf>
    <xf numFmtId="3" fontId="22" fillId="11" borderId="8" xfId="0" applyNumberFormat="1" applyFont="1" applyFill="1" applyBorder="1" applyAlignment="1">
      <alignment horizontal="center" vertical="center"/>
    </xf>
    <xf numFmtId="1" fontId="22" fillId="11" borderId="8" xfId="0" applyNumberFormat="1" applyFont="1" applyFill="1" applyBorder="1" applyAlignment="1">
      <alignment horizontal="center" vertical="center"/>
    </xf>
    <xf numFmtId="3" fontId="22" fillId="11" borderId="1" xfId="0" applyNumberFormat="1" applyFont="1" applyFill="1" applyBorder="1" applyAlignment="1">
      <alignment horizontal="center" vertical="center"/>
    </xf>
    <xf numFmtId="1" fontId="22" fillId="11" borderId="1" xfId="0" applyNumberFormat="1" applyFont="1" applyFill="1" applyBorder="1" applyAlignment="1">
      <alignment horizontal="center" vertical="center"/>
    </xf>
    <xf numFmtId="3" fontId="9" fillId="14" borderId="0" xfId="0" applyNumberFormat="1" applyFont="1" applyFill="1" applyAlignment="1">
      <alignment horizontal="center" vertical="center"/>
    </xf>
    <xf numFmtId="3" fontId="9" fillId="9" borderId="0" xfId="9" applyNumberFormat="1" applyFont="1" applyFill="1" applyAlignment="1">
      <alignment horizontal="center" vertical="center"/>
    </xf>
    <xf numFmtId="1" fontId="9" fillId="9" borderId="0" xfId="9" applyNumberFormat="1" applyFont="1" applyFill="1" applyAlignment="1">
      <alignment horizontal="center" vertical="center"/>
    </xf>
    <xf numFmtId="2" fontId="15" fillId="9" borderId="0" xfId="0" applyNumberFormat="1" applyFont="1" applyFill="1" applyAlignment="1">
      <alignment horizontal="center" vertical="center" wrapText="1"/>
    </xf>
    <xf numFmtId="170" fontId="11" fillId="9" borderId="0" xfId="0" applyNumberFormat="1" applyFont="1" applyFill="1" applyAlignment="1">
      <alignment horizontal="center" vertical="center"/>
    </xf>
    <xf numFmtId="3" fontId="25" fillId="8" borderId="0" xfId="0" applyNumberFormat="1" applyFont="1" applyFill="1" applyAlignment="1">
      <alignment horizontal="center" vertical="center"/>
    </xf>
    <xf numFmtId="1" fontId="23" fillId="8" borderId="0" xfId="0" applyNumberFormat="1" applyFont="1" applyFill="1" applyAlignment="1">
      <alignment horizontal="center" vertical="center"/>
    </xf>
    <xf numFmtId="164" fontId="13" fillId="11" borderId="8" xfId="0" applyNumberFormat="1" applyFont="1" applyFill="1" applyBorder="1" applyAlignment="1">
      <alignment horizontal="left"/>
    </xf>
    <xf numFmtId="3" fontId="21" fillId="11" borderId="8" xfId="6" applyNumberFormat="1" applyFont="1" applyFill="1" applyBorder="1" applyAlignment="1">
      <alignment horizontal="center" vertical="center"/>
    </xf>
    <xf numFmtId="4" fontId="14" fillId="11" borderId="0" xfId="0" applyNumberFormat="1" applyFont="1" applyFill="1" applyAlignment="1">
      <alignment horizontal="center" vertical="center"/>
    </xf>
    <xf numFmtId="1" fontId="13" fillId="11" borderId="8" xfId="0" applyNumberFormat="1" applyFont="1" applyFill="1" applyBorder="1" applyAlignment="1">
      <alignment horizontal="center" vertical="center"/>
    </xf>
    <xf numFmtId="3" fontId="21" fillId="11" borderId="8" xfId="0" applyNumberFormat="1" applyFon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8" fontId="0" fillId="5" borderId="0" xfId="1" applyNumberFormat="1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8" fontId="26" fillId="5" borderId="0" xfId="0" applyNumberFormat="1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168" fontId="26" fillId="5" borderId="0" xfId="1" applyNumberFormat="1" applyFont="1" applyFill="1" applyBorder="1" applyAlignment="1">
      <alignment horizontal="center" vertical="center"/>
    </xf>
    <xf numFmtId="168" fontId="11" fillId="5" borderId="0" xfId="1" applyNumberFormat="1" applyFont="1" applyFill="1" applyBorder="1" applyAlignment="1">
      <alignment horizontal="center" vertical="center"/>
    </xf>
    <xf numFmtId="43" fontId="11" fillId="5" borderId="0" xfId="1" applyFont="1" applyFill="1" applyBorder="1" applyAlignment="1">
      <alignment horizontal="center" vertical="center"/>
    </xf>
    <xf numFmtId="43" fontId="11" fillId="5" borderId="0" xfId="0" applyNumberFormat="1" applyFont="1" applyFill="1" applyAlignment="1">
      <alignment horizontal="center" vertical="center"/>
    </xf>
    <xf numFmtId="2" fontId="11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3" fontId="11" fillId="5" borderId="0" xfId="0" applyNumberFormat="1" applyFont="1" applyFill="1" applyAlignment="1">
      <alignment horizontal="center" vertical="center"/>
    </xf>
    <xf numFmtId="4" fontId="11" fillId="5" borderId="0" xfId="0" applyNumberFormat="1" applyFont="1" applyFill="1" applyAlignment="1">
      <alignment horizontal="center" vertical="center"/>
    </xf>
    <xf numFmtId="172" fontId="26" fillId="5" borderId="0" xfId="1" applyNumberFormat="1" applyFont="1" applyFill="1" applyBorder="1" applyAlignment="1">
      <alignment horizontal="center" vertical="center"/>
    </xf>
    <xf numFmtId="2" fontId="0" fillId="5" borderId="0" xfId="1" applyNumberFormat="1" applyFon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26" fillId="5" borderId="0" xfId="0" applyNumberFormat="1" applyFont="1" applyFill="1" applyAlignment="1">
      <alignment horizontal="center" vertical="center"/>
    </xf>
    <xf numFmtId="3" fontId="26" fillId="5" borderId="0" xfId="0" applyNumberFormat="1" applyFont="1" applyFill="1" applyAlignment="1">
      <alignment horizontal="center" vertical="center"/>
    </xf>
  </cellXfs>
  <cellStyles count="10">
    <cellStyle name="Comma" xfId="1" builtinId="3"/>
    <cellStyle name="Comma 10 10" xfId="6" xr:uid="{8A94813F-F84E-4938-8A68-406C56DDB133}"/>
    <cellStyle name="Normal" xfId="0" builtinId="0"/>
    <cellStyle name="Normal 103" xfId="2" xr:uid="{5D1CBC2B-7E48-4B1F-B89B-7C971DA792A3}"/>
    <cellStyle name="Normal 104" xfId="3" xr:uid="{5C6B4E2B-8A63-4743-A020-EA5C9268237A}"/>
    <cellStyle name="Normal 105" xfId="4" xr:uid="{E1ABF526-6736-4BC2-9EE3-58C799CAAFE0}"/>
    <cellStyle name="Normal 106" xfId="5" xr:uid="{96532A77-8F58-4ACE-9156-09593AA8F0E6}"/>
    <cellStyle name="Normal 107" xfId="9" xr:uid="{D1F6EAF8-02DE-4D62-934F-B4DB88897950}"/>
    <cellStyle name="Normal 153" xfId="8" xr:uid="{F9005700-CE98-4074-80DA-36BAEC66EABF}"/>
    <cellStyle name="Normal 22 2" xfId="7" xr:uid="{847216CE-F14F-4302-AA4E-FE1996B25C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07-7-2025_Daily_Production_Report_2025_test.xls" TargetMode="External"/><Relationship Id="rId1" Type="http://schemas.openxmlformats.org/officeDocument/2006/relationships/externalLinkPath" Target="file:///C:\Users\PC\Downloads\07-7-2025_Daily_Production_Report_2025_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kSerializationData"/>
      <sheetName val="Daily Prod."/>
      <sheetName val="Report _Tóm tắt"/>
      <sheetName val="Report_Chi tiết"/>
      <sheetName val="Reportform_nội bộ"/>
      <sheetName val="Reportform"/>
      <sheetName val="KHSLCPGiaoOil"/>
      <sheetName val="KHSLCPGiaoGas"/>
      <sheetName val="KHQTOIL"/>
      <sheetName val="KHQTGAS"/>
      <sheetName val="Conversion Factor"/>
      <sheetName val="Report KH CP Gia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42FC-5651-46FC-8D57-64FCE293B378}">
  <sheetPr codeName="Sheet1"/>
  <dimension ref="A1:BD21171"/>
  <sheetViews>
    <sheetView showGridLines="0" tabSelected="1" showRuler="0" zoomScale="75" zoomScaleNormal="75" zoomScaleSheetLayoutView="89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AH2" sqref="AH1:AI1048576"/>
    </sheetView>
  </sheetViews>
  <sheetFormatPr defaultColWidth="11.42578125" defaultRowHeight="12.75" x14ac:dyDescent="0.2"/>
  <cols>
    <col min="1" max="1" width="25.7109375" style="165" customWidth="1"/>
    <col min="2" max="2" width="13.42578125" style="165" customWidth="1"/>
    <col min="3" max="5" width="10.7109375" style="166" customWidth="1"/>
    <col min="6" max="7" width="10.7109375" style="165" customWidth="1"/>
    <col min="8" max="8" width="10.7109375" style="183" customWidth="1"/>
    <col min="9" max="11" width="10.7109375" style="184" customWidth="1"/>
    <col min="12" max="12" width="10.140625" style="184" customWidth="1"/>
    <col min="13" max="13" width="10.7109375" style="170" customWidth="1"/>
    <col min="14" max="14" width="9.28515625" style="170" customWidth="1"/>
    <col min="15" max="15" width="10.7109375" style="169" customWidth="1"/>
    <col min="16" max="17" width="10.7109375" style="170" customWidth="1"/>
    <col min="18" max="19" width="10.7109375" style="171" customWidth="1"/>
    <col min="20" max="21" width="10.7109375" style="172" customWidth="1"/>
    <col min="22" max="22" width="11.28515625" style="170" customWidth="1"/>
    <col min="23" max="24" width="10.7109375" style="170" customWidth="1"/>
    <col min="25" max="25" width="9.28515625" style="170" hidden="1" customWidth="1"/>
    <col min="26" max="26" width="9.42578125" style="170" customWidth="1"/>
    <col min="27" max="27" width="9.42578125" style="170" hidden="1" customWidth="1"/>
    <col min="28" max="28" width="9.42578125" style="170" customWidth="1"/>
    <col min="29" max="29" width="7.7109375" style="170" hidden="1" customWidth="1"/>
    <col min="30" max="30" width="11.7109375" style="170" bestFit="1" customWidth="1"/>
    <col min="31" max="31" width="12.28515625" style="165" customWidth="1"/>
    <col min="32" max="32" width="12.140625" style="173" customWidth="1"/>
    <col min="33" max="33" width="13.140625" style="172" customWidth="1"/>
    <col min="34" max="34" width="10" style="172" customWidth="1"/>
    <col min="35" max="35" width="10.7109375" style="172" customWidth="1"/>
    <col min="36" max="36" width="10.7109375" style="174" customWidth="1"/>
    <col min="37" max="37" width="10.7109375" style="177" customWidth="1"/>
    <col min="38" max="38" width="10.7109375" style="176" customWidth="1"/>
    <col min="39" max="39" width="10.7109375" style="171" customWidth="1"/>
    <col min="40" max="42" width="10.7109375" style="177" customWidth="1"/>
    <col min="43" max="43" width="12.42578125" style="175" customWidth="1"/>
    <col min="44" max="44" width="10.7109375" style="175" customWidth="1"/>
    <col min="45" max="45" width="10.7109375" style="178" customWidth="1"/>
    <col min="46" max="46" width="10.7109375" style="176" customWidth="1"/>
    <col min="47" max="47" width="10.7109375" style="179" customWidth="1"/>
    <col min="48" max="50" width="10.7109375" style="178" customWidth="1"/>
    <col min="51" max="51" width="10.7109375" style="175" customWidth="1"/>
    <col min="52" max="228" width="11.42578125" style="6"/>
    <col min="229" max="229" width="25.7109375" style="6" customWidth="1"/>
    <col min="230" max="230" width="13.42578125" style="6" customWidth="1"/>
    <col min="231" max="239" width="10.7109375" style="6" customWidth="1"/>
    <col min="240" max="240" width="10.140625" style="6" customWidth="1"/>
    <col min="241" max="243" width="0" style="6" hidden="1" customWidth="1"/>
    <col min="244" max="244" width="10.7109375" style="6" customWidth="1"/>
    <col min="245" max="245" width="9.28515625" style="6" customWidth="1"/>
    <col min="246" max="248" width="10.7109375" style="6" customWidth="1"/>
    <col min="249" max="251" width="0" style="6" hidden="1" customWidth="1"/>
    <col min="252" max="255" width="10.7109375" style="6" customWidth="1"/>
    <col min="256" max="256" width="0" style="6" hidden="1" customWidth="1"/>
    <col min="257" max="257" width="11.28515625" style="6" customWidth="1"/>
    <col min="258" max="259" width="10.7109375" style="6" customWidth="1"/>
    <col min="260" max="260" width="0" style="6" hidden="1" customWidth="1"/>
    <col min="261" max="261" width="9.42578125" style="6" customWidth="1"/>
    <col min="262" max="262" width="0" style="6" hidden="1" customWidth="1"/>
    <col min="263" max="263" width="9.42578125" style="6" customWidth="1"/>
    <col min="264" max="264" width="0" style="6" hidden="1" customWidth="1"/>
    <col min="265" max="265" width="11.7109375" style="6" bestFit="1" customWidth="1"/>
    <col min="266" max="266" width="12.28515625" style="6" customWidth="1"/>
    <col min="267" max="268" width="0" style="6" hidden="1" customWidth="1"/>
    <col min="269" max="269" width="12.140625" style="6" customWidth="1"/>
    <col min="270" max="270" width="13.140625" style="6" customWidth="1"/>
    <col min="271" max="272" width="0" style="6" hidden="1" customWidth="1"/>
    <col min="273" max="273" width="10" style="6" customWidth="1"/>
    <col min="274" max="274" width="10.7109375" style="6" customWidth="1"/>
    <col min="275" max="275" width="12.7109375" style="6" customWidth="1"/>
    <col min="276" max="276" width="13.28515625" style="6" customWidth="1"/>
    <col min="277" max="277" width="16" style="6" customWidth="1"/>
    <col min="278" max="278" width="17.28515625" style="6" customWidth="1"/>
    <col min="279" max="279" width="10.7109375" style="6" customWidth="1"/>
    <col min="280" max="280" width="0" style="6" hidden="1" customWidth="1"/>
    <col min="281" max="282" width="10.7109375" style="6" customWidth="1"/>
    <col min="283" max="284" width="0" style="6" hidden="1" customWidth="1"/>
    <col min="285" max="286" width="10.7109375" style="6" customWidth="1"/>
    <col min="287" max="287" width="0" style="6" hidden="1" customWidth="1"/>
    <col min="288" max="289" width="10.7109375" style="6" customWidth="1"/>
    <col min="290" max="292" width="0" style="6" hidden="1" customWidth="1"/>
    <col min="293" max="293" width="12.42578125" style="6" customWidth="1"/>
    <col min="294" max="294" width="0" style="6" hidden="1" customWidth="1"/>
    <col min="295" max="295" width="10.7109375" style="6" customWidth="1"/>
    <col min="296" max="296" width="0" style="6" hidden="1" customWidth="1"/>
    <col min="297" max="303" width="10.7109375" style="6" customWidth="1"/>
    <col min="304" max="304" width="13.42578125" style="6" customWidth="1"/>
    <col min="305" max="305" width="12.42578125" style="6" customWidth="1"/>
    <col min="306" max="306" width="16.42578125" style="6" customWidth="1"/>
    <col min="307" max="307" width="12.42578125" style="6" customWidth="1"/>
    <col min="308" max="484" width="11.42578125" style="6"/>
    <col min="485" max="485" width="25.7109375" style="6" customWidth="1"/>
    <col min="486" max="486" width="13.42578125" style="6" customWidth="1"/>
    <col min="487" max="495" width="10.7109375" style="6" customWidth="1"/>
    <col min="496" max="496" width="10.140625" style="6" customWidth="1"/>
    <col min="497" max="499" width="0" style="6" hidden="1" customWidth="1"/>
    <col min="500" max="500" width="10.7109375" style="6" customWidth="1"/>
    <col min="501" max="501" width="9.28515625" style="6" customWidth="1"/>
    <col min="502" max="504" width="10.7109375" style="6" customWidth="1"/>
    <col min="505" max="507" width="0" style="6" hidden="1" customWidth="1"/>
    <col min="508" max="511" width="10.7109375" style="6" customWidth="1"/>
    <col min="512" max="512" width="0" style="6" hidden="1" customWidth="1"/>
    <col min="513" max="513" width="11.28515625" style="6" customWidth="1"/>
    <col min="514" max="515" width="10.7109375" style="6" customWidth="1"/>
    <col min="516" max="516" width="0" style="6" hidden="1" customWidth="1"/>
    <col min="517" max="517" width="9.42578125" style="6" customWidth="1"/>
    <col min="518" max="518" width="0" style="6" hidden="1" customWidth="1"/>
    <col min="519" max="519" width="9.42578125" style="6" customWidth="1"/>
    <col min="520" max="520" width="0" style="6" hidden="1" customWidth="1"/>
    <col min="521" max="521" width="11.7109375" style="6" bestFit="1" customWidth="1"/>
    <col min="522" max="522" width="12.28515625" style="6" customWidth="1"/>
    <col min="523" max="524" width="0" style="6" hidden="1" customWidth="1"/>
    <col min="525" max="525" width="12.140625" style="6" customWidth="1"/>
    <col min="526" max="526" width="13.140625" style="6" customWidth="1"/>
    <col min="527" max="528" width="0" style="6" hidden="1" customWidth="1"/>
    <col min="529" max="529" width="10" style="6" customWidth="1"/>
    <col min="530" max="530" width="10.7109375" style="6" customWidth="1"/>
    <col min="531" max="531" width="12.7109375" style="6" customWidth="1"/>
    <col min="532" max="532" width="13.28515625" style="6" customWidth="1"/>
    <col min="533" max="533" width="16" style="6" customWidth="1"/>
    <col min="534" max="534" width="17.28515625" style="6" customWidth="1"/>
    <col min="535" max="535" width="10.7109375" style="6" customWidth="1"/>
    <col min="536" max="536" width="0" style="6" hidden="1" customWidth="1"/>
    <col min="537" max="538" width="10.7109375" style="6" customWidth="1"/>
    <col min="539" max="540" width="0" style="6" hidden="1" customWidth="1"/>
    <col min="541" max="542" width="10.7109375" style="6" customWidth="1"/>
    <col min="543" max="543" width="0" style="6" hidden="1" customWidth="1"/>
    <col min="544" max="545" width="10.7109375" style="6" customWidth="1"/>
    <col min="546" max="548" width="0" style="6" hidden="1" customWidth="1"/>
    <col min="549" max="549" width="12.42578125" style="6" customWidth="1"/>
    <col min="550" max="550" width="0" style="6" hidden="1" customWidth="1"/>
    <col min="551" max="551" width="10.7109375" style="6" customWidth="1"/>
    <col min="552" max="552" width="0" style="6" hidden="1" customWidth="1"/>
    <col min="553" max="559" width="10.7109375" style="6" customWidth="1"/>
    <col min="560" max="560" width="13.42578125" style="6" customWidth="1"/>
    <col min="561" max="561" width="12.42578125" style="6" customWidth="1"/>
    <col min="562" max="562" width="16.42578125" style="6" customWidth="1"/>
    <col min="563" max="563" width="12.42578125" style="6" customWidth="1"/>
    <col min="564" max="740" width="11.42578125" style="6"/>
    <col min="741" max="741" width="25.7109375" style="6" customWidth="1"/>
    <col min="742" max="742" width="13.42578125" style="6" customWidth="1"/>
    <col min="743" max="751" width="10.7109375" style="6" customWidth="1"/>
    <col min="752" max="752" width="10.140625" style="6" customWidth="1"/>
    <col min="753" max="755" width="0" style="6" hidden="1" customWidth="1"/>
    <col min="756" max="756" width="10.7109375" style="6" customWidth="1"/>
    <col min="757" max="757" width="9.28515625" style="6" customWidth="1"/>
    <col min="758" max="760" width="10.7109375" style="6" customWidth="1"/>
    <col min="761" max="763" width="0" style="6" hidden="1" customWidth="1"/>
    <col min="764" max="767" width="10.7109375" style="6" customWidth="1"/>
    <col min="768" max="768" width="0" style="6" hidden="1" customWidth="1"/>
    <col min="769" max="769" width="11.28515625" style="6" customWidth="1"/>
    <col min="770" max="771" width="10.7109375" style="6" customWidth="1"/>
    <col min="772" max="772" width="0" style="6" hidden="1" customWidth="1"/>
    <col min="773" max="773" width="9.42578125" style="6" customWidth="1"/>
    <col min="774" max="774" width="0" style="6" hidden="1" customWidth="1"/>
    <col min="775" max="775" width="9.42578125" style="6" customWidth="1"/>
    <col min="776" max="776" width="0" style="6" hidden="1" customWidth="1"/>
    <col min="777" max="777" width="11.7109375" style="6" bestFit="1" customWidth="1"/>
    <col min="778" max="778" width="12.28515625" style="6" customWidth="1"/>
    <col min="779" max="780" width="0" style="6" hidden="1" customWidth="1"/>
    <col min="781" max="781" width="12.140625" style="6" customWidth="1"/>
    <col min="782" max="782" width="13.140625" style="6" customWidth="1"/>
    <col min="783" max="784" width="0" style="6" hidden="1" customWidth="1"/>
    <col min="785" max="785" width="10" style="6" customWidth="1"/>
    <col min="786" max="786" width="10.7109375" style="6" customWidth="1"/>
    <col min="787" max="787" width="12.7109375" style="6" customWidth="1"/>
    <col min="788" max="788" width="13.28515625" style="6" customWidth="1"/>
    <col min="789" max="789" width="16" style="6" customWidth="1"/>
    <col min="790" max="790" width="17.28515625" style="6" customWidth="1"/>
    <col min="791" max="791" width="10.7109375" style="6" customWidth="1"/>
    <col min="792" max="792" width="0" style="6" hidden="1" customWidth="1"/>
    <col min="793" max="794" width="10.7109375" style="6" customWidth="1"/>
    <col min="795" max="796" width="0" style="6" hidden="1" customWidth="1"/>
    <col min="797" max="798" width="10.7109375" style="6" customWidth="1"/>
    <col min="799" max="799" width="0" style="6" hidden="1" customWidth="1"/>
    <col min="800" max="801" width="10.7109375" style="6" customWidth="1"/>
    <col min="802" max="804" width="0" style="6" hidden="1" customWidth="1"/>
    <col min="805" max="805" width="12.42578125" style="6" customWidth="1"/>
    <col min="806" max="806" width="0" style="6" hidden="1" customWidth="1"/>
    <col min="807" max="807" width="10.7109375" style="6" customWidth="1"/>
    <col min="808" max="808" width="0" style="6" hidden="1" customWidth="1"/>
    <col min="809" max="815" width="10.7109375" style="6" customWidth="1"/>
    <col min="816" max="816" width="13.42578125" style="6" customWidth="1"/>
    <col min="817" max="817" width="12.42578125" style="6" customWidth="1"/>
    <col min="818" max="818" width="16.42578125" style="6" customWidth="1"/>
    <col min="819" max="819" width="12.42578125" style="6" customWidth="1"/>
    <col min="820" max="996" width="11.42578125" style="6"/>
    <col min="997" max="997" width="25.7109375" style="6" customWidth="1"/>
    <col min="998" max="998" width="13.42578125" style="6" customWidth="1"/>
    <col min="999" max="1007" width="10.7109375" style="6" customWidth="1"/>
    <col min="1008" max="1008" width="10.140625" style="6" customWidth="1"/>
    <col min="1009" max="1011" width="0" style="6" hidden="1" customWidth="1"/>
    <col min="1012" max="1012" width="10.7109375" style="6" customWidth="1"/>
    <col min="1013" max="1013" width="9.28515625" style="6" customWidth="1"/>
    <col min="1014" max="1016" width="10.7109375" style="6" customWidth="1"/>
    <col min="1017" max="1019" width="0" style="6" hidden="1" customWidth="1"/>
    <col min="1020" max="1023" width="10.7109375" style="6" customWidth="1"/>
    <col min="1024" max="1024" width="0" style="6" hidden="1" customWidth="1"/>
    <col min="1025" max="1025" width="11.28515625" style="6" customWidth="1"/>
    <col min="1026" max="1027" width="10.7109375" style="6" customWidth="1"/>
    <col min="1028" max="1028" width="0" style="6" hidden="1" customWidth="1"/>
    <col min="1029" max="1029" width="9.42578125" style="6" customWidth="1"/>
    <col min="1030" max="1030" width="0" style="6" hidden="1" customWidth="1"/>
    <col min="1031" max="1031" width="9.42578125" style="6" customWidth="1"/>
    <col min="1032" max="1032" width="0" style="6" hidden="1" customWidth="1"/>
    <col min="1033" max="1033" width="11.7109375" style="6" bestFit="1" customWidth="1"/>
    <col min="1034" max="1034" width="12.28515625" style="6" customWidth="1"/>
    <col min="1035" max="1036" width="0" style="6" hidden="1" customWidth="1"/>
    <col min="1037" max="1037" width="12.140625" style="6" customWidth="1"/>
    <col min="1038" max="1038" width="13.140625" style="6" customWidth="1"/>
    <col min="1039" max="1040" width="0" style="6" hidden="1" customWidth="1"/>
    <col min="1041" max="1041" width="10" style="6" customWidth="1"/>
    <col min="1042" max="1042" width="10.7109375" style="6" customWidth="1"/>
    <col min="1043" max="1043" width="12.7109375" style="6" customWidth="1"/>
    <col min="1044" max="1044" width="13.28515625" style="6" customWidth="1"/>
    <col min="1045" max="1045" width="16" style="6" customWidth="1"/>
    <col min="1046" max="1046" width="17.28515625" style="6" customWidth="1"/>
    <col min="1047" max="1047" width="10.7109375" style="6" customWidth="1"/>
    <col min="1048" max="1048" width="0" style="6" hidden="1" customWidth="1"/>
    <col min="1049" max="1050" width="10.7109375" style="6" customWidth="1"/>
    <col min="1051" max="1052" width="0" style="6" hidden="1" customWidth="1"/>
    <col min="1053" max="1054" width="10.7109375" style="6" customWidth="1"/>
    <col min="1055" max="1055" width="0" style="6" hidden="1" customWidth="1"/>
    <col min="1056" max="1057" width="10.7109375" style="6" customWidth="1"/>
    <col min="1058" max="1060" width="0" style="6" hidden="1" customWidth="1"/>
    <col min="1061" max="1061" width="12.42578125" style="6" customWidth="1"/>
    <col min="1062" max="1062" width="0" style="6" hidden="1" customWidth="1"/>
    <col min="1063" max="1063" width="10.7109375" style="6" customWidth="1"/>
    <col min="1064" max="1064" width="0" style="6" hidden="1" customWidth="1"/>
    <col min="1065" max="1071" width="10.7109375" style="6" customWidth="1"/>
    <col min="1072" max="1072" width="13.42578125" style="6" customWidth="1"/>
    <col min="1073" max="1073" width="12.42578125" style="6" customWidth="1"/>
    <col min="1074" max="1074" width="16.42578125" style="6" customWidth="1"/>
    <col min="1075" max="1075" width="12.42578125" style="6" customWidth="1"/>
    <col min="1076" max="1252" width="11.42578125" style="6"/>
    <col min="1253" max="1253" width="25.7109375" style="6" customWidth="1"/>
    <col min="1254" max="1254" width="13.42578125" style="6" customWidth="1"/>
    <col min="1255" max="1263" width="10.7109375" style="6" customWidth="1"/>
    <col min="1264" max="1264" width="10.140625" style="6" customWidth="1"/>
    <col min="1265" max="1267" width="0" style="6" hidden="1" customWidth="1"/>
    <col min="1268" max="1268" width="10.7109375" style="6" customWidth="1"/>
    <col min="1269" max="1269" width="9.28515625" style="6" customWidth="1"/>
    <col min="1270" max="1272" width="10.7109375" style="6" customWidth="1"/>
    <col min="1273" max="1275" width="0" style="6" hidden="1" customWidth="1"/>
    <col min="1276" max="1279" width="10.7109375" style="6" customWidth="1"/>
    <col min="1280" max="1280" width="0" style="6" hidden="1" customWidth="1"/>
    <col min="1281" max="1281" width="11.28515625" style="6" customWidth="1"/>
    <col min="1282" max="1283" width="10.7109375" style="6" customWidth="1"/>
    <col min="1284" max="1284" width="0" style="6" hidden="1" customWidth="1"/>
    <col min="1285" max="1285" width="9.42578125" style="6" customWidth="1"/>
    <col min="1286" max="1286" width="0" style="6" hidden="1" customWidth="1"/>
    <col min="1287" max="1287" width="9.42578125" style="6" customWidth="1"/>
    <col min="1288" max="1288" width="0" style="6" hidden="1" customWidth="1"/>
    <col min="1289" max="1289" width="11.7109375" style="6" bestFit="1" customWidth="1"/>
    <col min="1290" max="1290" width="12.28515625" style="6" customWidth="1"/>
    <col min="1291" max="1292" width="0" style="6" hidden="1" customWidth="1"/>
    <col min="1293" max="1293" width="12.140625" style="6" customWidth="1"/>
    <col min="1294" max="1294" width="13.140625" style="6" customWidth="1"/>
    <col min="1295" max="1296" width="0" style="6" hidden="1" customWidth="1"/>
    <col min="1297" max="1297" width="10" style="6" customWidth="1"/>
    <col min="1298" max="1298" width="10.7109375" style="6" customWidth="1"/>
    <col min="1299" max="1299" width="12.7109375" style="6" customWidth="1"/>
    <col min="1300" max="1300" width="13.28515625" style="6" customWidth="1"/>
    <col min="1301" max="1301" width="16" style="6" customWidth="1"/>
    <col min="1302" max="1302" width="17.28515625" style="6" customWidth="1"/>
    <col min="1303" max="1303" width="10.7109375" style="6" customWidth="1"/>
    <col min="1304" max="1304" width="0" style="6" hidden="1" customWidth="1"/>
    <col min="1305" max="1306" width="10.7109375" style="6" customWidth="1"/>
    <col min="1307" max="1308" width="0" style="6" hidden="1" customWidth="1"/>
    <col min="1309" max="1310" width="10.7109375" style="6" customWidth="1"/>
    <col min="1311" max="1311" width="0" style="6" hidden="1" customWidth="1"/>
    <col min="1312" max="1313" width="10.7109375" style="6" customWidth="1"/>
    <col min="1314" max="1316" width="0" style="6" hidden="1" customWidth="1"/>
    <col min="1317" max="1317" width="12.42578125" style="6" customWidth="1"/>
    <col min="1318" max="1318" width="0" style="6" hidden="1" customWidth="1"/>
    <col min="1319" max="1319" width="10.7109375" style="6" customWidth="1"/>
    <col min="1320" max="1320" width="0" style="6" hidden="1" customWidth="1"/>
    <col min="1321" max="1327" width="10.7109375" style="6" customWidth="1"/>
    <col min="1328" max="1328" width="13.42578125" style="6" customWidth="1"/>
    <col min="1329" max="1329" width="12.42578125" style="6" customWidth="1"/>
    <col min="1330" max="1330" width="16.42578125" style="6" customWidth="1"/>
    <col min="1331" max="1331" width="12.42578125" style="6" customWidth="1"/>
    <col min="1332" max="1508" width="11.42578125" style="6"/>
    <col min="1509" max="1509" width="25.7109375" style="6" customWidth="1"/>
    <col min="1510" max="1510" width="13.42578125" style="6" customWidth="1"/>
    <col min="1511" max="1519" width="10.7109375" style="6" customWidth="1"/>
    <col min="1520" max="1520" width="10.140625" style="6" customWidth="1"/>
    <col min="1521" max="1523" width="0" style="6" hidden="1" customWidth="1"/>
    <col min="1524" max="1524" width="10.7109375" style="6" customWidth="1"/>
    <col min="1525" max="1525" width="9.28515625" style="6" customWidth="1"/>
    <col min="1526" max="1528" width="10.7109375" style="6" customWidth="1"/>
    <col min="1529" max="1531" width="0" style="6" hidden="1" customWidth="1"/>
    <col min="1532" max="1535" width="10.7109375" style="6" customWidth="1"/>
    <col min="1536" max="1536" width="0" style="6" hidden="1" customWidth="1"/>
    <col min="1537" max="1537" width="11.28515625" style="6" customWidth="1"/>
    <col min="1538" max="1539" width="10.7109375" style="6" customWidth="1"/>
    <col min="1540" max="1540" width="0" style="6" hidden="1" customWidth="1"/>
    <col min="1541" max="1541" width="9.42578125" style="6" customWidth="1"/>
    <col min="1542" max="1542" width="0" style="6" hidden="1" customWidth="1"/>
    <col min="1543" max="1543" width="9.42578125" style="6" customWidth="1"/>
    <col min="1544" max="1544" width="0" style="6" hidden="1" customWidth="1"/>
    <col min="1545" max="1545" width="11.7109375" style="6" bestFit="1" customWidth="1"/>
    <col min="1546" max="1546" width="12.28515625" style="6" customWidth="1"/>
    <col min="1547" max="1548" width="0" style="6" hidden="1" customWidth="1"/>
    <col min="1549" max="1549" width="12.140625" style="6" customWidth="1"/>
    <col min="1550" max="1550" width="13.140625" style="6" customWidth="1"/>
    <col min="1551" max="1552" width="0" style="6" hidden="1" customWidth="1"/>
    <col min="1553" max="1553" width="10" style="6" customWidth="1"/>
    <col min="1554" max="1554" width="10.7109375" style="6" customWidth="1"/>
    <col min="1555" max="1555" width="12.7109375" style="6" customWidth="1"/>
    <col min="1556" max="1556" width="13.28515625" style="6" customWidth="1"/>
    <col min="1557" max="1557" width="16" style="6" customWidth="1"/>
    <col min="1558" max="1558" width="17.28515625" style="6" customWidth="1"/>
    <col min="1559" max="1559" width="10.7109375" style="6" customWidth="1"/>
    <col min="1560" max="1560" width="0" style="6" hidden="1" customWidth="1"/>
    <col min="1561" max="1562" width="10.7109375" style="6" customWidth="1"/>
    <col min="1563" max="1564" width="0" style="6" hidden="1" customWidth="1"/>
    <col min="1565" max="1566" width="10.7109375" style="6" customWidth="1"/>
    <col min="1567" max="1567" width="0" style="6" hidden="1" customWidth="1"/>
    <col min="1568" max="1569" width="10.7109375" style="6" customWidth="1"/>
    <col min="1570" max="1572" width="0" style="6" hidden="1" customWidth="1"/>
    <col min="1573" max="1573" width="12.42578125" style="6" customWidth="1"/>
    <col min="1574" max="1574" width="0" style="6" hidden="1" customWidth="1"/>
    <col min="1575" max="1575" width="10.7109375" style="6" customWidth="1"/>
    <col min="1576" max="1576" width="0" style="6" hidden="1" customWidth="1"/>
    <col min="1577" max="1583" width="10.7109375" style="6" customWidth="1"/>
    <col min="1584" max="1584" width="13.42578125" style="6" customWidth="1"/>
    <col min="1585" max="1585" width="12.42578125" style="6" customWidth="1"/>
    <col min="1586" max="1586" width="16.42578125" style="6" customWidth="1"/>
    <col min="1587" max="1587" width="12.42578125" style="6" customWidth="1"/>
    <col min="1588" max="1764" width="11.42578125" style="6"/>
    <col min="1765" max="1765" width="25.7109375" style="6" customWidth="1"/>
    <col min="1766" max="1766" width="13.42578125" style="6" customWidth="1"/>
    <col min="1767" max="1775" width="10.7109375" style="6" customWidth="1"/>
    <col min="1776" max="1776" width="10.140625" style="6" customWidth="1"/>
    <col min="1777" max="1779" width="0" style="6" hidden="1" customWidth="1"/>
    <col min="1780" max="1780" width="10.7109375" style="6" customWidth="1"/>
    <col min="1781" max="1781" width="9.28515625" style="6" customWidth="1"/>
    <col min="1782" max="1784" width="10.7109375" style="6" customWidth="1"/>
    <col min="1785" max="1787" width="0" style="6" hidden="1" customWidth="1"/>
    <col min="1788" max="1791" width="10.7109375" style="6" customWidth="1"/>
    <col min="1792" max="1792" width="0" style="6" hidden="1" customWidth="1"/>
    <col min="1793" max="1793" width="11.28515625" style="6" customWidth="1"/>
    <col min="1794" max="1795" width="10.7109375" style="6" customWidth="1"/>
    <col min="1796" max="1796" width="0" style="6" hidden="1" customWidth="1"/>
    <col min="1797" max="1797" width="9.42578125" style="6" customWidth="1"/>
    <col min="1798" max="1798" width="0" style="6" hidden="1" customWidth="1"/>
    <col min="1799" max="1799" width="9.42578125" style="6" customWidth="1"/>
    <col min="1800" max="1800" width="0" style="6" hidden="1" customWidth="1"/>
    <col min="1801" max="1801" width="11.7109375" style="6" bestFit="1" customWidth="1"/>
    <col min="1802" max="1802" width="12.28515625" style="6" customWidth="1"/>
    <col min="1803" max="1804" width="0" style="6" hidden="1" customWidth="1"/>
    <col min="1805" max="1805" width="12.140625" style="6" customWidth="1"/>
    <col min="1806" max="1806" width="13.140625" style="6" customWidth="1"/>
    <col min="1807" max="1808" width="0" style="6" hidden="1" customWidth="1"/>
    <col min="1809" max="1809" width="10" style="6" customWidth="1"/>
    <col min="1810" max="1810" width="10.7109375" style="6" customWidth="1"/>
    <col min="1811" max="1811" width="12.7109375" style="6" customWidth="1"/>
    <col min="1812" max="1812" width="13.28515625" style="6" customWidth="1"/>
    <col min="1813" max="1813" width="16" style="6" customWidth="1"/>
    <col min="1814" max="1814" width="17.28515625" style="6" customWidth="1"/>
    <col min="1815" max="1815" width="10.7109375" style="6" customWidth="1"/>
    <col min="1816" max="1816" width="0" style="6" hidden="1" customWidth="1"/>
    <col min="1817" max="1818" width="10.7109375" style="6" customWidth="1"/>
    <col min="1819" max="1820" width="0" style="6" hidden="1" customWidth="1"/>
    <col min="1821" max="1822" width="10.7109375" style="6" customWidth="1"/>
    <col min="1823" max="1823" width="0" style="6" hidden="1" customWidth="1"/>
    <col min="1824" max="1825" width="10.7109375" style="6" customWidth="1"/>
    <col min="1826" max="1828" width="0" style="6" hidden="1" customWidth="1"/>
    <col min="1829" max="1829" width="12.42578125" style="6" customWidth="1"/>
    <col min="1830" max="1830" width="0" style="6" hidden="1" customWidth="1"/>
    <col min="1831" max="1831" width="10.7109375" style="6" customWidth="1"/>
    <col min="1832" max="1832" width="0" style="6" hidden="1" customWidth="1"/>
    <col min="1833" max="1839" width="10.7109375" style="6" customWidth="1"/>
    <col min="1840" max="1840" width="13.42578125" style="6" customWidth="1"/>
    <col min="1841" max="1841" width="12.42578125" style="6" customWidth="1"/>
    <col min="1842" max="1842" width="16.42578125" style="6" customWidth="1"/>
    <col min="1843" max="1843" width="12.42578125" style="6" customWidth="1"/>
    <col min="1844" max="2020" width="11.42578125" style="6"/>
    <col min="2021" max="2021" width="25.7109375" style="6" customWidth="1"/>
    <col min="2022" max="2022" width="13.42578125" style="6" customWidth="1"/>
    <col min="2023" max="2031" width="10.7109375" style="6" customWidth="1"/>
    <col min="2032" max="2032" width="10.140625" style="6" customWidth="1"/>
    <col min="2033" max="2035" width="0" style="6" hidden="1" customWidth="1"/>
    <col min="2036" max="2036" width="10.7109375" style="6" customWidth="1"/>
    <col min="2037" max="2037" width="9.28515625" style="6" customWidth="1"/>
    <col min="2038" max="2040" width="10.7109375" style="6" customWidth="1"/>
    <col min="2041" max="2043" width="0" style="6" hidden="1" customWidth="1"/>
    <col min="2044" max="2047" width="10.7109375" style="6" customWidth="1"/>
    <col min="2048" max="2048" width="0" style="6" hidden="1" customWidth="1"/>
    <col min="2049" max="2049" width="11.28515625" style="6" customWidth="1"/>
    <col min="2050" max="2051" width="10.7109375" style="6" customWidth="1"/>
    <col min="2052" max="2052" width="0" style="6" hidden="1" customWidth="1"/>
    <col min="2053" max="2053" width="9.42578125" style="6" customWidth="1"/>
    <col min="2054" max="2054" width="0" style="6" hidden="1" customWidth="1"/>
    <col min="2055" max="2055" width="9.42578125" style="6" customWidth="1"/>
    <col min="2056" max="2056" width="0" style="6" hidden="1" customWidth="1"/>
    <col min="2057" max="2057" width="11.7109375" style="6" bestFit="1" customWidth="1"/>
    <col min="2058" max="2058" width="12.28515625" style="6" customWidth="1"/>
    <col min="2059" max="2060" width="0" style="6" hidden="1" customWidth="1"/>
    <col min="2061" max="2061" width="12.140625" style="6" customWidth="1"/>
    <col min="2062" max="2062" width="13.140625" style="6" customWidth="1"/>
    <col min="2063" max="2064" width="0" style="6" hidden="1" customWidth="1"/>
    <col min="2065" max="2065" width="10" style="6" customWidth="1"/>
    <col min="2066" max="2066" width="10.7109375" style="6" customWidth="1"/>
    <col min="2067" max="2067" width="12.7109375" style="6" customWidth="1"/>
    <col min="2068" max="2068" width="13.28515625" style="6" customWidth="1"/>
    <col min="2069" max="2069" width="16" style="6" customWidth="1"/>
    <col min="2070" max="2070" width="17.28515625" style="6" customWidth="1"/>
    <col min="2071" max="2071" width="10.7109375" style="6" customWidth="1"/>
    <col min="2072" max="2072" width="0" style="6" hidden="1" customWidth="1"/>
    <col min="2073" max="2074" width="10.7109375" style="6" customWidth="1"/>
    <col min="2075" max="2076" width="0" style="6" hidden="1" customWidth="1"/>
    <col min="2077" max="2078" width="10.7109375" style="6" customWidth="1"/>
    <col min="2079" max="2079" width="0" style="6" hidden="1" customWidth="1"/>
    <col min="2080" max="2081" width="10.7109375" style="6" customWidth="1"/>
    <col min="2082" max="2084" width="0" style="6" hidden="1" customWidth="1"/>
    <col min="2085" max="2085" width="12.42578125" style="6" customWidth="1"/>
    <col min="2086" max="2086" width="0" style="6" hidden="1" customWidth="1"/>
    <col min="2087" max="2087" width="10.7109375" style="6" customWidth="1"/>
    <col min="2088" max="2088" width="0" style="6" hidden="1" customWidth="1"/>
    <col min="2089" max="2095" width="10.7109375" style="6" customWidth="1"/>
    <col min="2096" max="2096" width="13.42578125" style="6" customWidth="1"/>
    <col min="2097" max="2097" width="12.42578125" style="6" customWidth="1"/>
    <col min="2098" max="2098" width="16.42578125" style="6" customWidth="1"/>
    <col min="2099" max="2099" width="12.42578125" style="6" customWidth="1"/>
    <col min="2100" max="2276" width="11.42578125" style="6"/>
    <col min="2277" max="2277" width="25.7109375" style="6" customWidth="1"/>
    <col min="2278" max="2278" width="13.42578125" style="6" customWidth="1"/>
    <col min="2279" max="2287" width="10.7109375" style="6" customWidth="1"/>
    <col min="2288" max="2288" width="10.140625" style="6" customWidth="1"/>
    <col min="2289" max="2291" width="0" style="6" hidden="1" customWidth="1"/>
    <col min="2292" max="2292" width="10.7109375" style="6" customWidth="1"/>
    <col min="2293" max="2293" width="9.28515625" style="6" customWidth="1"/>
    <col min="2294" max="2296" width="10.7109375" style="6" customWidth="1"/>
    <col min="2297" max="2299" width="0" style="6" hidden="1" customWidth="1"/>
    <col min="2300" max="2303" width="10.7109375" style="6" customWidth="1"/>
    <col min="2304" max="2304" width="0" style="6" hidden="1" customWidth="1"/>
    <col min="2305" max="2305" width="11.28515625" style="6" customWidth="1"/>
    <col min="2306" max="2307" width="10.7109375" style="6" customWidth="1"/>
    <col min="2308" max="2308" width="0" style="6" hidden="1" customWidth="1"/>
    <col min="2309" max="2309" width="9.42578125" style="6" customWidth="1"/>
    <col min="2310" max="2310" width="0" style="6" hidden="1" customWidth="1"/>
    <col min="2311" max="2311" width="9.42578125" style="6" customWidth="1"/>
    <col min="2312" max="2312" width="0" style="6" hidden="1" customWidth="1"/>
    <col min="2313" max="2313" width="11.7109375" style="6" bestFit="1" customWidth="1"/>
    <col min="2314" max="2314" width="12.28515625" style="6" customWidth="1"/>
    <col min="2315" max="2316" width="0" style="6" hidden="1" customWidth="1"/>
    <col min="2317" max="2317" width="12.140625" style="6" customWidth="1"/>
    <col min="2318" max="2318" width="13.140625" style="6" customWidth="1"/>
    <col min="2319" max="2320" width="0" style="6" hidden="1" customWidth="1"/>
    <col min="2321" max="2321" width="10" style="6" customWidth="1"/>
    <col min="2322" max="2322" width="10.7109375" style="6" customWidth="1"/>
    <col min="2323" max="2323" width="12.7109375" style="6" customWidth="1"/>
    <col min="2324" max="2324" width="13.28515625" style="6" customWidth="1"/>
    <col min="2325" max="2325" width="16" style="6" customWidth="1"/>
    <col min="2326" max="2326" width="17.28515625" style="6" customWidth="1"/>
    <col min="2327" max="2327" width="10.7109375" style="6" customWidth="1"/>
    <col min="2328" max="2328" width="0" style="6" hidden="1" customWidth="1"/>
    <col min="2329" max="2330" width="10.7109375" style="6" customWidth="1"/>
    <col min="2331" max="2332" width="0" style="6" hidden="1" customWidth="1"/>
    <col min="2333" max="2334" width="10.7109375" style="6" customWidth="1"/>
    <col min="2335" max="2335" width="0" style="6" hidden="1" customWidth="1"/>
    <col min="2336" max="2337" width="10.7109375" style="6" customWidth="1"/>
    <col min="2338" max="2340" width="0" style="6" hidden="1" customWidth="1"/>
    <col min="2341" max="2341" width="12.42578125" style="6" customWidth="1"/>
    <col min="2342" max="2342" width="0" style="6" hidden="1" customWidth="1"/>
    <col min="2343" max="2343" width="10.7109375" style="6" customWidth="1"/>
    <col min="2344" max="2344" width="0" style="6" hidden="1" customWidth="1"/>
    <col min="2345" max="2351" width="10.7109375" style="6" customWidth="1"/>
    <col min="2352" max="2352" width="13.42578125" style="6" customWidth="1"/>
    <col min="2353" max="2353" width="12.42578125" style="6" customWidth="1"/>
    <col min="2354" max="2354" width="16.42578125" style="6" customWidth="1"/>
    <col min="2355" max="2355" width="12.42578125" style="6" customWidth="1"/>
    <col min="2356" max="2532" width="11.42578125" style="6"/>
    <col min="2533" max="2533" width="25.7109375" style="6" customWidth="1"/>
    <col min="2534" max="2534" width="13.42578125" style="6" customWidth="1"/>
    <col min="2535" max="2543" width="10.7109375" style="6" customWidth="1"/>
    <col min="2544" max="2544" width="10.140625" style="6" customWidth="1"/>
    <col min="2545" max="2547" width="0" style="6" hidden="1" customWidth="1"/>
    <col min="2548" max="2548" width="10.7109375" style="6" customWidth="1"/>
    <col min="2549" max="2549" width="9.28515625" style="6" customWidth="1"/>
    <col min="2550" max="2552" width="10.7109375" style="6" customWidth="1"/>
    <col min="2553" max="2555" width="0" style="6" hidden="1" customWidth="1"/>
    <col min="2556" max="2559" width="10.7109375" style="6" customWidth="1"/>
    <col min="2560" max="2560" width="0" style="6" hidden="1" customWidth="1"/>
    <col min="2561" max="2561" width="11.28515625" style="6" customWidth="1"/>
    <col min="2562" max="2563" width="10.7109375" style="6" customWidth="1"/>
    <col min="2564" max="2564" width="0" style="6" hidden="1" customWidth="1"/>
    <col min="2565" max="2565" width="9.42578125" style="6" customWidth="1"/>
    <col min="2566" max="2566" width="0" style="6" hidden="1" customWidth="1"/>
    <col min="2567" max="2567" width="9.42578125" style="6" customWidth="1"/>
    <col min="2568" max="2568" width="0" style="6" hidden="1" customWidth="1"/>
    <col min="2569" max="2569" width="11.7109375" style="6" bestFit="1" customWidth="1"/>
    <col min="2570" max="2570" width="12.28515625" style="6" customWidth="1"/>
    <col min="2571" max="2572" width="0" style="6" hidden="1" customWidth="1"/>
    <col min="2573" max="2573" width="12.140625" style="6" customWidth="1"/>
    <col min="2574" max="2574" width="13.140625" style="6" customWidth="1"/>
    <col min="2575" max="2576" width="0" style="6" hidden="1" customWidth="1"/>
    <col min="2577" max="2577" width="10" style="6" customWidth="1"/>
    <col min="2578" max="2578" width="10.7109375" style="6" customWidth="1"/>
    <col min="2579" max="2579" width="12.7109375" style="6" customWidth="1"/>
    <col min="2580" max="2580" width="13.28515625" style="6" customWidth="1"/>
    <col min="2581" max="2581" width="16" style="6" customWidth="1"/>
    <col min="2582" max="2582" width="17.28515625" style="6" customWidth="1"/>
    <col min="2583" max="2583" width="10.7109375" style="6" customWidth="1"/>
    <col min="2584" max="2584" width="0" style="6" hidden="1" customWidth="1"/>
    <col min="2585" max="2586" width="10.7109375" style="6" customWidth="1"/>
    <col min="2587" max="2588" width="0" style="6" hidden="1" customWidth="1"/>
    <col min="2589" max="2590" width="10.7109375" style="6" customWidth="1"/>
    <col min="2591" max="2591" width="0" style="6" hidden="1" customWidth="1"/>
    <col min="2592" max="2593" width="10.7109375" style="6" customWidth="1"/>
    <col min="2594" max="2596" width="0" style="6" hidden="1" customWidth="1"/>
    <col min="2597" max="2597" width="12.42578125" style="6" customWidth="1"/>
    <col min="2598" max="2598" width="0" style="6" hidden="1" customWidth="1"/>
    <col min="2599" max="2599" width="10.7109375" style="6" customWidth="1"/>
    <col min="2600" max="2600" width="0" style="6" hidden="1" customWidth="1"/>
    <col min="2601" max="2607" width="10.7109375" style="6" customWidth="1"/>
    <col min="2608" max="2608" width="13.42578125" style="6" customWidth="1"/>
    <col min="2609" max="2609" width="12.42578125" style="6" customWidth="1"/>
    <col min="2610" max="2610" width="16.42578125" style="6" customWidth="1"/>
    <col min="2611" max="2611" width="12.42578125" style="6" customWidth="1"/>
    <col min="2612" max="2788" width="11.42578125" style="6"/>
    <col min="2789" max="2789" width="25.7109375" style="6" customWidth="1"/>
    <col min="2790" max="2790" width="13.42578125" style="6" customWidth="1"/>
    <col min="2791" max="2799" width="10.7109375" style="6" customWidth="1"/>
    <col min="2800" max="2800" width="10.140625" style="6" customWidth="1"/>
    <col min="2801" max="2803" width="0" style="6" hidden="1" customWidth="1"/>
    <col min="2804" max="2804" width="10.7109375" style="6" customWidth="1"/>
    <col min="2805" max="2805" width="9.28515625" style="6" customWidth="1"/>
    <col min="2806" max="2808" width="10.7109375" style="6" customWidth="1"/>
    <col min="2809" max="2811" width="0" style="6" hidden="1" customWidth="1"/>
    <col min="2812" max="2815" width="10.7109375" style="6" customWidth="1"/>
    <col min="2816" max="2816" width="0" style="6" hidden="1" customWidth="1"/>
    <col min="2817" max="2817" width="11.28515625" style="6" customWidth="1"/>
    <col min="2818" max="2819" width="10.7109375" style="6" customWidth="1"/>
    <col min="2820" max="2820" width="0" style="6" hidden="1" customWidth="1"/>
    <col min="2821" max="2821" width="9.42578125" style="6" customWidth="1"/>
    <col min="2822" max="2822" width="0" style="6" hidden="1" customWidth="1"/>
    <col min="2823" max="2823" width="9.42578125" style="6" customWidth="1"/>
    <col min="2824" max="2824" width="0" style="6" hidden="1" customWidth="1"/>
    <col min="2825" max="2825" width="11.7109375" style="6" bestFit="1" customWidth="1"/>
    <col min="2826" max="2826" width="12.28515625" style="6" customWidth="1"/>
    <col min="2827" max="2828" width="0" style="6" hidden="1" customWidth="1"/>
    <col min="2829" max="2829" width="12.140625" style="6" customWidth="1"/>
    <col min="2830" max="2830" width="13.140625" style="6" customWidth="1"/>
    <col min="2831" max="2832" width="0" style="6" hidden="1" customWidth="1"/>
    <col min="2833" max="2833" width="10" style="6" customWidth="1"/>
    <col min="2834" max="2834" width="10.7109375" style="6" customWidth="1"/>
    <col min="2835" max="2835" width="12.7109375" style="6" customWidth="1"/>
    <col min="2836" max="2836" width="13.28515625" style="6" customWidth="1"/>
    <col min="2837" max="2837" width="16" style="6" customWidth="1"/>
    <col min="2838" max="2838" width="17.28515625" style="6" customWidth="1"/>
    <col min="2839" max="2839" width="10.7109375" style="6" customWidth="1"/>
    <col min="2840" max="2840" width="0" style="6" hidden="1" customWidth="1"/>
    <col min="2841" max="2842" width="10.7109375" style="6" customWidth="1"/>
    <col min="2843" max="2844" width="0" style="6" hidden="1" customWidth="1"/>
    <col min="2845" max="2846" width="10.7109375" style="6" customWidth="1"/>
    <col min="2847" max="2847" width="0" style="6" hidden="1" customWidth="1"/>
    <col min="2848" max="2849" width="10.7109375" style="6" customWidth="1"/>
    <col min="2850" max="2852" width="0" style="6" hidden="1" customWidth="1"/>
    <col min="2853" max="2853" width="12.42578125" style="6" customWidth="1"/>
    <col min="2854" max="2854" width="0" style="6" hidden="1" customWidth="1"/>
    <col min="2855" max="2855" width="10.7109375" style="6" customWidth="1"/>
    <col min="2856" max="2856" width="0" style="6" hidden="1" customWidth="1"/>
    <col min="2857" max="2863" width="10.7109375" style="6" customWidth="1"/>
    <col min="2864" max="2864" width="13.42578125" style="6" customWidth="1"/>
    <col min="2865" max="2865" width="12.42578125" style="6" customWidth="1"/>
    <col min="2866" max="2866" width="16.42578125" style="6" customWidth="1"/>
    <col min="2867" max="2867" width="12.42578125" style="6" customWidth="1"/>
    <col min="2868" max="3044" width="11.42578125" style="6"/>
    <col min="3045" max="3045" width="25.7109375" style="6" customWidth="1"/>
    <col min="3046" max="3046" width="13.42578125" style="6" customWidth="1"/>
    <col min="3047" max="3055" width="10.7109375" style="6" customWidth="1"/>
    <col min="3056" max="3056" width="10.140625" style="6" customWidth="1"/>
    <col min="3057" max="3059" width="0" style="6" hidden="1" customWidth="1"/>
    <col min="3060" max="3060" width="10.7109375" style="6" customWidth="1"/>
    <col min="3061" max="3061" width="9.28515625" style="6" customWidth="1"/>
    <col min="3062" max="3064" width="10.7109375" style="6" customWidth="1"/>
    <col min="3065" max="3067" width="0" style="6" hidden="1" customWidth="1"/>
    <col min="3068" max="3071" width="10.7109375" style="6" customWidth="1"/>
    <col min="3072" max="3072" width="0" style="6" hidden="1" customWidth="1"/>
    <col min="3073" max="3073" width="11.28515625" style="6" customWidth="1"/>
    <col min="3074" max="3075" width="10.7109375" style="6" customWidth="1"/>
    <col min="3076" max="3076" width="0" style="6" hidden="1" customWidth="1"/>
    <col min="3077" max="3077" width="9.42578125" style="6" customWidth="1"/>
    <col min="3078" max="3078" width="0" style="6" hidden="1" customWidth="1"/>
    <col min="3079" max="3079" width="9.42578125" style="6" customWidth="1"/>
    <col min="3080" max="3080" width="0" style="6" hidden="1" customWidth="1"/>
    <col min="3081" max="3081" width="11.7109375" style="6" bestFit="1" customWidth="1"/>
    <col min="3082" max="3082" width="12.28515625" style="6" customWidth="1"/>
    <col min="3083" max="3084" width="0" style="6" hidden="1" customWidth="1"/>
    <col min="3085" max="3085" width="12.140625" style="6" customWidth="1"/>
    <col min="3086" max="3086" width="13.140625" style="6" customWidth="1"/>
    <col min="3087" max="3088" width="0" style="6" hidden="1" customWidth="1"/>
    <col min="3089" max="3089" width="10" style="6" customWidth="1"/>
    <col min="3090" max="3090" width="10.7109375" style="6" customWidth="1"/>
    <col min="3091" max="3091" width="12.7109375" style="6" customWidth="1"/>
    <col min="3092" max="3092" width="13.28515625" style="6" customWidth="1"/>
    <col min="3093" max="3093" width="16" style="6" customWidth="1"/>
    <col min="3094" max="3094" width="17.28515625" style="6" customWidth="1"/>
    <col min="3095" max="3095" width="10.7109375" style="6" customWidth="1"/>
    <col min="3096" max="3096" width="0" style="6" hidden="1" customWidth="1"/>
    <col min="3097" max="3098" width="10.7109375" style="6" customWidth="1"/>
    <col min="3099" max="3100" width="0" style="6" hidden="1" customWidth="1"/>
    <col min="3101" max="3102" width="10.7109375" style="6" customWidth="1"/>
    <col min="3103" max="3103" width="0" style="6" hidden="1" customWidth="1"/>
    <col min="3104" max="3105" width="10.7109375" style="6" customWidth="1"/>
    <col min="3106" max="3108" width="0" style="6" hidden="1" customWidth="1"/>
    <col min="3109" max="3109" width="12.42578125" style="6" customWidth="1"/>
    <col min="3110" max="3110" width="0" style="6" hidden="1" customWidth="1"/>
    <col min="3111" max="3111" width="10.7109375" style="6" customWidth="1"/>
    <col min="3112" max="3112" width="0" style="6" hidden="1" customWidth="1"/>
    <col min="3113" max="3119" width="10.7109375" style="6" customWidth="1"/>
    <col min="3120" max="3120" width="13.42578125" style="6" customWidth="1"/>
    <col min="3121" max="3121" width="12.42578125" style="6" customWidth="1"/>
    <col min="3122" max="3122" width="16.42578125" style="6" customWidth="1"/>
    <col min="3123" max="3123" width="12.42578125" style="6" customWidth="1"/>
    <col min="3124" max="3300" width="11.42578125" style="6"/>
    <col min="3301" max="3301" width="25.7109375" style="6" customWidth="1"/>
    <col min="3302" max="3302" width="13.42578125" style="6" customWidth="1"/>
    <col min="3303" max="3311" width="10.7109375" style="6" customWidth="1"/>
    <col min="3312" max="3312" width="10.140625" style="6" customWidth="1"/>
    <col min="3313" max="3315" width="0" style="6" hidden="1" customWidth="1"/>
    <col min="3316" max="3316" width="10.7109375" style="6" customWidth="1"/>
    <col min="3317" max="3317" width="9.28515625" style="6" customWidth="1"/>
    <col min="3318" max="3320" width="10.7109375" style="6" customWidth="1"/>
    <col min="3321" max="3323" width="0" style="6" hidden="1" customWidth="1"/>
    <col min="3324" max="3327" width="10.7109375" style="6" customWidth="1"/>
    <col min="3328" max="3328" width="0" style="6" hidden="1" customWidth="1"/>
    <col min="3329" max="3329" width="11.28515625" style="6" customWidth="1"/>
    <col min="3330" max="3331" width="10.7109375" style="6" customWidth="1"/>
    <col min="3332" max="3332" width="0" style="6" hidden="1" customWidth="1"/>
    <col min="3333" max="3333" width="9.42578125" style="6" customWidth="1"/>
    <col min="3334" max="3334" width="0" style="6" hidden="1" customWidth="1"/>
    <col min="3335" max="3335" width="9.42578125" style="6" customWidth="1"/>
    <col min="3336" max="3336" width="0" style="6" hidden="1" customWidth="1"/>
    <col min="3337" max="3337" width="11.7109375" style="6" bestFit="1" customWidth="1"/>
    <col min="3338" max="3338" width="12.28515625" style="6" customWidth="1"/>
    <col min="3339" max="3340" width="0" style="6" hidden="1" customWidth="1"/>
    <col min="3341" max="3341" width="12.140625" style="6" customWidth="1"/>
    <col min="3342" max="3342" width="13.140625" style="6" customWidth="1"/>
    <col min="3343" max="3344" width="0" style="6" hidden="1" customWidth="1"/>
    <col min="3345" max="3345" width="10" style="6" customWidth="1"/>
    <col min="3346" max="3346" width="10.7109375" style="6" customWidth="1"/>
    <col min="3347" max="3347" width="12.7109375" style="6" customWidth="1"/>
    <col min="3348" max="3348" width="13.28515625" style="6" customWidth="1"/>
    <col min="3349" max="3349" width="16" style="6" customWidth="1"/>
    <col min="3350" max="3350" width="17.28515625" style="6" customWidth="1"/>
    <col min="3351" max="3351" width="10.7109375" style="6" customWidth="1"/>
    <col min="3352" max="3352" width="0" style="6" hidden="1" customWidth="1"/>
    <col min="3353" max="3354" width="10.7109375" style="6" customWidth="1"/>
    <col min="3355" max="3356" width="0" style="6" hidden="1" customWidth="1"/>
    <col min="3357" max="3358" width="10.7109375" style="6" customWidth="1"/>
    <col min="3359" max="3359" width="0" style="6" hidden="1" customWidth="1"/>
    <col min="3360" max="3361" width="10.7109375" style="6" customWidth="1"/>
    <col min="3362" max="3364" width="0" style="6" hidden="1" customWidth="1"/>
    <col min="3365" max="3365" width="12.42578125" style="6" customWidth="1"/>
    <col min="3366" max="3366" width="0" style="6" hidden="1" customWidth="1"/>
    <col min="3367" max="3367" width="10.7109375" style="6" customWidth="1"/>
    <col min="3368" max="3368" width="0" style="6" hidden="1" customWidth="1"/>
    <col min="3369" max="3375" width="10.7109375" style="6" customWidth="1"/>
    <col min="3376" max="3376" width="13.42578125" style="6" customWidth="1"/>
    <col min="3377" max="3377" width="12.42578125" style="6" customWidth="1"/>
    <col min="3378" max="3378" width="16.42578125" style="6" customWidth="1"/>
    <col min="3379" max="3379" width="12.42578125" style="6" customWidth="1"/>
    <col min="3380" max="3556" width="11.42578125" style="6"/>
    <col min="3557" max="3557" width="25.7109375" style="6" customWidth="1"/>
    <col min="3558" max="3558" width="13.42578125" style="6" customWidth="1"/>
    <col min="3559" max="3567" width="10.7109375" style="6" customWidth="1"/>
    <col min="3568" max="3568" width="10.140625" style="6" customWidth="1"/>
    <col min="3569" max="3571" width="0" style="6" hidden="1" customWidth="1"/>
    <col min="3572" max="3572" width="10.7109375" style="6" customWidth="1"/>
    <col min="3573" max="3573" width="9.28515625" style="6" customWidth="1"/>
    <col min="3574" max="3576" width="10.7109375" style="6" customWidth="1"/>
    <col min="3577" max="3579" width="0" style="6" hidden="1" customWidth="1"/>
    <col min="3580" max="3583" width="10.7109375" style="6" customWidth="1"/>
    <col min="3584" max="3584" width="0" style="6" hidden="1" customWidth="1"/>
    <col min="3585" max="3585" width="11.28515625" style="6" customWidth="1"/>
    <col min="3586" max="3587" width="10.7109375" style="6" customWidth="1"/>
    <col min="3588" max="3588" width="0" style="6" hidden="1" customWidth="1"/>
    <col min="3589" max="3589" width="9.42578125" style="6" customWidth="1"/>
    <col min="3590" max="3590" width="0" style="6" hidden="1" customWidth="1"/>
    <col min="3591" max="3591" width="9.42578125" style="6" customWidth="1"/>
    <col min="3592" max="3592" width="0" style="6" hidden="1" customWidth="1"/>
    <col min="3593" max="3593" width="11.7109375" style="6" bestFit="1" customWidth="1"/>
    <col min="3594" max="3594" width="12.28515625" style="6" customWidth="1"/>
    <col min="3595" max="3596" width="0" style="6" hidden="1" customWidth="1"/>
    <col min="3597" max="3597" width="12.140625" style="6" customWidth="1"/>
    <col min="3598" max="3598" width="13.140625" style="6" customWidth="1"/>
    <col min="3599" max="3600" width="0" style="6" hidden="1" customWidth="1"/>
    <col min="3601" max="3601" width="10" style="6" customWidth="1"/>
    <col min="3602" max="3602" width="10.7109375" style="6" customWidth="1"/>
    <col min="3603" max="3603" width="12.7109375" style="6" customWidth="1"/>
    <col min="3604" max="3604" width="13.28515625" style="6" customWidth="1"/>
    <col min="3605" max="3605" width="16" style="6" customWidth="1"/>
    <col min="3606" max="3606" width="17.28515625" style="6" customWidth="1"/>
    <col min="3607" max="3607" width="10.7109375" style="6" customWidth="1"/>
    <col min="3608" max="3608" width="0" style="6" hidden="1" customWidth="1"/>
    <col min="3609" max="3610" width="10.7109375" style="6" customWidth="1"/>
    <col min="3611" max="3612" width="0" style="6" hidden="1" customWidth="1"/>
    <col min="3613" max="3614" width="10.7109375" style="6" customWidth="1"/>
    <col min="3615" max="3615" width="0" style="6" hidden="1" customWidth="1"/>
    <col min="3616" max="3617" width="10.7109375" style="6" customWidth="1"/>
    <col min="3618" max="3620" width="0" style="6" hidden="1" customWidth="1"/>
    <col min="3621" max="3621" width="12.42578125" style="6" customWidth="1"/>
    <col min="3622" max="3622" width="0" style="6" hidden="1" customWidth="1"/>
    <col min="3623" max="3623" width="10.7109375" style="6" customWidth="1"/>
    <col min="3624" max="3624" width="0" style="6" hidden="1" customWidth="1"/>
    <col min="3625" max="3631" width="10.7109375" style="6" customWidth="1"/>
    <col min="3632" max="3632" width="13.42578125" style="6" customWidth="1"/>
    <col min="3633" max="3633" width="12.42578125" style="6" customWidth="1"/>
    <col min="3634" max="3634" width="16.42578125" style="6" customWidth="1"/>
    <col min="3635" max="3635" width="12.42578125" style="6" customWidth="1"/>
    <col min="3636" max="3812" width="11.42578125" style="6"/>
    <col min="3813" max="3813" width="25.7109375" style="6" customWidth="1"/>
    <col min="3814" max="3814" width="13.42578125" style="6" customWidth="1"/>
    <col min="3815" max="3823" width="10.7109375" style="6" customWidth="1"/>
    <col min="3824" max="3824" width="10.140625" style="6" customWidth="1"/>
    <col min="3825" max="3827" width="0" style="6" hidden="1" customWidth="1"/>
    <col min="3828" max="3828" width="10.7109375" style="6" customWidth="1"/>
    <col min="3829" max="3829" width="9.28515625" style="6" customWidth="1"/>
    <col min="3830" max="3832" width="10.7109375" style="6" customWidth="1"/>
    <col min="3833" max="3835" width="0" style="6" hidden="1" customWidth="1"/>
    <col min="3836" max="3839" width="10.7109375" style="6" customWidth="1"/>
    <col min="3840" max="3840" width="0" style="6" hidden="1" customWidth="1"/>
    <col min="3841" max="3841" width="11.28515625" style="6" customWidth="1"/>
    <col min="3842" max="3843" width="10.7109375" style="6" customWidth="1"/>
    <col min="3844" max="3844" width="0" style="6" hidden="1" customWidth="1"/>
    <col min="3845" max="3845" width="9.42578125" style="6" customWidth="1"/>
    <col min="3846" max="3846" width="0" style="6" hidden="1" customWidth="1"/>
    <col min="3847" max="3847" width="9.42578125" style="6" customWidth="1"/>
    <col min="3848" max="3848" width="0" style="6" hidden="1" customWidth="1"/>
    <col min="3849" max="3849" width="11.7109375" style="6" bestFit="1" customWidth="1"/>
    <col min="3850" max="3850" width="12.28515625" style="6" customWidth="1"/>
    <col min="3851" max="3852" width="0" style="6" hidden="1" customWidth="1"/>
    <col min="3853" max="3853" width="12.140625" style="6" customWidth="1"/>
    <col min="3854" max="3854" width="13.140625" style="6" customWidth="1"/>
    <col min="3855" max="3856" width="0" style="6" hidden="1" customWidth="1"/>
    <col min="3857" max="3857" width="10" style="6" customWidth="1"/>
    <col min="3858" max="3858" width="10.7109375" style="6" customWidth="1"/>
    <col min="3859" max="3859" width="12.7109375" style="6" customWidth="1"/>
    <col min="3860" max="3860" width="13.28515625" style="6" customWidth="1"/>
    <col min="3861" max="3861" width="16" style="6" customWidth="1"/>
    <col min="3862" max="3862" width="17.28515625" style="6" customWidth="1"/>
    <col min="3863" max="3863" width="10.7109375" style="6" customWidth="1"/>
    <col min="3864" max="3864" width="0" style="6" hidden="1" customWidth="1"/>
    <col min="3865" max="3866" width="10.7109375" style="6" customWidth="1"/>
    <col min="3867" max="3868" width="0" style="6" hidden="1" customWidth="1"/>
    <col min="3869" max="3870" width="10.7109375" style="6" customWidth="1"/>
    <col min="3871" max="3871" width="0" style="6" hidden="1" customWidth="1"/>
    <col min="3872" max="3873" width="10.7109375" style="6" customWidth="1"/>
    <col min="3874" max="3876" width="0" style="6" hidden="1" customWidth="1"/>
    <col min="3877" max="3877" width="12.42578125" style="6" customWidth="1"/>
    <col min="3878" max="3878" width="0" style="6" hidden="1" customWidth="1"/>
    <col min="3879" max="3879" width="10.7109375" style="6" customWidth="1"/>
    <col min="3880" max="3880" width="0" style="6" hidden="1" customWidth="1"/>
    <col min="3881" max="3887" width="10.7109375" style="6" customWidth="1"/>
    <col min="3888" max="3888" width="13.42578125" style="6" customWidth="1"/>
    <col min="3889" max="3889" width="12.42578125" style="6" customWidth="1"/>
    <col min="3890" max="3890" width="16.42578125" style="6" customWidth="1"/>
    <col min="3891" max="3891" width="12.42578125" style="6" customWidth="1"/>
    <col min="3892" max="4068" width="11.42578125" style="6"/>
    <col min="4069" max="4069" width="25.7109375" style="6" customWidth="1"/>
    <col min="4070" max="4070" width="13.42578125" style="6" customWidth="1"/>
    <col min="4071" max="4079" width="10.7109375" style="6" customWidth="1"/>
    <col min="4080" max="4080" width="10.140625" style="6" customWidth="1"/>
    <col min="4081" max="4083" width="0" style="6" hidden="1" customWidth="1"/>
    <col min="4084" max="4084" width="10.7109375" style="6" customWidth="1"/>
    <col min="4085" max="4085" width="9.28515625" style="6" customWidth="1"/>
    <col min="4086" max="4088" width="10.7109375" style="6" customWidth="1"/>
    <col min="4089" max="4091" width="0" style="6" hidden="1" customWidth="1"/>
    <col min="4092" max="4095" width="10.7109375" style="6" customWidth="1"/>
    <col min="4096" max="4096" width="0" style="6" hidden="1" customWidth="1"/>
    <col min="4097" max="4097" width="11.28515625" style="6" customWidth="1"/>
    <col min="4098" max="4099" width="10.7109375" style="6" customWidth="1"/>
    <col min="4100" max="4100" width="0" style="6" hidden="1" customWidth="1"/>
    <col min="4101" max="4101" width="9.42578125" style="6" customWidth="1"/>
    <col min="4102" max="4102" width="0" style="6" hidden="1" customWidth="1"/>
    <col min="4103" max="4103" width="9.42578125" style="6" customWidth="1"/>
    <col min="4104" max="4104" width="0" style="6" hidden="1" customWidth="1"/>
    <col min="4105" max="4105" width="11.7109375" style="6" bestFit="1" customWidth="1"/>
    <col min="4106" max="4106" width="12.28515625" style="6" customWidth="1"/>
    <col min="4107" max="4108" width="0" style="6" hidden="1" customWidth="1"/>
    <col min="4109" max="4109" width="12.140625" style="6" customWidth="1"/>
    <col min="4110" max="4110" width="13.140625" style="6" customWidth="1"/>
    <col min="4111" max="4112" width="0" style="6" hidden="1" customWidth="1"/>
    <col min="4113" max="4113" width="10" style="6" customWidth="1"/>
    <col min="4114" max="4114" width="10.7109375" style="6" customWidth="1"/>
    <col min="4115" max="4115" width="12.7109375" style="6" customWidth="1"/>
    <col min="4116" max="4116" width="13.28515625" style="6" customWidth="1"/>
    <col min="4117" max="4117" width="16" style="6" customWidth="1"/>
    <col min="4118" max="4118" width="17.28515625" style="6" customWidth="1"/>
    <col min="4119" max="4119" width="10.7109375" style="6" customWidth="1"/>
    <col min="4120" max="4120" width="0" style="6" hidden="1" customWidth="1"/>
    <col min="4121" max="4122" width="10.7109375" style="6" customWidth="1"/>
    <col min="4123" max="4124" width="0" style="6" hidden="1" customWidth="1"/>
    <col min="4125" max="4126" width="10.7109375" style="6" customWidth="1"/>
    <col min="4127" max="4127" width="0" style="6" hidden="1" customWidth="1"/>
    <col min="4128" max="4129" width="10.7109375" style="6" customWidth="1"/>
    <col min="4130" max="4132" width="0" style="6" hidden="1" customWidth="1"/>
    <col min="4133" max="4133" width="12.42578125" style="6" customWidth="1"/>
    <col min="4134" max="4134" width="0" style="6" hidden="1" customWidth="1"/>
    <col min="4135" max="4135" width="10.7109375" style="6" customWidth="1"/>
    <col min="4136" max="4136" width="0" style="6" hidden="1" customWidth="1"/>
    <col min="4137" max="4143" width="10.7109375" style="6" customWidth="1"/>
    <col min="4144" max="4144" width="13.42578125" style="6" customWidth="1"/>
    <col min="4145" max="4145" width="12.42578125" style="6" customWidth="1"/>
    <col min="4146" max="4146" width="16.42578125" style="6" customWidth="1"/>
    <col min="4147" max="4147" width="12.42578125" style="6" customWidth="1"/>
    <col min="4148" max="4324" width="11.42578125" style="6"/>
    <col min="4325" max="4325" width="25.7109375" style="6" customWidth="1"/>
    <col min="4326" max="4326" width="13.42578125" style="6" customWidth="1"/>
    <col min="4327" max="4335" width="10.7109375" style="6" customWidth="1"/>
    <col min="4336" max="4336" width="10.140625" style="6" customWidth="1"/>
    <col min="4337" max="4339" width="0" style="6" hidden="1" customWidth="1"/>
    <col min="4340" max="4340" width="10.7109375" style="6" customWidth="1"/>
    <col min="4341" max="4341" width="9.28515625" style="6" customWidth="1"/>
    <col min="4342" max="4344" width="10.7109375" style="6" customWidth="1"/>
    <col min="4345" max="4347" width="0" style="6" hidden="1" customWidth="1"/>
    <col min="4348" max="4351" width="10.7109375" style="6" customWidth="1"/>
    <col min="4352" max="4352" width="0" style="6" hidden="1" customWidth="1"/>
    <col min="4353" max="4353" width="11.28515625" style="6" customWidth="1"/>
    <col min="4354" max="4355" width="10.7109375" style="6" customWidth="1"/>
    <col min="4356" max="4356" width="0" style="6" hidden="1" customWidth="1"/>
    <col min="4357" max="4357" width="9.42578125" style="6" customWidth="1"/>
    <col min="4358" max="4358" width="0" style="6" hidden="1" customWidth="1"/>
    <col min="4359" max="4359" width="9.42578125" style="6" customWidth="1"/>
    <col min="4360" max="4360" width="0" style="6" hidden="1" customWidth="1"/>
    <col min="4361" max="4361" width="11.7109375" style="6" bestFit="1" customWidth="1"/>
    <col min="4362" max="4362" width="12.28515625" style="6" customWidth="1"/>
    <col min="4363" max="4364" width="0" style="6" hidden="1" customWidth="1"/>
    <col min="4365" max="4365" width="12.140625" style="6" customWidth="1"/>
    <col min="4366" max="4366" width="13.140625" style="6" customWidth="1"/>
    <col min="4367" max="4368" width="0" style="6" hidden="1" customWidth="1"/>
    <col min="4369" max="4369" width="10" style="6" customWidth="1"/>
    <col min="4370" max="4370" width="10.7109375" style="6" customWidth="1"/>
    <col min="4371" max="4371" width="12.7109375" style="6" customWidth="1"/>
    <col min="4372" max="4372" width="13.28515625" style="6" customWidth="1"/>
    <col min="4373" max="4373" width="16" style="6" customWidth="1"/>
    <col min="4374" max="4374" width="17.28515625" style="6" customWidth="1"/>
    <col min="4375" max="4375" width="10.7109375" style="6" customWidth="1"/>
    <col min="4376" max="4376" width="0" style="6" hidden="1" customWidth="1"/>
    <col min="4377" max="4378" width="10.7109375" style="6" customWidth="1"/>
    <col min="4379" max="4380" width="0" style="6" hidden="1" customWidth="1"/>
    <col min="4381" max="4382" width="10.7109375" style="6" customWidth="1"/>
    <col min="4383" max="4383" width="0" style="6" hidden="1" customWidth="1"/>
    <col min="4384" max="4385" width="10.7109375" style="6" customWidth="1"/>
    <col min="4386" max="4388" width="0" style="6" hidden="1" customWidth="1"/>
    <col min="4389" max="4389" width="12.42578125" style="6" customWidth="1"/>
    <col min="4390" max="4390" width="0" style="6" hidden="1" customWidth="1"/>
    <col min="4391" max="4391" width="10.7109375" style="6" customWidth="1"/>
    <col min="4392" max="4392" width="0" style="6" hidden="1" customWidth="1"/>
    <col min="4393" max="4399" width="10.7109375" style="6" customWidth="1"/>
    <col min="4400" max="4400" width="13.42578125" style="6" customWidth="1"/>
    <col min="4401" max="4401" width="12.42578125" style="6" customWidth="1"/>
    <col min="4402" max="4402" width="16.42578125" style="6" customWidth="1"/>
    <col min="4403" max="4403" width="12.42578125" style="6" customWidth="1"/>
    <col min="4404" max="4580" width="11.42578125" style="6"/>
    <col min="4581" max="4581" width="25.7109375" style="6" customWidth="1"/>
    <col min="4582" max="4582" width="13.42578125" style="6" customWidth="1"/>
    <col min="4583" max="4591" width="10.7109375" style="6" customWidth="1"/>
    <col min="4592" max="4592" width="10.140625" style="6" customWidth="1"/>
    <col min="4593" max="4595" width="0" style="6" hidden="1" customWidth="1"/>
    <col min="4596" max="4596" width="10.7109375" style="6" customWidth="1"/>
    <col min="4597" max="4597" width="9.28515625" style="6" customWidth="1"/>
    <col min="4598" max="4600" width="10.7109375" style="6" customWidth="1"/>
    <col min="4601" max="4603" width="0" style="6" hidden="1" customWidth="1"/>
    <col min="4604" max="4607" width="10.7109375" style="6" customWidth="1"/>
    <col min="4608" max="4608" width="0" style="6" hidden="1" customWidth="1"/>
    <col min="4609" max="4609" width="11.28515625" style="6" customWidth="1"/>
    <col min="4610" max="4611" width="10.7109375" style="6" customWidth="1"/>
    <col min="4612" max="4612" width="0" style="6" hidden="1" customWidth="1"/>
    <col min="4613" max="4613" width="9.42578125" style="6" customWidth="1"/>
    <col min="4614" max="4614" width="0" style="6" hidden="1" customWidth="1"/>
    <col min="4615" max="4615" width="9.42578125" style="6" customWidth="1"/>
    <col min="4616" max="4616" width="0" style="6" hidden="1" customWidth="1"/>
    <col min="4617" max="4617" width="11.7109375" style="6" bestFit="1" customWidth="1"/>
    <col min="4618" max="4618" width="12.28515625" style="6" customWidth="1"/>
    <col min="4619" max="4620" width="0" style="6" hidden="1" customWidth="1"/>
    <col min="4621" max="4621" width="12.140625" style="6" customWidth="1"/>
    <col min="4622" max="4622" width="13.140625" style="6" customWidth="1"/>
    <col min="4623" max="4624" width="0" style="6" hidden="1" customWidth="1"/>
    <col min="4625" max="4625" width="10" style="6" customWidth="1"/>
    <col min="4626" max="4626" width="10.7109375" style="6" customWidth="1"/>
    <col min="4627" max="4627" width="12.7109375" style="6" customWidth="1"/>
    <col min="4628" max="4628" width="13.28515625" style="6" customWidth="1"/>
    <col min="4629" max="4629" width="16" style="6" customWidth="1"/>
    <col min="4630" max="4630" width="17.28515625" style="6" customWidth="1"/>
    <col min="4631" max="4631" width="10.7109375" style="6" customWidth="1"/>
    <col min="4632" max="4632" width="0" style="6" hidden="1" customWidth="1"/>
    <col min="4633" max="4634" width="10.7109375" style="6" customWidth="1"/>
    <col min="4635" max="4636" width="0" style="6" hidden="1" customWidth="1"/>
    <col min="4637" max="4638" width="10.7109375" style="6" customWidth="1"/>
    <col min="4639" max="4639" width="0" style="6" hidden="1" customWidth="1"/>
    <col min="4640" max="4641" width="10.7109375" style="6" customWidth="1"/>
    <col min="4642" max="4644" width="0" style="6" hidden="1" customWidth="1"/>
    <col min="4645" max="4645" width="12.42578125" style="6" customWidth="1"/>
    <col min="4646" max="4646" width="0" style="6" hidden="1" customWidth="1"/>
    <col min="4647" max="4647" width="10.7109375" style="6" customWidth="1"/>
    <col min="4648" max="4648" width="0" style="6" hidden="1" customWidth="1"/>
    <col min="4649" max="4655" width="10.7109375" style="6" customWidth="1"/>
    <col min="4656" max="4656" width="13.42578125" style="6" customWidth="1"/>
    <col min="4657" max="4657" width="12.42578125" style="6" customWidth="1"/>
    <col min="4658" max="4658" width="16.42578125" style="6" customWidth="1"/>
    <col min="4659" max="4659" width="12.42578125" style="6" customWidth="1"/>
    <col min="4660" max="4836" width="11.42578125" style="6"/>
    <col min="4837" max="4837" width="25.7109375" style="6" customWidth="1"/>
    <col min="4838" max="4838" width="13.42578125" style="6" customWidth="1"/>
    <col min="4839" max="4847" width="10.7109375" style="6" customWidth="1"/>
    <col min="4848" max="4848" width="10.140625" style="6" customWidth="1"/>
    <col min="4849" max="4851" width="0" style="6" hidden="1" customWidth="1"/>
    <col min="4852" max="4852" width="10.7109375" style="6" customWidth="1"/>
    <col min="4853" max="4853" width="9.28515625" style="6" customWidth="1"/>
    <col min="4854" max="4856" width="10.7109375" style="6" customWidth="1"/>
    <col min="4857" max="4859" width="0" style="6" hidden="1" customWidth="1"/>
    <col min="4860" max="4863" width="10.7109375" style="6" customWidth="1"/>
    <col min="4864" max="4864" width="0" style="6" hidden="1" customWidth="1"/>
    <col min="4865" max="4865" width="11.28515625" style="6" customWidth="1"/>
    <col min="4866" max="4867" width="10.7109375" style="6" customWidth="1"/>
    <col min="4868" max="4868" width="0" style="6" hidden="1" customWidth="1"/>
    <col min="4869" max="4869" width="9.42578125" style="6" customWidth="1"/>
    <col min="4870" max="4870" width="0" style="6" hidden="1" customWidth="1"/>
    <col min="4871" max="4871" width="9.42578125" style="6" customWidth="1"/>
    <col min="4872" max="4872" width="0" style="6" hidden="1" customWidth="1"/>
    <col min="4873" max="4873" width="11.7109375" style="6" bestFit="1" customWidth="1"/>
    <col min="4874" max="4874" width="12.28515625" style="6" customWidth="1"/>
    <col min="4875" max="4876" width="0" style="6" hidden="1" customWidth="1"/>
    <col min="4877" max="4877" width="12.140625" style="6" customWidth="1"/>
    <col min="4878" max="4878" width="13.140625" style="6" customWidth="1"/>
    <col min="4879" max="4880" width="0" style="6" hidden="1" customWidth="1"/>
    <col min="4881" max="4881" width="10" style="6" customWidth="1"/>
    <col min="4882" max="4882" width="10.7109375" style="6" customWidth="1"/>
    <col min="4883" max="4883" width="12.7109375" style="6" customWidth="1"/>
    <col min="4884" max="4884" width="13.28515625" style="6" customWidth="1"/>
    <col min="4885" max="4885" width="16" style="6" customWidth="1"/>
    <col min="4886" max="4886" width="17.28515625" style="6" customWidth="1"/>
    <col min="4887" max="4887" width="10.7109375" style="6" customWidth="1"/>
    <col min="4888" max="4888" width="0" style="6" hidden="1" customWidth="1"/>
    <col min="4889" max="4890" width="10.7109375" style="6" customWidth="1"/>
    <col min="4891" max="4892" width="0" style="6" hidden="1" customWidth="1"/>
    <col min="4893" max="4894" width="10.7109375" style="6" customWidth="1"/>
    <col min="4895" max="4895" width="0" style="6" hidden="1" customWidth="1"/>
    <col min="4896" max="4897" width="10.7109375" style="6" customWidth="1"/>
    <col min="4898" max="4900" width="0" style="6" hidden="1" customWidth="1"/>
    <col min="4901" max="4901" width="12.42578125" style="6" customWidth="1"/>
    <col min="4902" max="4902" width="0" style="6" hidden="1" customWidth="1"/>
    <col min="4903" max="4903" width="10.7109375" style="6" customWidth="1"/>
    <col min="4904" max="4904" width="0" style="6" hidden="1" customWidth="1"/>
    <col min="4905" max="4911" width="10.7109375" style="6" customWidth="1"/>
    <col min="4912" max="4912" width="13.42578125" style="6" customWidth="1"/>
    <col min="4913" max="4913" width="12.42578125" style="6" customWidth="1"/>
    <col min="4914" max="4914" width="16.42578125" style="6" customWidth="1"/>
    <col min="4915" max="4915" width="12.42578125" style="6" customWidth="1"/>
    <col min="4916" max="5092" width="11.42578125" style="6"/>
    <col min="5093" max="5093" width="25.7109375" style="6" customWidth="1"/>
    <col min="5094" max="5094" width="13.42578125" style="6" customWidth="1"/>
    <col min="5095" max="5103" width="10.7109375" style="6" customWidth="1"/>
    <col min="5104" max="5104" width="10.140625" style="6" customWidth="1"/>
    <col min="5105" max="5107" width="0" style="6" hidden="1" customWidth="1"/>
    <col min="5108" max="5108" width="10.7109375" style="6" customWidth="1"/>
    <col min="5109" max="5109" width="9.28515625" style="6" customWidth="1"/>
    <col min="5110" max="5112" width="10.7109375" style="6" customWidth="1"/>
    <col min="5113" max="5115" width="0" style="6" hidden="1" customWidth="1"/>
    <col min="5116" max="5119" width="10.7109375" style="6" customWidth="1"/>
    <col min="5120" max="5120" width="0" style="6" hidden="1" customWidth="1"/>
    <col min="5121" max="5121" width="11.28515625" style="6" customWidth="1"/>
    <col min="5122" max="5123" width="10.7109375" style="6" customWidth="1"/>
    <col min="5124" max="5124" width="0" style="6" hidden="1" customWidth="1"/>
    <col min="5125" max="5125" width="9.42578125" style="6" customWidth="1"/>
    <col min="5126" max="5126" width="0" style="6" hidden="1" customWidth="1"/>
    <col min="5127" max="5127" width="9.42578125" style="6" customWidth="1"/>
    <col min="5128" max="5128" width="0" style="6" hidden="1" customWidth="1"/>
    <col min="5129" max="5129" width="11.7109375" style="6" bestFit="1" customWidth="1"/>
    <col min="5130" max="5130" width="12.28515625" style="6" customWidth="1"/>
    <col min="5131" max="5132" width="0" style="6" hidden="1" customWidth="1"/>
    <col min="5133" max="5133" width="12.140625" style="6" customWidth="1"/>
    <col min="5134" max="5134" width="13.140625" style="6" customWidth="1"/>
    <col min="5135" max="5136" width="0" style="6" hidden="1" customWidth="1"/>
    <col min="5137" max="5137" width="10" style="6" customWidth="1"/>
    <col min="5138" max="5138" width="10.7109375" style="6" customWidth="1"/>
    <col min="5139" max="5139" width="12.7109375" style="6" customWidth="1"/>
    <col min="5140" max="5140" width="13.28515625" style="6" customWidth="1"/>
    <col min="5141" max="5141" width="16" style="6" customWidth="1"/>
    <col min="5142" max="5142" width="17.28515625" style="6" customWidth="1"/>
    <col min="5143" max="5143" width="10.7109375" style="6" customWidth="1"/>
    <col min="5144" max="5144" width="0" style="6" hidden="1" customWidth="1"/>
    <col min="5145" max="5146" width="10.7109375" style="6" customWidth="1"/>
    <col min="5147" max="5148" width="0" style="6" hidden="1" customWidth="1"/>
    <col min="5149" max="5150" width="10.7109375" style="6" customWidth="1"/>
    <col min="5151" max="5151" width="0" style="6" hidden="1" customWidth="1"/>
    <col min="5152" max="5153" width="10.7109375" style="6" customWidth="1"/>
    <col min="5154" max="5156" width="0" style="6" hidden="1" customWidth="1"/>
    <col min="5157" max="5157" width="12.42578125" style="6" customWidth="1"/>
    <col min="5158" max="5158" width="0" style="6" hidden="1" customWidth="1"/>
    <col min="5159" max="5159" width="10.7109375" style="6" customWidth="1"/>
    <col min="5160" max="5160" width="0" style="6" hidden="1" customWidth="1"/>
    <col min="5161" max="5167" width="10.7109375" style="6" customWidth="1"/>
    <col min="5168" max="5168" width="13.42578125" style="6" customWidth="1"/>
    <col min="5169" max="5169" width="12.42578125" style="6" customWidth="1"/>
    <col min="5170" max="5170" width="16.42578125" style="6" customWidth="1"/>
    <col min="5171" max="5171" width="12.42578125" style="6" customWidth="1"/>
    <col min="5172" max="5348" width="11.42578125" style="6"/>
    <col min="5349" max="5349" width="25.7109375" style="6" customWidth="1"/>
    <col min="5350" max="5350" width="13.42578125" style="6" customWidth="1"/>
    <col min="5351" max="5359" width="10.7109375" style="6" customWidth="1"/>
    <col min="5360" max="5360" width="10.140625" style="6" customWidth="1"/>
    <col min="5361" max="5363" width="0" style="6" hidden="1" customWidth="1"/>
    <col min="5364" max="5364" width="10.7109375" style="6" customWidth="1"/>
    <col min="5365" max="5365" width="9.28515625" style="6" customWidth="1"/>
    <col min="5366" max="5368" width="10.7109375" style="6" customWidth="1"/>
    <col min="5369" max="5371" width="0" style="6" hidden="1" customWidth="1"/>
    <col min="5372" max="5375" width="10.7109375" style="6" customWidth="1"/>
    <col min="5376" max="5376" width="0" style="6" hidden="1" customWidth="1"/>
    <col min="5377" max="5377" width="11.28515625" style="6" customWidth="1"/>
    <col min="5378" max="5379" width="10.7109375" style="6" customWidth="1"/>
    <col min="5380" max="5380" width="0" style="6" hidden="1" customWidth="1"/>
    <col min="5381" max="5381" width="9.42578125" style="6" customWidth="1"/>
    <col min="5382" max="5382" width="0" style="6" hidden="1" customWidth="1"/>
    <col min="5383" max="5383" width="9.42578125" style="6" customWidth="1"/>
    <col min="5384" max="5384" width="0" style="6" hidden="1" customWidth="1"/>
    <col min="5385" max="5385" width="11.7109375" style="6" bestFit="1" customWidth="1"/>
    <col min="5386" max="5386" width="12.28515625" style="6" customWidth="1"/>
    <col min="5387" max="5388" width="0" style="6" hidden="1" customWidth="1"/>
    <col min="5389" max="5389" width="12.140625" style="6" customWidth="1"/>
    <col min="5390" max="5390" width="13.140625" style="6" customWidth="1"/>
    <col min="5391" max="5392" width="0" style="6" hidden="1" customWidth="1"/>
    <col min="5393" max="5393" width="10" style="6" customWidth="1"/>
    <col min="5394" max="5394" width="10.7109375" style="6" customWidth="1"/>
    <col min="5395" max="5395" width="12.7109375" style="6" customWidth="1"/>
    <col min="5396" max="5396" width="13.28515625" style="6" customWidth="1"/>
    <col min="5397" max="5397" width="16" style="6" customWidth="1"/>
    <col min="5398" max="5398" width="17.28515625" style="6" customWidth="1"/>
    <col min="5399" max="5399" width="10.7109375" style="6" customWidth="1"/>
    <col min="5400" max="5400" width="0" style="6" hidden="1" customWidth="1"/>
    <col min="5401" max="5402" width="10.7109375" style="6" customWidth="1"/>
    <col min="5403" max="5404" width="0" style="6" hidden="1" customWidth="1"/>
    <col min="5405" max="5406" width="10.7109375" style="6" customWidth="1"/>
    <col min="5407" max="5407" width="0" style="6" hidden="1" customWidth="1"/>
    <col min="5408" max="5409" width="10.7109375" style="6" customWidth="1"/>
    <col min="5410" max="5412" width="0" style="6" hidden="1" customWidth="1"/>
    <col min="5413" max="5413" width="12.42578125" style="6" customWidth="1"/>
    <col min="5414" max="5414" width="0" style="6" hidden="1" customWidth="1"/>
    <col min="5415" max="5415" width="10.7109375" style="6" customWidth="1"/>
    <col min="5416" max="5416" width="0" style="6" hidden="1" customWidth="1"/>
    <col min="5417" max="5423" width="10.7109375" style="6" customWidth="1"/>
    <col min="5424" max="5424" width="13.42578125" style="6" customWidth="1"/>
    <col min="5425" max="5425" width="12.42578125" style="6" customWidth="1"/>
    <col min="5426" max="5426" width="16.42578125" style="6" customWidth="1"/>
    <col min="5427" max="5427" width="12.42578125" style="6" customWidth="1"/>
    <col min="5428" max="5604" width="11.42578125" style="6"/>
    <col min="5605" max="5605" width="25.7109375" style="6" customWidth="1"/>
    <col min="5606" max="5606" width="13.42578125" style="6" customWidth="1"/>
    <col min="5607" max="5615" width="10.7109375" style="6" customWidth="1"/>
    <col min="5616" max="5616" width="10.140625" style="6" customWidth="1"/>
    <col min="5617" max="5619" width="0" style="6" hidden="1" customWidth="1"/>
    <col min="5620" max="5620" width="10.7109375" style="6" customWidth="1"/>
    <col min="5621" max="5621" width="9.28515625" style="6" customWidth="1"/>
    <col min="5622" max="5624" width="10.7109375" style="6" customWidth="1"/>
    <col min="5625" max="5627" width="0" style="6" hidden="1" customWidth="1"/>
    <col min="5628" max="5631" width="10.7109375" style="6" customWidth="1"/>
    <col min="5632" max="5632" width="0" style="6" hidden="1" customWidth="1"/>
    <col min="5633" max="5633" width="11.28515625" style="6" customWidth="1"/>
    <col min="5634" max="5635" width="10.7109375" style="6" customWidth="1"/>
    <col min="5636" max="5636" width="0" style="6" hidden="1" customWidth="1"/>
    <col min="5637" max="5637" width="9.42578125" style="6" customWidth="1"/>
    <col min="5638" max="5638" width="0" style="6" hidden="1" customWidth="1"/>
    <col min="5639" max="5639" width="9.42578125" style="6" customWidth="1"/>
    <col min="5640" max="5640" width="0" style="6" hidden="1" customWidth="1"/>
    <col min="5641" max="5641" width="11.7109375" style="6" bestFit="1" customWidth="1"/>
    <col min="5642" max="5642" width="12.28515625" style="6" customWidth="1"/>
    <col min="5643" max="5644" width="0" style="6" hidden="1" customWidth="1"/>
    <col min="5645" max="5645" width="12.140625" style="6" customWidth="1"/>
    <col min="5646" max="5646" width="13.140625" style="6" customWidth="1"/>
    <col min="5647" max="5648" width="0" style="6" hidden="1" customWidth="1"/>
    <col min="5649" max="5649" width="10" style="6" customWidth="1"/>
    <col min="5650" max="5650" width="10.7109375" style="6" customWidth="1"/>
    <col min="5651" max="5651" width="12.7109375" style="6" customWidth="1"/>
    <col min="5652" max="5652" width="13.28515625" style="6" customWidth="1"/>
    <col min="5653" max="5653" width="16" style="6" customWidth="1"/>
    <col min="5654" max="5654" width="17.28515625" style="6" customWidth="1"/>
    <col min="5655" max="5655" width="10.7109375" style="6" customWidth="1"/>
    <col min="5656" max="5656" width="0" style="6" hidden="1" customWidth="1"/>
    <col min="5657" max="5658" width="10.7109375" style="6" customWidth="1"/>
    <col min="5659" max="5660" width="0" style="6" hidden="1" customWidth="1"/>
    <col min="5661" max="5662" width="10.7109375" style="6" customWidth="1"/>
    <col min="5663" max="5663" width="0" style="6" hidden="1" customWidth="1"/>
    <col min="5664" max="5665" width="10.7109375" style="6" customWidth="1"/>
    <col min="5666" max="5668" width="0" style="6" hidden="1" customWidth="1"/>
    <col min="5669" max="5669" width="12.42578125" style="6" customWidth="1"/>
    <col min="5670" max="5670" width="0" style="6" hidden="1" customWidth="1"/>
    <col min="5671" max="5671" width="10.7109375" style="6" customWidth="1"/>
    <col min="5672" max="5672" width="0" style="6" hidden="1" customWidth="1"/>
    <col min="5673" max="5679" width="10.7109375" style="6" customWidth="1"/>
    <col min="5680" max="5680" width="13.42578125" style="6" customWidth="1"/>
    <col min="5681" max="5681" width="12.42578125" style="6" customWidth="1"/>
    <col min="5682" max="5682" width="16.42578125" style="6" customWidth="1"/>
    <col min="5683" max="5683" width="12.42578125" style="6" customWidth="1"/>
    <col min="5684" max="5860" width="11.42578125" style="6"/>
    <col min="5861" max="5861" width="25.7109375" style="6" customWidth="1"/>
    <col min="5862" max="5862" width="13.42578125" style="6" customWidth="1"/>
    <col min="5863" max="5871" width="10.7109375" style="6" customWidth="1"/>
    <col min="5872" max="5872" width="10.140625" style="6" customWidth="1"/>
    <col min="5873" max="5875" width="0" style="6" hidden="1" customWidth="1"/>
    <col min="5876" max="5876" width="10.7109375" style="6" customWidth="1"/>
    <col min="5877" max="5877" width="9.28515625" style="6" customWidth="1"/>
    <col min="5878" max="5880" width="10.7109375" style="6" customWidth="1"/>
    <col min="5881" max="5883" width="0" style="6" hidden="1" customWidth="1"/>
    <col min="5884" max="5887" width="10.7109375" style="6" customWidth="1"/>
    <col min="5888" max="5888" width="0" style="6" hidden="1" customWidth="1"/>
    <col min="5889" max="5889" width="11.28515625" style="6" customWidth="1"/>
    <col min="5890" max="5891" width="10.7109375" style="6" customWidth="1"/>
    <col min="5892" max="5892" width="0" style="6" hidden="1" customWidth="1"/>
    <col min="5893" max="5893" width="9.42578125" style="6" customWidth="1"/>
    <col min="5894" max="5894" width="0" style="6" hidden="1" customWidth="1"/>
    <col min="5895" max="5895" width="9.42578125" style="6" customWidth="1"/>
    <col min="5896" max="5896" width="0" style="6" hidden="1" customWidth="1"/>
    <col min="5897" max="5897" width="11.7109375" style="6" bestFit="1" customWidth="1"/>
    <col min="5898" max="5898" width="12.28515625" style="6" customWidth="1"/>
    <col min="5899" max="5900" width="0" style="6" hidden="1" customWidth="1"/>
    <col min="5901" max="5901" width="12.140625" style="6" customWidth="1"/>
    <col min="5902" max="5902" width="13.140625" style="6" customWidth="1"/>
    <col min="5903" max="5904" width="0" style="6" hidden="1" customWidth="1"/>
    <col min="5905" max="5905" width="10" style="6" customWidth="1"/>
    <col min="5906" max="5906" width="10.7109375" style="6" customWidth="1"/>
    <col min="5907" max="5907" width="12.7109375" style="6" customWidth="1"/>
    <col min="5908" max="5908" width="13.28515625" style="6" customWidth="1"/>
    <col min="5909" max="5909" width="16" style="6" customWidth="1"/>
    <col min="5910" max="5910" width="17.28515625" style="6" customWidth="1"/>
    <col min="5911" max="5911" width="10.7109375" style="6" customWidth="1"/>
    <col min="5912" max="5912" width="0" style="6" hidden="1" customWidth="1"/>
    <col min="5913" max="5914" width="10.7109375" style="6" customWidth="1"/>
    <col min="5915" max="5916" width="0" style="6" hidden="1" customWidth="1"/>
    <col min="5917" max="5918" width="10.7109375" style="6" customWidth="1"/>
    <col min="5919" max="5919" width="0" style="6" hidden="1" customWidth="1"/>
    <col min="5920" max="5921" width="10.7109375" style="6" customWidth="1"/>
    <col min="5922" max="5924" width="0" style="6" hidden="1" customWidth="1"/>
    <col min="5925" max="5925" width="12.42578125" style="6" customWidth="1"/>
    <col min="5926" max="5926" width="0" style="6" hidden="1" customWidth="1"/>
    <col min="5927" max="5927" width="10.7109375" style="6" customWidth="1"/>
    <col min="5928" max="5928" width="0" style="6" hidden="1" customWidth="1"/>
    <col min="5929" max="5935" width="10.7109375" style="6" customWidth="1"/>
    <col min="5936" max="5936" width="13.42578125" style="6" customWidth="1"/>
    <col min="5937" max="5937" width="12.42578125" style="6" customWidth="1"/>
    <col min="5938" max="5938" width="16.42578125" style="6" customWidth="1"/>
    <col min="5939" max="5939" width="12.42578125" style="6" customWidth="1"/>
    <col min="5940" max="6116" width="11.42578125" style="6"/>
    <col min="6117" max="6117" width="25.7109375" style="6" customWidth="1"/>
    <col min="6118" max="6118" width="13.42578125" style="6" customWidth="1"/>
    <col min="6119" max="6127" width="10.7109375" style="6" customWidth="1"/>
    <col min="6128" max="6128" width="10.140625" style="6" customWidth="1"/>
    <col min="6129" max="6131" width="0" style="6" hidden="1" customWidth="1"/>
    <col min="6132" max="6132" width="10.7109375" style="6" customWidth="1"/>
    <col min="6133" max="6133" width="9.28515625" style="6" customWidth="1"/>
    <col min="6134" max="6136" width="10.7109375" style="6" customWidth="1"/>
    <col min="6137" max="6139" width="0" style="6" hidden="1" customWidth="1"/>
    <col min="6140" max="6143" width="10.7109375" style="6" customWidth="1"/>
    <col min="6144" max="6144" width="0" style="6" hidden="1" customWidth="1"/>
    <col min="6145" max="6145" width="11.28515625" style="6" customWidth="1"/>
    <col min="6146" max="6147" width="10.7109375" style="6" customWidth="1"/>
    <col min="6148" max="6148" width="0" style="6" hidden="1" customWidth="1"/>
    <col min="6149" max="6149" width="9.42578125" style="6" customWidth="1"/>
    <col min="6150" max="6150" width="0" style="6" hidden="1" customWidth="1"/>
    <col min="6151" max="6151" width="9.42578125" style="6" customWidth="1"/>
    <col min="6152" max="6152" width="0" style="6" hidden="1" customWidth="1"/>
    <col min="6153" max="6153" width="11.7109375" style="6" bestFit="1" customWidth="1"/>
    <col min="6154" max="6154" width="12.28515625" style="6" customWidth="1"/>
    <col min="6155" max="6156" width="0" style="6" hidden="1" customWidth="1"/>
    <col min="6157" max="6157" width="12.140625" style="6" customWidth="1"/>
    <col min="6158" max="6158" width="13.140625" style="6" customWidth="1"/>
    <col min="6159" max="6160" width="0" style="6" hidden="1" customWidth="1"/>
    <col min="6161" max="6161" width="10" style="6" customWidth="1"/>
    <col min="6162" max="6162" width="10.7109375" style="6" customWidth="1"/>
    <col min="6163" max="6163" width="12.7109375" style="6" customWidth="1"/>
    <col min="6164" max="6164" width="13.28515625" style="6" customWidth="1"/>
    <col min="6165" max="6165" width="16" style="6" customWidth="1"/>
    <col min="6166" max="6166" width="17.28515625" style="6" customWidth="1"/>
    <col min="6167" max="6167" width="10.7109375" style="6" customWidth="1"/>
    <col min="6168" max="6168" width="0" style="6" hidden="1" customWidth="1"/>
    <col min="6169" max="6170" width="10.7109375" style="6" customWidth="1"/>
    <col min="6171" max="6172" width="0" style="6" hidden="1" customWidth="1"/>
    <col min="6173" max="6174" width="10.7109375" style="6" customWidth="1"/>
    <col min="6175" max="6175" width="0" style="6" hidden="1" customWidth="1"/>
    <col min="6176" max="6177" width="10.7109375" style="6" customWidth="1"/>
    <col min="6178" max="6180" width="0" style="6" hidden="1" customWidth="1"/>
    <col min="6181" max="6181" width="12.42578125" style="6" customWidth="1"/>
    <col min="6182" max="6182" width="0" style="6" hidden="1" customWidth="1"/>
    <col min="6183" max="6183" width="10.7109375" style="6" customWidth="1"/>
    <col min="6184" max="6184" width="0" style="6" hidden="1" customWidth="1"/>
    <col min="6185" max="6191" width="10.7109375" style="6" customWidth="1"/>
    <col min="6192" max="6192" width="13.42578125" style="6" customWidth="1"/>
    <col min="6193" max="6193" width="12.42578125" style="6" customWidth="1"/>
    <col min="6194" max="6194" width="16.42578125" style="6" customWidth="1"/>
    <col min="6195" max="6195" width="12.42578125" style="6" customWidth="1"/>
    <col min="6196" max="6372" width="11.42578125" style="6"/>
    <col min="6373" max="6373" width="25.7109375" style="6" customWidth="1"/>
    <col min="6374" max="6374" width="13.42578125" style="6" customWidth="1"/>
    <col min="6375" max="6383" width="10.7109375" style="6" customWidth="1"/>
    <col min="6384" max="6384" width="10.140625" style="6" customWidth="1"/>
    <col min="6385" max="6387" width="0" style="6" hidden="1" customWidth="1"/>
    <col min="6388" max="6388" width="10.7109375" style="6" customWidth="1"/>
    <col min="6389" max="6389" width="9.28515625" style="6" customWidth="1"/>
    <col min="6390" max="6392" width="10.7109375" style="6" customWidth="1"/>
    <col min="6393" max="6395" width="0" style="6" hidden="1" customWidth="1"/>
    <col min="6396" max="6399" width="10.7109375" style="6" customWidth="1"/>
    <col min="6400" max="6400" width="0" style="6" hidden="1" customWidth="1"/>
    <col min="6401" max="6401" width="11.28515625" style="6" customWidth="1"/>
    <col min="6402" max="6403" width="10.7109375" style="6" customWidth="1"/>
    <col min="6404" max="6404" width="0" style="6" hidden="1" customWidth="1"/>
    <col min="6405" max="6405" width="9.42578125" style="6" customWidth="1"/>
    <col min="6406" max="6406" width="0" style="6" hidden="1" customWidth="1"/>
    <col min="6407" max="6407" width="9.42578125" style="6" customWidth="1"/>
    <col min="6408" max="6408" width="0" style="6" hidden="1" customWidth="1"/>
    <col min="6409" max="6409" width="11.7109375" style="6" bestFit="1" customWidth="1"/>
    <col min="6410" max="6410" width="12.28515625" style="6" customWidth="1"/>
    <col min="6411" max="6412" width="0" style="6" hidden="1" customWidth="1"/>
    <col min="6413" max="6413" width="12.140625" style="6" customWidth="1"/>
    <col min="6414" max="6414" width="13.140625" style="6" customWidth="1"/>
    <col min="6415" max="6416" width="0" style="6" hidden="1" customWidth="1"/>
    <col min="6417" max="6417" width="10" style="6" customWidth="1"/>
    <col min="6418" max="6418" width="10.7109375" style="6" customWidth="1"/>
    <col min="6419" max="6419" width="12.7109375" style="6" customWidth="1"/>
    <col min="6420" max="6420" width="13.28515625" style="6" customWidth="1"/>
    <col min="6421" max="6421" width="16" style="6" customWidth="1"/>
    <col min="6422" max="6422" width="17.28515625" style="6" customWidth="1"/>
    <col min="6423" max="6423" width="10.7109375" style="6" customWidth="1"/>
    <col min="6424" max="6424" width="0" style="6" hidden="1" customWidth="1"/>
    <col min="6425" max="6426" width="10.7109375" style="6" customWidth="1"/>
    <col min="6427" max="6428" width="0" style="6" hidden="1" customWidth="1"/>
    <col min="6429" max="6430" width="10.7109375" style="6" customWidth="1"/>
    <col min="6431" max="6431" width="0" style="6" hidden="1" customWidth="1"/>
    <col min="6432" max="6433" width="10.7109375" style="6" customWidth="1"/>
    <col min="6434" max="6436" width="0" style="6" hidden="1" customWidth="1"/>
    <col min="6437" max="6437" width="12.42578125" style="6" customWidth="1"/>
    <col min="6438" max="6438" width="0" style="6" hidden="1" customWidth="1"/>
    <col min="6439" max="6439" width="10.7109375" style="6" customWidth="1"/>
    <col min="6440" max="6440" width="0" style="6" hidden="1" customWidth="1"/>
    <col min="6441" max="6447" width="10.7109375" style="6" customWidth="1"/>
    <col min="6448" max="6448" width="13.42578125" style="6" customWidth="1"/>
    <col min="6449" max="6449" width="12.42578125" style="6" customWidth="1"/>
    <col min="6450" max="6450" width="16.42578125" style="6" customWidth="1"/>
    <col min="6451" max="6451" width="12.42578125" style="6" customWidth="1"/>
    <col min="6452" max="6628" width="11.42578125" style="6"/>
    <col min="6629" max="6629" width="25.7109375" style="6" customWidth="1"/>
    <col min="6630" max="6630" width="13.42578125" style="6" customWidth="1"/>
    <col min="6631" max="6639" width="10.7109375" style="6" customWidth="1"/>
    <col min="6640" max="6640" width="10.140625" style="6" customWidth="1"/>
    <col min="6641" max="6643" width="0" style="6" hidden="1" customWidth="1"/>
    <col min="6644" max="6644" width="10.7109375" style="6" customWidth="1"/>
    <col min="6645" max="6645" width="9.28515625" style="6" customWidth="1"/>
    <col min="6646" max="6648" width="10.7109375" style="6" customWidth="1"/>
    <col min="6649" max="6651" width="0" style="6" hidden="1" customWidth="1"/>
    <col min="6652" max="6655" width="10.7109375" style="6" customWidth="1"/>
    <col min="6656" max="6656" width="0" style="6" hidden="1" customWidth="1"/>
    <col min="6657" max="6657" width="11.28515625" style="6" customWidth="1"/>
    <col min="6658" max="6659" width="10.7109375" style="6" customWidth="1"/>
    <col min="6660" max="6660" width="0" style="6" hidden="1" customWidth="1"/>
    <col min="6661" max="6661" width="9.42578125" style="6" customWidth="1"/>
    <col min="6662" max="6662" width="0" style="6" hidden="1" customWidth="1"/>
    <col min="6663" max="6663" width="9.42578125" style="6" customWidth="1"/>
    <col min="6664" max="6664" width="0" style="6" hidden="1" customWidth="1"/>
    <col min="6665" max="6665" width="11.7109375" style="6" bestFit="1" customWidth="1"/>
    <col min="6666" max="6666" width="12.28515625" style="6" customWidth="1"/>
    <col min="6667" max="6668" width="0" style="6" hidden="1" customWidth="1"/>
    <col min="6669" max="6669" width="12.140625" style="6" customWidth="1"/>
    <col min="6670" max="6670" width="13.140625" style="6" customWidth="1"/>
    <col min="6671" max="6672" width="0" style="6" hidden="1" customWidth="1"/>
    <col min="6673" max="6673" width="10" style="6" customWidth="1"/>
    <col min="6674" max="6674" width="10.7109375" style="6" customWidth="1"/>
    <col min="6675" max="6675" width="12.7109375" style="6" customWidth="1"/>
    <col min="6676" max="6676" width="13.28515625" style="6" customWidth="1"/>
    <col min="6677" max="6677" width="16" style="6" customWidth="1"/>
    <col min="6678" max="6678" width="17.28515625" style="6" customWidth="1"/>
    <col min="6679" max="6679" width="10.7109375" style="6" customWidth="1"/>
    <col min="6680" max="6680" width="0" style="6" hidden="1" customWidth="1"/>
    <col min="6681" max="6682" width="10.7109375" style="6" customWidth="1"/>
    <col min="6683" max="6684" width="0" style="6" hidden="1" customWidth="1"/>
    <col min="6685" max="6686" width="10.7109375" style="6" customWidth="1"/>
    <col min="6687" max="6687" width="0" style="6" hidden="1" customWidth="1"/>
    <col min="6688" max="6689" width="10.7109375" style="6" customWidth="1"/>
    <col min="6690" max="6692" width="0" style="6" hidden="1" customWidth="1"/>
    <col min="6693" max="6693" width="12.42578125" style="6" customWidth="1"/>
    <col min="6694" max="6694" width="0" style="6" hidden="1" customWidth="1"/>
    <col min="6695" max="6695" width="10.7109375" style="6" customWidth="1"/>
    <col min="6696" max="6696" width="0" style="6" hidden="1" customWidth="1"/>
    <col min="6697" max="6703" width="10.7109375" style="6" customWidth="1"/>
    <col min="6704" max="6704" width="13.42578125" style="6" customWidth="1"/>
    <col min="6705" max="6705" width="12.42578125" style="6" customWidth="1"/>
    <col min="6706" max="6706" width="16.42578125" style="6" customWidth="1"/>
    <col min="6707" max="6707" width="12.42578125" style="6" customWidth="1"/>
    <col min="6708" max="6884" width="11.42578125" style="6"/>
    <col min="6885" max="6885" width="25.7109375" style="6" customWidth="1"/>
    <col min="6886" max="6886" width="13.42578125" style="6" customWidth="1"/>
    <col min="6887" max="6895" width="10.7109375" style="6" customWidth="1"/>
    <col min="6896" max="6896" width="10.140625" style="6" customWidth="1"/>
    <col min="6897" max="6899" width="0" style="6" hidden="1" customWidth="1"/>
    <col min="6900" max="6900" width="10.7109375" style="6" customWidth="1"/>
    <col min="6901" max="6901" width="9.28515625" style="6" customWidth="1"/>
    <col min="6902" max="6904" width="10.7109375" style="6" customWidth="1"/>
    <col min="6905" max="6907" width="0" style="6" hidden="1" customWidth="1"/>
    <col min="6908" max="6911" width="10.7109375" style="6" customWidth="1"/>
    <col min="6912" max="6912" width="0" style="6" hidden="1" customWidth="1"/>
    <col min="6913" max="6913" width="11.28515625" style="6" customWidth="1"/>
    <col min="6914" max="6915" width="10.7109375" style="6" customWidth="1"/>
    <col min="6916" max="6916" width="0" style="6" hidden="1" customWidth="1"/>
    <col min="6917" max="6917" width="9.42578125" style="6" customWidth="1"/>
    <col min="6918" max="6918" width="0" style="6" hidden="1" customWidth="1"/>
    <col min="6919" max="6919" width="9.42578125" style="6" customWidth="1"/>
    <col min="6920" max="6920" width="0" style="6" hidden="1" customWidth="1"/>
    <col min="6921" max="6921" width="11.7109375" style="6" bestFit="1" customWidth="1"/>
    <col min="6922" max="6922" width="12.28515625" style="6" customWidth="1"/>
    <col min="6923" max="6924" width="0" style="6" hidden="1" customWidth="1"/>
    <col min="6925" max="6925" width="12.140625" style="6" customWidth="1"/>
    <col min="6926" max="6926" width="13.140625" style="6" customWidth="1"/>
    <col min="6927" max="6928" width="0" style="6" hidden="1" customWidth="1"/>
    <col min="6929" max="6929" width="10" style="6" customWidth="1"/>
    <col min="6930" max="6930" width="10.7109375" style="6" customWidth="1"/>
    <col min="6931" max="6931" width="12.7109375" style="6" customWidth="1"/>
    <col min="6932" max="6932" width="13.28515625" style="6" customWidth="1"/>
    <col min="6933" max="6933" width="16" style="6" customWidth="1"/>
    <col min="6934" max="6934" width="17.28515625" style="6" customWidth="1"/>
    <col min="6935" max="6935" width="10.7109375" style="6" customWidth="1"/>
    <col min="6936" max="6936" width="0" style="6" hidden="1" customWidth="1"/>
    <col min="6937" max="6938" width="10.7109375" style="6" customWidth="1"/>
    <col min="6939" max="6940" width="0" style="6" hidden="1" customWidth="1"/>
    <col min="6941" max="6942" width="10.7109375" style="6" customWidth="1"/>
    <col min="6943" max="6943" width="0" style="6" hidden="1" customWidth="1"/>
    <col min="6944" max="6945" width="10.7109375" style="6" customWidth="1"/>
    <col min="6946" max="6948" width="0" style="6" hidden="1" customWidth="1"/>
    <col min="6949" max="6949" width="12.42578125" style="6" customWidth="1"/>
    <col min="6950" max="6950" width="0" style="6" hidden="1" customWidth="1"/>
    <col min="6951" max="6951" width="10.7109375" style="6" customWidth="1"/>
    <col min="6952" max="6952" width="0" style="6" hidden="1" customWidth="1"/>
    <col min="6953" max="6959" width="10.7109375" style="6" customWidth="1"/>
    <col min="6960" max="6960" width="13.42578125" style="6" customWidth="1"/>
    <col min="6961" max="6961" width="12.42578125" style="6" customWidth="1"/>
    <col min="6962" max="6962" width="16.42578125" style="6" customWidth="1"/>
    <col min="6963" max="6963" width="12.42578125" style="6" customWidth="1"/>
    <col min="6964" max="7140" width="11.42578125" style="6"/>
    <col min="7141" max="7141" width="25.7109375" style="6" customWidth="1"/>
    <col min="7142" max="7142" width="13.42578125" style="6" customWidth="1"/>
    <col min="7143" max="7151" width="10.7109375" style="6" customWidth="1"/>
    <col min="7152" max="7152" width="10.140625" style="6" customWidth="1"/>
    <col min="7153" max="7155" width="0" style="6" hidden="1" customWidth="1"/>
    <col min="7156" max="7156" width="10.7109375" style="6" customWidth="1"/>
    <col min="7157" max="7157" width="9.28515625" style="6" customWidth="1"/>
    <col min="7158" max="7160" width="10.7109375" style="6" customWidth="1"/>
    <col min="7161" max="7163" width="0" style="6" hidden="1" customWidth="1"/>
    <col min="7164" max="7167" width="10.7109375" style="6" customWidth="1"/>
    <col min="7168" max="7168" width="0" style="6" hidden="1" customWidth="1"/>
    <col min="7169" max="7169" width="11.28515625" style="6" customWidth="1"/>
    <col min="7170" max="7171" width="10.7109375" style="6" customWidth="1"/>
    <col min="7172" max="7172" width="0" style="6" hidden="1" customWidth="1"/>
    <col min="7173" max="7173" width="9.42578125" style="6" customWidth="1"/>
    <col min="7174" max="7174" width="0" style="6" hidden="1" customWidth="1"/>
    <col min="7175" max="7175" width="9.42578125" style="6" customWidth="1"/>
    <col min="7176" max="7176" width="0" style="6" hidden="1" customWidth="1"/>
    <col min="7177" max="7177" width="11.7109375" style="6" bestFit="1" customWidth="1"/>
    <col min="7178" max="7178" width="12.28515625" style="6" customWidth="1"/>
    <col min="7179" max="7180" width="0" style="6" hidden="1" customWidth="1"/>
    <col min="7181" max="7181" width="12.140625" style="6" customWidth="1"/>
    <col min="7182" max="7182" width="13.140625" style="6" customWidth="1"/>
    <col min="7183" max="7184" width="0" style="6" hidden="1" customWidth="1"/>
    <col min="7185" max="7185" width="10" style="6" customWidth="1"/>
    <col min="7186" max="7186" width="10.7109375" style="6" customWidth="1"/>
    <col min="7187" max="7187" width="12.7109375" style="6" customWidth="1"/>
    <col min="7188" max="7188" width="13.28515625" style="6" customWidth="1"/>
    <col min="7189" max="7189" width="16" style="6" customWidth="1"/>
    <col min="7190" max="7190" width="17.28515625" style="6" customWidth="1"/>
    <col min="7191" max="7191" width="10.7109375" style="6" customWidth="1"/>
    <col min="7192" max="7192" width="0" style="6" hidden="1" customWidth="1"/>
    <col min="7193" max="7194" width="10.7109375" style="6" customWidth="1"/>
    <col min="7195" max="7196" width="0" style="6" hidden="1" customWidth="1"/>
    <col min="7197" max="7198" width="10.7109375" style="6" customWidth="1"/>
    <col min="7199" max="7199" width="0" style="6" hidden="1" customWidth="1"/>
    <col min="7200" max="7201" width="10.7109375" style="6" customWidth="1"/>
    <col min="7202" max="7204" width="0" style="6" hidden="1" customWidth="1"/>
    <col min="7205" max="7205" width="12.42578125" style="6" customWidth="1"/>
    <col min="7206" max="7206" width="0" style="6" hidden="1" customWidth="1"/>
    <col min="7207" max="7207" width="10.7109375" style="6" customWidth="1"/>
    <col min="7208" max="7208" width="0" style="6" hidden="1" customWidth="1"/>
    <col min="7209" max="7215" width="10.7109375" style="6" customWidth="1"/>
    <col min="7216" max="7216" width="13.42578125" style="6" customWidth="1"/>
    <col min="7217" max="7217" width="12.42578125" style="6" customWidth="1"/>
    <col min="7218" max="7218" width="16.42578125" style="6" customWidth="1"/>
    <col min="7219" max="7219" width="12.42578125" style="6" customWidth="1"/>
    <col min="7220" max="7396" width="11.42578125" style="6"/>
    <col min="7397" max="7397" width="25.7109375" style="6" customWidth="1"/>
    <col min="7398" max="7398" width="13.42578125" style="6" customWidth="1"/>
    <col min="7399" max="7407" width="10.7109375" style="6" customWidth="1"/>
    <col min="7408" max="7408" width="10.140625" style="6" customWidth="1"/>
    <col min="7409" max="7411" width="0" style="6" hidden="1" customWidth="1"/>
    <col min="7412" max="7412" width="10.7109375" style="6" customWidth="1"/>
    <col min="7413" max="7413" width="9.28515625" style="6" customWidth="1"/>
    <col min="7414" max="7416" width="10.7109375" style="6" customWidth="1"/>
    <col min="7417" max="7419" width="0" style="6" hidden="1" customWidth="1"/>
    <col min="7420" max="7423" width="10.7109375" style="6" customWidth="1"/>
    <col min="7424" max="7424" width="0" style="6" hidden="1" customWidth="1"/>
    <col min="7425" max="7425" width="11.28515625" style="6" customWidth="1"/>
    <col min="7426" max="7427" width="10.7109375" style="6" customWidth="1"/>
    <col min="7428" max="7428" width="0" style="6" hidden="1" customWidth="1"/>
    <col min="7429" max="7429" width="9.42578125" style="6" customWidth="1"/>
    <col min="7430" max="7430" width="0" style="6" hidden="1" customWidth="1"/>
    <col min="7431" max="7431" width="9.42578125" style="6" customWidth="1"/>
    <col min="7432" max="7432" width="0" style="6" hidden="1" customWidth="1"/>
    <col min="7433" max="7433" width="11.7109375" style="6" bestFit="1" customWidth="1"/>
    <col min="7434" max="7434" width="12.28515625" style="6" customWidth="1"/>
    <col min="7435" max="7436" width="0" style="6" hidden="1" customWidth="1"/>
    <col min="7437" max="7437" width="12.140625" style="6" customWidth="1"/>
    <col min="7438" max="7438" width="13.140625" style="6" customWidth="1"/>
    <col min="7439" max="7440" width="0" style="6" hidden="1" customWidth="1"/>
    <col min="7441" max="7441" width="10" style="6" customWidth="1"/>
    <col min="7442" max="7442" width="10.7109375" style="6" customWidth="1"/>
    <col min="7443" max="7443" width="12.7109375" style="6" customWidth="1"/>
    <col min="7444" max="7444" width="13.28515625" style="6" customWidth="1"/>
    <col min="7445" max="7445" width="16" style="6" customWidth="1"/>
    <col min="7446" max="7446" width="17.28515625" style="6" customWidth="1"/>
    <col min="7447" max="7447" width="10.7109375" style="6" customWidth="1"/>
    <col min="7448" max="7448" width="0" style="6" hidden="1" customWidth="1"/>
    <col min="7449" max="7450" width="10.7109375" style="6" customWidth="1"/>
    <col min="7451" max="7452" width="0" style="6" hidden="1" customWidth="1"/>
    <col min="7453" max="7454" width="10.7109375" style="6" customWidth="1"/>
    <col min="7455" max="7455" width="0" style="6" hidden="1" customWidth="1"/>
    <col min="7456" max="7457" width="10.7109375" style="6" customWidth="1"/>
    <col min="7458" max="7460" width="0" style="6" hidden="1" customWidth="1"/>
    <col min="7461" max="7461" width="12.42578125" style="6" customWidth="1"/>
    <col min="7462" max="7462" width="0" style="6" hidden="1" customWidth="1"/>
    <col min="7463" max="7463" width="10.7109375" style="6" customWidth="1"/>
    <col min="7464" max="7464" width="0" style="6" hidden="1" customWidth="1"/>
    <col min="7465" max="7471" width="10.7109375" style="6" customWidth="1"/>
    <col min="7472" max="7472" width="13.42578125" style="6" customWidth="1"/>
    <col min="7473" max="7473" width="12.42578125" style="6" customWidth="1"/>
    <col min="7474" max="7474" width="16.42578125" style="6" customWidth="1"/>
    <col min="7475" max="7475" width="12.42578125" style="6" customWidth="1"/>
    <col min="7476" max="7652" width="11.42578125" style="6"/>
    <col min="7653" max="7653" width="25.7109375" style="6" customWidth="1"/>
    <col min="7654" max="7654" width="13.42578125" style="6" customWidth="1"/>
    <col min="7655" max="7663" width="10.7109375" style="6" customWidth="1"/>
    <col min="7664" max="7664" width="10.140625" style="6" customWidth="1"/>
    <col min="7665" max="7667" width="0" style="6" hidden="1" customWidth="1"/>
    <col min="7668" max="7668" width="10.7109375" style="6" customWidth="1"/>
    <col min="7669" max="7669" width="9.28515625" style="6" customWidth="1"/>
    <col min="7670" max="7672" width="10.7109375" style="6" customWidth="1"/>
    <col min="7673" max="7675" width="0" style="6" hidden="1" customWidth="1"/>
    <col min="7676" max="7679" width="10.7109375" style="6" customWidth="1"/>
    <col min="7680" max="7680" width="0" style="6" hidden="1" customWidth="1"/>
    <col min="7681" max="7681" width="11.28515625" style="6" customWidth="1"/>
    <col min="7682" max="7683" width="10.7109375" style="6" customWidth="1"/>
    <col min="7684" max="7684" width="0" style="6" hidden="1" customWidth="1"/>
    <col min="7685" max="7685" width="9.42578125" style="6" customWidth="1"/>
    <col min="7686" max="7686" width="0" style="6" hidden="1" customWidth="1"/>
    <col min="7687" max="7687" width="9.42578125" style="6" customWidth="1"/>
    <col min="7688" max="7688" width="0" style="6" hidden="1" customWidth="1"/>
    <col min="7689" max="7689" width="11.7109375" style="6" bestFit="1" customWidth="1"/>
    <col min="7690" max="7690" width="12.28515625" style="6" customWidth="1"/>
    <col min="7691" max="7692" width="0" style="6" hidden="1" customWidth="1"/>
    <col min="7693" max="7693" width="12.140625" style="6" customWidth="1"/>
    <col min="7694" max="7694" width="13.140625" style="6" customWidth="1"/>
    <col min="7695" max="7696" width="0" style="6" hidden="1" customWidth="1"/>
    <col min="7697" max="7697" width="10" style="6" customWidth="1"/>
    <col min="7698" max="7698" width="10.7109375" style="6" customWidth="1"/>
    <col min="7699" max="7699" width="12.7109375" style="6" customWidth="1"/>
    <col min="7700" max="7700" width="13.28515625" style="6" customWidth="1"/>
    <col min="7701" max="7701" width="16" style="6" customWidth="1"/>
    <col min="7702" max="7702" width="17.28515625" style="6" customWidth="1"/>
    <col min="7703" max="7703" width="10.7109375" style="6" customWidth="1"/>
    <col min="7704" max="7704" width="0" style="6" hidden="1" customWidth="1"/>
    <col min="7705" max="7706" width="10.7109375" style="6" customWidth="1"/>
    <col min="7707" max="7708" width="0" style="6" hidden="1" customWidth="1"/>
    <col min="7709" max="7710" width="10.7109375" style="6" customWidth="1"/>
    <col min="7711" max="7711" width="0" style="6" hidden="1" customWidth="1"/>
    <col min="7712" max="7713" width="10.7109375" style="6" customWidth="1"/>
    <col min="7714" max="7716" width="0" style="6" hidden="1" customWidth="1"/>
    <col min="7717" max="7717" width="12.42578125" style="6" customWidth="1"/>
    <col min="7718" max="7718" width="0" style="6" hidden="1" customWidth="1"/>
    <col min="7719" max="7719" width="10.7109375" style="6" customWidth="1"/>
    <col min="7720" max="7720" width="0" style="6" hidden="1" customWidth="1"/>
    <col min="7721" max="7727" width="10.7109375" style="6" customWidth="1"/>
    <col min="7728" max="7728" width="13.42578125" style="6" customWidth="1"/>
    <col min="7729" max="7729" width="12.42578125" style="6" customWidth="1"/>
    <col min="7730" max="7730" width="16.42578125" style="6" customWidth="1"/>
    <col min="7731" max="7731" width="12.42578125" style="6" customWidth="1"/>
    <col min="7732" max="7908" width="11.42578125" style="6"/>
    <col min="7909" max="7909" width="25.7109375" style="6" customWidth="1"/>
    <col min="7910" max="7910" width="13.42578125" style="6" customWidth="1"/>
    <col min="7911" max="7919" width="10.7109375" style="6" customWidth="1"/>
    <col min="7920" max="7920" width="10.140625" style="6" customWidth="1"/>
    <col min="7921" max="7923" width="0" style="6" hidden="1" customWidth="1"/>
    <col min="7924" max="7924" width="10.7109375" style="6" customWidth="1"/>
    <col min="7925" max="7925" width="9.28515625" style="6" customWidth="1"/>
    <col min="7926" max="7928" width="10.7109375" style="6" customWidth="1"/>
    <col min="7929" max="7931" width="0" style="6" hidden="1" customWidth="1"/>
    <col min="7932" max="7935" width="10.7109375" style="6" customWidth="1"/>
    <col min="7936" max="7936" width="0" style="6" hidden="1" customWidth="1"/>
    <col min="7937" max="7937" width="11.28515625" style="6" customWidth="1"/>
    <col min="7938" max="7939" width="10.7109375" style="6" customWidth="1"/>
    <col min="7940" max="7940" width="0" style="6" hidden="1" customWidth="1"/>
    <col min="7941" max="7941" width="9.42578125" style="6" customWidth="1"/>
    <col min="7942" max="7942" width="0" style="6" hidden="1" customWidth="1"/>
    <col min="7943" max="7943" width="9.42578125" style="6" customWidth="1"/>
    <col min="7944" max="7944" width="0" style="6" hidden="1" customWidth="1"/>
    <col min="7945" max="7945" width="11.7109375" style="6" bestFit="1" customWidth="1"/>
    <col min="7946" max="7946" width="12.28515625" style="6" customWidth="1"/>
    <col min="7947" max="7948" width="0" style="6" hidden="1" customWidth="1"/>
    <col min="7949" max="7949" width="12.140625" style="6" customWidth="1"/>
    <col min="7950" max="7950" width="13.140625" style="6" customWidth="1"/>
    <col min="7951" max="7952" width="0" style="6" hidden="1" customWidth="1"/>
    <col min="7953" max="7953" width="10" style="6" customWidth="1"/>
    <col min="7954" max="7954" width="10.7109375" style="6" customWidth="1"/>
    <col min="7955" max="7955" width="12.7109375" style="6" customWidth="1"/>
    <col min="7956" max="7956" width="13.28515625" style="6" customWidth="1"/>
    <col min="7957" max="7957" width="16" style="6" customWidth="1"/>
    <col min="7958" max="7958" width="17.28515625" style="6" customWidth="1"/>
    <col min="7959" max="7959" width="10.7109375" style="6" customWidth="1"/>
    <col min="7960" max="7960" width="0" style="6" hidden="1" customWidth="1"/>
    <col min="7961" max="7962" width="10.7109375" style="6" customWidth="1"/>
    <col min="7963" max="7964" width="0" style="6" hidden="1" customWidth="1"/>
    <col min="7965" max="7966" width="10.7109375" style="6" customWidth="1"/>
    <col min="7967" max="7967" width="0" style="6" hidden="1" customWidth="1"/>
    <col min="7968" max="7969" width="10.7109375" style="6" customWidth="1"/>
    <col min="7970" max="7972" width="0" style="6" hidden="1" customWidth="1"/>
    <col min="7973" max="7973" width="12.42578125" style="6" customWidth="1"/>
    <col min="7974" max="7974" width="0" style="6" hidden="1" customWidth="1"/>
    <col min="7975" max="7975" width="10.7109375" style="6" customWidth="1"/>
    <col min="7976" max="7976" width="0" style="6" hidden="1" customWidth="1"/>
    <col min="7977" max="7983" width="10.7109375" style="6" customWidth="1"/>
    <col min="7984" max="7984" width="13.42578125" style="6" customWidth="1"/>
    <col min="7985" max="7985" width="12.42578125" style="6" customWidth="1"/>
    <col min="7986" max="7986" width="16.42578125" style="6" customWidth="1"/>
    <col min="7987" max="7987" width="12.42578125" style="6" customWidth="1"/>
    <col min="7988" max="8164" width="11.42578125" style="6"/>
    <col min="8165" max="8165" width="25.7109375" style="6" customWidth="1"/>
    <col min="8166" max="8166" width="13.42578125" style="6" customWidth="1"/>
    <col min="8167" max="8175" width="10.7109375" style="6" customWidth="1"/>
    <col min="8176" max="8176" width="10.140625" style="6" customWidth="1"/>
    <col min="8177" max="8179" width="0" style="6" hidden="1" customWidth="1"/>
    <col min="8180" max="8180" width="10.7109375" style="6" customWidth="1"/>
    <col min="8181" max="8181" width="9.28515625" style="6" customWidth="1"/>
    <col min="8182" max="8184" width="10.7109375" style="6" customWidth="1"/>
    <col min="8185" max="8187" width="0" style="6" hidden="1" customWidth="1"/>
    <col min="8188" max="8191" width="10.7109375" style="6" customWidth="1"/>
    <col min="8192" max="8192" width="0" style="6" hidden="1" customWidth="1"/>
    <col min="8193" max="8193" width="11.28515625" style="6" customWidth="1"/>
    <col min="8194" max="8195" width="10.7109375" style="6" customWidth="1"/>
    <col min="8196" max="8196" width="0" style="6" hidden="1" customWidth="1"/>
    <col min="8197" max="8197" width="9.42578125" style="6" customWidth="1"/>
    <col min="8198" max="8198" width="0" style="6" hidden="1" customWidth="1"/>
    <col min="8199" max="8199" width="9.42578125" style="6" customWidth="1"/>
    <col min="8200" max="8200" width="0" style="6" hidden="1" customWidth="1"/>
    <col min="8201" max="8201" width="11.7109375" style="6" bestFit="1" customWidth="1"/>
    <col min="8202" max="8202" width="12.28515625" style="6" customWidth="1"/>
    <col min="8203" max="8204" width="0" style="6" hidden="1" customWidth="1"/>
    <col min="8205" max="8205" width="12.140625" style="6" customWidth="1"/>
    <col min="8206" max="8206" width="13.140625" style="6" customWidth="1"/>
    <col min="8207" max="8208" width="0" style="6" hidden="1" customWidth="1"/>
    <col min="8209" max="8209" width="10" style="6" customWidth="1"/>
    <col min="8210" max="8210" width="10.7109375" style="6" customWidth="1"/>
    <col min="8211" max="8211" width="12.7109375" style="6" customWidth="1"/>
    <col min="8212" max="8212" width="13.28515625" style="6" customWidth="1"/>
    <col min="8213" max="8213" width="16" style="6" customWidth="1"/>
    <col min="8214" max="8214" width="17.28515625" style="6" customWidth="1"/>
    <col min="8215" max="8215" width="10.7109375" style="6" customWidth="1"/>
    <col min="8216" max="8216" width="0" style="6" hidden="1" customWidth="1"/>
    <col min="8217" max="8218" width="10.7109375" style="6" customWidth="1"/>
    <col min="8219" max="8220" width="0" style="6" hidden="1" customWidth="1"/>
    <col min="8221" max="8222" width="10.7109375" style="6" customWidth="1"/>
    <col min="8223" max="8223" width="0" style="6" hidden="1" customWidth="1"/>
    <col min="8224" max="8225" width="10.7109375" style="6" customWidth="1"/>
    <col min="8226" max="8228" width="0" style="6" hidden="1" customWidth="1"/>
    <col min="8229" max="8229" width="12.42578125" style="6" customWidth="1"/>
    <col min="8230" max="8230" width="0" style="6" hidden="1" customWidth="1"/>
    <col min="8231" max="8231" width="10.7109375" style="6" customWidth="1"/>
    <col min="8232" max="8232" width="0" style="6" hidden="1" customWidth="1"/>
    <col min="8233" max="8239" width="10.7109375" style="6" customWidth="1"/>
    <col min="8240" max="8240" width="13.42578125" style="6" customWidth="1"/>
    <col min="8241" max="8241" width="12.42578125" style="6" customWidth="1"/>
    <col min="8242" max="8242" width="16.42578125" style="6" customWidth="1"/>
    <col min="8243" max="8243" width="12.42578125" style="6" customWidth="1"/>
    <col min="8244" max="8420" width="11.42578125" style="6"/>
    <col min="8421" max="8421" width="25.7109375" style="6" customWidth="1"/>
    <col min="8422" max="8422" width="13.42578125" style="6" customWidth="1"/>
    <col min="8423" max="8431" width="10.7109375" style="6" customWidth="1"/>
    <col min="8432" max="8432" width="10.140625" style="6" customWidth="1"/>
    <col min="8433" max="8435" width="0" style="6" hidden="1" customWidth="1"/>
    <col min="8436" max="8436" width="10.7109375" style="6" customWidth="1"/>
    <col min="8437" max="8437" width="9.28515625" style="6" customWidth="1"/>
    <col min="8438" max="8440" width="10.7109375" style="6" customWidth="1"/>
    <col min="8441" max="8443" width="0" style="6" hidden="1" customWidth="1"/>
    <col min="8444" max="8447" width="10.7109375" style="6" customWidth="1"/>
    <col min="8448" max="8448" width="0" style="6" hidden="1" customWidth="1"/>
    <col min="8449" max="8449" width="11.28515625" style="6" customWidth="1"/>
    <col min="8450" max="8451" width="10.7109375" style="6" customWidth="1"/>
    <col min="8452" max="8452" width="0" style="6" hidden="1" customWidth="1"/>
    <col min="8453" max="8453" width="9.42578125" style="6" customWidth="1"/>
    <col min="8454" max="8454" width="0" style="6" hidden="1" customWidth="1"/>
    <col min="8455" max="8455" width="9.42578125" style="6" customWidth="1"/>
    <col min="8456" max="8456" width="0" style="6" hidden="1" customWidth="1"/>
    <col min="8457" max="8457" width="11.7109375" style="6" bestFit="1" customWidth="1"/>
    <col min="8458" max="8458" width="12.28515625" style="6" customWidth="1"/>
    <col min="8459" max="8460" width="0" style="6" hidden="1" customWidth="1"/>
    <col min="8461" max="8461" width="12.140625" style="6" customWidth="1"/>
    <col min="8462" max="8462" width="13.140625" style="6" customWidth="1"/>
    <col min="8463" max="8464" width="0" style="6" hidden="1" customWidth="1"/>
    <col min="8465" max="8465" width="10" style="6" customWidth="1"/>
    <col min="8466" max="8466" width="10.7109375" style="6" customWidth="1"/>
    <col min="8467" max="8467" width="12.7109375" style="6" customWidth="1"/>
    <col min="8468" max="8468" width="13.28515625" style="6" customWidth="1"/>
    <col min="8469" max="8469" width="16" style="6" customWidth="1"/>
    <col min="8470" max="8470" width="17.28515625" style="6" customWidth="1"/>
    <col min="8471" max="8471" width="10.7109375" style="6" customWidth="1"/>
    <col min="8472" max="8472" width="0" style="6" hidden="1" customWidth="1"/>
    <col min="8473" max="8474" width="10.7109375" style="6" customWidth="1"/>
    <col min="8475" max="8476" width="0" style="6" hidden="1" customWidth="1"/>
    <col min="8477" max="8478" width="10.7109375" style="6" customWidth="1"/>
    <col min="8479" max="8479" width="0" style="6" hidden="1" customWidth="1"/>
    <col min="8480" max="8481" width="10.7109375" style="6" customWidth="1"/>
    <col min="8482" max="8484" width="0" style="6" hidden="1" customWidth="1"/>
    <col min="8485" max="8485" width="12.42578125" style="6" customWidth="1"/>
    <col min="8486" max="8486" width="0" style="6" hidden="1" customWidth="1"/>
    <col min="8487" max="8487" width="10.7109375" style="6" customWidth="1"/>
    <col min="8488" max="8488" width="0" style="6" hidden="1" customWidth="1"/>
    <col min="8489" max="8495" width="10.7109375" style="6" customWidth="1"/>
    <col min="8496" max="8496" width="13.42578125" style="6" customWidth="1"/>
    <col min="8497" max="8497" width="12.42578125" style="6" customWidth="1"/>
    <col min="8498" max="8498" width="16.42578125" style="6" customWidth="1"/>
    <col min="8499" max="8499" width="12.42578125" style="6" customWidth="1"/>
    <col min="8500" max="8676" width="11.42578125" style="6"/>
    <col min="8677" max="8677" width="25.7109375" style="6" customWidth="1"/>
    <col min="8678" max="8678" width="13.42578125" style="6" customWidth="1"/>
    <col min="8679" max="8687" width="10.7109375" style="6" customWidth="1"/>
    <col min="8688" max="8688" width="10.140625" style="6" customWidth="1"/>
    <col min="8689" max="8691" width="0" style="6" hidden="1" customWidth="1"/>
    <col min="8692" max="8692" width="10.7109375" style="6" customWidth="1"/>
    <col min="8693" max="8693" width="9.28515625" style="6" customWidth="1"/>
    <col min="8694" max="8696" width="10.7109375" style="6" customWidth="1"/>
    <col min="8697" max="8699" width="0" style="6" hidden="1" customWidth="1"/>
    <col min="8700" max="8703" width="10.7109375" style="6" customWidth="1"/>
    <col min="8704" max="8704" width="0" style="6" hidden="1" customWidth="1"/>
    <col min="8705" max="8705" width="11.28515625" style="6" customWidth="1"/>
    <col min="8706" max="8707" width="10.7109375" style="6" customWidth="1"/>
    <col min="8708" max="8708" width="0" style="6" hidden="1" customWidth="1"/>
    <col min="8709" max="8709" width="9.42578125" style="6" customWidth="1"/>
    <col min="8710" max="8710" width="0" style="6" hidden="1" customWidth="1"/>
    <col min="8711" max="8711" width="9.42578125" style="6" customWidth="1"/>
    <col min="8712" max="8712" width="0" style="6" hidden="1" customWidth="1"/>
    <col min="8713" max="8713" width="11.7109375" style="6" bestFit="1" customWidth="1"/>
    <col min="8714" max="8714" width="12.28515625" style="6" customWidth="1"/>
    <col min="8715" max="8716" width="0" style="6" hidden="1" customWidth="1"/>
    <col min="8717" max="8717" width="12.140625" style="6" customWidth="1"/>
    <col min="8718" max="8718" width="13.140625" style="6" customWidth="1"/>
    <col min="8719" max="8720" width="0" style="6" hidden="1" customWidth="1"/>
    <col min="8721" max="8721" width="10" style="6" customWidth="1"/>
    <col min="8722" max="8722" width="10.7109375" style="6" customWidth="1"/>
    <col min="8723" max="8723" width="12.7109375" style="6" customWidth="1"/>
    <col min="8724" max="8724" width="13.28515625" style="6" customWidth="1"/>
    <col min="8725" max="8725" width="16" style="6" customWidth="1"/>
    <col min="8726" max="8726" width="17.28515625" style="6" customWidth="1"/>
    <col min="8727" max="8727" width="10.7109375" style="6" customWidth="1"/>
    <col min="8728" max="8728" width="0" style="6" hidden="1" customWidth="1"/>
    <col min="8729" max="8730" width="10.7109375" style="6" customWidth="1"/>
    <col min="8731" max="8732" width="0" style="6" hidden="1" customWidth="1"/>
    <col min="8733" max="8734" width="10.7109375" style="6" customWidth="1"/>
    <col min="8735" max="8735" width="0" style="6" hidden="1" customWidth="1"/>
    <col min="8736" max="8737" width="10.7109375" style="6" customWidth="1"/>
    <col min="8738" max="8740" width="0" style="6" hidden="1" customWidth="1"/>
    <col min="8741" max="8741" width="12.42578125" style="6" customWidth="1"/>
    <col min="8742" max="8742" width="0" style="6" hidden="1" customWidth="1"/>
    <col min="8743" max="8743" width="10.7109375" style="6" customWidth="1"/>
    <col min="8744" max="8744" width="0" style="6" hidden="1" customWidth="1"/>
    <col min="8745" max="8751" width="10.7109375" style="6" customWidth="1"/>
    <col min="8752" max="8752" width="13.42578125" style="6" customWidth="1"/>
    <col min="8753" max="8753" width="12.42578125" style="6" customWidth="1"/>
    <col min="8754" max="8754" width="16.42578125" style="6" customWidth="1"/>
    <col min="8755" max="8755" width="12.42578125" style="6" customWidth="1"/>
    <col min="8756" max="8932" width="11.42578125" style="6"/>
    <col min="8933" max="8933" width="25.7109375" style="6" customWidth="1"/>
    <col min="8934" max="8934" width="13.42578125" style="6" customWidth="1"/>
    <col min="8935" max="8943" width="10.7109375" style="6" customWidth="1"/>
    <col min="8944" max="8944" width="10.140625" style="6" customWidth="1"/>
    <col min="8945" max="8947" width="0" style="6" hidden="1" customWidth="1"/>
    <col min="8948" max="8948" width="10.7109375" style="6" customWidth="1"/>
    <col min="8949" max="8949" width="9.28515625" style="6" customWidth="1"/>
    <col min="8950" max="8952" width="10.7109375" style="6" customWidth="1"/>
    <col min="8953" max="8955" width="0" style="6" hidden="1" customWidth="1"/>
    <col min="8956" max="8959" width="10.7109375" style="6" customWidth="1"/>
    <col min="8960" max="8960" width="0" style="6" hidden="1" customWidth="1"/>
    <col min="8961" max="8961" width="11.28515625" style="6" customWidth="1"/>
    <col min="8962" max="8963" width="10.7109375" style="6" customWidth="1"/>
    <col min="8964" max="8964" width="0" style="6" hidden="1" customWidth="1"/>
    <col min="8965" max="8965" width="9.42578125" style="6" customWidth="1"/>
    <col min="8966" max="8966" width="0" style="6" hidden="1" customWidth="1"/>
    <col min="8967" max="8967" width="9.42578125" style="6" customWidth="1"/>
    <col min="8968" max="8968" width="0" style="6" hidden="1" customWidth="1"/>
    <col min="8969" max="8969" width="11.7109375" style="6" bestFit="1" customWidth="1"/>
    <col min="8970" max="8970" width="12.28515625" style="6" customWidth="1"/>
    <col min="8971" max="8972" width="0" style="6" hidden="1" customWidth="1"/>
    <col min="8973" max="8973" width="12.140625" style="6" customWidth="1"/>
    <col min="8974" max="8974" width="13.140625" style="6" customWidth="1"/>
    <col min="8975" max="8976" width="0" style="6" hidden="1" customWidth="1"/>
    <col min="8977" max="8977" width="10" style="6" customWidth="1"/>
    <col min="8978" max="8978" width="10.7109375" style="6" customWidth="1"/>
    <col min="8979" max="8979" width="12.7109375" style="6" customWidth="1"/>
    <col min="8980" max="8980" width="13.28515625" style="6" customWidth="1"/>
    <col min="8981" max="8981" width="16" style="6" customWidth="1"/>
    <col min="8982" max="8982" width="17.28515625" style="6" customWidth="1"/>
    <col min="8983" max="8983" width="10.7109375" style="6" customWidth="1"/>
    <col min="8984" max="8984" width="0" style="6" hidden="1" customWidth="1"/>
    <col min="8985" max="8986" width="10.7109375" style="6" customWidth="1"/>
    <col min="8987" max="8988" width="0" style="6" hidden="1" customWidth="1"/>
    <col min="8989" max="8990" width="10.7109375" style="6" customWidth="1"/>
    <col min="8991" max="8991" width="0" style="6" hidden="1" customWidth="1"/>
    <col min="8992" max="8993" width="10.7109375" style="6" customWidth="1"/>
    <col min="8994" max="8996" width="0" style="6" hidden="1" customWidth="1"/>
    <col min="8997" max="8997" width="12.42578125" style="6" customWidth="1"/>
    <col min="8998" max="8998" width="0" style="6" hidden="1" customWidth="1"/>
    <col min="8999" max="8999" width="10.7109375" style="6" customWidth="1"/>
    <col min="9000" max="9000" width="0" style="6" hidden="1" customWidth="1"/>
    <col min="9001" max="9007" width="10.7109375" style="6" customWidth="1"/>
    <col min="9008" max="9008" width="13.42578125" style="6" customWidth="1"/>
    <col min="9009" max="9009" width="12.42578125" style="6" customWidth="1"/>
    <col min="9010" max="9010" width="16.42578125" style="6" customWidth="1"/>
    <col min="9011" max="9011" width="12.42578125" style="6" customWidth="1"/>
    <col min="9012" max="9188" width="11.42578125" style="6"/>
    <col min="9189" max="9189" width="25.7109375" style="6" customWidth="1"/>
    <col min="9190" max="9190" width="13.42578125" style="6" customWidth="1"/>
    <col min="9191" max="9199" width="10.7109375" style="6" customWidth="1"/>
    <col min="9200" max="9200" width="10.140625" style="6" customWidth="1"/>
    <col min="9201" max="9203" width="0" style="6" hidden="1" customWidth="1"/>
    <col min="9204" max="9204" width="10.7109375" style="6" customWidth="1"/>
    <col min="9205" max="9205" width="9.28515625" style="6" customWidth="1"/>
    <col min="9206" max="9208" width="10.7109375" style="6" customWidth="1"/>
    <col min="9209" max="9211" width="0" style="6" hidden="1" customWidth="1"/>
    <col min="9212" max="9215" width="10.7109375" style="6" customWidth="1"/>
    <col min="9216" max="9216" width="0" style="6" hidden="1" customWidth="1"/>
    <col min="9217" max="9217" width="11.28515625" style="6" customWidth="1"/>
    <col min="9218" max="9219" width="10.7109375" style="6" customWidth="1"/>
    <col min="9220" max="9220" width="0" style="6" hidden="1" customWidth="1"/>
    <col min="9221" max="9221" width="9.42578125" style="6" customWidth="1"/>
    <col min="9222" max="9222" width="0" style="6" hidden="1" customWidth="1"/>
    <col min="9223" max="9223" width="9.42578125" style="6" customWidth="1"/>
    <col min="9224" max="9224" width="0" style="6" hidden="1" customWidth="1"/>
    <col min="9225" max="9225" width="11.7109375" style="6" bestFit="1" customWidth="1"/>
    <col min="9226" max="9226" width="12.28515625" style="6" customWidth="1"/>
    <col min="9227" max="9228" width="0" style="6" hidden="1" customWidth="1"/>
    <col min="9229" max="9229" width="12.140625" style="6" customWidth="1"/>
    <col min="9230" max="9230" width="13.140625" style="6" customWidth="1"/>
    <col min="9231" max="9232" width="0" style="6" hidden="1" customWidth="1"/>
    <col min="9233" max="9233" width="10" style="6" customWidth="1"/>
    <col min="9234" max="9234" width="10.7109375" style="6" customWidth="1"/>
    <col min="9235" max="9235" width="12.7109375" style="6" customWidth="1"/>
    <col min="9236" max="9236" width="13.28515625" style="6" customWidth="1"/>
    <col min="9237" max="9237" width="16" style="6" customWidth="1"/>
    <col min="9238" max="9238" width="17.28515625" style="6" customWidth="1"/>
    <col min="9239" max="9239" width="10.7109375" style="6" customWidth="1"/>
    <col min="9240" max="9240" width="0" style="6" hidden="1" customWidth="1"/>
    <col min="9241" max="9242" width="10.7109375" style="6" customWidth="1"/>
    <col min="9243" max="9244" width="0" style="6" hidden="1" customWidth="1"/>
    <col min="9245" max="9246" width="10.7109375" style="6" customWidth="1"/>
    <col min="9247" max="9247" width="0" style="6" hidden="1" customWidth="1"/>
    <col min="9248" max="9249" width="10.7109375" style="6" customWidth="1"/>
    <col min="9250" max="9252" width="0" style="6" hidden="1" customWidth="1"/>
    <col min="9253" max="9253" width="12.42578125" style="6" customWidth="1"/>
    <col min="9254" max="9254" width="0" style="6" hidden="1" customWidth="1"/>
    <col min="9255" max="9255" width="10.7109375" style="6" customWidth="1"/>
    <col min="9256" max="9256" width="0" style="6" hidden="1" customWidth="1"/>
    <col min="9257" max="9263" width="10.7109375" style="6" customWidth="1"/>
    <col min="9264" max="9264" width="13.42578125" style="6" customWidth="1"/>
    <col min="9265" max="9265" width="12.42578125" style="6" customWidth="1"/>
    <col min="9266" max="9266" width="16.42578125" style="6" customWidth="1"/>
    <col min="9267" max="9267" width="12.42578125" style="6" customWidth="1"/>
    <col min="9268" max="9444" width="11.42578125" style="6"/>
    <col min="9445" max="9445" width="25.7109375" style="6" customWidth="1"/>
    <col min="9446" max="9446" width="13.42578125" style="6" customWidth="1"/>
    <col min="9447" max="9455" width="10.7109375" style="6" customWidth="1"/>
    <col min="9456" max="9456" width="10.140625" style="6" customWidth="1"/>
    <col min="9457" max="9459" width="0" style="6" hidden="1" customWidth="1"/>
    <col min="9460" max="9460" width="10.7109375" style="6" customWidth="1"/>
    <col min="9461" max="9461" width="9.28515625" style="6" customWidth="1"/>
    <col min="9462" max="9464" width="10.7109375" style="6" customWidth="1"/>
    <col min="9465" max="9467" width="0" style="6" hidden="1" customWidth="1"/>
    <col min="9468" max="9471" width="10.7109375" style="6" customWidth="1"/>
    <col min="9472" max="9472" width="0" style="6" hidden="1" customWidth="1"/>
    <col min="9473" max="9473" width="11.28515625" style="6" customWidth="1"/>
    <col min="9474" max="9475" width="10.7109375" style="6" customWidth="1"/>
    <col min="9476" max="9476" width="0" style="6" hidden="1" customWidth="1"/>
    <col min="9477" max="9477" width="9.42578125" style="6" customWidth="1"/>
    <col min="9478" max="9478" width="0" style="6" hidden="1" customWidth="1"/>
    <col min="9479" max="9479" width="9.42578125" style="6" customWidth="1"/>
    <col min="9480" max="9480" width="0" style="6" hidden="1" customWidth="1"/>
    <col min="9481" max="9481" width="11.7109375" style="6" bestFit="1" customWidth="1"/>
    <col min="9482" max="9482" width="12.28515625" style="6" customWidth="1"/>
    <col min="9483" max="9484" width="0" style="6" hidden="1" customWidth="1"/>
    <col min="9485" max="9485" width="12.140625" style="6" customWidth="1"/>
    <col min="9486" max="9486" width="13.140625" style="6" customWidth="1"/>
    <col min="9487" max="9488" width="0" style="6" hidden="1" customWidth="1"/>
    <col min="9489" max="9489" width="10" style="6" customWidth="1"/>
    <col min="9490" max="9490" width="10.7109375" style="6" customWidth="1"/>
    <col min="9491" max="9491" width="12.7109375" style="6" customWidth="1"/>
    <col min="9492" max="9492" width="13.28515625" style="6" customWidth="1"/>
    <col min="9493" max="9493" width="16" style="6" customWidth="1"/>
    <col min="9494" max="9494" width="17.28515625" style="6" customWidth="1"/>
    <col min="9495" max="9495" width="10.7109375" style="6" customWidth="1"/>
    <col min="9496" max="9496" width="0" style="6" hidden="1" customWidth="1"/>
    <col min="9497" max="9498" width="10.7109375" style="6" customWidth="1"/>
    <col min="9499" max="9500" width="0" style="6" hidden="1" customWidth="1"/>
    <col min="9501" max="9502" width="10.7109375" style="6" customWidth="1"/>
    <col min="9503" max="9503" width="0" style="6" hidden="1" customWidth="1"/>
    <col min="9504" max="9505" width="10.7109375" style="6" customWidth="1"/>
    <col min="9506" max="9508" width="0" style="6" hidden="1" customWidth="1"/>
    <col min="9509" max="9509" width="12.42578125" style="6" customWidth="1"/>
    <col min="9510" max="9510" width="0" style="6" hidden="1" customWidth="1"/>
    <col min="9511" max="9511" width="10.7109375" style="6" customWidth="1"/>
    <col min="9512" max="9512" width="0" style="6" hidden="1" customWidth="1"/>
    <col min="9513" max="9519" width="10.7109375" style="6" customWidth="1"/>
    <col min="9520" max="9520" width="13.42578125" style="6" customWidth="1"/>
    <col min="9521" max="9521" width="12.42578125" style="6" customWidth="1"/>
    <col min="9522" max="9522" width="16.42578125" style="6" customWidth="1"/>
    <col min="9523" max="9523" width="12.42578125" style="6" customWidth="1"/>
    <col min="9524" max="9700" width="11.42578125" style="6"/>
    <col min="9701" max="9701" width="25.7109375" style="6" customWidth="1"/>
    <col min="9702" max="9702" width="13.42578125" style="6" customWidth="1"/>
    <col min="9703" max="9711" width="10.7109375" style="6" customWidth="1"/>
    <col min="9712" max="9712" width="10.140625" style="6" customWidth="1"/>
    <col min="9713" max="9715" width="0" style="6" hidden="1" customWidth="1"/>
    <col min="9716" max="9716" width="10.7109375" style="6" customWidth="1"/>
    <col min="9717" max="9717" width="9.28515625" style="6" customWidth="1"/>
    <col min="9718" max="9720" width="10.7109375" style="6" customWidth="1"/>
    <col min="9721" max="9723" width="0" style="6" hidden="1" customWidth="1"/>
    <col min="9724" max="9727" width="10.7109375" style="6" customWidth="1"/>
    <col min="9728" max="9728" width="0" style="6" hidden="1" customWidth="1"/>
    <col min="9729" max="9729" width="11.28515625" style="6" customWidth="1"/>
    <col min="9730" max="9731" width="10.7109375" style="6" customWidth="1"/>
    <col min="9732" max="9732" width="0" style="6" hidden="1" customWidth="1"/>
    <col min="9733" max="9733" width="9.42578125" style="6" customWidth="1"/>
    <col min="9734" max="9734" width="0" style="6" hidden="1" customWidth="1"/>
    <col min="9735" max="9735" width="9.42578125" style="6" customWidth="1"/>
    <col min="9736" max="9736" width="0" style="6" hidden="1" customWidth="1"/>
    <col min="9737" max="9737" width="11.7109375" style="6" bestFit="1" customWidth="1"/>
    <col min="9738" max="9738" width="12.28515625" style="6" customWidth="1"/>
    <col min="9739" max="9740" width="0" style="6" hidden="1" customWidth="1"/>
    <col min="9741" max="9741" width="12.140625" style="6" customWidth="1"/>
    <col min="9742" max="9742" width="13.140625" style="6" customWidth="1"/>
    <col min="9743" max="9744" width="0" style="6" hidden="1" customWidth="1"/>
    <col min="9745" max="9745" width="10" style="6" customWidth="1"/>
    <col min="9746" max="9746" width="10.7109375" style="6" customWidth="1"/>
    <col min="9747" max="9747" width="12.7109375" style="6" customWidth="1"/>
    <col min="9748" max="9748" width="13.28515625" style="6" customWidth="1"/>
    <col min="9749" max="9749" width="16" style="6" customWidth="1"/>
    <col min="9750" max="9750" width="17.28515625" style="6" customWidth="1"/>
    <col min="9751" max="9751" width="10.7109375" style="6" customWidth="1"/>
    <col min="9752" max="9752" width="0" style="6" hidden="1" customWidth="1"/>
    <col min="9753" max="9754" width="10.7109375" style="6" customWidth="1"/>
    <col min="9755" max="9756" width="0" style="6" hidden="1" customWidth="1"/>
    <col min="9757" max="9758" width="10.7109375" style="6" customWidth="1"/>
    <col min="9759" max="9759" width="0" style="6" hidden="1" customWidth="1"/>
    <col min="9760" max="9761" width="10.7109375" style="6" customWidth="1"/>
    <col min="9762" max="9764" width="0" style="6" hidden="1" customWidth="1"/>
    <col min="9765" max="9765" width="12.42578125" style="6" customWidth="1"/>
    <col min="9766" max="9766" width="0" style="6" hidden="1" customWidth="1"/>
    <col min="9767" max="9767" width="10.7109375" style="6" customWidth="1"/>
    <col min="9768" max="9768" width="0" style="6" hidden="1" customWidth="1"/>
    <col min="9769" max="9775" width="10.7109375" style="6" customWidth="1"/>
    <col min="9776" max="9776" width="13.42578125" style="6" customWidth="1"/>
    <col min="9777" max="9777" width="12.42578125" style="6" customWidth="1"/>
    <col min="9778" max="9778" width="16.42578125" style="6" customWidth="1"/>
    <col min="9779" max="9779" width="12.42578125" style="6" customWidth="1"/>
    <col min="9780" max="9956" width="11.42578125" style="6"/>
    <col min="9957" max="9957" width="25.7109375" style="6" customWidth="1"/>
    <col min="9958" max="9958" width="13.42578125" style="6" customWidth="1"/>
    <col min="9959" max="9967" width="10.7109375" style="6" customWidth="1"/>
    <col min="9968" max="9968" width="10.140625" style="6" customWidth="1"/>
    <col min="9969" max="9971" width="0" style="6" hidden="1" customWidth="1"/>
    <col min="9972" max="9972" width="10.7109375" style="6" customWidth="1"/>
    <col min="9973" max="9973" width="9.28515625" style="6" customWidth="1"/>
    <col min="9974" max="9976" width="10.7109375" style="6" customWidth="1"/>
    <col min="9977" max="9979" width="0" style="6" hidden="1" customWidth="1"/>
    <col min="9980" max="9983" width="10.7109375" style="6" customWidth="1"/>
    <col min="9984" max="9984" width="0" style="6" hidden="1" customWidth="1"/>
    <col min="9985" max="9985" width="11.28515625" style="6" customWidth="1"/>
    <col min="9986" max="9987" width="10.7109375" style="6" customWidth="1"/>
    <col min="9988" max="9988" width="0" style="6" hidden="1" customWidth="1"/>
    <col min="9989" max="9989" width="9.42578125" style="6" customWidth="1"/>
    <col min="9990" max="9990" width="0" style="6" hidden="1" customWidth="1"/>
    <col min="9991" max="9991" width="9.42578125" style="6" customWidth="1"/>
    <col min="9992" max="9992" width="0" style="6" hidden="1" customWidth="1"/>
    <col min="9993" max="9993" width="11.7109375" style="6" bestFit="1" customWidth="1"/>
    <col min="9994" max="9994" width="12.28515625" style="6" customWidth="1"/>
    <col min="9995" max="9996" width="0" style="6" hidden="1" customWidth="1"/>
    <col min="9997" max="9997" width="12.140625" style="6" customWidth="1"/>
    <col min="9998" max="9998" width="13.140625" style="6" customWidth="1"/>
    <col min="9999" max="10000" width="0" style="6" hidden="1" customWidth="1"/>
    <col min="10001" max="10001" width="10" style="6" customWidth="1"/>
    <col min="10002" max="10002" width="10.7109375" style="6" customWidth="1"/>
    <col min="10003" max="10003" width="12.7109375" style="6" customWidth="1"/>
    <col min="10004" max="10004" width="13.28515625" style="6" customWidth="1"/>
    <col min="10005" max="10005" width="16" style="6" customWidth="1"/>
    <col min="10006" max="10006" width="17.28515625" style="6" customWidth="1"/>
    <col min="10007" max="10007" width="10.7109375" style="6" customWidth="1"/>
    <col min="10008" max="10008" width="0" style="6" hidden="1" customWidth="1"/>
    <col min="10009" max="10010" width="10.7109375" style="6" customWidth="1"/>
    <col min="10011" max="10012" width="0" style="6" hidden="1" customWidth="1"/>
    <col min="10013" max="10014" width="10.7109375" style="6" customWidth="1"/>
    <col min="10015" max="10015" width="0" style="6" hidden="1" customWidth="1"/>
    <col min="10016" max="10017" width="10.7109375" style="6" customWidth="1"/>
    <col min="10018" max="10020" width="0" style="6" hidden="1" customWidth="1"/>
    <col min="10021" max="10021" width="12.42578125" style="6" customWidth="1"/>
    <col min="10022" max="10022" width="0" style="6" hidden="1" customWidth="1"/>
    <col min="10023" max="10023" width="10.7109375" style="6" customWidth="1"/>
    <col min="10024" max="10024" width="0" style="6" hidden="1" customWidth="1"/>
    <col min="10025" max="10031" width="10.7109375" style="6" customWidth="1"/>
    <col min="10032" max="10032" width="13.42578125" style="6" customWidth="1"/>
    <col min="10033" max="10033" width="12.42578125" style="6" customWidth="1"/>
    <col min="10034" max="10034" width="16.42578125" style="6" customWidth="1"/>
    <col min="10035" max="10035" width="12.42578125" style="6" customWidth="1"/>
    <col min="10036" max="10212" width="11.42578125" style="6"/>
    <col min="10213" max="10213" width="25.7109375" style="6" customWidth="1"/>
    <col min="10214" max="10214" width="13.42578125" style="6" customWidth="1"/>
    <col min="10215" max="10223" width="10.7109375" style="6" customWidth="1"/>
    <col min="10224" max="10224" width="10.140625" style="6" customWidth="1"/>
    <col min="10225" max="10227" width="0" style="6" hidden="1" customWidth="1"/>
    <col min="10228" max="10228" width="10.7109375" style="6" customWidth="1"/>
    <col min="10229" max="10229" width="9.28515625" style="6" customWidth="1"/>
    <col min="10230" max="10232" width="10.7109375" style="6" customWidth="1"/>
    <col min="10233" max="10235" width="0" style="6" hidden="1" customWidth="1"/>
    <col min="10236" max="10239" width="10.7109375" style="6" customWidth="1"/>
    <col min="10240" max="10240" width="0" style="6" hidden="1" customWidth="1"/>
    <col min="10241" max="10241" width="11.28515625" style="6" customWidth="1"/>
    <col min="10242" max="10243" width="10.7109375" style="6" customWidth="1"/>
    <col min="10244" max="10244" width="0" style="6" hidden="1" customWidth="1"/>
    <col min="10245" max="10245" width="9.42578125" style="6" customWidth="1"/>
    <col min="10246" max="10246" width="0" style="6" hidden="1" customWidth="1"/>
    <col min="10247" max="10247" width="9.42578125" style="6" customWidth="1"/>
    <col min="10248" max="10248" width="0" style="6" hidden="1" customWidth="1"/>
    <col min="10249" max="10249" width="11.7109375" style="6" bestFit="1" customWidth="1"/>
    <col min="10250" max="10250" width="12.28515625" style="6" customWidth="1"/>
    <col min="10251" max="10252" width="0" style="6" hidden="1" customWidth="1"/>
    <col min="10253" max="10253" width="12.140625" style="6" customWidth="1"/>
    <col min="10254" max="10254" width="13.140625" style="6" customWidth="1"/>
    <col min="10255" max="10256" width="0" style="6" hidden="1" customWidth="1"/>
    <col min="10257" max="10257" width="10" style="6" customWidth="1"/>
    <col min="10258" max="10258" width="10.7109375" style="6" customWidth="1"/>
    <col min="10259" max="10259" width="12.7109375" style="6" customWidth="1"/>
    <col min="10260" max="10260" width="13.28515625" style="6" customWidth="1"/>
    <col min="10261" max="10261" width="16" style="6" customWidth="1"/>
    <col min="10262" max="10262" width="17.28515625" style="6" customWidth="1"/>
    <col min="10263" max="10263" width="10.7109375" style="6" customWidth="1"/>
    <col min="10264" max="10264" width="0" style="6" hidden="1" customWidth="1"/>
    <col min="10265" max="10266" width="10.7109375" style="6" customWidth="1"/>
    <col min="10267" max="10268" width="0" style="6" hidden="1" customWidth="1"/>
    <col min="10269" max="10270" width="10.7109375" style="6" customWidth="1"/>
    <col min="10271" max="10271" width="0" style="6" hidden="1" customWidth="1"/>
    <col min="10272" max="10273" width="10.7109375" style="6" customWidth="1"/>
    <col min="10274" max="10276" width="0" style="6" hidden="1" customWidth="1"/>
    <col min="10277" max="10277" width="12.42578125" style="6" customWidth="1"/>
    <col min="10278" max="10278" width="0" style="6" hidden="1" customWidth="1"/>
    <col min="10279" max="10279" width="10.7109375" style="6" customWidth="1"/>
    <col min="10280" max="10280" width="0" style="6" hidden="1" customWidth="1"/>
    <col min="10281" max="10287" width="10.7109375" style="6" customWidth="1"/>
    <col min="10288" max="10288" width="13.42578125" style="6" customWidth="1"/>
    <col min="10289" max="10289" width="12.42578125" style="6" customWidth="1"/>
    <col min="10290" max="10290" width="16.42578125" style="6" customWidth="1"/>
    <col min="10291" max="10291" width="12.42578125" style="6" customWidth="1"/>
    <col min="10292" max="10468" width="11.42578125" style="6"/>
    <col min="10469" max="10469" width="25.7109375" style="6" customWidth="1"/>
    <col min="10470" max="10470" width="13.42578125" style="6" customWidth="1"/>
    <col min="10471" max="10479" width="10.7109375" style="6" customWidth="1"/>
    <col min="10480" max="10480" width="10.140625" style="6" customWidth="1"/>
    <col min="10481" max="10483" width="0" style="6" hidden="1" customWidth="1"/>
    <col min="10484" max="10484" width="10.7109375" style="6" customWidth="1"/>
    <col min="10485" max="10485" width="9.28515625" style="6" customWidth="1"/>
    <col min="10486" max="10488" width="10.7109375" style="6" customWidth="1"/>
    <col min="10489" max="10491" width="0" style="6" hidden="1" customWidth="1"/>
    <col min="10492" max="10495" width="10.7109375" style="6" customWidth="1"/>
    <col min="10496" max="10496" width="0" style="6" hidden="1" customWidth="1"/>
    <col min="10497" max="10497" width="11.28515625" style="6" customWidth="1"/>
    <col min="10498" max="10499" width="10.7109375" style="6" customWidth="1"/>
    <col min="10500" max="10500" width="0" style="6" hidden="1" customWidth="1"/>
    <col min="10501" max="10501" width="9.42578125" style="6" customWidth="1"/>
    <col min="10502" max="10502" width="0" style="6" hidden="1" customWidth="1"/>
    <col min="10503" max="10503" width="9.42578125" style="6" customWidth="1"/>
    <col min="10504" max="10504" width="0" style="6" hidden="1" customWidth="1"/>
    <col min="10505" max="10505" width="11.7109375" style="6" bestFit="1" customWidth="1"/>
    <col min="10506" max="10506" width="12.28515625" style="6" customWidth="1"/>
    <col min="10507" max="10508" width="0" style="6" hidden="1" customWidth="1"/>
    <col min="10509" max="10509" width="12.140625" style="6" customWidth="1"/>
    <col min="10510" max="10510" width="13.140625" style="6" customWidth="1"/>
    <col min="10511" max="10512" width="0" style="6" hidden="1" customWidth="1"/>
    <col min="10513" max="10513" width="10" style="6" customWidth="1"/>
    <col min="10514" max="10514" width="10.7109375" style="6" customWidth="1"/>
    <col min="10515" max="10515" width="12.7109375" style="6" customWidth="1"/>
    <col min="10516" max="10516" width="13.28515625" style="6" customWidth="1"/>
    <col min="10517" max="10517" width="16" style="6" customWidth="1"/>
    <col min="10518" max="10518" width="17.28515625" style="6" customWidth="1"/>
    <col min="10519" max="10519" width="10.7109375" style="6" customWidth="1"/>
    <col min="10520" max="10520" width="0" style="6" hidden="1" customWidth="1"/>
    <col min="10521" max="10522" width="10.7109375" style="6" customWidth="1"/>
    <col min="10523" max="10524" width="0" style="6" hidden="1" customWidth="1"/>
    <col min="10525" max="10526" width="10.7109375" style="6" customWidth="1"/>
    <col min="10527" max="10527" width="0" style="6" hidden="1" customWidth="1"/>
    <col min="10528" max="10529" width="10.7109375" style="6" customWidth="1"/>
    <col min="10530" max="10532" width="0" style="6" hidden="1" customWidth="1"/>
    <col min="10533" max="10533" width="12.42578125" style="6" customWidth="1"/>
    <col min="10534" max="10534" width="0" style="6" hidden="1" customWidth="1"/>
    <col min="10535" max="10535" width="10.7109375" style="6" customWidth="1"/>
    <col min="10536" max="10536" width="0" style="6" hidden="1" customWidth="1"/>
    <col min="10537" max="10543" width="10.7109375" style="6" customWidth="1"/>
    <col min="10544" max="10544" width="13.42578125" style="6" customWidth="1"/>
    <col min="10545" max="10545" width="12.42578125" style="6" customWidth="1"/>
    <col min="10546" max="10546" width="16.42578125" style="6" customWidth="1"/>
    <col min="10547" max="10547" width="12.42578125" style="6" customWidth="1"/>
    <col min="10548" max="10724" width="11.42578125" style="6"/>
    <col min="10725" max="10725" width="25.7109375" style="6" customWidth="1"/>
    <col min="10726" max="10726" width="13.42578125" style="6" customWidth="1"/>
    <col min="10727" max="10735" width="10.7109375" style="6" customWidth="1"/>
    <col min="10736" max="10736" width="10.140625" style="6" customWidth="1"/>
    <col min="10737" max="10739" width="0" style="6" hidden="1" customWidth="1"/>
    <col min="10740" max="10740" width="10.7109375" style="6" customWidth="1"/>
    <col min="10741" max="10741" width="9.28515625" style="6" customWidth="1"/>
    <col min="10742" max="10744" width="10.7109375" style="6" customWidth="1"/>
    <col min="10745" max="10747" width="0" style="6" hidden="1" customWidth="1"/>
    <col min="10748" max="10751" width="10.7109375" style="6" customWidth="1"/>
    <col min="10752" max="10752" width="0" style="6" hidden="1" customWidth="1"/>
    <col min="10753" max="10753" width="11.28515625" style="6" customWidth="1"/>
    <col min="10754" max="10755" width="10.7109375" style="6" customWidth="1"/>
    <col min="10756" max="10756" width="0" style="6" hidden="1" customWidth="1"/>
    <col min="10757" max="10757" width="9.42578125" style="6" customWidth="1"/>
    <col min="10758" max="10758" width="0" style="6" hidden="1" customWidth="1"/>
    <col min="10759" max="10759" width="9.42578125" style="6" customWidth="1"/>
    <col min="10760" max="10760" width="0" style="6" hidden="1" customWidth="1"/>
    <col min="10761" max="10761" width="11.7109375" style="6" bestFit="1" customWidth="1"/>
    <col min="10762" max="10762" width="12.28515625" style="6" customWidth="1"/>
    <col min="10763" max="10764" width="0" style="6" hidden="1" customWidth="1"/>
    <col min="10765" max="10765" width="12.140625" style="6" customWidth="1"/>
    <col min="10766" max="10766" width="13.140625" style="6" customWidth="1"/>
    <col min="10767" max="10768" width="0" style="6" hidden="1" customWidth="1"/>
    <col min="10769" max="10769" width="10" style="6" customWidth="1"/>
    <col min="10770" max="10770" width="10.7109375" style="6" customWidth="1"/>
    <col min="10771" max="10771" width="12.7109375" style="6" customWidth="1"/>
    <col min="10772" max="10772" width="13.28515625" style="6" customWidth="1"/>
    <col min="10773" max="10773" width="16" style="6" customWidth="1"/>
    <col min="10774" max="10774" width="17.28515625" style="6" customWidth="1"/>
    <col min="10775" max="10775" width="10.7109375" style="6" customWidth="1"/>
    <col min="10776" max="10776" width="0" style="6" hidden="1" customWidth="1"/>
    <col min="10777" max="10778" width="10.7109375" style="6" customWidth="1"/>
    <col min="10779" max="10780" width="0" style="6" hidden="1" customWidth="1"/>
    <col min="10781" max="10782" width="10.7109375" style="6" customWidth="1"/>
    <col min="10783" max="10783" width="0" style="6" hidden="1" customWidth="1"/>
    <col min="10784" max="10785" width="10.7109375" style="6" customWidth="1"/>
    <col min="10786" max="10788" width="0" style="6" hidden="1" customWidth="1"/>
    <col min="10789" max="10789" width="12.42578125" style="6" customWidth="1"/>
    <col min="10790" max="10790" width="0" style="6" hidden="1" customWidth="1"/>
    <col min="10791" max="10791" width="10.7109375" style="6" customWidth="1"/>
    <col min="10792" max="10792" width="0" style="6" hidden="1" customWidth="1"/>
    <col min="10793" max="10799" width="10.7109375" style="6" customWidth="1"/>
    <col min="10800" max="10800" width="13.42578125" style="6" customWidth="1"/>
    <col min="10801" max="10801" width="12.42578125" style="6" customWidth="1"/>
    <col min="10802" max="10802" width="16.42578125" style="6" customWidth="1"/>
    <col min="10803" max="10803" width="12.42578125" style="6" customWidth="1"/>
    <col min="10804" max="10980" width="11.42578125" style="6"/>
    <col min="10981" max="10981" width="25.7109375" style="6" customWidth="1"/>
    <col min="10982" max="10982" width="13.42578125" style="6" customWidth="1"/>
    <col min="10983" max="10991" width="10.7109375" style="6" customWidth="1"/>
    <col min="10992" max="10992" width="10.140625" style="6" customWidth="1"/>
    <col min="10993" max="10995" width="0" style="6" hidden="1" customWidth="1"/>
    <col min="10996" max="10996" width="10.7109375" style="6" customWidth="1"/>
    <col min="10997" max="10997" width="9.28515625" style="6" customWidth="1"/>
    <col min="10998" max="11000" width="10.7109375" style="6" customWidth="1"/>
    <col min="11001" max="11003" width="0" style="6" hidden="1" customWidth="1"/>
    <col min="11004" max="11007" width="10.7109375" style="6" customWidth="1"/>
    <col min="11008" max="11008" width="0" style="6" hidden="1" customWidth="1"/>
    <col min="11009" max="11009" width="11.28515625" style="6" customWidth="1"/>
    <col min="11010" max="11011" width="10.7109375" style="6" customWidth="1"/>
    <col min="11012" max="11012" width="0" style="6" hidden="1" customWidth="1"/>
    <col min="11013" max="11013" width="9.42578125" style="6" customWidth="1"/>
    <col min="11014" max="11014" width="0" style="6" hidden="1" customWidth="1"/>
    <col min="11015" max="11015" width="9.42578125" style="6" customWidth="1"/>
    <col min="11016" max="11016" width="0" style="6" hidden="1" customWidth="1"/>
    <col min="11017" max="11017" width="11.7109375" style="6" bestFit="1" customWidth="1"/>
    <col min="11018" max="11018" width="12.28515625" style="6" customWidth="1"/>
    <col min="11019" max="11020" width="0" style="6" hidden="1" customWidth="1"/>
    <col min="11021" max="11021" width="12.140625" style="6" customWidth="1"/>
    <col min="11022" max="11022" width="13.140625" style="6" customWidth="1"/>
    <col min="11023" max="11024" width="0" style="6" hidden="1" customWidth="1"/>
    <col min="11025" max="11025" width="10" style="6" customWidth="1"/>
    <col min="11026" max="11026" width="10.7109375" style="6" customWidth="1"/>
    <col min="11027" max="11027" width="12.7109375" style="6" customWidth="1"/>
    <col min="11028" max="11028" width="13.28515625" style="6" customWidth="1"/>
    <col min="11029" max="11029" width="16" style="6" customWidth="1"/>
    <col min="11030" max="11030" width="17.28515625" style="6" customWidth="1"/>
    <col min="11031" max="11031" width="10.7109375" style="6" customWidth="1"/>
    <col min="11032" max="11032" width="0" style="6" hidden="1" customWidth="1"/>
    <col min="11033" max="11034" width="10.7109375" style="6" customWidth="1"/>
    <col min="11035" max="11036" width="0" style="6" hidden="1" customWidth="1"/>
    <col min="11037" max="11038" width="10.7109375" style="6" customWidth="1"/>
    <col min="11039" max="11039" width="0" style="6" hidden="1" customWidth="1"/>
    <col min="11040" max="11041" width="10.7109375" style="6" customWidth="1"/>
    <col min="11042" max="11044" width="0" style="6" hidden="1" customWidth="1"/>
    <col min="11045" max="11045" width="12.42578125" style="6" customWidth="1"/>
    <col min="11046" max="11046" width="0" style="6" hidden="1" customWidth="1"/>
    <col min="11047" max="11047" width="10.7109375" style="6" customWidth="1"/>
    <col min="11048" max="11048" width="0" style="6" hidden="1" customWidth="1"/>
    <col min="11049" max="11055" width="10.7109375" style="6" customWidth="1"/>
    <col min="11056" max="11056" width="13.42578125" style="6" customWidth="1"/>
    <col min="11057" max="11057" width="12.42578125" style="6" customWidth="1"/>
    <col min="11058" max="11058" width="16.42578125" style="6" customWidth="1"/>
    <col min="11059" max="11059" width="12.42578125" style="6" customWidth="1"/>
    <col min="11060" max="11236" width="11.42578125" style="6"/>
    <col min="11237" max="11237" width="25.7109375" style="6" customWidth="1"/>
    <col min="11238" max="11238" width="13.42578125" style="6" customWidth="1"/>
    <col min="11239" max="11247" width="10.7109375" style="6" customWidth="1"/>
    <col min="11248" max="11248" width="10.140625" style="6" customWidth="1"/>
    <col min="11249" max="11251" width="0" style="6" hidden="1" customWidth="1"/>
    <col min="11252" max="11252" width="10.7109375" style="6" customWidth="1"/>
    <col min="11253" max="11253" width="9.28515625" style="6" customWidth="1"/>
    <col min="11254" max="11256" width="10.7109375" style="6" customWidth="1"/>
    <col min="11257" max="11259" width="0" style="6" hidden="1" customWidth="1"/>
    <col min="11260" max="11263" width="10.7109375" style="6" customWidth="1"/>
    <col min="11264" max="11264" width="0" style="6" hidden="1" customWidth="1"/>
    <col min="11265" max="11265" width="11.28515625" style="6" customWidth="1"/>
    <col min="11266" max="11267" width="10.7109375" style="6" customWidth="1"/>
    <col min="11268" max="11268" width="0" style="6" hidden="1" customWidth="1"/>
    <col min="11269" max="11269" width="9.42578125" style="6" customWidth="1"/>
    <col min="11270" max="11270" width="0" style="6" hidden="1" customWidth="1"/>
    <col min="11271" max="11271" width="9.42578125" style="6" customWidth="1"/>
    <col min="11272" max="11272" width="0" style="6" hidden="1" customWidth="1"/>
    <col min="11273" max="11273" width="11.7109375" style="6" bestFit="1" customWidth="1"/>
    <col min="11274" max="11274" width="12.28515625" style="6" customWidth="1"/>
    <col min="11275" max="11276" width="0" style="6" hidden="1" customWidth="1"/>
    <col min="11277" max="11277" width="12.140625" style="6" customWidth="1"/>
    <col min="11278" max="11278" width="13.140625" style="6" customWidth="1"/>
    <col min="11279" max="11280" width="0" style="6" hidden="1" customWidth="1"/>
    <col min="11281" max="11281" width="10" style="6" customWidth="1"/>
    <col min="11282" max="11282" width="10.7109375" style="6" customWidth="1"/>
    <col min="11283" max="11283" width="12.7109375" style="6" customWidth="1"/>
    <col min="11284" max="11284" width="13.28515625" style="6" customWidth="1"/>
    <col min="11285" max="11285" width="16" style="6" customWidth="1"/>
    <col min="11286" max="11286" width="17.28515625" style="6" customWidth="1"/>
    <col min="11287" max="11287" width="10.7109375" style="6" customWidth="1"/>
    <col min="11288" max="11288" width="0" style="6" hidden="1" customWidth="1"/>
    <col min="11289" max="11290" width="10.7109375" style="6" customWidth="1"/>
    <col min="11291" max="11292" width="0" style="6" hidden="1" customWidth="1"/>
    <col min="11293" max="11294" width="10.7109375" style="6" customWidth="1"/>
    <col min="11295" max="11295" width="0" style="6" hidden="1" customWidth="1"/>
    <col min="11296" max="11297" width="10.7109375" style="6" customWidth="1"/>
    <col min="11298" max="11300" width="0" style="6" hidden="1" customWidth="1"/>
    <col min="11301" max="11301" width="12.42578125" style="6" customWidth="1"/>
    <col min="11302" max="11302" width="0" style="6" hidden="1" customWidth="1"/>
    <col min="11303" max="11303" width="10.7109375" style="6" customWidth="1"/>
    <col min="11304" max="11304" width="0" style="6" hidden="1" customWidth="1"/>
    <col min="11305" max="11311" width="10.7109375" style="6" customWidth="1"/>
    <col min="11312" max="11312" width="13.42578125" style="6" customWidth="1"/>
    <col min="11313" max="11313" width="12.42578125" style="6" customWidth="1"/>
    <col min="11314" max="11314" width="16.42578125" style="6" customWidth="1"/>
    <col min="11315" max="11315" width="12.42578125" style="6" customWidth="1"/>
    <col min="11316" max="11492" width="11.42578125" style="6"/>
    <col min="11493" max="11493" width="25.7109375" style="6" customWidth="1"/>
    <col min="11494" max="11494" width="13.42578125" style="6" customWidth="1"/>
    <col min="11495" max="11503" width="10.7109375" style="6" customWidth="1"/>
    <col min="11504" max="11504" width="10.140625" style="6" customWidth="1"/>
    <col min="11505" max="11507" width="0" style="6" hidden="1" customWidth="1"/>
    <col min="11508" max="11508" width="10.7109375" style="6" customWidth="1"/>
    <col min="11509" max="11509" width="9.28515625" style="6" customWidth="1"/>
    <col min="11510" max="11512" width="10.7109375" style="6" customWidth="1"/>
    <col min="11513" max="11515" width="0" style="6" hidden="1" customWidth="1"/>
    <col min="11516" max="11519" width="10.7109375" style="6" customWidth="1"/>
    <col min="11520" max="11520" width="0" style="6" hidden="1" customWidth="1"/>
    <col min="11521" max="11521" width="11.28515625" style="6" customWidth="1"/>
    <col min="11522" max="11523" width="10.7109375" style="6" customWidth="1"/>
    <col min="11524" max="11524" width="0" style="6" hidden="1" customWidth="1"/>
    <col min="11525" max="11525" width="9.42578125" style="6" customWidth="1"/>
    <col min="11526" max="11526" width="0" style="6" hidden="1" customWidth="1"/>
    <col min="11527" max="11527" width="9.42578125" style="6" customWidth="1"/>
    <col min="11528" max="11528" width="0" style="6" hidden="1" customWidth="1"/>
    <col min="11529" max="11529" width="11.7109375" style="6" bestFit="1" customWidth="1"/>
    <col min="11530" max="11530" width="12.28515625" style="6" customWidth="1"/>
    <col min="11531" max="11532" width="0" style="6" hidden="1" customWidth="1"/>
    <col min="11533" max="11533" width="12.140625" style="6" customWidth="1"/>
    <col min="11534" max="11534" width="13.140625" style="6" customWidth="1"/>
    <col min="11535" max="11536" width="0" style="6" hidden="1" customWidth="1"/>
    <col min="11537" max="11537" width="10" style="6" customWidth="1"/>
    <col min="11538" max="11538" width="10.7109375" style="6" customWidth="1"/>
    <col min="11539" max="11539" width="12.7109375" style="6" customWidth="1"/>
    <col min="11540" max="11540" width="13.28515625" style="6" customWidth="1"/>
    <col min="11541" max="11541" width="16" style="6" customWidth="1"/>
    <col min="11542" max="11542" width="17.28515625" style="6" customWidth="1"/>
    <col min="11543" max="11543" width="10.7109375" style="6" customWidth="1"/>
    <col min="11544" max="11544" width="0" style="6" hidden="1" customWidth="1"/>
    <col min="11545" max="11546" width="10.7109375" style="6" customWidth="1"/>
    <col min="11547" max="11548" width="0" style="6" hidden="1" customWidth="1"/>
    <col min="11549" max="11550" width="10.7109375" style="6" customWidth="1"/>
    <col min="11551" max="11551" width="0" style="6" hidden="1" customWidth="1"/>
    <col min="11552" max="11553" width="10.7109375" style="6" customWidth="1"/>
    <col min="11554" max="11556" width="0" style="6" hidden="1" customWidth="1"/>
    <col min="11557" max="11557" width="12.42578125" style="6" customWidth="1"/>
    <col min="11558" max="11558" width="0" style="6" hidden="1" customWidth="1"/>
    <col min="11559" max="11559" width="10.7109375" style="6" customWidth="1"/>
    <col min="11560" max="11560" width="0" style="6" hidden="1" customWidth="1"/>
    <col min="11561" max="11567" width="10.7109375" style="6" customWidth="1"/>
    <col min="11568" max="11568" width="13.42578125" style="6" customWidth="1"/>
    <col min="11569" max="11569" width="12.42578125" style="6" customWidth="1"/>
    <col min="11570" max="11570" width="16.42578125" style="6" customWidth="1"/>
    <col min="11571" max="11571" width="12.42578125" style="6" customWidth="1"/>
    <col min="11572" max="11748" width="11.42578125" style="6"/>
    <col min="11749" max="11749" width="25.7109375" style="6" customWidth="1"/>
    <col min="11750" max="11750" width="13.42578125" style="6" customWidth="1"/>
    <col min="11751" max="11759" width="10.7109375" style="6" customWidth="1"/>
    <col min="11760" max="11760" width="10.140625" style="6" customWidth="1"/>
    <col min="11761" max="11763" width="0" style="6" hidden="1" customWidth="1"/>
    <col min="11764" max="11764" width="10.7109375" style="6" customWidth="1"/>
    <col min="11765" max="11765" width="9.28515625" style="6" customWidth="1"/>
    <col min="11766" max="11768" width="10.7109375" style="6" customWidth="1"/>
    <col min="11769" max="11771" width="0" style="6" hidden="1" customWidth="1"/>
    <col min="11772" max="11775" width="10.7109375" style="6" customWidth="1"/>
    <col min="11776" max="11776" width="0" style="6" hidden="1" customWidth="1"/>
    <col min="11777" max="11777" width="11.28515625" style="6" customWidth="1"/>
    <col min="11778" max="11779" width="10.7109375" style="6" customWidth="1"/>
    <col min="11780" max="11780" width="0" style="6" hidden="1" customWidth="1"/>
    <col min="11781" max="11781" width="9.42578125" style="6" customWidth="1"/>
    <col min="11782" max="11782" width="0" style="6" hidden="1" customWidth="1"/>
    <col min="11783" max="11783" width="9.42578125" style="6" customWidth="1"/>
    <col min="11784" max="11784" width="0" style="6" hidden="1" customWidth="1"/>
    <col min="11785" max="11785" width="11.7109375" style="6" bestFit="1" customWidth="1"/>
    <col min="11786" max="11786" width="12.28515625" style="6" customWidth="1"/>
    <col min="11787" max="11788" width="0" style="6" hidden="1" customWidth="1"/>
    <col min="11789" max="11789" width="12.140625" style="6" customWidth="1"/>
    <col min="11790" max="11790" width="13.140625" style="6" customWidth="1"/>
    <col min="11791" max="11792" width="0" style="6" hidden="1" customWidth="1"/>
    <col min="11793" max="11793" width="10" style="6" customWidth="1"/>
    <col min="11794" max="11794" width="10.7109375" style="6" customWidth="1"/>
    <col min="11795" max="11795" width="12.7109375" style="6" customWidth="1"/>
    <col min="11796" max="11796" width="13.28515625" style="6" customWidth="1"/>
    <col min="11797" max="11797" width="16" style="6" customWidth="1"/>
    <col min="11798" max="11798" width="17.28515625" style="6" customWidth="1"/>
    <col min="11799" max="11799" width="10.7109375" style="6" customWidth="1"/>
    <col min="11800" max="11800" width="0" style="6" hidden="1" customWidth="1"/>
    <col min="11801" max="11802" width="10.7109375" style="6" customWidth="1"/>
    <col min="11803" max="11804" width="0" style="6" hidden="1" customWidth="1"/>
    <col min="11805" max="11806" width="10.7109375" style="6" customWidth="1"/>
    <col min="11807" max="11807" width="0" style="6" hidden="1" customWidth="1"/>
    <col min="11808" max="11809" width="10.7109375" style="6" customWidth="1"/>
    <col min="11810" max="11812" width="0" style="6" hidden="1" customWidth="1"/>
    <col min="11813" max="11813" width="12.42578125" style="6" customWidth="1"/>
    <col min="11814" max="11814" width="0" style="6" hidden="1" customWidth="1"/>
    <col min="11815" max="11815" width="10.7109375" style="6" customWidth="1"/>
    <col min="11816" max="11816" width="0" style="6" hidden="1" customWidth="1"/>
    <col min="11817" max="11823" width="10.7109375" style="6" customWidth="1"/>
    <col min="11824" max="11824" width="13.42578125" style="6" customWidth="1"/>
    <col min="11825" max="11825" width="12.42578125" style="6" customWidth="1"/>
    <col min="11826" max="11826" width="16.42578125" style="6" customWidth="1"/>
    <col min="11827" max="11827" width="12.42578125" style="6" customWidth="1"/>
    <col min="11828" max="12004" width="11.42578125" style="6"/>
    <col min="12005" max="12005" width="25.7109375" style="6" customWidth="1"/>
    <col min="12006" max="12006" width="13.42578125" style="6" customWidth="1"/>
    <col min="12007" max="12015" width="10.7109375" style="6" customWidth="1"/>
    <col min="12016" max="12016" width="10.140625" style="6" customWidth="1"/>
    <col min="12017" max="12019" width="0" style="6" hidden="1" customWidth="1"/>
    <col min="12020" max="12020" width="10.7109375" style="6" customWidth="1"/>
    <col min="12021" max="12021" width="9.28515625" style="6" customWidth="1"/>
    <col min="12022" max="12024" width="10.7109375" style="6" customWidth="1"/>
    <col min="12025" max="12027" width="0" style="6" hidden="1" customWidth="1"/>
    <col min="12028" max="12031" width="10.7109375" style="6" customWidth="1"/>
    <col min="12032" max="12032" width="0" style="6" hidden="1" customWidth="1"/>
    <col min="12033" max="12033" width="11.28515625" style="6" customWidth="1"/>
    <col min="12034" max="12035" width="10.7109375" style="6" customWidth="1"/>
    <col min="12036" max="12036" width="0" style="6" hidden="1" customWidth="1"/>
    <col min="12037" max="12037" width="9.42578125" style="6" customWidth="1"/>
    <col min="12038" max="12038" width="0" style="6" hidden="1" customWidth="1"/>
    <col min="12039" max="12039" width="9.42578125" style="6" customWidth="1"/>
    <col min="12040" max="12040" width="0" style="6" hidden="1" customWidth="1"/>
    <col min="12041" max="12041" width="11.7109375" style="6" bestFit="1" customWidth="1"/>
    <col min="12042" max="12042" width="12.28515625" style="6" customWidth="1"/>
    <col min="12043" max="12044" width="0" style="6" hidden="1" customWidth="1"/>
    <col min="12045" max="12045" width="12.140625" style="6" customWidth="1"/>
    <col min="12046" max="12046" width="13.140625" style="6" customWidth="1"/>
    <col min="12047" max="12048" width="0" style="6" hidden="1" customWidth="1"/>
    <col min="12049" max="12049" width="10" style="6" customWidth="1"/>
    <col min="12050" max="12050" width="10.7109375" style="6" customWidth="1"/>
    <col min="12051" max="12051" width="12.7109375" style="6" customWidth="1"/>
    <col min="12052" max="12052" width="13.28515625" style="6" customWidth="1"/>
    <col min="12053" max="12053" width="16" style="6" customWidth="1"/>
    <col min="12054" max="12054" width="17.28515625" style="6" customWidth="1"/>
    <col min="12055" max="12055" width="10.7109375" style="6" customWidth="1"/>
    <col min="12056" max="12056" width="0" style="6" hidden="1" customWidth="1"/>
    <col min="12057" max="12058" width="10.7109375" style="6" customWidth="1"/>
    <col min="12059" max="12060" width="0" style="6" hidden="1" customWidth="1"/>
    <col min="12061" max="12062" width="10.7109375" style="6" customWidth="1"/>
    <col min="12063" max="12063" width="0" style="6" hidden="1" customWidth="1"/>
    <col min="12064" max="12065" width="10.7109375" style="6" customWidth="1"/>
    <col min="12066" max="12068" width="0" style="6" hidden="1" customWidth="1"/>
    <col min="12069" max="12069" width="12.42578125" style="6" customWidth="1"/>
    <col min="12070" max="12070" width="0" style="6" hidden="1" customWidth="1"/>
    <col min="12071" max="12071" width="10.7109375" style="6" customWidth="1"/>
    <col min="12072" max="12072" width="0" style="6" hidden="1" customWidth="1"/>
    <col min="12073" max="12079" width="10.7109375" style="6" customWidth="1"/>
    <col min="12080" max="12080" width="13.42578125" style="6" customWidth="1"/>
    <col min="12081" max="12081" width="12.42578125" style="6" customWidth="1"/>
    <col min="12082" max="12082" width="16.42578125" style="6" customWidth="1"/>
    <col min="12083" max="12083" width="12.42578125" style="6" customWidth="1"/>
    <col min="12084" max="12260" width="11.42578125" style="6"/>
    <col min="12261" max="12261" width="25.7109375" style="6" customWidth="1"/>
    <col min="12262" max="12262" width="13.42578125" style="6" customWidth="1"/>
    <col min="12263" max="12271" width="10.7109375" style="6" customWidth="1"/>
    <col min="12272" max="12272" width="10.140625" style="6" customWidth="1"/>
    <col min="12273" max="12275" width="0" style="6" hidden="1" customWidth="1"/>
    <col min="12276" max="12276" width="10.7109375" style="6" customWidth="1"/>
    <col min="12277" max="12277" width="9.28515625" style="6" customWidth="1"/>
    <col min="12278" max="12280" width="10.7109375" style="6" customWidth="1"/>
    <col min="12281" max="12283" width="0" style="6" hidden="1" customWidth="1"/>
    <col min="12284" max="12287" width="10.7109375" style="6" customWidth="1"/>
    <col min="12288" max="12288" width="0" style="6" hidden="1" customWidth="1"/>
    <col min="12289" max="12289" width="11.28515625" style="6" customWidth="1"/>
    <col min="12290" max="12291" width="10.7109375" style="6" customWidth="1"/>
    <col min="12292" max="12292" width="0" style="6" hidden="1" customWidth="1"/>
    <col min="12293" max="12293" width="9.42578125" style="6" customWidth="1"/>
    <col min="12294" max="12294" width="0" style="6" hidden="1" customWidth="1"/>
    <col min="12295" max="12295" width="9.42578125" style="6" customWidth="1"/>
    <col min="12296" max="12296" width="0" style="6" hidden="1" customWidth="1"/>
    <col min="12297" max="12297" width="11.7109375" style="6" bestFit="1" customWidth="1"/>
    <col min="12298" max="12298" width="12.28515625" style="6" customWidth="1"/>
    <col min="12299" max="12300" width="0" style="6" hidden="1" customWidth="1"/>
    <col min="12301" max="12301" width="12.140625" style="6" customWidth="1"/>
    <col min="12302" max="12302" width="13.140625" style="6" customWidth="1"/>
    <col min="12303" max="12304" width="0" style="6" hidden="1" customWidth="1"/>
    <col min="12305" max="12305" width="10" style="6" customWidth="1"/>
    <col min="12306" max="12306" width="10.7109375" style="6" customWidth="1"/>
    <col min="12307" max="12307" width="12.7109375" style="6" customWidth="1"/>
    <col min="12308" max="12308" width="13.28515625" style="6" customWidth="1"/>
    <col min="12309" max="12309" width="16" style="6" customWidth="1"/>
    <col min="12310" max="12310" width="17.28515625" style="6" customWidth="1"/>
    <col min="12311" max="12311" width="10.7109375" style="6" customWidth="1"/>
    <col min="12312" max="12312" width="0" style="6" hidden="1" customWidth="1"/>
    <col min="12313" max="12314" width="10.7109375" style="6" customWidth="1"/>
    <col min="12315" max="12316" width="0" style="6" hidden="1" customWidth="1"/>
    <col min="12317" max="12318" width="10.7109375" style="6" customWidth="1"/>
    <col min="12319" max="12319" width="0" style="6" hidden="1" customWidth="1"/>
    <col min="12320" max="12321" width="10.7109375" style="6" customWidth="1"/>
    <col min="12322" max="12324" width="0" style="6" hidden="1" customWidth="1"/>
    <col min="12325" max="12325" width="12.42578125" style="6" customWidth="1"/>
    <col min="12326" max="12326" width="0" style="6" hidden="1" customWidth="1"/>
    <col min="12327" max="12327" width="10.7109375" style="6" customWidth="1"/>
    <col min="12328" max="12328" width="0" style="6" hidden="1" customWidth="1"/>
    <col min="12329" max="12335" width="10.7109375" style="6" customWidth="1"/>
    <col min="12336" max="12336" width="13.42578125" style="6" customWidth="1"/>
    <col min="12337" max="12337" width="12.42578125" style="6" customWidth="1"/>
    <col min="12338" max="12338" width="16.42578125" style="6" customWidth="1"/>
    <col min="12339" max="12339" width="12.42578125" style="6" customWidth="1"/>
    <col min="12340" max="12516" width="11.42578125" style="6"/>
    <col min="12517" max="12517" width="25.7109375" style="6" customWidth="1"/>
    <col min="12518" max="12518" width="13.42578125" style="6" customWidth="1"/>
    <col min="12519" max="12527" width="10.7109375" style="6" customWidth="1"/>
    <col min="12528" max="12528" width="10.140625" style="6" customWidth="1"/>
    <col min="12529" max="12531" width="0" style="6" hidden="1" customWidth="1"/>
    <col min="12532" max="12532" width="10.7109375" style="6" customWidth="1"/>
    <col min="12533" max="12533" width="9.28515625" style="6" customWidth="1"/>
    <col min="12534" max="12536" width="10.7109375" style="6" customWidth="1"/>
    <col min="12537" max="12539" width="0" style="6" hidden="1" customWidth="1"/>
    <col min="12540" max="12543" width="10.7109375" style="6" customWidth="1"/>
    <col min="12544" max="12544" width="0" style="6" hidden="1" customWidth="1"/>
    <col min="12545" max="12545" width="11.28515625" style="6" customWidth="1"/>
    <col min="12546" max="12547" width="10.7109375" style="6" customWidth="1"/>
    <col min="12548" max="12548" width="0" style="6" hidden="1" customWidth="1"/>
    <col min="12549" max="12549" width="9.42578125" style="6" customWidth="1"/>
    <col min="12550" max="12550" width="0" style="6" hidden="1" customWidth="1"/>
    <col min="12551" max="12551" width="9.42578125" style="6" customWidth="1"/>
    <col min="12552" max="12552" width="0" style="6" hidden="1" customWidth="1"/>
    <col min="12553" max="12553" width="11.7109375" style="6" bestFit="1" customWidth="1"/>
    <col min="12554" max="12554" width="12.28515625" style="6" customWidth="1"/>
    <col min="12555" max="12556" width="0" style="6" hidden="1" customWidth="1"/>
    <col min="12557" max="12557" width="12.140625" style="6" customWidth="1"/>
    <col min="12558" max="12558" width="13.140625" style="6" customWidth="1"/>
    <col min="12559" max="12560" width="0" style="6" hidden="1" customWidth="1"/>
    <col min="12561" max="12561" width="10" style="6" customWidth="1"/>
    <col min="12562" max="12562" width="10.7109375" style="6" customWidth="1"/>
    <col min="12563" max="12563" width="12.7109375" style="6" customWidth="1"/>
    <col min="12564" max="12564" width="13.28515625" style="6" customWidth="1"/>
    <col min="12565" max="12565" width="16" style="6" customWidth="1"/>
    <col min="12566" max="12566" width="17.28515625" style="6" customWidth="1"/>
    <col min="12567" max="12567" width="10.7109375" style="6" customWidth="1"/>
    <col min="12568" max="12568" width="0" style="6" hidden="1" customWidth="1"/>
    <col min="12569" max="12570" width="10.7109375" style="6" customWidth="1"/>
    <col min="12571" max="12572" width="0" style="6" hidden="1" customWidth="1"/>
    <col min="12573" max="12574" width="10.7109375" style="6" customWidth="1"/>
    <col min="12575" max="12575" width="0" style="6" hidden="1" customWidth="1"/>
    <col min="12576" max="12577" width="10.7109375" style="6" customWidth="1"/>
    <col min="12578" max="12580" width="0" style="6" hidden="1" customWidth="1"/>
    <col min="12581" max="12581" width="12.42578125" style="6" customWidth="1"/>
    <col min="12582" max="12582" width="0" style="6" hidden="1" customWidth="1"/>
    <col min="12583" max="12583" width="10.7109375" style="6" customWidth="1"/>
    <col min="12584" max="12584" width="0" style="6" hidden="1" customWidth="1"/>
    <col min="12585" max="12591" width="10.7109375" style="6" customWidth="1"/>
    <col min="12592" max="12592" width="13.42578125" style="6" customWidth="1"/>
    <col min="12593" max="12593" width="12.42578125" style="6" customWidth="1"/>
    <col min="12594" max="12594" width="16.42578125" style="6" customWidth="1"/>
    <col min="12595" max="12595" width="12.42578125" style="6" customWidth="1"/>
    <col min="12596" max="12772" width="11.42578125" style="6"/>
    <col min="12773" max="12773" width="25.7109375" style="6" customWidth="1"/>
    <col min="12774" max="12774" width="13.42578125" style="6" customWidth="1"/>
    <col min="12775" max="12783" width="10.7109375" style="6" customWidth="1"/>
    <col min="12784" max="12784" width="10.140625" style="6" customWidth="1"/>
    <col min="12785" max="12787" width="0" style="6" hidden="1" customWidth="1"/>
    <col min="12788" max="12788" width="10.7109375" style="6" customWidth="1"/>
    <col min="12789" max="12789" width="9.28515625" style="6" customWidth="1"/>
    <col min="12790" max="12792" width="10.7109375" style="6" customWidth="1"/>
    <col min="12793" max="12795" width="0" style="6" hidden="1" customWidth="1"/>
    <col min="12796" max="12799" width="10.7109375" style="6" customWidth="1"/>
    <col min="12800" max="12800" width="0" style="6" hidden="1" customWidth="1"/>
    <col min="12801" max="12801" width="11.28515625" style="6" customWidth="1"/>
    <col min="12802" max="12803" width="10.7109375" style="6" customWidth="1"/>
    <col min="12804" max="12804" width="0" style="6" hidden="1" customWidth="1"/>
    <col min="12805" max="12805" width="9.42578125" style="6" customWidth="1"/>
    <col min="12806" max="12806" width="0" style="6" hidden="1" customWidth="1"/>
    <col min="12807" max="12807" width="9.42578125" style="6" customWidth="1"/>
    <col min="12808" max="12808" width="0" style="6" hidden="1" customWidth="1"/>
    <col min="12809" max="12809" width="11.7109375" style="6" bestFit="1" customWidth="1"/>
    <col min="12810" max="12810" width="12.28515625" style="6" customWidth="1"/>
    <col min="12811" max="12812" width="0" style="6" hidden="1" customWidth="1"/>
    <col min="12813" max="12813" width="12.140625" style="6" customWidth="1"/>
    <col min="12814" max="12814" width="13.140625" style="6" customWidth="1"/>
    <col min="12815" max="12816" width="0" style="6" hidden="1" customWidth="1"/>
    <col min="12817" max="12817" width="10" style="6" customWidth="1"/>
    <col min="12818" max="12818" width="10.7109375" style="6" customWidth="1"/>
    <col min="12819" max="12819" width="12.7109375" style="6" customWidth="1"/>
    <col min="12820" max="12820" width="13.28515625" style="6" customWidth="1"/>
    <col min="12821" max="12821" width="16" style="6" customWidth="1"/>
    <col min="12822" max="12822" width="17.28515625" style="6" customWidth="1"/>
    <col min="12823" max="12823" width="10.7109375" style="6" customWidth="1"/>
    <col min="12824" max="12824" width="0" style="6" hidden="1" customWidth="1"/>
    <col min="12825" max="12826" width="10.7109375" style="6" customWidth="1"/>
    <col min="12827" max="12828" width="0" style="6" hidden="1" customWidth="1"/>
    <col min="12829" max="12830" width="10.7109375" style="6" customWidth="1"/>
    <col min="12831" max="12831" width="0" style="6" hidden="1" customWidth="1"/>
    <col min="12832" max="12833" width="10.7109375" style="6" customWidth="1"/>
    <col min="12834" max="12836" width="0" style="6" hidden="1" customWidth="1"/>
    <col min="12837" max="12837" width="12.42578125" style="6" customWidth="1"/>
    <col min="12838" max="12838" width="0" style="6" hidden="1" customWidth="1"/>
    <col min="12839" max="12839" width="10.7109375" style="6" customWidth="1"/>
    <col min="12840" max="12840" width="0" style="6" hidden="1" customWidth="1"/>
    <col min="12841" max="12847" width="10.7109375" style="6" customWidth="1"/>
    <col min="12848" max="12848" width="13.42578125" style="6" customWidth="1"/>
    <col min="12849" max="12849" width="12.42578125" style="6" customWidth="1"/>
    <col min="12850" max="12850" width="16.42578125" style="6" customWidth="1"/>
    <col min="12851" max="12851" width="12.42578125" style="6" customWidth="1"/>
    <col min="12852" max="13028" width="11.42578125" style="6"/>
    <col min="13029" max="13029" width="25.7109375" style="6" customWidth="1"/>
    <col min="13030" max="13030" width="13.42578125" style="6" customWidth="1"/>
    <col min="13031" max="13039" width="10.7109375" style="6" customWidth="1"/>
    <col min="13040" max="13040" width="10.140625" style="6" customWidth="1"/>
    <col min="13041" max="13043" width="0" style="6" hidden="1" customWidth="1"/>
    <col min="13044" max="13044" width="10.7109375" style="6" customWidth="1"/>
    <col min="13045" max="13045" width="9.28515625" style="6" customWidth="1"/>
    <col min="13046" max="13048" width="10.7109375" style="6" customWidth="1"/>
    <col min="13049" max="13051" width="0" style="6" hidden="1" customWidth="1"/>
    <col min="13052" max="13055" width="10.7109375" style="6" customWidth="1"/>
    <col min="13056" max="13056" width="0" style="6" hidden="1" customWidth="1"/>
    <col min="13057" max="13057" width="11.28515625" style="6" customWidth="1"/>
    <col min="13058" max="13059" width="10.7109375" style="6" customWidth="1"/>
    <col min="13060" max="13060" width="0" style="6" hidden="1" customWidth="1"/>
    <col min="13061" max="13061" width="9.42578125" style="6" customWidth="1"/>
    <col min="13062" max="13062" width="0" style="6" hidden="1" customWidth="1"/>
    <col min="13063" max="13063" width="9.42578125" style="6" customWidth="1"/>
    <col min="13064" max="13064" width="0" style="6" hidden="1" customWidth="1"/>
    <col min="13065" max="13065" width="11.7109375" style="6" bestFit="1" customWidth="1"/>
    <col min="13066" max="13066" width="12.28515625" style="6" customWidth="1"/>
    <col min="13067" max="13068" width="0" style="6" hidden="1" customWidth="1"/>
    <col min="13069" max="13069" width="12.140625" style="6" customWidth="1"/>
    <col min="13070" max="13070" width="13.140625" style="6" customWidth="1"/>
    <col min="13071" max="13072" width="0" style="6" hidden="1" customWidth="1"/>
    <col min="13073" max="13073" width="10" style="6" customWidth="1"/>
    <col min="13074" max="13074" width="10.7109375" style="6" customWidth="1"/>
    <col min="13075" max="13075" width="12.7109375" style="6" customWidth="1"/>
    <col min="13076" max="13076" width="13.28515625" style="6" customWidth="1"/>
    <col min="13077" max="13077" width="16" style="6" customWidth="1"/>
    <col min="13078" max="13078" width="17.28515625" style="6" customWidth="1"/>
    <col min="13079" max="13079" width="10.7109375" style="6" customWidth="1"/>
    <col min="13080" max="13080" width="0" style="6" hidden="1" customWidth="1"/>
    <col min="13081" max="13082" width="10.7109375" style="6" customWidth="1"/>
    <col min="13083" max="13084" width="0" style="6" hidden="1" customWidth="1"/>
    <col min="13085" max="13086" width="10.7109375" style="6" customWidth="1"/>
    <col min="13087" max="13087" width="0" style="6" hidden="1" customWidth="1"/>
    <col min="13088" max="13089" width="10.7109375" style="6" customWidth="1"/>
    <col min="13090" max="13092" width="0" style="6" hidden="1" customWidth="1"/>
    <col min="13093" max="13093" width="12.42578125" style="6" customWidth="1"/>
    <col min="13094" max="13094" width="0" style="6" hidden="1" customWidth="1"/>
    <col min="13095" max="13095" width="10.7109375" style="6" customWidth="1"/>
    <col min="13096" max="13096" width="0" style="6" hidden="1" customWidth="1"/>
    <col min="13097" max="13103" width="10.7109375" style="6" customWidth="1"/>
    <col min="13104" max="13104" width="13.42578125" style="6" customWidth="1"/>
    <col min="13105" max="13105" width="12.42578125" style="6" customWidth="1"/>
    <col min="13106" max="13106" width="16.42578125" style="6" customWidth="1"/>
    <col min="13107" max="13107" width="12.42578125" style="6" customWidth="1"/>
    <col min="13108" max="13284" width="11.42578125" style="6"/>
    <col min="13285" max="13285" width="25.7109375" style="6" customWidth="1"/>
    <col min="13286" max="13286" width="13.42578125" style="6" customWidth="1"/>
    <col min="13287" max="13295" width="10.7109375" style="6" customWidth="1"/>
    <col min="13296" max="13296" width="10.140625" style="6" customWidth="1"/>
    <col min="13297" max="13299" width="0" style="6" hidden="1" customWidth="1"/>
    <col min="13300" max="13300" width="10.7109375" style="6" customWidth="1"/>
    <col min="13301" max="13301" width="9.28515625" style="6" customWidth="1"/>
    <col min="13302" max="13304" width="10.7109375" style="6" customWidth="1"/>
    <col min="13305" max="13307" width="0" style="6" hidden="1" customWidth="1"/>
    <col min="13308" max="13311" width="10.7109375" style="6" customWidth="1"/>
    <col min="13312" max="13312" width="0" style="6" hidden="1" customWidth="1"/>
    <col min="13313" max="13313" width="11.28515625" style="6" customWidth="1"/>
    <col min="13314" max="13315" width="10.7109375" style="6" customWidth="1"/>
    <col min="13316" max="13316" width="0" style="6" hidden="1" customWidth="1"/>
    <col min="13317" max="13317" width="9.42578125" style="6" customWidth="1"/>
    <col min="13318" max="13318" width="0" style="6" hidden="1" customWidth="1"/>
    <col min="13319" max="13319" width="9.42578125" style="6" customWidth="1"/>
    <col min="13320" max="13320" width="0" style="6" hidden="1" customWidth="1"/>
    <col min="13321" max="13321" width="11.7109375" style="6" bestFit="1" customWidth="1"/>
    <col min="13322" max="13322" width="12.28515625" style="6" customWidth="1"/>
    <col min="13323" max="13324" width="0" style="6" hidden="1" customWidth="1"/>
    <col min="13325" max="13325" width="12.140625" style="6" customWidth="1"/>
    <col min="13326" max="13326" width="13.140625" style="6" customWidth="1"/>
    <col min="13327" max="13328" width="0" style="6" hidden="1" customWidth="1"/>
    <col min="13329" max="13329" width="10" style="6" customWidth="1"/>
    <col min="13330" max="13330" width="10.7109375" style="6" customWidth="1"/>
    <col min="13331" max="13331" width="12.7109375" style="6" customWidth="1"/>
    <col min="13332" max="13332" width="13.28515625" style="6" customWidth="1"/>
    <col min="13333" max="13333" width="16" style="6" customWidth="1"/>
    <col min="13334" max="13334" width="17.28515625" style="6" customWidth="1"/>
    <col min="13335" max="13335" width="10.7109375" style="6" customWidth="1"/>
    <col min="13336" max="13336" width="0" style="6" hidden="1" customWidth="1"/>
    <col min="13337" max="13338" width="10.7109375" style="6" customWidth="1"/>
    <col min="13339" max="13340" width="0" style="6" hidden="1" customWidth="1"/>
    <col min="13341" max="13342" width="10.7109375" style="6" customWidth="1"/>
    <col min="13343" max="13343" width="0" style="6" hidden="1" customWidth="1"/>
    <col min="13344" max="13345" width="10.7109375" style="6" customWidth="1"/>
    <col min="13346" max="13348" width="0" style="6" hidden="1" customWidth="1"/>
    <col min="13349" max="13349" width="12.42578125" style="6" customWidth="1"/>
    <col min="13350" max="13350" width="0" style="6" hidden="1" customWidth="1"/>
    <col min="13351" max="13351" width="10.7109375" style="6" customWidth="1"/>
    <col min="13352" max="13352" width="0" style="6" hidden="1" customWidth="1"/>
    <col min="13353" max="13359" width="10.7109375" style="6" customWidth="1"/>
    <col min="13360" max="13360" width="13.42578125" style="6" customWidth="1"/>
    <col min="13361" max="13361" width="12.42578125" style="6" customWidth="1"/>
    <col min="13362" max="13362" width="16.42578125" style="6" customWidth="1"/>
    <col min="13363" max="13363" width="12.42578125" style="6" customWidth="1"/>
    <col min="13364" max="13540" width="11.42578125" style="6"/>
    <col min="13541" max="13541" width="25.7109375" style="6" customWidth="1"/>
    <col min="13542" max="13542" width="13.42578125" style="6" customWidth="1"/>
    <col min="13543" max="13551" width="10.7109375" style="6" customWidth="1"/>
    <col min="13552" max="13552" width="10.140625" style="6" customWidth="1"/>
    <col min="13553" max="13555" width="0" style="6" hidden="1" customWidth="1"/>
    <col min="13556" max="13556" width="10.7109375" style="6" customWidth="1"/>
    <col min="13557" max="13557" width="9.28515625" style="6" customWidth="1"/>
    <col min="13558" max="13560" width="10.7109375" style="6" customWidth="1"/>
    <col min="13561" max="13563" width="0" style="6" hidden="1" customWidth="1"/>
    <col min="13564" max="13567" width="10.7109375" style="6" customWidth="1"/>
    <col min="13568" max="13568" width="0" style="6" hidden="1" customWidth="1"/>
    <col min="13569" max="13569" width="11.28515625" style="6" customWidth="1"/>
    <col min="13570" max="13571" width="10.7109375" style="6" customWidth="1"/>
    <col min="13572" max="13572" width="0" style="6" hidden="1" customWidth="1"/>
    <col min="13573" max="13573" width="9.42578125" style="6" customWidth="1"/>
    <col min="13574" max="13574" width="0" style="6" hidden="1" customWidth="1"/>
    <col min="13575" max="13575" width="9.42578125" style="6" customWidth="1"/>
    <col min="13576" max="13576" width="0" style="6" hidden="1" customWidth="1"/>
    <col min="13577" max="13577" width="11.7109375" style="6" bestFit="1" customWidth="1"/>
    <col min="13578" max="13578" width="12.28515625" style="6" customWidth="1"/>
    <col min="13579" max="13580" width="0" style="6" hidden="1" customWidth="1"/>
    <col min="13581" max="13581" width="12.140625" style="6" customWidth="1"/>
    <col min="13582" max="13582" width="13.140625" style="6" customWidth="1"/>
    <col min="13583" max="13584" width="0" style="6" hidden="1" customWidth="1"/>
    <col min="13585" max="13585" width="10" style="6" customWidth="1"/>
    <col min="13586" max="13586" width="10.7109375" style="6" customWidth="1"/>
    <col min="13587" max="13587" width="12.7109375" style="6" customWidth="1"/>
    <col min="13588" max="13588" width="13.28515625" style="6" customWidth="1"/>
    <col min="13589" max="13589" width="16" style="6" customWidth="1"/>
    <col min="13590" max="13590" width="17.28515625" style="6" customWidth="1"/>
    <col min="13591" max="13591" width="10.7109375" style="6" customWidth="1"/>
    <col min="13592" max="13592" width="0" style="6" hidden="1" customWidth="1"/>
    <col min="13593" max="13594" width="10.7109375" style="6" customWidth="1"/>
    <col min="13595" max="13596" width="0" style="6" hidden="1" customWidth="1"/>
    <col min="13597" max="13598" width="10.7109375" style="6" customWidth="1"/>
    <col min="13599" max="13599" width="0" style="6" hidden="1" customWidth="1"/>
    <col min="13600" max="13601" width="10.7109375" style="6" customWidth="1"/>
    <col min="13602" max="13604" width="0" style="6" hidden="1" customWidth="1"/>
    <col min="13605" max="13605" width="12.42578125" style="6" customWidth="1"/>
    <col min="13606" max="13606" width="0" style="6" hidden="1" customWidth="1"/>
    <col min="13607" max="13607" width="10.7109375" style="6" customWidth="1"/>
    <col min="13608" max="13608" width="0" style="6" hidden="1" customWidth="1"/>
    <col min="13609" max="13615" width="10.7109375" style="6" customWidth="1"/>
    <col min="13616" max="13616" width="13.42578125" style="6" customWidth="1"/>
    <col min="13617" max="13617" width="12.42578125" style="6" customWidth="1"/>
    <col min="13618" max="13618" width="16.42578125" style="6" customWidth="1"/>
    <col min="13619" max="13619" width="12.42578125" style="6" customWidth="1"/>
    <col min="13620" max="13796" width="11.42578125" style="6"/>
    <col min="13797" max="13797" width="25.7109375" style="6" customWidth="1"/>
    <col min="13798" max="13798" width="13.42578125" style="6" customWidth="1"/>
    <col min="13799" max="13807" width="10.7109375" style="6" customWidth="1"/>
    <col min="13808" max="13808" width="10.140625" style="6" customWidth="1"/>
    <col min="13809" max="13811" width="0" style="6" hidden="1" customWidth="1"/>
    <col min="13812" max="13812" width="10.7109375" style="6" customWidth="1"/>
    <col min="13813" max="13813" width="9.28515625" style="6" customWidth="1"/>
    <col min="13814" max="13816" width="10.7109375" style="6" customWidth="1"/>
    <col min="13817" max="13819" width="0" style="6" hidden="1" customWidth="1"/>
    <col min="13820" max="13823" width="10.7109375" style="6" customWidth="1"/>
    <col min="13824" max="13824" width="0" style="6" hidden="1" customWidth="1"/>
    <col min="13825" max="13825" width="11.28515625" style="6" customWidth="1"/>
    <col min="13826" max="13827" width="10.7109375" style="6" customWidth="1"/>
    <col min="13828" max="13828" width="0" style="6" hidden="1" customWidth="1"/>
    <col min="13829" max="13829" width="9.42578125" style="6" customWidth="1"/>
    <col min="13830" max="13830" width="0" style="6" hidden="1" customWidth="1"/>
    <col min="13831" max="13831" width="9.42578125" style="6" customWidth="1"/>
    <col min="13832" max="13832" width="0" style="6" hidden="1" customWidth="1"/>
    <col min="13833" max="13833" width="11.7109375" style="6" bestFit="1" customWidth="1"/>
    <col min="13834" max="13834" width="12.28515625" style="6" customWidth="1"/>
    <col min="13835" max="13836" width="0" style="6" hidden="1" customWidth="1"/>
    <col min="13837" max="13837" width="12.140625" style="6" customWidth="1"/>
    <col min="13838" max="13838" width="13.140625" style="6" customWidth="1"/>
    <col min="13839" max="13840" width="0" style="6" hidden="1" customWidth="1"/>
    <col min="13841" max="13841" width="10" style="6" customWidth="1"/>
    <col min="13842" max="13842" width="10.7109375" style="6" customWidth="1"/>
    <col min="13843" max="13843" width="12.7109375" style="6" customWidth="1"/>
    <col min="13844" max="13844" width="13.28515625" style="6" customWidth="1"/>
    <col min="13845" max="13845" width="16" style="6" customWidth="1"/>
    <col min="13846" max="13846" width="17.28515625" style="6" customWidth="1"/>
    <col min="13847" max="13847" width="10.7109375" style="6" customWidth="1"/>
    <col min="13848" max="13848" width="0" style="6" hidden="1" customWidth="1"/>
    <col min="13849" max="13850" width="10.7109375" style="6" customWidth="1"/>
    <col min="13851" max="13852" width="0" style="6" hidden="1" customWidth="1"/>
    <col min="13853" max="13854" width="10.7109375" style="6" customWidth="1"/>
    <col min="13855" max="13855" width="0" style="6" hidden="1" customWidth="1"/>
    <col min="13856" max="13857" width="10.7109375" style="6" customWidth="1"/>
    <col min="13858" max="13860" width="0" style="6" hidden="1" customWidth="1"/>
    <col min="13861" max="13861" width="12.42578125" style="6" customWidth="1"/>
    <col min="13862" max="13862" width="0" style="6" hidden="1" customWidth="1"/>
    <col min="13863" max="13863" width="10.7109375" style="6" customWidth="1"/>
    <col min="13864" max="13864" width="0" style="6" hidden="1" customWidth="1"/>
    <col min="13865" max="13871" width="10.7109375" style="6" customWidth="1"/>
    <col min="13872" max="13872" width="13.42578125" style="6" customWidth="1"/>
    <col min="13873" max="13873" width="12.42578125" style="6" customWidth="1"/>
    <col min="13874" max="13874" width="16.42578125" style="6" customWidth="1"/>
    <col min="13875" max="13875" width="12.42578125" style="6" customWidth="1"/>
    <col min="13876" max="14052" width="11.42578125" style="6"/>
    <col min="14053" max="14053" width="25.7109375" style="6" customWidth="1"/>
    <col min="14054" max="14054" width="13.42578125" style="6" customWidth="1"/>
    <col min="14055" max="14063" width="10.7109375" style="6" customWidth="1"/>
    <col min="14064" max="14064" width="10.140625" style="6" customWidth="1"/>
    <col min="14065" max="14067" width="0" style="6" hidden="1" customWidth="1"/>
    <col min="14068" max="14068" width="10.7109375" style="6" customWidth="1"/>
    <col min="14069" max="14069" width="9.28515625" style="6" customWidth="1"/>
    <col min="14070" max="14072" width="10.7109375" style="6" customWidth="1"/>
    <col min="14073" max="14075" width="0" style="6" hidden="1" customWidth="1"/>
    <col min="14076" max="14079" width="10.7109375" style="6" customWidth="1"/>
    <col min="14080" max="14080" width="0" style="6" hidden="1" customWidth="1"/>
    <col min="14081" max="14081" width="11.28515625" style="6" customWidth="1"/>
    <col min="14082" max="14083" width="10.7109375" style="6" customWidth="1"/>
    <col min="14084" max="14084" width="0" style="6" hidden="1" customWidth="1"/>
    <col min="14085" max="14085" width="9.42578125" style="6" customWidth="1"/>
    <col min="14086" max="14086" width="0" style="6" hidden="1" customWidth="1"/>
    <col min="14087" max="14087" width="9.42578125" style="6" customWidth="1"/>
    <col min="14088" max="14088" width="0" style="6" hidden="1" customWidth="1"/>
    <col min="14089" max="14089" width="11.7109375" style="6" bestFit="1" customWidth="1"/>
    <col min="14090" max="14090" width="12.28515625" style="6" customWidth="1"/>
    <col min="14091" max="14092" width="0" style="6" hidden="1" customWidth="1"/>
    <col min="14093" max="14093" width="12.140625" style="6" customWidth="1"/>
    <col min="14094" max="14094" width="13.140625" style="6" customWidth="1"/>
    <col min="14095" max="14096" width="0" style="6" hidden="1" customWidth="1"/>
    <col min="14097" max="14097" width="10" style="6" customWidth="1"/>
    <col min="14098" max="14098" width="10.7109375" style="6" customWidth="1"/>
    <col min="14099" max="14099" width="12.7109375" style="6" customWidth="1"/>
    <col min="14100" max="14100" width="13.28515625" style="6" customWidth="1"/>
    <col min="14101" max="14101" width="16" style="6" customWidth="1"/>
    <col min="14102" max="14102" width="17.28515625" style="6" customWidth="1"/>
    <col min="14103" max="14103" width="10.7109375" style="6" customWidth="1"/>
    <col min="14104" max="14104" width="0" style="6" hidden="1" customWidth="1"/>
    <col min="14105" max="14106" width="10.7109375" style="6" customWidth="1"/>
    <col min="14107" max="14108" width="0" style="6" hidden="1" customWidth="1"/>
    <col min="14109" max="14110" width="10.7109375" style="6" customWidth="1"/>
    <col min="14111" max="14111" width="0" style="6" hidden="1" customWidth="1"/>
    <col min="14112" max="14113" width="10.7109375" style="6" customWidth="1"/>
    <col min="14114" max="14116" width="0" style="6" hidden="1" customWidth="1"/>
    <col min="14117" max="14117" width="12.42578125" style="6" customWidth="1"/>
    <col min="14118" max="14118" width="0" style="6" hidden="1" customWidth="1"/>
    <col min="14119" max="14119" width="10.7109375" style="6" customWidth="1"/>
    <col min="14120" max="14120" width="0" style="6" hidden="1" customWidth="1"/>
    <col min="14121" max="14127" width="10.7109375" style="6" customWidth="1"/>
    <col min="14128" max="14128" width="13.42578125" style="6" customWidth="1"/>
    <col min="14129" max="14129" width="12.42578125" style="6" customWidth="1"/>
    <col min="14130" max="14130" width="16.42578125" style="6" customWidth="1"/>
    <col min="14131" max="14131" width="12.42578125" style="6" customWidth="1"/>
    <col min="14132" max="14308" width="11.42578125" style="6"/>
    <col min="14309" max="14309" width="25.7109375" style="6" customWidth="1"/>
    <col min="14310" max="14310" width="13.42578125" style="6" customWidth="1"/>
    <col min="14311" max="14319" width="10.7109375" style="6" customWidth="1"/>
    <col min="14320" max="14320" width="10.140625" style="6" customWidth="1"/>
    <col min="14321" max="14323" width="0" style="6" hidden="1" customWidth="1"/>
    <col min="14324" max="14324" width="10.7109375" style="6" customWidth="1"/>
    <col min="14325" max="14325" width="9.28515625" style="6" customWidth="1"/>
    <col min="14326" max="14328" width="10.7109375" style="6" customWidth="1"/>
    <col min="14329" max="14331" width="0" style="6" hidden="1" customWidth="1"/>
    <col min="14332" max="14335" width="10.7109375" style="6" customWidth="1"/>
    <col min="14336" max="14336" width="0" style="6" hidden="1" customWidth="1"/>
    <col min="14337" max="14337" width="11.28515625" style="6" customWidth="1"/>
    <col min="14338" max="14339" width="10.7109375" style="6" customWidth="1"/>
    <col min="14340" max="14340" width="0" style="6" hidden="1" customWidth="1"/>
    <col min="14341" max="14341" width="9.42578125" style="6" customWidth="1"/>
    <col min="14342" max="14342" width="0" style="6" hidden="1" customWidth="1"/>
    <col min="14343" max="14343" width="9.42578125" style="6" customWidth="1"/>
    <col min="14344" max="14344" width="0" style="6" hidden="1" customWidth="1"/>
    <col min="14345" max="14345" width="11.7109375" style="6" bestFit="1" customWidth="1"/>
    <col min="14346" max="14346" width="12.28515625" style="6" customWidth="1"/>
    <col min="14347" max="14348" width="0" style="6" hidden="1" customWidth="1"/>
    <col min="14349" max="14349" width="12.140625" style="6" customWidth="1"/>
    <col min="14350" max="14350" width="13.140625" style="6" customWidth="1"/>
    <col min="14351" max="14352" width="0" style="6" hidden="1" customWidth="1"/>
    <col min="14353" max="14353" width="10" style="6" customWidth="1"/>
    <col min="14354" max="14354" width="10.7109375" style="6" customWidth="1"/>
    <col min="14355" max="14355" width="12.7109375" style="6" customWidth="1"/>
    <col min="14356" max="14356" width="13.28515625" style="6" customWidth="1"/>
    <col min="14357" max="14357" width="16" style="6" customWidth="1"/>
    <col min="14358" max="14358" width="17.28515625" style="6" customWidth="1"/>
    <col min="14359" max="14359" width="10.7109375" style="6" customWidth="1"/>
    <col min="14360" max="14360" width="0" style="6" hidden="1" customWidth="1"/>
    <col min="14361" max="14362" width="10.7109375" style="6" customWidth="1"/>
    <col min="14363" max="14364" width="0" style="6" hidden="1" customWidth="1"/>
    <col min="14365" max="14366" width="10.7109375" style="6" customWidth="1"/>
    <col min="14367" max="14367" width="0" style="6" hidden="1" customWidth="1"/>
    <col min="14368" max="14369" width="10.7109375" style="6" customWidth="1"/>
    <col min="14370" max="14372" width="0" style="6" hidden="1" customWidth="1"/>
    <col min="14373" max="14373" width="12.42578125" style="6" customWidth="1"/>
    <col min="14374" max="14374" width="0" style="6" hidden="1" customWidth="1"/>
    <col min="14375" max="14375" width="10.7109375" style="6" customWidth="1"/>
    <col min="14376" max="14376" width="0" style="6" hidden="1" customWidth="1"/>
    <col min="14377" max="14383" width="10.7109375" style="6" customWidth="1"/>
    <col min="14384" max="14384" width="13.42578125" style="6" customWidth="1"/>
    <col min="14385" max="14385" width="12.42578125" style="6" customWidth="1"/>
    <col min="14386" max="14386" width="16.42578125" style="6" customWidth="1"/>
    <col min="14387" max="14387" width="12.42578125" style="6" customWidth="1"/>
    <col min="14388" max="14564" width="11.42578125" style="6"/>
    <col min="14565" max="14565" width="25.7109375" style="6" customWidth="1"/>
    <col min="14566" max="14566" width="13.42578125" style="6" customWidth="1"/>
    <col min="14567" max="14575" width="10.7109375" style="6" customWidth="1"/>
    <col min="14576" max="14576" width="10.140625" style="6" customWidth="1"/>
    <col min="14577" max="14579" width="0" style="6" hidden="1" customWidth="1"/>
    <col min="14580" max="14580" width="10.7109375" style="6" customWidth="1"/>
    <col min="14581" max="14581" width="9.28515625" style="6" customWidth="1"/>
    <col min="14582" max="14584" width="10.7109375" style="6" customWidth="1"/>
    <col min="14585" max="14587" width="0" style="6" hidden="1" customWidth="1"/>
    <col min="14588" max="14591" width="10.7109375" style="6" customWidth="1"/>
    <col min="14592" max="14592" width="0" style="6" hidden="1" customWidth="1"/>
    <col min="14593" max="14593" width="11.28515625" style="6" customWidth="1"/>
    <col min="14594" max="14595" width="10.7109375" style="6" customWidth="1"/>
    <col min="14596" max="14596" width="0" style="6" hidden="1" customWidth="1"/>
    <col min="14597" max="14597" width="9.42578125" style="6" customWidth="1"/>
    <col min="14598" max="14598" width="0" style="6" hidden="1" customWidth="1"/>
    <col min="14599" max="14599" width="9.42578125" style="6" customWidth="1"/>
    <col min="14600" max="14600" width="0" style="6" hidden="1" customWidth="1"/>
    <col min="14601" max="14601" width="11.7109375" style="6" bestFit="1" customWidth="1"/>
    <col min="14602" max="14602" width="12.28515625" style="6" customWidth="1"/>
    <col min="14603" max="14604" width="0" style="6" hidden="1" customWidth="1"/>
    <col min="14605" max="14605" width="12.140625" style="6" customWidth="1"/>
    <col min="14606" max="14606" width="13.140625" style="6" customWidth="1"/>
    <col min="14607" max="14608" width="0" style="6" hidden="1" customWidth="1"/>
    <col min="14609" max="14609" width="10" style="6" customWidth="1"/>
    <col min="14610" max="14610" width="10.7109375" style="6" customWidth="1"/>
    <col min="14611" max="14611" width="12.7109375" style="6" customWidth="1"/>
    <col min="14612" max="14612" width="13.28515625" style="6" customWidth="1"/>
    <col min="14613" max="14613" width="16" style="6" customWidth="1"/>
    <col min="14614" max="14614" width="17.28515625" style="6" customWidth="1"/>
    <col min="14615" max="14615" width="10.7109375" style="6" customWidth="1"/>
    <col min="14616" max="14616" width="0" style="6" hidden="1" customWidth="1"/>
    <col min="14617" max="14618" width="10.7109375" style="6" customWidth="1"/>
    <col min="14619" max="14620" width="0" style="6" hidden="1" customWidth="1"/>
    <col min="14621" max="14622" width="10.7109375" style="6" customWidth="1"/>
    <col min="14623" max="14623" width="0" style="6" hidden="1" customWidth="1"/>
    <col min="14624" max="14625" width="10.7109375" style="6" customWidth="1"/>
    <col min="14626" max="14628" width="0" style="6" hidden="1" customWidth="1"/>
    <col min="14629" max="14629" width="12.42578125" style="6" customWidth="1"/>
    <col min="14630" max="14630" width="0" style="6" hidden="1" customWidth="1"/>
    <col min="14631" max="14631" width="10.7109375" style="6" customWidth="1"/>
    <col min="14632" max="14632" width="0" style="6" hidden="1" customWidth="1"/>
    <col min="14633" max="14639" width="10.7109375" style="6" customWidth="1"/>
    <col min="14640" max="14640" width="13.42578125" style="6" customWidth="1"/>
    <col min="14641" max="14641" width="12.42578125" style="6" customWidth="1"/>
    <col min="14642" max="14642" width="16.42578125" style="6" customWidth="1"/>
    <col min="14643" max="14643" width="12.42578125" style="6" customWidth="1"/>
    <col min="14644" max="14820" width="11.42578125" style="6"/>
    <col min="14821" max="14821" width="25.7109375" style="6" customWidth="1"/>
    <col min="14822" max="14822" width="13.42578125" style="6" customWidth="1"/>
    <col min="14823" max="14831" width="10.7109375" style="6" customWidth="1"/>
    <col min="14832" max="14832" width="10.140625" style="6" customWidth="1"/>
    <col min="14833" max="14835" width="0" style="6" hidden="1" customWidth="1"/>
    <col min="14836" max="14836" width="10.7109375" style="6" customWidth="1"/>
    <col min="14837" max="14837" width="9.28515625" style="6" customWidth="1"/>
    <col min="14838" max="14840" width="10.7109375" style="6" customWidth="1"/>
    <col min="14841" max="14843" width="0" style="6" hidden="1" customWidth="1"/>
    <col min="14844" max="14847" width="10.7109375" style="6" customWidth="1"/>
    <col min="14848" max="14848" width="0" style="6" hidden="1" customWidth="1"/>
    <col min="14849" max="14849" width="11.28515625" style="6" customWidth="1"/>
    <col min="14850" max="14851" width="10.7109375" style="6" customWidth="1"/>
    <col min="14852" max="14852" width="0" style="6" hidden="1" customWidth="1"/>
    <col min="14853" max="14853" width="9.42578125" style="6" customWidth="1"/>
    <col min="14854" max="14854" width="0" style="6" hidden="1" customWidth="1"/>
    <col min="14855" max="14855" width="9.42578125" style="6" customWidth="1"/>
    <col min="14856" max="14856" width="0" style="6" hidden="1" customWidth="1"/>
    <col min="14857" max="14857" width="11.7109375" style="6" bestFit="1" customWidth="1"/>
    <col min="14858" max="14858" width="12.28515625" style="6" customWidth="1"/>
    <col min="14859" max="14860" width="0" style="6" hidden="1" customWidth="1"/>
    <col min="14861" max="14861" width="12.140625" style="6" customWidth="1"/>
    <col min="14862" max="14862" width="13.140625" style="6" customWidth="1"/>
    <col min="14863" max="14864" width="0" style="6" hidden="1" customWidth="1"/>
    <col min="14865" max="14865" width="10" style="6" customWidth="1"/>
    <col min="14866" max="14866" width="10.7109375" style="6" customWidth="1"/>
    <col min="14867" max="14867" width="12.7109375" style="6" customWidth="1"/>
    <col min="14868" max="14868" width="13.28515625" style="6" customWidth="1"/>
    <col min="14869" max="14869" width="16" style="6" customWidth="1"/>
    <col min="14870" max="14870" width="17.28515625" style="6" customWidth="1"/>
    <col min="14871" max="14871" width="10.7109375" style="6" customWidth="1"/>
    <col min="14872" max="14872" width="0" style="6" hidden="1" customWidth="1"/>
    <col min="14873" max="14874" width="10.7109375" style="6" customWidth="1"/>
    <col min="14875" max="14876" width="0" style="6" hidden="1" customWidth="1"/>
    <col min="14877" max="14878" width="10.7109375" style="6" customWidth="1"/>
    <col min="14879" max="14879" width="0" style="6" hidden="1" customWidth="1"/>
    <col min="14880" max="14881" width="10.7109375" style="6" customWidth="1"/>
    <col min="14882" max="14884" width="0" style="6" hidden="1" customWidth="1"/>
    <col min="14885" max="14885" width="12.42578125" style="6" customWidth="1"/>
    <col min="14886" max="14886" width="0" style="6" hidden="1" customWidth="1"/>
    <col min="14887" max="14887" width="10.7109375" style="6" customWidth="1"/>
    <col min="14888" max="14888" width="0" style="6" hidden="1" customWidth="1"/>
    <col min="14889" max="14895" width="10.7109375" style="6" customWidth="1"/>
    <col min="14896" max="14896" width="13.42578125" style="6" customWidth="1"/>
    <col min="14897" max="14897" width="12.42578125" style="6" customWidth="1"/>
    <col min="14898" max="14898" width="16.42578125" style="6" customWidth="1"/>
    <col min="14899" max="14899" width="12.42578125" style="6" customWidth="1"/>
    <col min="14900" max="15076" width="11.42578125" style="6"/>
    <col min="15077" max="15077" width="25.7109375" style="6" customWidth="1"/>
    <col min="15078" max="15078" width="13.42578125" style="6" customWidth="1"/>
    <col min="15079" max="15087" width="10.7109375" style="6" customWidth="1"/>
    <col min="15088" max="15088" width="10.140625" style="6" customWidth="1"/>
    <col min="15089" max="15091" width="0" style="6" hidden="1" customWidth="1"/>
    <col min="15092" max="15092" width="10.7109375" style="6" customWidth="1"/>
    <col min="15093" max="15093" width="9.28515625" style="6" customWidth="1"/>
    <col min="15094" max="15096" width="10.7109375" style="6" customWidth="1"/>
    <col min="15097" max="15099" width="0" style="6" hidden="1" customWidth="1"/>
    <col min="15100" max="15103" width="10.7109375" style="6" customWidth="1"/>
    <col min="15104" max="15104" width="0" style="6" hidden="1" customWidth="1"/>
    <col min="15105" max="15105" width="11.28515625" style="6" customWidth="1"/>
    <col min="15106" max="15107" width="10.7109375" style="6" customWidth="1"/>
    <col min="15108" max="15108" width="0" style="6" hidden="1" customWidth="1"/>
    <col min="15109" max="15109" width="9.42578125" style="6" customWidth="1"/>
    <col min="15110" max="15110" width="0" style="6" hidden="1" customWidth="1"/>
    <col min="15111" max="15111" width="9.42578125" style="6" customWidth="1"/>
    <col min="15112" max="15112" width="0" style="6" hidden="1" customWidth="1"/>
    <col min="15113" max="15113" width="11.7109375" style="6" bestFit="1" customWidth="1"/>
    <col min="15114" max="15114" width="12.28515625" style="6" customWidth="1"/>
    <col min="15115" max="15116" width="0" style="6" hidden="1" customWidth="1"/>
    <col min="15117" max="15117" width="12.140625" style="6" customWidth="1"/>
    <col min="15118" max="15118" width="13.140625" style="6" customWidth="1"/>
    <col min="15119" max="15120" width="0" style="6" hidden="1" customWidth="1"/>
    <col min="15121" max="15121" width="10" style="6" customWidth="1"/>
    <col min="15122" max="15122" width="10.7109375" style="6" customWidth="1"/>
    <col min="15123" max="15123" width="12.7109375" style="6" customWidth="1"/>
    <col min="15124" max="15124" width="13.28515625" style="6" customWidth="1"/>
    <col min="15125" max="15125" width="16" style="6" customWidth="1"/>
    <col min="15126" max="15126" width="17.28515625" style="6" customWidth="1"/>
    <col min="15127" max="15127" width="10.7109375" style="6" customWidth="1"/>
    <col min="15128" max="15128" width="0" style="6" hidden="1" customWidth="1"/>
    <col min="15129" max="15130" width="10.7109375" style="6" customWidth="1"/>
    <col min="15131" max="15132" width="0" style="6" hidden="1" customWidth="1"/>
    <col min="15133" max="15134" width="10.7109375" style="6" customWidth="1"/>
    <col min="15135" max="15135" width="0" style="6" hidden="1" customWidth="1"/>
    <col min="15136" max="15137" width="10.7109375" style="6" customWidth="1"/>
    <col min="15138" max="15140" width="0" style="6" hidden="1" customWidth="1"/>
    <col min="15141" max="15141" width="12.42578125" style="6" customWidth="1"/>
    <col min="15142" max="15142" width="0" style="6" hidden="1" customWidth="1"/>
    <col min="15143" max="15143" width="10.7109375" style="6" customWidth="1"/>
    <col min="15144" max="15144" width="0" style="6" hidden="1" customWidth="1"/>
    <col min="15145" max="15151" width="10.7109375" style="6" customWidth="1"/>
    <col min="15152" max="15152" width="13.42578125" style="6" customWidth="1"/>
    <col min="15153" max="15153" width="12.42578125" style="6" customWidth="1"/>
    <col min="15154" max="15154" width="16.42578125" style="6" customWidth="1"/>
    <col min="15155" max="15155" width="12.42578125" style="6" customWidth="1"/>
    <col min="15156" max="15332" width="11.42578125" style="6"/>
    <col min="15333" max="15333" width="25.7109375" style="6" customWidth="1"/>
    <col min="15334" max="15334" width="13.42578125" style="6" customWidth="1"/>
    <col min="15335" max="15343" width="10.7109375" style="6" customWidth="1"/>
    <col min="15344" max="15344" width="10.140625" style="6" customWidth="1"/>
    <col min="15345" max="15347" width="0" style="6" hidden="1" customWidth="1"/>
    <col min="15348" max="15348" width="10.7109375" style="6" customWidth="1"/>
    <col min="15349" max="15349" width="9.28515625" style="6" customWidth="1"/>
    <col min="15350" max="15352" width="10.7109375" style="6" customWidth="1"/>
    <col min="15353" max="15355" width="0" style="6" hidden="1" customWidth="1"/>
    <col min="15356" max="15359" width="10.7109375" style="6" customWidth="1"/>
    <col min="15360" max="15360" width="0" style="6" hidden="1" customWidth="1"/>
    <col min="15361" max="15361" width="11.28515625" style="6" customWidth="1"/>
    <col min="15362" max="15363" width="10.7109375" style="6" customWidth="1"/>
    <col min="15364" max="15364" width="0" style="6" hidden="1" customWidth="1"/>
    <col min="15365" max="15365" width="9.42578125" style="6" customWidth="1"/>
    <col min="15366" max="15366" width="0" style="6" hidden="1" customWidth="1"/>
    <col min="15367" max="15367" width="9.42578125" style="6" customWidth="1"/>
    <col min="15368" max="15368" width="0" style="6" hidden="1" customWidth="1"/>
    <col min="15369" max="15369" width="11.7109375" style="6" bestFit="1" customWidth="1"/>
    <col min="15370" max="15370" width="12.28515625" style="6" customWidth="1"/>
    <col min="15371" max="15372" width="0" style="6" hidden="1" customWidth="1"/>
    <col min="15373" max="15373" width="12.140625" style="6" customWidth="1"/>
    <col min="15374" max="15374" width="13.140625" style="6" customWidth="1"/>
    <col min="15375" max="15376" width="0" style="6" hidden="1" customWidth="1"/>
    <col min="15377" max="15377" width="10" style="6" customWidth="1"/>
    <col min="15378" max="15378" width="10.7109375" style="6" customWidth="1"/>
    <col min="15379" max="15379" width="12.7109375" style="6" customWidth="1"/>
    <col min="15380" max="15380" width="13.28515625" style="6" customWidth="1"/>
    <col min="15381" max="15381" width="16" style="6" customWidth="1"/>
    <col min="15382" max="15382" width="17.28515625" style="6" customWidth="1"/>
    <col min="15383" max="15383" width="10.7109375" style="6" customWidth="1"/>
    <col min="15384" max="15384" width="0" style="6" hidden="1" customWidth="1"/>
    <col min="15385" max="15386" width="10.7109375" style="6" customWidth="1"/>
    <col min="15387" max="15388" width="0" style="6" hidden="1" customWidth="1"/>
    <col min="15389" max="15390" width="10.7109375" style="6" customWidth="1"/>
    <col min="15391" max="15391" width="0" style="6" hidden="1" customWidth="1"/>
    <col min="15392" max="15393" width="10.7109375" style="6" customWidth="1"/>
    <col min="15394" max="15396" width="0" style="6" hidden="1" customWidth="1"/>
    <col min="15397" max="15397" width="12.42578125" style="6" customWidth="1"/>
    <col min="15398" max="15398" width="0" style="6" hidden="1" customWidth="1"/>
    <col min="15399" max="15399" width="10.7109375" style="6" customWidth="1"/>
    <col min="15400" max="15400" width="0" style="6" hidden="1" customWidth="1"/>
    <col min="15401" max="15407" width="10.7109375" style="6" customWidth="1"/>
    <col min="15408" max="15408" width="13.42578125" style="6" customWidth="1"/>
    <col min="15409" max="15409" width="12.42578125" style="6" customWidth="1"/>
    <col min="15410" max="15410" width="16.42578125" style="6" customWidth="1"/>
    <col min="15411" max="15411" width="12.42578125" style="6" customWidth="1"/>
    <col min="15412" max="15588" width="11.42578125" style="6"/>
    <col min="15589" max="15589" width="25.7109375" style="6" customWidth="1"/>
    <col min="15590" max="15590" width="13.42578125" style="6" customWidth="1"/>
    <col min="15591" max="15599" width="10.7109375" style="6" customWidth="1"/>
    <col min="15600" max="15600" width="10.140625" style="6" customWidth="1"/>
    <col min="15601" max="15603" width="0" style="6" hidden="1" customWidth="1"/>
    <col min="15604" max="15604" width="10.7109375" style="6" customWidth="1"/>
    <col min="15605" max="15605" width="9.28515625" style="6" customWidth="1"/>
    <col min="15606" max="15608" width="10.7109375" style="6" customWidth="1"/>
    <col min="15609" max="15611" width="0" style="6" hidden="1" customWidth="1"/>
    <col min="15612" max="15615" width="10.7109375" style="6" customWidth="1"/>
    <col min="15616" max="15616" width="0" style="6" hidden="1" customWidth="1"/>
    <col min="15617" max="15617" width="11.28515625" style="6" customWidth="1"/>
    <col min="15618" max="15619" width="10.7109375" style="6" customWidth="1"/>
    <col min="15620" max="15620" width="0" style="6" hidden="1" customWidth="1"/>
    <col min="15621" max="15621" width="9.42578125" style="6" customWidth="1"/>
    <col min="15622" max="15622" width="0" style="6" hidden="1" customWidth="1"/>
    <col min="15623" max="15623" width="9.42578125" style="6" customWidth="1"/>
    <col min="15624" max="15624" width="0" style="6" hidden="1" customWidth="1"/>
    <col min="15625" max="15625" width="11.7109375" style="6" bestFit="1" customWidth="1"/>
    <col min="15626" max="15626" width="12.28515625" style="6" customWidth="1"/>
    <col min="15627" max="15628" width="0" style="6" hidden="1" customWidth="1"/>
    <col min="15629" max="15629" width="12.140625" style="6" customWidth="1"/>
    <col min="15630" max="15630" width="13.140625" style="6" customWidth="1"/>
    <col min="15631" max="15632" width="0" style="6" hidden="1" customWidth="1"/>
    <col min="15633" max="15633" width="10" style="6" customWidth="1"/>
    <col min="15634" max="15634" width="10.7109375" style="6" customWidth="1"/>
    <col min="15635" max="15635" width="12.7109375" style="6" customWidth="1"/>
    <col min="15636" max="15636" width="13.28515625" style="6" customWidth="1"/>
    <col min="15637" max="15637" width="16" style="6" customWidth="1"/>
    <col min="15638" max="15638" width="17.28515625" style="6" customWidth="1"/>
    <col min="15639" max="15639" width="10.7109375" style="6" customWidth="1"/>
    <col min="15640" max="15640" width="0" style="6" hidden="1" customWidth="1"/>
    <col min="15641" max="15642" width="10.7109375" style="6" customWidth="1"/>
    <col min="15643" max="15644" width="0" style="6" hidden="1" customWidth="1"/>
    <col min="15645" max="15646" width="10.7109375" style="6" customWidth="1"/>
    <col min="15647" max="15647" width="0" style="6" hidden="1" customWidth="1"/>
    <col min="15648" max="15649" width="10.7109375" style="6" customWidth="1"/>
    <col min="15650" max="15652" width="0" style="6" hidden="1" customWidth="1"/>
    <col min="15653" max="15653" width="12.42578125" style="6" customWidth="1"/>
    <col min="15654" max="15654" width="0" style="6" hidden="1" customWidth="1"/>
    <col min="15655" max="15655" width="10.7109375" style="6" customWidth="1"/>
    <col min="15656" max="15656" width="0" style="6" hidden="1" customWidth="1"/>
    <col min="15657" max="15663" width="10.7109375" style="6" customWidth="1"/>
    <col min="15664" max="15664" width="13.42578125" style="6" customWidth="1"/>
    <col min="15665" max="15665" width="12.42578125" style="6" customWidth="1"/>
    <col min="15666" max="15666" width="16.42578125" style="6" customWidth="1"/>
    <col min="15667" max="15667" width="12.42578125" style="6" customWidth="1"/>
    <col min="15668" max="15844" width="11.42578125" style="6"/>
    <col min="15845" max="15845" width="25.7109375" style="6" customWidth="1"/>
    <col min="15846" max="15846" width="13.42578125" style="6" customWidth="1"/>
    <col min="15847" max="15855" width="10.7109375" style="6" customWidth="1"/>
    <col min="15856" max="15856" width="10.140625" style="6" customWidth="1"/>
    <col min="15857" max="15859" width="0" style="6" hidden="1" customWidth="1"/>
    <col min="15860" max="15860" width="10.7109375" style="6" customWidth="1"/>
    <col min="15861" max="15861" width="9.28515625" style="6" customWidth="1"/>
    <col min="15862" max="15864" width="10.7109375" style="6" customWidth="1"/>
    <col min="15865" max="15867" width="0" style="6" hidden="1" customWidth="1"/>
    <col min="15868" max="15871" width="10.7109375" style="6" customWidth="1"/>
    <col min="15872" max="15872" width="0" style="6" hidden="1" customWidth="1"/>
    <col min="15873" max="15873" width="11.28515625" style="6" customWidth="1"/>
    <col min="15874" max="15875" width="10.7109375" style="6" customWidth="1"/>
    <col min="15876" max="15876" width="0" style="6" hidden="1" customWidth="1"/>
    <col min="15877" max="15877" width="9.42578125" style="6" customWidth="1"/>
    <col min="15878" max="15878" width="0" style="6" hidden="1" customWidth="1"/>
    <col min="15879" max="15879" width="9.42578125" style="6" customWidth="1"/>
    <col min="15880" max="15880" width="0" style="6" hidden="1" customWidth="1"/>
    <col min="15881" max="15881" width="11.7109375" style="6" bestFit="1" customWidth="1"/>
    <col min="15882" max="15882" width="12.28515625" style="6" customWidth="1"/>
    <col min="15883" max="15884" width="0" style="6" hidden="1" customWidth="1"/>
    <col min="15885" max="15885" width="12.140625" style="6" customWidth="1"/>
    <col min="15886" max="15886" width="13.140625" style="6" customWidth="1"/>
    <col min="15887" max="15888" width="0" style="6" hidden="1" customWidth="1"/>
    <col min="15889" max="15889" width="10" style="6" customWidth="1"/>
    <col min="15890" max="15890" width="10.7109375" style="6" customWidth="1"/>
    <col min="15891" max="15891" width="12.7109375" style="6" customWidth="1"/>
    <col min="15892" max="15892" width="13.28515625" style="6" customWidth="1"/>
    <col min="15893" max="15893" width="16" style="6" customWidth="1"/>
    <col min="15894" max="15894" width="17.28515625" style="6" customWidth="1"/>
    <col min="15895" max="15895" width="10.7109375" style="6" customWidth="1"/>
    <col min="15896" max="15896" width="0" style="6" hidden="1" customWidth="1"/>
    <col min="15897" max="15898" width="10.7109375" style="6" customWidth="1"/>
    <col min="15899" max="15900" width="0" style="6" hidden="1" customWidth="1"/>
    <col min="15901" max="15902" width="10.7109375" style="6" customWidth="1"/>
    <col min="15903" max="15903" width="0" style="6" hidden="1" customWidth="1"/>
    <col min="15904" max="15905" width="10.7109375" style="6" customWidth="1"/>
    <col min="15906" max="15908" width="0" style="6" hidden="1" customWidth="1"/>
    <col min="15909" max="15909" width="12.42578125" style="6" customWidth="1"/>
    <col min="15910" max="15910" width="0" style="6" hidden="1" customWidth="1"/>
    <col min="15911" max="15911" width="10.7109375" style="6" customWidth="1"/>
    <col min="15912" max="15912" width="0" style="6" hidden="1" customWidth="1"/>
    <col min="15913" max="15919" width="10.7109375" style="6" customWidth="1"/>
    <col min="15920" max="15920" width="13.42578125" style="6" customWidth="1"/>
    <col min="15921" max="15921" width="12.42578125" style="6" customWidth="1"/>
    <col min="15922" max="15922" width="16.42578125" style="6" customWidth="1"/>
    <col min="15923" max="15923" width="12.42578125" style="6" customWidth="1"/>
    <col min="15924" max="16100" width="11.42578125" style="6"/>
    <col min="16101" max="16101" width="25.7109375" style="6" customWidth="1"/>
    <col min="16102" max="16102" width="13.42578125" style="6" customWidth="1"/>
    <col min="16103" max="16111" width="10.7109375" style="6" customWidth="1"/>
    <col min="16112" max="16112" width="10.140625" style="6" customWidth="1"/>
    <col min="16113" max="16115" width="0" style="6" hidden="1" customWidth="1"/>
    <col min="16116" max="16116" width="10.7109375" style="6" customWidth="1"/>
    <col min="16117" max="16117" width="9.28515625" style="6" customWidth="1"/>
    <col min="16118" max="16120" width="10.7109375" style="6" customWidth="1"/>
    <col min="16121" max="16123" width="0" style="6" hidden="1" customWidth="1"/>
    <col min="16124" max="16127" width="10.7109375" style="6" customWidth="1"/>
    <col min="16128" max="16128" width="0" style="6" hidden="1" customWidth="1"/>
    <col min="16129" max="16129" width="11.28515625" style="6" customWidth="1"/>
    <col min="16130" max="16131" width="10.7109375" style="6" customWidth="1"/>
    <col min="16132" max="16132" width="0" style="6" hidden="1" customWidth="1"/>
    <col min="16133" max="16133" width="9.42578125" style="6" customWidth="1"/>
    <col min="16134" max="16134" width="0" style="6" hidden="1" customWidth="1"/>
    <col min="16135" max="16135" width="9.42578125" style="6" customWidth="1"/>
    <col min="16136" max="16136" width="0" style="6" hidden="1" customWidth="1"/>
    <col min="16137" max="16137" width="11.7109375" style="6" bestFit="1" customWidth="1"/>
    <col min="16138" max="16138" width="12.28515625" style="6" customWidth="1"/>
    <col min="16139" max="16140" width="0" style="6" hidden="1" customWidth="1"/>
    <col min="16141" max="16141" width="12.140625" style="6" customWidth="1"/>
    <col min="16142" max="16142" width="13.140625" style="6" customWidth="1"/>
    <col min="16143" max="16144" width="0" style="6" hidden="1" customWidth="1"/>
    <col min="16145" max="16145" width="10" style="6" customWidth="1"/>
    <col min="16146" max="16146" width="10.7109375" style="6" customWidth="1"/>
    <col min="16147" max="16147" width="12.7109375" style="6" customWidth="1"/>
    <col min="16148" max="16148" width="13.28515625" style="6" customWidth="1"/>
    <col min="16149" max="16149" width="16" style="6" customWidth="1"/>
    <col min="16150" max="16150" width="17.28515625" style="6" customWidth="1"/>
    <col min="16151" max="16151" width="10.7109375" style="6" customWidth="1"/>
    <col min="16152" max="16152" width="0" style="6" hidden="1" customWidth="1"/>
    <col min="16153" max="16154" width="10.7109375" style="6" customWidth="1"/>
    <col min="16155" max="16156" width="0" style="6" hidden="1" customWidth="1"/>
    <col min="16157" max="16158" width="10.7109375" style="6" customWidth="1"/>
    <col min="16159" max="16159" width="0" style="6" hidden="1" customWidth="1"/>
    <col min="16160" max="16161" width="10.7109375" style="6" customWidth="1"/>
    <col min="16162" max="16164" width="0" style="6" hidden="1" customWidth="1"/>
    <col min="16165" max="16165" width="12.42578125" style="6" customWidth="1"/>
    <col min="16166" max="16166" width="0" style="6" hidden="1" customWidth="1"/>
    <col min="16167" max="16167" width="10.7109375" style="6" customWidth="1"/>
    <col min="16168" max="16168" width="0" style="6" hidden="1" customWidth="1"/>
    <col min="16169" max="16175" width="10.7109375" style="6" customWidth="1"/>
    <col min="16176" max="16176" width="13.42578125" style="6" customWidth="1"/>
    <col min="16177" max="16177" width="12.42578125" style="6" customWidth="1"/>
    <col min="16178" max="16178" width="16.42578125" style="6" customWidth="1"/>
    <col min="16179" max="16179" width="12.42578125" style="6" customWidth="1"/>
    <col min="16180" max="16384" width="11.42578125" style="6"/>
  </cols>
  <sheetData>
    <row r="1" spans="1:55" ht="21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 t="s">
        <v>1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5" ht="24" customHeight="1" x14ac:dyDescent="0.2">
      <c r="A2" s="7"/>
      <c r="B2" s="8">
        <v>7.51</v>
      </c>
      <c r="C2" s="9">
        <v>7.28</v>
      </c>
      <c r="D2" s="9">
        <v>7.28</v>
      </c>
      <c r="E2" s="9">
        <v>7.51</v>
      </c>
      <c r="F2" s="8">
        <v>7.3360000000000003</v>
      </c>
      <c r="G2" s="8">
        <v>7.3360000000000003</v>
      </c>
      <c r="H2" s="10">
        <v>7.3923082902942996</v>
      </c>
      <c r="I2" s="11">
        <v>7.4677611973653706</v>
      </c>
      <c r="J2" s="11">
        <v>7.4375434885375933</v>
      </c>
      <c r="K2" s="11">
        <v>7.9783096650887799</v>
      </c>
      <c r="L2" s="11">
        <v>7.6138409227281825</v>
      </c>
      <c r="M2" s="12">
        <v>7.58</v>
      </c>
      <c r="N2" s="12">
        <v>7.82</v>
      </c>
      <c r="O2" s="12">
        <v>7.5</v>
      </c>
      <c r="P2" s="12">
        <v>7.5</v>
      </c>
      <c r="Q2" s="12">
        <v>7.44</v>
      </c>
      <c r="R2" s="14">
        <v>7.8</v>
      </c>
      <c r="S2" s="14">
        <v>7.4349999999999996</v>
      </c>
      <c r="T2" s="13">
        <v>7.4349999999999996</v>
      </c>
      <c r="U2" s="13">
        <v>8.6093977625842708</v>
      </c>
      <c r="V2" s="8">
        <v>7.88</v>
      </c>
      <c r="W2" s="8">
        <v>7.65</v>
      </c>
      <c r="X2" s="8">
        <v>7.58</v>
      </c>
      <c r="Y2" s="8">
        <v>7.58</v>
      </c>
      <c r="Z2" s="8">
        <v>7.2888900000000003</v>
      </c>
      <c r="AA2" s="8">
        <v>7.2888900000000003</v>
      </c>
      <c r="AB2" s="8">
        <v>7.28</v>
      </c>
      <c r="AC2" s="8">
        <v>7.5679999999999996</v>
      </c>
      <c r="AD2" s="8">
        <v>7.5679999999999996</v>
      </c>
      <c r="AE2" s="8">
        <v>8.43</v>
      </c>
      <c r="AF2" s="13">
        <v>8.1059999999999999</v>
      </c>
      <c r="AG2" s="13">
        <v>7.22</v>
      </c>
      <c r="AH2" s="14">
        <v>8.3864146670000004</v>
      </c>
      <c r="AI2" s="14">
        <v>7.8</v>
      </c>
      <c r="AJ2" s="15">
        <v>35.314666721000002</v>
      </c>
      <c r="AK2" s="15">
        <v>35.314666721000002</v>
      </c>
      <c r="AL2" s="15">
        <v>1</v>
      </c>
      <c r="AM2" s="16">
        <v>35.314666721000002</v>
      </c>
      <c r="AN2" s="15">
        <v>1</v>
      </c>
      <c r="AO2" s="17">
        <v>1</v>
      </c>
      <c r="AP2" s="17">
        <v>1</v>
      </c>
      <c r="AQ2" s="15">
        <v>1</v>
      </c>
      <c r="AR2" s="15">
        <v>1</v>
      </c>
      <c r="AS2" s="15">
        <v>1</v>
      </c>
      <c r="AT2" s="18">
        <f>AU2</f>
        <v>35.314700000000002</v>
      </c>
      <c r="AU2" s="19">
        <f>AV2</f>
        <v>35.314700000000002</v>
      </c>
      <c r="AV2" s="15">
        <v>35.314700000000002</v>
      </c>
      <c r="AW2" s="15">
        <v>1</v>
      </c>
      <c r="AX2" s="15">
        <v>35.314700000000002</v>
      </c>
      <c r="AY2" s="15">
        <v>35.314700000000002</v>
      </c>
    </row>
    <row r="3" spans="1:55" ht="42.75" customHeight="1" x14ac:dyDescent="0.2">
      <c r="A3" s="20"/>
      <c r="B3" s="21" t="s">
        <v>2</v>
      </c>
      <c r="C3" s="22" t="s">
        <v>3</v>
      </c>
      <c r="D3" s="22" t="s">
        <v>4</v>
      </c>
      <c r="E3" s="22" t="s">
        <v>5</v>
      </c>
      <c r="F3" s="21" t="s">
        <v>6</v>
      </c>
      <c r="G3" s="23" t="s">
        <v>7</v>
      </c>
      <c r="H3" s="24" t="s">
        <v>8</v>
      </c>
      <c r="I3" s="25" t="s">
        <v>9</v>
      </c>
      <c r="J3" s="25" t="s">
        <v>10</v>
      </c>
      <c r="K3" s="25" t="s">
        <v>11</v>
      </c>
      <c r="L3" s="25" t="s">
        <v>12</v>
      </c>
      <c r="M3" s="27" t="s">
        <v>13</v>
      </c>
      <c r="N3" s="27" t="s">
        <v>14</v>
      </c>
      <c r="O3" s="26" t="s">
        <v>15</v>
      </c>
      <c r="P3" s="26" t="s">
        <v>16</v>
      </c>
      <c r="Q3" s="27" t="s">
        <v>17</v>
      </c>
      <c r="R3" s="28" t="s">
        <v>18</v>
      </c>
      <c r="S3" s="28" t="s">
        <v>19</v>
      </c>
      <c r="T3" s="29" t="s">
        <v>20</v>
      </c>
      <c r="U3" s="29" t="s">
        <v>21</v>
      </c>
      <c r="V3" s="27" t="s">
        <v>22</v>
      </c>
      <c r="W3" s="27" t="s">
        <v>23</v>
      </c>
      <c r="X3" s="27" t="s">
        <v>24</v>
      </c>
      <c r="Y3" s="26" t="s">
        <v>25</v>
      </c>
      <c r="Z3" s="27" t="s">
        <v>26</v>
      </c>
      <c r="AA3" s="26" t="s">
        <v>27</v>
      </c>
      <c r="AB3" s="30" t="s">
        <v>28</v>
      </c>
      <c r="AC3" s="26" t="s">
        <v>29</v>
      </c>
      <c r="AD3" s="27" t="s">
        <v>30</v>
      </c>
      <c r="AE3" s="26" t="s">
        <v>31</v>
      </c>
      <c r="AF3" s="29" t="s">
        <v>32</v>
      </c>
      <c r="AG3" s="29" t="s">
        <v>33</v>
      </c>
      <c r="AH3" s="29" t="s">
        <v>34</v>
      </c>
      <c r="AI3" s="29" t="s">
        <v>35</v>
      </c>
      <c r="AJ3" s="31" t="s">
        <v>36</v>
      </c>
      <c r="AK3" s="32" t="s">
        <v>37</v>
      </c>
      <c r="AL3" s="33" t="s">
        <v>38</v>
      </c>
      <c r="AM3" s="34" t="s">
        <v>39</v>
      </c>
      <c r="AN3" s="35" t="s">
        <v>40</v>
      </c>
      <c r="AO3" s="36" t="s">
        <v>41</v>
      </c>
      <c r="AP3" s="36" t="s">
        <v>42</v>
      </c>
      <c r="AQ3" s="32" t="s">
        <v>43</v>
      </c>
      <c r="AR3" s="32" t="s">
        <v>44</v>
      </c>
      <c r="AS3" s="37" t="s">
        <v>45</v>
      </c>
      <c r="AT3" s="18" t="s">
        <v>46</v>
      </c>
      <c r="AU3" s="38" t="s">
        <v>47</v>
      </c>
      <c r="AV3" s="37" t="s">
        <v>48</v>
      </c>
      <c r="AW3" s="39" t="s">
        <v>49</v>
      </c>
      <c r="AX3" s="32" t="s">
        <v>50</v>
      </c>
      <c r="AY3" s="32" t="s">
        <v>51</v>
      </c>
    </row>
    <row r="4" spans="1:55" s="49" customFormat="1" ht="13.5" customHeight="1" x14ac:dyDescent="0.2">
      <c r="A4" s="40">
        <v>45658</v>
      </c>
      <c r="B4" s="41">
        <v>3505</v>
      </c>
      <c r="C4" s="42">
        <v>1001</v>
      </c>
      <c r="D4" s="42">
        <v>88</v>
      </c>
      <c r="E4" s="42">
        <v>153</v>
      </c>
      <c r="F4" s="42">
        <v>80</v>
      </c>
      <c r="G4" s="42">
        <v>80</v>
      </c>
      <c r="H4" s="43">
        <v>8170</v>
      </c>
      <c r="I4" s="43">
        <v>813</v>
      </c>
      <c r="J4" s="43">
        <v>2527</v>
      </c>
      <c r="K4" s="43">
        <v>13115</v>
      </c>
      <c r="L4" s="41">
        <v>3642</v>
      </c>
      <c r="M4" s="41">
        <v>8687</v>
      </c>
      <c r="N4" s="41">
        <v>413</v>
      </c>
      <c r="O4" s="41">
        <v>9801</v>
      </c>
      <c r="P4" s="41">
        <v>375</v>
      </c>
      <c r="Q4" s="41">
        <v>7129</v>
      </c>
      <c r="R4" s="41">
        <v>2457</v>
      </c>
      <c r="S4" s="41">
        <v>10929</v>
      </c>
      <c r="T4" s="41">
        <v>8461</v>
      </c>
      <c r="U4" s="41">
        <v>81.767399999999995</v>
      </c>
      <c r="V4" s="41">
        <v>741</v>
      </c>
      <c r="W4" s="41">
        <v>9053</v>
      </c>
      <c r="X4" s="41">
        <v>3931</v>
      </c>
      <c r="Y4" s="41"/>
      <c r="Z4" s="41">
        <v>3301</v>
      </c>
      <c r="AA4" s="41"/>
      <c r="AB4" s="41">
        <v>398</v>
      </c>
      <c r="AC4" s="41"/>
      <c r="AD4" s="41">
        <v>4156</v>
      </c>
      <c r="AE4" s="41">
        <v>165</v>
      </c>
      <c r="AF4" s="44">
        <v>8408</v>
      </c>
      <c r="AG4" s="41">
        <v>4010</v>
      </c>
      <c r="AH4" s="41">
        <v>27.869999999999997</v>
      </c>
      <c r="AI4" s="41">
        <v>6811</v>
      </c>
      <c r="AJ4" s="45">
        <v>0.35599999999999998</v>
      </c>
      <c r="AK4" s="45">
        <v>0.84499999999999997</v>
      </c>
      <c r="AL4" s="45">
        <v>168.16210949999999</v>
      </c>
      <c r="AM4" s="45">
        <v>0.41699999999999998</v>
      </c>
      <c r="AN4" s="45">
        <v>12.77</v>
      </c>
      <c r="AO4" s="45">
        <v>3.17</v>
      </c>
      <c r="AP4" s="45">
        <v>6.22</v>
      </c>
      <c r="AQ4" s="45">
        <v>10</v>
      </c>
      <c r="AR4" s="45">
        <v>1.4286426000000001</v>
      </c>
      <c r="AS4" s="45">
        <v>1.4</v>
      </c>
      <c r="AT4" s="47">
        <v>0</v>
      </c>
      <c r="AU4" s="45">
        <v>4.3330000000000002</v>
      </c>
      <c r="AV4" s="45">
        <v>0.52883999999999998</v>
      </c>
      <c r="AW4" s="45">
        <v>10.379727600000001</v>
      </c>
      <c r="AX4" s="45">
        <v>0.25</v>
      </c>
      <c r="AY4" s="48">
        <v>0.34622800000000004</v>
      </c>
      <c r="AZ4" s="6"/>
      <c r="BA4" s="6"/>
      <c r="BB4" s="6"/>
      <c r="BC4" s="6"/>
    </row>
    <row r="5" spans="1:55" ht="13.5" customHeight="1" x14ac:dyDescent="0.2">
      <c r="A5" s="40">
        <v>45659</v>
      </c>
      <c r="B5" s="41">
        <v>5799</v>
      </c>
      <c r="C5" s="42">
        <v>1403</v>
      </c>
      <c r="D5" s="42">
        <v>129</v>
      </c>
      <c r="E5" s="42">
        <v>234</v>
      </c>
      <c r="F5" s="42">
        <v>114</v>
      </c>
      <c r="G5" s="42">
        <v>130</v>
      </c>
      <c r="H5" s="43">
        <v>8223</v>
      </c>
      <c r="I5" s="43">
        <v>669</v>
      </c>
      <c r="J5" s="43">
        <v>2094</v>
      </c>
      <c r="K5" s="43">
        <v>12781</v>
      </c>
      <c r="L5" s="41">
        <v>3564</v>
      </c>
      <c r="M5" s="41">
        <v>8638</v>
      </c>
      <c r="N5" s="41">
        <v>364</v>
      </c>
      <c r="O5" s="41">
        <v>9851</v>
      </c>
      <c r="P5" s="41">
        <v>343</v>
      </c>
      <c r="Q5" s="41">
        <v>7434</v>
      </c>
      <c r="R5" s="41">
        <v>2547</v>
      </c>
      <c r="S5" s="41">
        <v>10808</v>
      </c>
      <c r="T5" s="41">
        <v>8233</v>
      </c>
      <c r="U5" s="41">
        <v>50.318399999999997</v>
      </c>
      <c r="V5" s="41">
        <v>769</v>
      </c>
      <c r="W5" s="41">
        <v>9040</v>
      </c>
      <c r="X5" s="41">
        <v>4037</v>
      </c>
      <c r="Y5" s="41"/>
      <c r="Z5" s="41">
        <v>2942</v>
      </c>
      <c r="AA5" s="41"/>
      <c r="AB5" s="41">
        <v>398</v>
      </c>
      <c r="AC5" s="41"/>
      <c r="AD5" s="41">
        <v>2867</v>
      </c>
      <c r="AE5" s="41">
        <v>165</v>
      </c>
      <c r="AF5" s="44">
        <v>7522</v>
      </c>
      <c r="AG5" s="41">
        <v>4010</v>
      </c>
      <c r="AH5" s="41">
        <v>41.085000000000001</v>
      </c>
      <c r="AI5" s="41">
        <v>7208</v>
      </c>
      <c r="AJ5" s="45">
        <v>0.36399999999999999</v>
      </c>
      <c r="AK5" s="45">
        <v>1.143</v>
      </c>
      <c r="AL5" s="45">
        <v>174.80003639999998</v>
      </c>
      <c r="AM5" s="45">
        <v>0.41699999999999998</v>
      </c>
      <c r="AN5" s="45">
        <v>12.55</v>
      </c>
      <c r="AO5" s="45">
        <v>2.4700000000000002</v>
      </c>
      <c r="AP5" s="45">
        <v>6.49</v>
      </c>
      <c r="AQ5" s="45">
        <v>10</v>
      </c>
      <c r="AR5" s="45">
        <v>9.320780700000002</v>
      </c>
      <c r="AS5" s="45">
        <v>1.5</v>
      </c>
      <c r="AT5" s="47">
        <v>0</v>
      </c>
      <c r="AU5" s="45">
        <v>3.8380000000000001</v>
      </c>
      <c r="AV5" s="45">
        <v>1.7889600000000001</v>
      </c>
      <c r="AW5" s="45">
        <v>11.99420673</v>
      </c>
      <c r="AX5" s="45">
        <v>0.34599999999999997</v>
      </c>
      <c r="AY5" s="48">
        <v>0.48837999999999998</v>
      </c>
    </row>
    <row r="6" spans="1:55" ht="13.5" customHeight="1" x14ac:dyDescent="0.2">
      <c r="A6" s="40">
        <v>45660</v>
      </c>
      <c r="B6" s="41">
        <v>5793</v>
      </c>
      <c r="C6" s="42">
        <v>1446</v>
      </c>
      <c r="D6" s="42">
        <v>127</v>
      </c>
      <c r="E6" s="42">
        <v>228</v>
      </c>
      <c r="F6" s="42">
        <v>116</v>
      </c>
      <c r="G6" s="42">
        <v>130</v>
      </c>
      <c r="H6" s="41">
        <v>7713.2020000000002</v>
      </c>
      <c r="I6" s="43">
        <v>637.553</v>
      </c>
      <c r="J6" s="41">
        <v>1963.9580000000001</v>
      </c>
      <c r="K6" s="43">
        <v>12395</v>
      </c>
      <c r="L6" s="41">
        <v>3608.2687833599998</v>
      </c>
      <c r="M6" s="41">
        <v>8638</v>
      </c>
      <c r="N6" s="41">
        <v>364</v>
      </c>
      <c r="O6" s="41">
        <v>8954</v>
      </c>
      <c r="P6" s="41">
        <v>338</v>
      </c>
      <c r="Q6" s="41">
        <v>7429</v>
      </c>
      <c r="R6" s="41">
        <v>2799</v>
      </c>
      <c r="S6" s="41">
        <v>10989</v>
      </c>
      <c r="T6" s="41">
        <v>8008</v>
      </c>
      <c r="U6" s="41">
        <v>106.92659999999999</v>
      </c>
      <c r="V6" s="41">
        <v>831</v>
      </c>
      <c r="W6" s="41">
        <v>8993</v>
      </c>
      <c r="X6" s="41">
        <v>3692</v>
      </c>
      <c r="Y6" s="41"/>
      <c r="Z6" s="41">
        <v>2942</v>
      </c>
      <c r="AA6" s="41"/>
      <c r="AB6" s="41">
        <v>398</v>
      </c>
      <c r="AC6" s="41"/>
      <c r="AD6" s="41">
        <v>3161</v>
      </c>
      <c r="AE6" s="41">
        <v>165</v>
      </c>
      <c r="AF6" s="44">
        <v>9579</v>
      </c>
      <c r="AG6" s="41">
        <v>4010</v>
      </c>
      <c r="AH6" s="41">
        <v>39.877499999999998</v>
      </c>
      <c r="AI6" s="41">
        <v>6841</v>
      </c>
      <c r="AJ6" s="45">
        <v>0.56100000000000005</v>
      </c>
      <c r="AK6" s="45">
        <v>2</v>
      </c>
      <c r="AL6" s="45">
        <v>212.81796030000001</v>
      </c>
      <c r="AM6" s="45">
        <v>0.41699999999999998</v>
      </c>
      <c r="AN6" s="45">
        <v>12.23</v>
      </c>
      <c r="AO6" s="45">
        <v>2.4900000000000002</v>
      </c>
      <c r="AP6" s="45">
        <v>6.64</v>
      </c>
      <c r="AQ6" s="45">
        <v>13</v>
      </c>
      <c r="AR6" s="45">
        <v>14.104226400000002</v>
      </c>
      <c r="AS6" s="45">
        <v>1.2</v>
      </c>
      <c r="AT6" s="47">
        <v>0</v>
      </c>
      <c r="AU6" s="45">
        <v>4.9539999999999997</v>
      </c>
      <c r="AV6" s="45">
        <v>1.8025499999999999</v>
      </c>
      <c r="AW6" s="45">
        <v>12.180749460000001</v>
      </c>
      <c r="AX6" s="45">
        <v>0.34200000000000003</v>
      </c>
      <c r="AY6" s="48">
        <v>0.487286</v>
      </c>
    </row>
    <row r="7" spans="1:55" ht="13.5" customHeight="1" x14ac:dyDescent="0.2">
      <c r="A7" s="40">
        <v>45661</v>
      </c>
      <c r="B7" s="41">
        <v>5833</v>
      </c>
      <c r="C7" s="42">
        <v>1456</v>
      </c>
      <c r="D7" s="42">
        <v>128</v>
      </c>
      <c r="E7" s="42">
        <v>230</v>
      </c>
      <c r="F7" s="42">
        <v>123</v>
      </c>
      <c r="G7" s="42">
        <v>130</v>
      </c>
      <c r="H7" s="41">
        <v>7813.491</v>
      </c>
      <c r="I7" s="43">
        <v>419.476</v>
      </c>
      <c r="J7" s="41">
        <v>1099.5730000000001</v>
      </c>
      <c r="K7" s="43">
        <v>12988</v>
      </c>
      <c r="L7" s="41">
        <v>3530.3133600400001</v>
      </c>
      <c r="M7" s="41">
        <v>8545</v>
      </c>
      <c r="N7" s="41">
        <v>334</v>
      </c>
      <c r="O7" s="41">
        <v>8842</v>
      </c>
      <c r="P7" s="41">
        <v>349</v>
      </c>
      <c r="Q7" s="41">
        <v>7458</v>
      </c>
      <c r="R7" s="41">
        <v>2847</v>
      </c>
      <c r="S7" s="41">
        <v>11031</v>
      </c>
      <c r="T7" s="41">
        <v>8016</v>
      </c>
      <c r="U7" s="41">
        <v>106.92659999999999</v>
      </c>
      <c r="V7" s="41">
        <v>829</v>
      </c>
      <c r="W7" s="41">
        <v>8985</v>
      </c>
      <c r="X7" s="41">
        <v>3985</v>
      </c>
      <c r="Y7" s="41"/>
      <c r="Z7" s="41">
        <v>2942</v>
      </c>
      <c r="AA7" s="41"/>
      <c r="AB7" s="41">
        <v>398</v>
      </c>
      <c r="AC7" s="41"/>
      <c r="AD7" s="41">
        <v>3077</v>
      </c>
      <c r="AE7" s="41">
        <v>165</v>
      </c>
      <c r="AF7" s="44">
        <v>9609</v>
      </c>
      <c r="AG7" s="41">
        <v>4010</v>
      </c>
      <c r="AH7" s="41">
        <v>40.462500000000006</v>
      </c>
      <c r="AI7" s="41">
        <v>6992</v>
      </c>
      <c r="AJ7" s="45">
        <v>0.46800000000000003</v>
      </c>
      <c r="AK7" s="45">
        <v>1.4330000000000001</v>
      </c>
      <c r="AL7" s="45">
        <v>202.49296320000002</v>
      </c>
      <c r="AM7" s="45">
        <v>0.41699999999999998</v>
      </c>
      <c r="AN7" s="45">
        <v>12.49</v>
      </c>
      <c r="AO7" s="45">
        <v>2.5299999999999998</v>
      </c>
      <c r="AP7" s="45">
        <v>6.45</v>
      </c>
      <c r="AQ7" s="45">
        <v>41</v>
      </c>
      <c r="AR7" s="45">
        <v>13.1628618</v>
      </c>
      <c r="AS7" s="45">
        <v>1.4</v>
      </c>
      <c r="AT7" s="47">
        <v>0</v>
      </c>
      <c r="AU7" s="45">
        <v>4.9539999999999997</v>
      </c>
      <c r="AV7" s="45">
        <v>1.8019000000000001</v>
      </c>
      <c r="AW7" s="45">
        <v>12.785645070000001</v>
      </c>
      <c r="AX7" s="45">
        <v>0.33900000000000002</v>
      </c>
      <c r="AY7" s="48">
        <v>0.48590800000000001</v>
      </c>
    </row>
    <row r="8" spans="1:55" s="49" customFormat="1" ht="13.5" customHeight="1" x14ac:dyDescent="0.2">
      <c r="A8" s="40">
        <v>45662</v>
      </c>
      <c r="B8" s="41">
        <v>5749</v>
      </c>
      <c r="C8" s="42">
        <v>1439</v>
      </c>
      <c r="D8" s="42">
        <v>124</v>
      </c>
      <c r="E8" s="42">
        <v>215</v>
      </c>
      <c r="F8" s="42">
        <v>117</v>
      </c>
      <c r="G8" s="42">
        <v>130</v>
      </c>
      <c r="H8" s="41">
        <v>7747.9070000000002</v>
      </c>
      <c r="I8" s="43">
        <v>489.68400000000003</v>
      </c>
      <c r="J8" s="41">
        <v>1331.0170000000001</v>
      </c>
      <c r="K8" s="41">
        <v>12503</v>
      </c>
      <c r="L8" s="41">
        <v>3689.6099791199999</v>
      </c>
      <c r="M8" s="41">
        <v>8485</v>
      </c>
      <c r="N8" s="41">
        <v>318</v>
      </c>
      <c r="O8" s="41">
        <v>9424</v>
      </c>
      <c r="P8" s="41">
        <v>352</v>
      </c>
      <c r="Q8" s="41">
        <v>7480</v>
      </c>
      <c r="R8" s="41">
        <v>2889</v>
      </c>
      <c r="S8" s="41">
        <v>10882</v>
      </c>
      <c r="T8" s="41">
        <v>7852</v>
      </c>
      <c r="U8" s="41">
        <v>81.767399999999995</v>
      </c>
      <c r="V8" s="41">
        <v>809</v>
      </c>
      <c r="W8" s="41">
        <v>8957</v>
      </c>
      <c r="X8" s="41">
        <v>3826</v>
      </c>
      <c r="Y8" s="41"/>
      <c r="Z8" s="41">
        <v>2945</v>
      </c>
      <c r="AA8" s="41"/>
      <c r="AB8" s="41">
        <v>398</v>
      </c>
      <c r="AC8" s="41"/>
      <c r="AD8" s="41">
        <v>3527</v>
      </c>
      <c r="AE8" s="41">
        <v>165</v>
      </c>
      <c r="AF8" s="44">
        <v>9552</v>
      </c>
      <c r="AG8" s="41">
        <v>4010</v>
      </c>
      <c r="AH8" s="41">
        <v>40.3125</v>
      </c>
      <c r="AI8" s="41">
        <v>6745</v>
      </c>
      <c r="AJ8" s="45">
        <v>0.35799999999999998</v>
      </c>
      <c r="AK8" s="45">
        <v>0.94</v>
      </c>
      <c r="AL8" s="45">
        <v>193.42782690000001</v>
      </c>
      <c r="AM8" s="45">
        <v>0.41699999999999998</v>
      </c>
      <c r="AN8" s="45">
        <v>11.4</v>
      </c>
      <c r="AO8" s="45">
        <v>2.4700000000000002</v>
      </c>
      <c r="AP8" s="45">
        <v>6.29</v>
      </c>
      <c r="AQ8" s="45">
        <v>36</v>
      </c>
      <c r="AR8" s="45">
        <v>4.6782219000000005</v>
      </c>
      <c r="AS8" s="45">
        <v>1.6</v>
      </c>
      <c r="AT8" s="47">
        <v>0.01</v>
      </c>
      <c r="AU8" s="45">
        <v>4.9400000000000004</v>
      </c>
      <c r="AV8" s="47">
        <v>2.0876799999999998</v>
      </c>
      <c r="AW8" s="45">
        <v>13.212437040000003</v>
      </c>
      <c r="AX8" s="45">
        <v>0.33300000000000002</v>
      </c>
      <c r="AY8" s="48">
        <v>0.481991</v>
      </c>
      <c r="AZ8" s="6"/>
      <c r="BA8" s="6"/>
      <c r="BB8" s="6"/>
      <c r="BC8" s="6"/>
    </row>
    <row r="9" spans="1:55" ht="13.5" customHeight="1" x14ac:dyDescent="0.2">
      <c r="A9" s="40">
        <v>45663</v>
      </c>
      <c r="B9" s="41">
        <v>5743</v>
      </c>
      <c r="C9" s="42">
        <v>1419</v>
      </c>
      <c r="D9" s="42">
        <v>128</v>
      </c>
      <c r="E9" s="42">
        <v>226</v>
      </c>
      <c r="F9" s="42">
        <v>111</v>
      </c>
      <c r="G9" s="42">
        <v>130</v>
      </c>
      <c r="H9" s="41">
        <v>7660.3040000000001</v>
      </c>
      <c r="I9" s="41">
        <v>469.47399999999999</v>
      </c>
      <c r="J9" s="41">
        <v>1191.646</v>
      </c>
      <c r="K9" s="41">
        <v>12496</v>
      </c>
      <c r="L9" s="41">
        <v>3593</v>
      </c>
      <c r="M9" s="41">
        <v>8497</v>
      </c>
      <c r="N9" s="41">
        <v>319</v>
      </c>
      <c r="O9" s="41">
        <v>9646</v>
      </c>
      <c r="P9" s="41">
        <v>349</v>
      </c>
      <c r="Q9" s="41">
        <v>7486</v>
      </c>
      <c r="R9" s="41">
        <v>2943</v>
      </c>
      <c r="S9" s="41">
        <v>10332</v>
      </c>
      <c r="T9" s="41">
        <v>7856</v>
      </c>
      <c r="U9" s="41">
        <v>81.767399999999995</v>
      </c>
      <c r="V9" s="41">
        <v>811</v>
      </c>
      <c r="W9" s="41">
        <v>8961</v>
      </c>
      <c r="X9" s="41">
        <v>4082</v>
      </c>
      <c r="Y9" s="41"/>
      <c r="Z9" s="41">
        <v>2944</v>
      </c>
      <c r="AA9" s="41"/>
      <c r="AB9" s="41">
        <v>398</v>
      </c>
      <c r="AC9" s="41"/>
      <c r="AD9" s="41">
        <v>3971</v>
      </c>
      <c r="AE9" s="41">
        <v>165</v>
      </c>
      <c r="AF9" s="44">
        <v>8703</v>
      </c>
      <c r="AG9" s="41">
        <v>4010</v>
      </c>
      <c r="AH9" s="41">
        <v>39.952500000000001</v>
      </c>
      <c r="AI9" s="41">
        <v>6782</v>
      </c>
      <c r="AJ9" s="45">
        <v>0.248</v>
      </c>
      <c r="AK9" s="45">
        <v>0.59</v>
      </c>
      <c r="AL9" s="45">
        <v>193.0936474104</v>
      </c>
      <c r="AM9" s="45">
        <v>0.41699999999999998</v>
      </c>
      <c r="AN9" s="45">
        <v>13.63</v>
      </c>
      <c r="AO9" s="45">
        <v>2.48</v>
      </c>
      <c r="AP9" s="45">
        <v>3.71</v>
      </c>
      <c r="AQ9" s="45">
        <v>41</v>
      </c>
      <c r="AR9" s="45">
        <v>1.0525911000000001</v>
      </c>
      <c r="AS9" s="45">
        <v>1.1000000000000001</v>
      </c>
      <c r="AT9" s="47">
        <v>0.01</v>
      </c>
      <c r="AU9" s="45">
        <v>4.9580000000000002</v>
      </c>
      <c r="AV9" s="47">
        <v>2.9014799999999998</v>
      </c>
      <c r="AW9" s="45">
        <v>13.100716200000001</v>
      </c>
      <c r="AX9" s="45">
        <v>0.33400000000000002</v>
      </c>
      <c r="AY9" s="48">
        <v>0.481462</v>
      </c>
    </row>
    <row r="10" spans="1:55" ht="13.5" customHeight="1" x14ac:dyDescent="0.2">
      <c r="A10" s="40">
        <v>45664</v>
      </c>
      <c r="B10" s="41">
        <v>5600</v>
      </c>
      <c r="C10" s="42">
        <v>1433</v>
      </c>
      <c r="D10" s="42">
        <v>128</v>
      </c>
      <c r="E10" s="42">
        <v>223</v>
      </c>
      <c r="F10" s="42">
        <v>116</v>
      </c>
      <c r="G10" s="42">
        <v>130</v>
      </c>
      <c r="H10" s="41">
        <v>7947.3829999999998</v>
      </c>
      <c r="I10" s="41">
        <v>577.68200000000002</v>
      </c>
      <c r="J10" s="41">
        <v>1591.114</v>
      </c>
      <c r="K10" s="41">
        <v>6708</v>
      </c>
      <c r="L10" s="41">
        <v>3646.4386847599999</v>
      </c>
      <c r="M10" s="41">
        <v>8516</v>
      </c>
      <c r="N10" s="41">
        <v>320</v>
      </c>
      <c r="O10" s="41">
        <v>9820</v>
      </c>
      <c r="P10" s="41">
        <v>425</v>
      </c>
      <c r="Q10" s="41">
        <v>7486</v>
      </c>
      <c r="R10" s="41">
        <v>3021</v>
      </c>
      <c r="S10" s="41">
        <v>10836</v>
      </c>
      <c r="T10" s="41">
        <v>8000</v>
      </c>
      <c r="U10" s="41">
        <v>106.92659999999999</v>
      </c>
      <c r="V10" s="41">
        <v>833</v>
      </c>
      <c r="W10" s="41">
        <v>8938</v>
      </c>
      <c r="X10" s="41">
        <v>3758</v>
      </c>
      <c r="Y10" s="41"/>
      <c r="Z10" s="41">
        <v>2944</v>
      </c>
      <c r="AA10" s="41"/>
      <c r="AB10" s="41">
        <v>398</v>
      </c>
      <c r="AC10" s="41"/>
      <c r="AD10" s="41">
        <v>3978</v>
      </c>
      <c r="AE10" s="41">
        <v>165</v>
      </c>
      <c r="AF10" s="44">
        <v>8626</v>
      </c>
      <c r="AG10" s="41">
        <v>4010</v>
      </c>
      <c r="AH10" s="41">
        <v>40.349999999999994</v>
      </c>
      <c r="AI10" s="41">
        <v>6730</v>
      </c>
      <c r="AJ10" s="45">
        <v>0.29799999999999999</v>
      </c>
      <c r="AK10" s="45">
        <v>0.70799999999999996</v>
      </c>
      <c r="AL10" s="45">
        <v>192.95534590859998</v>
      </c>
      <c r="AM10" s="45">
        <v>0.41699999999999998</v>
      </c>
      <c r="AN10" s="45">
        <v>10.97</v>
      </c>
      <c r="AO10" s="45">
        <v>2.61</v>
      </c>
      <c r="AP10" s="45">
        <v>6.4</v>
      </c>
      <c r="AQ10" s="45">
        <v>33</v>
      </c>
      <c r="AR10" s="45">
        <v>6.5846087999999998</v>
      </c>
      <c r="AS10" s="45">
        <v>1.3</v>
      </c>
      <c r="AT10" s="47">
        <v>0.01</v>
      </c>
      <c r="AU10" s="45">
        <v>4.9480000000000004</v>
      </c>
      <c r="AV10" s="47">
        <v>2.5309400000000002</v>
      </c>
      <c r="AW10" s="45">
        <v>13.09601997</v>
      </c>
      <c r="AX10" s="45">
        <v>0.35</v>
      </c>
      <c r="AY10" s="48">
        <v>0.47948599999999997</v>
      </c>
    </row>
    <row r="11" spans="1:55" ht="13.5" customHeight="1" x14ac:dyDescent="0.2">
      <c r="A11" s="40">
        <v>45665</v>
      </c>
      <c r="B11" s="41">
        <v>5744</v>
      </c>
      <c r="C11" s="42">
        <v>1366</v>
      </c>
      <c r="D11" s="42">
        <v>132</v>
      </c>
      <c r="E11" s="42">
        <v>237</v>
      </c>
      <c r="F11" s="42">
        <v>119</v>
      </c>
      <c r="G11" s="42">
        <v>130</v>
      </c>
      <c r="H11" s="41">
        <v>7947.3829999999998</v>
      </c>
      <c r="I11" s="41">
        <v>577.68200000000002</v>
      </c>
      <c r="J11" s="41">
        <v>1591.114</v>
      </c>
      <c r="K11" s="41">
        <v>5694</v>
      </c>
      <c r="L11" s="41">
        <v>3646.4386847599999</v>
      </c>
      <c r="M11" s="41">
        <v>8536</v>
      </c>
      <c r="N11" s="41">
        <v>319</v>
      </c>
      <c r="O11" s="41">
        <v>9539</v>
      </c>
      <c r="P11" s="41">
        <v>412</v>
      </c>
      <c r="Q11" s="41">
        <v>7486</v>
      </c>
      <c r="R11" s="41">
        <v>3021</v>
      </c>
      <c r="S11" s="41">
        <v>10836</v>
      </c>
      <c r="T11" s="41">
        <v>8000</v>
      </c>
      <c r="U11" s="41">
        <v>106.92659999999999</v>
      </c>
      <c r="V11" s="41">
        <v>831</v>
      </c>
      <c r="W11" s="41">
        <v>8897</v>
      </c>
      <c r="X11" s="41">
        <v>3758</v>
      </c>
      <c r="Y11" s="41"/>
      <c r="Z11" s="41">
        <v>2870</v>
      </c>
      <c r="AA11" s="41"/>
      <c r="AB11" s="41">
        <v>398</v>
      </c>
      <c r="AC11" s="41"/>
      <c r="AD11" s="41">
        <v>5790</v>
      </c>
      <c r="AE11" s="41">
        <v>165</v>
      </c>
      <c r="AF11" s="41">
        <v>8676</v>
      </c>
      <c r="AG11" s="41">
        <v>4010</v>
      </c>
      <c r="AH11" s="41">
        <v>39.322499999999998</v>
      </c>
      <c r="AI11" s="41">
        <v>6877</v>
      </c>
      <c r="AJ11" s="45">
        <v>0.58899999999999997</v>
      </c>
      <c r="AK11" s="45">
        <v>1.831</v>
      </c>
      <c r="AL11" s="45">
        <v>202.16003191889999</v>
      </c>
      <c r="AM11" s="45">
        <v>0.41699999999999998</v>
      </c>
      <c r="AN11" s="45">
        <v>9.84</v>
      </c>
      <c r="AO11" s="45">
        <v>2.61</v>
      </c>
      <c r="AP11" s="45">
        <v>6.4</v>
      </c>
      <c r="AQ11" s="45">
        <v>26</v>
      </c>
      <c r="AR11" s="45">
        <v>9.8119428000000006</v>
      </c>
      <c r="AS11" s="45">
        <v>1.5</v>
      </c>
      <c r="AT11" s="47">
        <v>0.01</v>
      </c>
      <c r="AU11" s="45">
        <v>4.9370000000000003</v>
      </c>
      <c r="AV11" s="47">
        <v>2.2612100000000002</v>
      </c>
      <c r="AW11" s="45">
        <v>13.31307054</v>
      </c>
      <c r="AX11" s="45">
        <v>0.35699999999999998</v>
      </c>
      <c r="AY11" s="48">
        <v>0.47737499999999999</v>
      </c>
    </row>
    <row r="12" spans="1:55" ht="13.5" customHeight="1" x14ac:dyDescent="0.2">
      <c r="A12" s="40">
        <v>45666</v>
      </c>
      <c r="B12" s="41">
        <v>5699</v>
      </c>
      <c r="C12" s="42">
        <v>1361</v>
      </c>
      <c r="D12" s="42">
        <v>128</v>
      </c>
      <c r="E12" s="42">
        <v>225</v>
      </c>
      <c r="F12" s="42">
        <v>110</v>
      </c>
      <c r="G12" s="42">
        <v>130</v>
      </c>
      <c r="H12" s="41">
        <v>7947.3829999999998</v>
      </c>
      <c r="I12" s="41">
        <v>577.68200000000002</v>
      </c>
      <c r="J12" s="41">
        <v>1591.114</v>
      </c>
      <c r="K12" s="41">
        <v>6450</v>
      </c>
      <c r="L12" s="41">
        <v>3646.4386847599999</v>
      </c>
      <c r="M12" s="41">
        <v>8559</v>
      </c>
      <c r="N12" s="41">
        <v>248</v>
      </c>
      <c r="O12" s="41">
        <v>7215</v>
      </c>
      <c r="P12" s="41">
        <v>417</v>
      </c>
      <c r="Q12" s="41">
        <v>7487</v>
      </c>
      <c r="R12" s="41">
        <v>3155</v>
      </c>
      <c r="S12" s="41">
        <v>10724</v>
      </c>
      <c r="T12" s="41">
        <v>8144</v>
      </c>
      <c r="U12" s="41">
        <v>106.92659999999999</v>
      </c>
      <c r="V12" s="41">
        <v>850</v>
      </c>
      <c r="W12" s="41">
        <v>8999</v>
      </c>
      <c r="X12" s="41">
        <v>3879</v>
      </c>
      <c r="Y12" s="41"/>
      <c r="Z12" s="41">
        <v>2944</v>
      </c>
      <c r="AA12" s="41"/>
      <c r="AB12" s="41">
        <v>398</v>
      </c>
      <c r="AC12" s="41"/>
      <c r="AD12" s="41">
        <v>4443</v>
      </c>
      <c r="AE12" s="41">
        <v>165</v>
      </c>
      <c r="AF12" s="41">
        <v>8710</v>
      </c>
      <c r="AG12" s="41">
        <v>4010</v>
      </c>
      <c r="AH12" s="41">
        <v>40.417500000000004</v>
      </c>
      <c r="AI12" s="41">
        <v>6707</v>
      </c>
      <c r="AJ12" s="45">
        <v>0.58499999999999996</v>
      </c>
      <c r="AK12" s="45">
        <v>1.766</v>
      </c>
      <c r="AL12" s="45">
        <v>129.35889120000002</v>
      </c>
      <c r="AM12" s="45">
        <v>0.41699999999999998</v>
      </c>
      <c r="AN12" s="45">
        <v>9.8000000000000007</v>
      </c>
      <c r="AO12" s="45">
        <v>2.75</v>
      </c>
      <c r="AP12" s="45">
        <v>6.27</v>
      </c>
      <c r="AQ12" s="45">
        <v>40</v>
      </c>
      <c r="AR12" s="45">
        <v>10.871242799999999</v>
      </c>
      <c r="AS12" s="45">
        <v>1.6</v>
      </c>
      <c r="AT12" s="47">
        <v>0.01</v>
      </c>
      <c r="AU12" s="45">
        <v>4.9340000000000002</v>
      </c>
      <c r="AV12" s="47">
        <v>2.6477600000000003</v>
      </c>
      <c r="AW12" s="45">
        <v>13.20594</v>
      </c>
      <c r="AX12" s="45">
        <v>0.36399999999999999</v>
      </c>
      <c r="AY12" s="48">
        <v>0.47523799999999999</v>
      </c>
    </row>
    <row r="13" spans="1:55" ht="13.5" customHeight="1" x14ac:dyDescent="0.2">
      <c r="A13" s="40">
        <v>45667</v>
      </c>
      <c r="B13" s="41">
        <v>5817</v>
      </c>
      <c r="C13" s="42">
        <v>1444</v>
      </c>
      <c r="D13" s="42">
        <v>130</v>
      </c>
      <c r="E13" s="42">
        <v>232</v>
      </c>
      <c r="F13" s="42">
        <v>115</v>
      </c>
      <c r="G13" s="42">
        <v>130</v>
      </c>
      <c r="H13" s="41">
        <v>8140.6940000000004</v>
      </c>
      <c r="I13" s="41">
        <v>445.73399999999998</v>
      </c>
      <c r="J13" s="41">
        <v>1307.529</v>
      </c>
      <c r="K13" s="41">
        <v>6980</v>
      </c>
      <c r="L13" s="41">
        <v>3627.16932628</v>
      </c>
      <c r="M13" s="41">
        <v>8636</v>
      </c>
      <c r="N13" s="41">
        <v>191</v>
      </c>
      <c r="O13" s="41">
        <v>9640</v>
      </c>
      <c r="P13" s="41">
        <v>378</v>
      </c>
      <c r="Q13" s="41">
        <v>7506</v>
      </c>
      <c r="R13" s="41">
        <v>3009</v>
      </c>
      <c r="S13" s="41">
        <v>10803</v>
      </c>
      <c r="T13" s="41">
        <v>7767</v>
      </c>
      <c r="U13" s="41">
        <v>106.92659999999999</v>
      </c>
      <c r="V13" s="41">
        <v>833</v>
      </c>
      <c r="W13" s="41">
        <v>8885</v>
      </c>
      <c r="X13" s="41">
        <v>3853</v>
      </c>
      <c r="Y13" s="41"/>
      <c r="Z13" s="41">
        <v>2992</v>
      </c>
      <c r="AA13" s="41"/>
      <c r="AB13" s="41">
        <v>398</v>
      </c>
      <c r="AC13" s="41"/>
      <c r="AD13" s="41">
        <v>5122</v>
      </c>
      <c r="AE13" s="41">
        <v>165</v>
      </c>
      <c r="AF13" s="41">
        <v>8917</v>
      </c>
      <c r="AG13" s="41">
        <v>4010</v>
      </c>
      <c r="AH13" s="41">
        <v>39.06</v>
      </c>
      <c r="AI13" s="41">
        <v>6585</v>
      </c>
      <c r="AJ13" s="45">
        <v>0.34699999999999998</v>
      </c>
      <c r="AK13" s="45">
        <v>0.874</v>
      </c>
      <c r="AL13" s="45">
        <v>213.83635366499999</v>
      </c>
      <c r="AM13" s="45">
        <v>0.41699999999999998</v>
      </c>
      <c r="AN13" s="45">
        <v>9.9499999999999993</v>
      </c>
      <c r="AO13" s="45">
        <v>2.75</v>
      </c>
      <c r="AP13" s="45">
        <v>6.27</v>
      </c>
      <c r="AQ13" s="45">
        <v>40</v>
      </c>
      <c r="AR13" s="45">
        <v>7.4599437000000011</v>
      </c>
      <c r="AS13" s="45">
        <v>1.5</v>
      </c>
      <c r="AT13" s="47">
        <v>0.01</v>
      </c>
      <c r="AU13" s="45">
        <v>4.9450000000000003</v>
      </c>
      <c r="AV13" s="47">
        <v>3.3466499999999999</v>
      </c>
      <c r="AW13" s="45">
        <v>13.81175367</v>
      </c>
      <c r="AX13" s="45">
        <v>0.33400000000000002</v>
      </c>
      <c r="AY13" s="48">
        <v>0.46217200000000003</v>
      </c>
    </row>
    <row r="14" spans="1:55" ht="13.5" customHeight="1" x14ac:dyDescent="0.2">
      <c r="A14" s="40">
        <v>45668</v>
      </c>
      <c r="B14" s="41">
        <v>5731</v>
      </c>
      <c r="C14" s="42">
        <v>1380</v>
      </c>
      <c r="D14" s="42">
        <v>127</v>
      </c>
      <c r="E14" s="42">
        <v>220</v>
      </c>
      <c r="F14" s="42">
        <v>109</v>
      </c>
      <c r="G14" s="42">
        <v>130</v>
      </c>
      <c r="H14" s="41">
        <v>8142.8360000000002</v>
      </c>
      <c r="I14" s="41">
        <v>514.67899999999997</v>
      </c>
      <c r="J14" s="41">
        <v>1414.914</v>
      </c>
      <c r="K14" s="41">
        <v>6928</v>
      </c>
      <c r="L14" s="41">
        <v>3554.8896747600002</v>
      </c>
      <c r="M14" s="41">
        <v>8691</v>
      </c>
      <c r="N14" s="41">
        <v>188</v>
      </c>
      <c r="O14" s="41">
        <v>10002</v>
      </c>
      <c r="P14" s="41">
        <v>393</v>
      </c>
      <c r="Q14" s="41">
        <v>7525</v>
      </c>
      <c r="R14" s="41">
        <v>2883</v>
      </c>
      <c r="S14" s="41">
        <v>10657</v>
      </c>
      <c r="T14" s="41">
        <v>0</v>
      </c>
      <c r="U14" s="41">
        <v>75.477599999999995</v>
      </c>
      <c r="V14" s="41">
        <v>814</v>
      </c>
      <c r="W14" s="41">
        <v>8886</v>
      </c>
      <c r="X14" s="41">
        <v>3998</v>
      </c>
      <c r="Y14" s="41"/>
      <c r="Z14" s="41">
        <v>2989</v>
      </c>
      <c r="AA14" s="41"/>
      <c r="AB14" s="41">
        <v>398</v>
      </c>
      <c r="AC14" s="41"/>
      <c r="AD14" s="41">
        <v>3742</v>
      </c>
      <c r="AE14" s="41">
        <v>165</v>
      </c>
      <c r="AF14" s="41">
        <v>8840</v>
      </c>
      <c r="AG14" s="41">
        <v>4010</v>
      </c>
      <c r="AH14" s="41">
        <v>26.009999999999998</v>
      </c>
      <c r="AI14" s="41">
        <v>6837</v>
      </c>
      <c r="AJ14" s="45">
        <v>0.47399999999999998</v>
      </c>
      <c r="AK14" s="45">
        <v>1.244</v>
      </c>
      <c r="AL14" s="45">
        <v>173.06349060000002</v>
      </c>
      <c r="AM14" s="45">
        <v>0.41699999999999998</v>
      </c>
      <c r="AN14" s="45">
        <v>10.84</v>
      </c>
      <c r="AO14" s="45">
        <v>2.59</v>
      </c>
      <c r="AP14" s="45">
        <v>6.54</v>
      </c>
      <c r="AQ14" s="45">
        <v>40</v>
      </c>
      <c r="AR14" s="45">
        <v>10.3659567</v>
      </c>
      <c r="AS14" s="45">
        <v>1.5</v>
      </c>
      <c r="AT14" s="47">
        <v>0.01</v>
      </c>
      <c r="AU14" s="45">
        <v>4.9349999999999996</v>
      </c>
      <c r="AV14" s="47">
        <v>2.31636</v>
      </c>
      <c r="AW14" s="45">
        <v>13.055660640000001</v>
      </c>
      <c r="AX14" s="45">
        <v>0</v>
      </c>
      <c r="AY14" s="48">
        <v>0.313305</v>
      </c>
    </row>
    <row r="15" spans="1:55" ht="13.5" customHeight="1" x14ac:dyDescent="0.2">
      <c r="A15" s="40">
        <v>45669</v>
      </c>
      <c r="B15" s="41">
        <v>5780</v>
      </c>
      <c r="C15" s="42">
        <v>1435</v>
      </c>
      <c r="D15" s="42">
        <v>130</v>
      </c>
      <c r="E15" s="42">
        <v>239</v>
      </c>
      <c r="F15" s="42">
        <v>115</v>
      </c>
      <c r="G15" s="42">
        <v>130</v>
      </c>
      <c r="H15" s="41">
        <v>8257.51</v>
      </c>
      <c r="I15" s="41">
        <v>497.21100000000001</v>
      </c>
      <c r="J15" s="41">
        <v>1344.1559999999999</v>
      </c>
      <c r="K15" s="41">
        <v>5188</v>
      </c>
      <c r="L15" s="41">
        <v>3558</v>
      </c>
      <c r="M15" s="41">
        <v>8746</v>
      </c>
      <c r="N15" s="41">
        <v>176</v>
      </c>
      <c r="O15" s="41">
        <v>9999</v>
      </c>
      <c r="P15" s="41">
        <v>397</v>
      </c>
      <c r="Q15" s="41">
        <v>7556</v>
      </c>
      <c r="R15" s="41">
        <v>2907</v>
      </c>
      <c r="S15" s="41">
        <v>9717</v>
      </c>
      <c r="T15" s="41">
        <v>0</v>
      </c>
      <c r="U15" s="41">
        <v>75.477599999999995</v>
      </c>
      <c r="V15" s="41">
        <v>814</v>
      </c>
      <c r="W15" s="41">
        <v>8935</v>
      </c>
      <c r="X15" s="41">
        <v>4008</v>
      </c>
      <c r="Y15" s="41"/>
      <c r="Z15" s="41">
        <v>2990</v>
      </c>
      <c r="AA15" s="41"/>
      <c r="AB15" s="41">
        <v>398</v>
      </c>
      <c r="AC15" s="41"/>
      <c r="AD15" s="41">
        <v>4106</v>
      </c>
      <c r="AE15" s="41">
        <v>165</v>
      </c>
      <c r="AF15" s="41">
        <v>8871</v>
      </c>
      <c r="AG15" s="41">
        <v>4010</v>
      </c>
      <c r="AH15" s="41">
        <v>26.924999999999997</v>
      </c>
      <c r="AI15" s="41">
        <v>6777</v>
      </c>
      <c r="AJ15" s="45">
        <v>0.48399999999999999</v>
      </c>
      <c r="AK15" s="45">
        <v>1.2709999999999999</v>
      </c>
      <c r="AL15" s="45">
        <v>154.08436560000001</v>
      </c>
      <c r="AM15" s="45">
        <v>0.41699999999999998</v>
      </c>
      <c r="AN15" s="45">
        <v>13.74</v>
      </c>
      <c r="AO15" s="45">
        <v>2.35</v>
      </c>
      <c r="AP15" s="45">
        <v>0.78</v>
      </c>
      <c r="AQ15" s="45">
        <v>40</v>
      </c>
      <c r="AR15" s="45">
        <v>10.9972995</v>
      </c>
      <c r="AS15" s="45">
        <v>0.2</v>
      </c>
      <c r="AT15" s="47">
        <v>0.01</v>
      </c>
      <c r="AU15" s="45">
        <v>4.9349999999999996</v>
      </c>
      <c r="AV15" s="47">
        <v>2.1558600000000001</v>
      </c>
      <c r="AW15" s="45">
        <v>11.33136741</v>
      </c>
      <c r="AX15" s="45">
        <v>0</v>
      </c>
      <c r="AY15" s="48">
        <v>0.31245899999999999</v>
      </c>
    </row>
    <row r="16" spans="1:55" ht="13.5" customHeight="1" x14ac:dyDescent="0.2">
      <c r="A16" s="40">
        <v>45670</v>
      </c>
      <c r="B16" s="41">
        <v>5749</v>
      </c>
      <c r="C16" s="42">
        <v>1407</v>
      </c>
      <c r="D16" s="42">
        <v>126</v>
      </c>
      <c r="E16" s="42">
        <v>231</v>
      </c>
      <c r="F16" s="42">
        <v>110</v>
      </c>
      <c r="G16" s="42">
        <v>130</v>
      </c>
      <c r="H16" s="41">
        <v>8410</v>
      </c>
      <c r="I16" s="41">
        <v>461</v>
      </c>
      <c r="J16" s="41">
        <v>1328</v>
      </c>
      <c r="K16" s="41">
        <v>7034</v>
      </c>
      <c r="L16" s="41">
        <v>3543</v>
      </c>
      <c r="M16" s="41">
        <v>8725</v>
      </c>
      <c r="N16" s="41">
        <v>180</v>
      </c>
      <c r="O16" s="41">
        <v>10029</v>
      </c>
      <c r="P16" s="41">
        <v>394</v>
      </c>
      <c r="Q16" s="41">
        <v>8123</v>
      </c>
      <c r="R16" s="41">
        <v>2865</v>
      </c>
      <c r="S16" s="41">
        <v>9786</v>
      </c>
      <c r="T16" s="41">
        <v>0</v>
      </c>
      <c r="U16" s="41">
        <v>75.477599999999995</v>
      </c>
      <c r="V16" s="41">
        <v>835</v>
      </c>
      <c r="W16" s="41">
        <v>9096</v>
      </c>
      <c r="X16" s="41">
        <v>4179</v>
      </c>
      <c r="Y16" s="41"/>
      <c r="Z16" s="41">
        <v>2778</v>
      </c>
      <c r="AA16" s="41"/>
      <c r="AB16" s="41">
        <v>398</v>
      </c>
      <c r="AC16" s="41"/>
      <c r="AD16" s="41">
        <v>4664</v>
      </c>
      <c r="AE16" s="41">
        <v>165</v>
      </c>
      <c r="AF16" s="41">
        <v>8856</v>
      </c>
      <c r="AG16" s="41">
        <v>4010</v>
      </c>
      <c r="AH16" s="41">
        <v>26.414999999999999</v>
      </c>
      <c r="AI16" s="41">
        <v>6786</v>
      </c>
      <c r="AJ16" s="45">
        <v>0.33800000000000002</v>
      </c>
      <c r="AK16" s="45">
        <v>0.81899999999999995</v>
      </c>
      <c r="AL16" s="45">
        <v>150.6631797</v>
      </c>
      <c r="AM16" s="45">
        <v>0.41699999999999998</v>
      </c>
      <c r="AN16" s="45">
        <v>14.1</v>
      </c>
      <c r="AO16" s="45">
        <v>2.4500000000000002</v>
      </c>
      <c r="AP16" s="45">
        <v>0</v>
      </c>
      <c r="AQ16" s="45">
        <v>41</v>
      </c>
      <c r="AR16" s="45">
        <v>7.6078926000000013</v>
      </c>
      <c r="AS16" s="45">
        <v>0</v>
      </c>
      <c r="AT16" s="47">
        <v>0.01</v>
      </c>
      <c r="AU16" s="45">
        <v>4.9379999999999997</v>
      </c>
      <c r="AV16" s="47">
        <v>3.06304</v>
      </c>
      <c r="AW16" s="45">
        <v>12.431944800000002</v>
      </c>
      <c r="AX16" s="45">
        <v>0</v>
      </c>
      <c r="AY16" s="48">
        <v>0.31744499999999998</v>
      </c>
    </row>
    <row r="17" spans="1:51" ht="13.5" customHeight="1" x14ac:dyDescent="0.2">
      <c r="A17" s="40">
        <v>45671</v>
      </c>
      <c r="B17" s="41">
        <v>5708</v>
      </c>
      <c r="C17" s="42">
        <v>1370</v>
      </c>
      <c r="D17" s="42">
        <v>128</v>
      </c>
      <c r="E17" s="42">
        <v>240</v>
      </c>
      <c r="F17" s="42">
        <v>110</v>
      </c>
      <c r="G17" s="42">
        <v>130</v>
      </c>
      <c r="H17" s="41">
        <v>8270</v>
      </c>
      <c r="I17" s="41">
        <v>406</v>
      </c>
      <c r="J17" s="41">
        <v>1157</v>
      </c>
      <c r="K17" s="41">
        <v>7336</v>
      </c>
      <c r="L17" s="41">
        <v>3580</v>
      </c>
      <c r="M17" s="41">
        <v>8850</v>
      </c>
      <c r="N17" s="41">
        <v>58</v>
      </c>
      <c r="O17" s="41">
        <v>9677</v>
      </c>
      <c r="P17" s="41">
        <v>394</v>
      </c>
      <c r="Q17" s="41">
        <v>8009</v>
      </c>
      <c r="R17" s="41">
        <v>2799</v>
      </c>
      <c r="S17" s="41">
        <v>10188</v>
      </c>
      <c r="T17" s="41">
        <v>1862</v>
      </c>
      <c r="U17" s="41">
        <v>75.477599999999995</v>
      </c>
      <c r="V17" s="41">
        <v>850</v>
      </c>
      <c r="W17" s="41">
        <v>7728</v>
      </c>
      <c r="X17" s="41">
        <v>3895</v>
      </c>
      <c r="Y17" s="41"/>
      <c r="Z17" s="41">
        <v>2991</v>
      </c>
      <c r="AA17" s="41"/>
      <c r="AB17" s="41">
        <v>398</v>
      </c>
      <c r="AC17" s="41"/>
      <c r="AD17" s="41">
        <v>4665</v>
      </c>
      <c r="AE17" s="41">
        <v>165</v>
      </c>
      <c r="AF17" s="41">
        <v>8963</v>
      </c>
      <c r="AG17" s="41">
        <v>4010</v>
      </c>
      <c r="AH17" s="41">
        <v>27.21</v>
      </c>
      <c r="AI17" s="41">
        <v>6795</v>
      </c>
      <c r="AJ17" s="45">
        <v>0.41599999999999998</v>
      </c>
      <c r="AK17" s="45">
        <v>1.022</v>
      </c>
      <c r="AL17" s="45">
        <v>157.56451920000001</v>
      </c>
      <c r="AM17" s="45">
        <v>0.41699999999999998</v>
      </c>
      <c r="AN17" s="45">
        <v>12.55</v>
      </c>
      <c r="AO17" s="45">
        <v>2.84</v>
      </c>
      <c r="AP17" s="45">
        <v>1.91</v>
      </c>
      <c r="AQ17" s="45">
        <v>41</v>
      </c>
      <c r="AR17" s="45">
        <v>9.5605356000000015</v>
      </c>
      <c r="AS17" s="45">
        <v>0.5</v>
      </c>
      <c r="AT17" s="47">
        <v>0.01</v>
      </c>
      <c r="AU17" s="45">
        <v>4.9800000000000004</v>
      </c>
      <c r="AV17" s="47">
        <v>3.1591300000000002</v>
      </c>
      <c r="AW17" s="45">
        <v>14.010019320000001</v>
      </c>
      <c r="AX17" s="45">
        <v>0</v>
      </c>
      <c r="AY17" s="48">
        <v>0.32824900000000001</v>
      </c>
    </row>
    <row r="18" spans="1:51" ht="14.25" customHeight="1" x14ac:dyDescent="0.2">
      <c r="A18" s="40">
        <v>45672</v>
      </c>
      <c r="B18" s="41">
        <v>5759</v>
      </c>
      <c r="C18" s="42">
        <v>1385</v>
      </c>
      <c r="D18" s="42">
        <v>128</v>
      </c>
      <c r="E18" s="42">
        <v>235</v>
      </c>
      <c r="F18" s="42">
        <v>110</v>
      </c>
      <c r="G18" s="42">
        <v>130</v>
      </c>
      <c r="H18" s="41">
        <v>8261.2690000000002</v>
      </c>
      <c r="I18" s="41">
        <v>377.13799999999998</v>
      </c>
      <c r="J18" s="41">
        <v>1057.5360000000001</v>
      </c>
      <c r="K18" s="41">
        <v>7348</v>
      </c>
      <c r="L18" s="41">
        <v>3551.7508543600002</v>
      </c>
      <c r="M18" s="41">
        <v>8595</v>
      </c>
      <c r="N18" s="41">
        <v>814</v>
      </c>
      <c r="O18" s="41">
        <v>9403</v>
      </c>
      <c r="P18" s="41">
        <v>391</v>
      </c>
      <c r="Q18" s="41">
        <v>7868</v>
      </c>
      <c r="R18" s="41">
        <v>2811</v>
      </c>
      <c r="S18" s="41">
        <v>10652</v>
      </c>
      <c r="T18" s="41">
        <v>8223</v>
      </c>
      <c r="U18" s="41">
        <v>106.92659999999999</v>
      </c>
      <c r="V18" s="41">
        <v>832</v>
      </c>
      <c r="W18" s="41">
        <v>8114</v>
      </c>
      <c r="X18" s="41">
        <v>3670</v>
      </c>
      <c r="Y18" s="41"/>
      <c r="Z18" s="41">
        <v>2987</v>
      </c>
      <c r="AA18" s="41"/>
      <c r="AB18" s="41">
        <v>398</v>
      </c>
      <c r="AC18" s="41"/>
      <c r="AD18" s="41">
        <v>4666</v>
      </c>
      <c r="AE18" s="41">
        <v>165</v>
      </c>
      <c r="AF18" s="41">
        <v>8640</v>
      </c>
      <c r="AG18" s="41">
        <v>4010</v>
      </c>
      <c r="AH18" s="41">
        <v>26.4375</v>
      </c>
      <c r="AI18" s="41">
        <v>6712</v>
      </c>
      <c r="AJ18" s="45">
        <v>0.28299999999999997</v>
      </c>
      <c r="AK18" s="45">
        <v>0.67700000000000005</v>
      </c>
      <c r="AL18" s="45">
        <v>153.26093640000002</v>
      </c>
      <c r="AM18" s="45">
        <v>0.41699999999999998</v>
      </c>
      <c r="AN18" s="45">
        <v>12.27</v>
      </c>
      <c r="AO18" s="45">
        <v>3.48</v>
      </c>
      <c r="AP18" s="45">
        <v>6.28</v>
      </c>
      <c r="AQ18" s="45">
        <v>40</v>
      </c>
      <c r="AR18" s="45">
        <v>6.2777649000000002</v>
      </c>
      <c r="AS18" s="45">
        <v>1.3</v>
      </c>
      <c r="AT18" s="47">
        <v>0.01</v>
      </c>
      <c r="AU18" s="45">
        <v>4.9420000000000002</v>
      </c>
      <c r="AV18" s="47">
        <v>3.0441400000000001</v>
      </c>
      <c r="AW18" s="45">
        <v>14.153660400000001</v>
      </c>
      <c r="AX18" s="45">
        <v>0</v>
      </c>
      <c r="AY18" s="48">
        <v>0.32941500000000001</v>
      </c>
    </row>
    <row r="19" spans="1:51" ht="13.5" customHeight="1" x14ac:dyDescent="0.2">
      <c r="A19" s="40">
        <v>45673</v>
      </c>
      <c r="B19" s="41">
        <v>5699</v>
      </c>
      <c r="C19" s="42">
        <v>1397</v>
      </c>
      <c r="D19" s="42">
        <v>129</v>
      </c>
      <c r="E19" s="42">
        <v>242</v>
      </c>
      <c r="F19" s="42">
        <v>111</v>
      </c>
      <c r="G19" s="42">
        <v>130</v>
      </c>
      <c r="H19" s="41">
        <v>8404</v>
      </c>
      <c r="I19" s="41">
        <v>421</v>
      </c>
      <c r="J19" s="41">
        <v>1157</v>
      </c>
      <c r="K19" s="41">
        <v>7354</v>
      </c>
      <c r="L19" s="41">
        <v>3583</v>
      </c>
      <c r="M19" s="41">
        <v>8380</v>
      </c>
      <c r="N19" s="41">
        <v>658</v>
      </c>
      <c r="O19" s="41">
        <v>9519</v>
      </c>
      <c r="P19" s="41">
        <v>397</v>
      </c>
      <c r="Q19" s="41">
        <v>7872</v>
      </c>
      <c r="R19" s="41">
        <v>2949</v>
      </c>
      <c r="S19" s="41">
        <v>10441</v>
      </c>
      <c r="T19" s="41">
        <v>8565</v>
      </c>
      <c r="U19" s="41">
        <v>106.92659999999999</v>
      </c>
      <c r="V19" s="41">
        <v>792</v>
      </c>
      <c r="W19" s="41">
        <v>8560</v>
      </c>
      <c r="X19" s="41">
        <v>4072</v>
      </c>
      <c r="Y19" s="41"/>
      <c r="Z19" s="41">
        <v>3405</v>
      </c>
      <c r="AA19" s="41"/>
      <c r="AB19" s="41">
        <v>398</v>
      </c>
      <c r="AC19" s="41"/>
      <c r="AD19" s="41">
        <v>4466</v>
      </c>
      <c r="AE19" s="41">
        <v>165</v>
      </c>
      <c r="AF19" s="41">
        <v>8541</v>
      </c>
      <c r="AG19" s="41">
        <v>4010</v>
      </c>
      <c r="AH19" s="41">
        <v>26.369999999999997</v>
      </c>
      <c r="AI19" s="41">
        <v>6772</v>
      </c>
      <c r="AJ19" s="45">
        <v>0.18099999999999999</v>
      </c>
      <c r="AK19" s="45">
        <v>0.432</v>
      </c>
      <c r="AL19" s="45">
        <v>160.7025189</v>
      </c>
      <c r="AM19" s="45">
        <v>0.41699999999999998</v>
      </c>
      <c r="AN19" s="45">
        <v>9.19</v>
      </c>
      <c r="AO19" s="45">
        <v>3.25</v>
      </c>
      <c r="AP19" s="45">
        <v>6.48</v>
      </c>
      <c r="AQ19" s="45">
        <v>41</v>
      </c>
      <c r="AR19" s="45">
        <v>4.0119222000000008</v>
      </c>
      <c r="AS19" s="45">
        <v>1.3</v>
      </c>
      <c r="AT19" s="47">
        <v>0.01</v>
      </c>
      <c r="AU19" s="45">
        <v>4.952</v>
      </c>
      <c r="AV19" s="47">
        <v>3.0247800000000002</v>
      </c>
      <c r="AW19" s="45">
        <v>13.2973929</v>
      </c>
      <c r="AX19" s="45">
        <v>0</v>
      </c>
      <c r="AY19" s="48">
        <v>0.32766000000000001</v>
      </c>
    </row>
    <row r="20" spans="1:51" ht="13.5" customHeight="1" x14ac:dyDescent="0.2">
      <c r="A20" s="40">
        <v>45674</v>
      </c>
      <c r="B20" s="41">
        <f>7714-(C20+D20+E20+F20)</f>
        <v>5776</v>
      </c>
      <c r="C20" s="42">
        <v>1468</v>
      </c>
      <c r="D20" s="42">
        <v>128</v>
      </c>
      <c r="E20" s="42">
        <v>232</v>
      </c>
      <c r="F20" s="42">
        <v>110</v>
      </c>
      <c r="G20" s="42">
        <v>130</v>
      </c>
      <c r="H20" s="41">
        <v>8511.49</v>
      </c>
      <c r="I20" s="41">
        <v>404.61500000000001</v>
      </c>
      <c r="J20" s="41">
        <v>1067.3140000000001</v>
      </c>
      <c r="K20" s="41">
        <v>10142</v>
      </c>
      <c r="L20" s="41">
        <f>3366.1291502+297</f>
        <v>3663.1291501999999</v>
      </c>
      <c r="M20" s="41">
        <v>8393</v>
      </c>
      <c r="N20" s="41">
        <v>620</v>
      </c>
      <c r="O20" s="41">
        <v>9275</v>
      </c>
      <c r="P20" s="41">
        <v>394</v>
      </c>
      <c r="Q20" s="41">
        <v>7829</v>
      </c>
      <c r="R20" s="41">
        <v>2649</v>
      </c>
      <c r="S20" s="41">
        <v>10451</v>
      </c>
      <c r="T20" s="41">
        <v>6130</v>
      </c>
      <c r="U20" s="41">
        <v>106.92659999999999</v>
      </c>
      <c r="V20" s="41">
        <v>793</v>
      </c>
      <c r="W20" s="41">
        <v>8688</v>
      </c>
      <c r="X20" s="41">
        <v>3478</v>
      </c>
      <c r="Y20" s="41"/>
      <c r="Z20" s="41">
        <v>3576</v>
      </c>
      <c r="AA20" s="41"/>
      <c r="AB20" s="41">
        <v>398</v>
      </c>
      <c r="AC20" s="41"/>
      <c r="AD20" s="41">
        <v>3779</v>
      </c>
      <c r="AE20" s="41">
        <v>165</v>
      </c>
      <c r="AF20" s="41">
        <v>8416</v>
      </c>
      <c r="AG20" s="41">
        <v>4010</v>
      </c>
      <c r="AH20" s="41">
        <v>25.4175</v>
      </c>
      <c r="AI20" s="41">
        <v>6808</v>
      </c>
      <c r="AJ20" s="45">
        <v>0.18099999999999999</v>
      </c>
      <c r="AK20" s="45">
        <v>0.42299999999999999</v>
      </c>
      <c r="AL20" s="45">
        <v>182.76420689999998</v>
      </c>
      <c r="AM20" s="45">
        <v>0.41699999999999998</v>
      </c>
      <c r="AN20" s="45">
        <v>8.43</v>
      </c>
      <c r="AO20" s="45">
        <v>2.61</v>
      </c>
      <c r="AP20" s="45">
        <v>6.4</v>
      </c>
      <c r="AQ20" s="45">
        <v>41</v>
      </c>
      <c r="AR20" s="45">
        <v>9.145290000000001</v>
      </c>
      <c r="AS20" s="45">
        <v>1.3</v>
      </c>
      <c r="AT20" s="47">
        <v>0.01</v>
      </c>
      <c r="AU20" s="45">
        <v>4.9530000000000003</v>
      </c>
      <c r="AV20" s="47">
        <v>1.8892500000000001</v>
      </c>
      <c r="AW20" s="45">
        <v>13.11618198</v>
      </c>
      <c r="AX20" s="45">
        <v>0</v>
      </c>
      <c r="AY20" s="48">
        <v>0.31435700000000005</v>
      </c>
    </row>
    <row r="21" spans="1:51" ht="13.5" customHeight="1" x14ac:dyDescent="0.2">
      <c r="A21" s="40">
        <v>45675</v>
      </c>
      <c r="B21" s="41">
        <f>7855-(C21+D21+E21+F21)</f>
        <v>5873</v>
      </c>
      <c r="C21" s="42">
        <v>1492</v>
      </c>
      <c r="D21" s="42">
        <v>132</v>
      </c>
      <c r="E21" s="42">
        <v>248</v>
      </c>
      <c r="F21" s="42">
        <v>110</v>
      </c>
      <c r="G21" s="42">
        <v>130</v>
      </c>
      <c r="H21" s="41">
        <v>8875.0429999999997</v>
      </c>
      <c r="I21" s="41">
        <v>410.97300000000001</v>
      </c>
      <c r="J21" s="41">
        <v>1093.857</v>
      </c>
      <c r="K21" s="41">
        <v>11816</v>
      </c>
      <c r="L21" s="41">
        <f>3313.34313556+290</f>
        <v>3603.3431355600001</v>
      </c>
      <c r="M21" s="41">
        <v>8364</v>
      </c>
      <c r="N21" s="41">
        <v>537</v>
      </c>
      <c r="O21" s="41">
        <v>9981</v>
      </c>
      <c r="P21" s="41">
        <v>400</v>
      </c>
      <c r="Q21" s="41">
        <v>7875</v>
      </c>
      <c r="R21" s="41">
        <v>2973</v>
      </c>
      <c r="S21" s="41">
        <v>10410</v>
      </c>
      <c r="T21" s="41">
        <v>0</v>
      </c>
      <c r="U21" s="41">
        <v>106.92659999999999</v>
      </c>
      <c r="V21" s="41">
        <v>789</v>
      </c>
      <c r="W21" s="41">
        <v>8560</v>
      </c>
      <c r="X21" s="41">
        <v>3712</v>
      </c>
      <c r="Y21" s="41"/>
      <c r="Z21" s="41">
        <v>3519</v>
      </c>
      <c r="AA21" s="41"/>
      <c r="AB21" s="41">
        <v>398</v>
      </c>
      <c r="AC21" s="41"/>
      <c r="AD21" s="41">
        <v>3471</v>
      </c>
      <c r="AE21" s="41">
        <v>165</v>
      </c>
      <c r="AF21" s="41">
        <v>8593</v>
      </c>
      <c r="AG21" s="41">
        <v>4010</v>
      </c>
      <c r="AH21" s="41">
        <v>25.934999999999999</v>
      </c>
      <c r="AI21" s="41">
        <v>6719</v>
      </c>
      <c r="AJ21" s="45">
        <v>0.40899999999999997</v>
      </c>
      <c r="AK21" s="45">
        <v>0.98499999999999999</v>
      </c>
      <c r="AL21" s="45">
        <v>193.09379430000001</v>
      </c>
      <c r="AM21" s="45">
        <v>0.41699999999999998</v>
      </c>
      <c r="AN21" s="45">
        <v>7.44</v>
      </c>
      <c r="AO21" s="45">
        <v>2.61</v>
      </c>
      <c r="AP21" s="45">
        <v>6.4</v>
      </c>
      <c r="AQ21" s="45">
        <v>10</v>
      </c>
      <c r="AR21" s="45">
        <v>8.3098554</v>
      </c>
      <c r="AS21" s="45">
        <v>1.3</v>
      </c>
      <c r="AT21" s="47">
        <v>0.01</v>
      </c>
      <c r="AU21" s="45">
        <v>4.9530000000000003</v>
      </c>
      <c r="AV21" s="47">
        <v>1.9147799999999999</v>
      </c>
      <c r="AW21" s="45">
        <v>10.931022629999999</v>
      </c>
      <c r="AX21" s="45">
        <v>0</v>
      </c>
      <c r="AY21" s="48">
        <v>0.30218099999999998</v>
      </c>
    </row>
    <row r="22" spans="1:51" ht="13.5" customHeight="1" x14ac:dyDescent="0.2">
      <c r="A22" s="40">
        <v>45676</v>
      </c>
      <c r="B22" s="41">
        <f>7837-(C22+D22+E22+F22)</f>
        <v>5867</v>
      </c>
      <c r="C22" s="42">
        <v>1494</v>
      </c>
      <c r="D22" s="42">
        <v>133</v>
      </c>
      <c r="E22" s="42">
        <v>235</v>
      </c>
      <c r="F22" s="42">
        <v>108</v>
      </c>
      <c r="G22" s="42">
        <v>130</v>
      </c>
      <c r="H22" s="41">
        <v>8892.5040000000008</v>
      </c>
      <c r="I22" s="41">
        <v>519.06299999999999</v>
      </c>
      <c r="J22" s="41">
        <v>1273.9359999999999</v>
      </c>
      <c r="K22" s="41">
        <v>11584</v>
      </c>
      <c r="L22" s="41">
        <f>3499.16502932+314</f>
        <v>3813.16502932</v>
      </c>
      <c r="M22" s="41">
        <v>8414</v>
      </c>
      <c r="N22" s="41">
        <v>494</v>
      </c>
      <c r="O22" s="41">
        <v>9546</v>
      </c>
      <c r="P22" s="41">
        <v>400</v>
      </c>
      <c r="Q22" s="41">
        <v>7879</v>
      </c>
      <c r="R22" s="41">
        <v>2925</v>
      </c>
      <c r="S22" s="41">
        <v>10342</v>
      </c>
      <c r="T22" s="41">
        <v>498</v>
      </c>
      <c r="U22" s="41">
        <v>106.92659999999999</v>
      </c>
      <c r="V22" s="41">
        <v>787</v>
      </c>
      <c r="W22" s="41">
        <v>8549</v>
      </c>
      <c r="X22" s="41">
        <v>3712</v>
      </c>
      <c r="Y22" s="41"/>
      <c r="Z22" s="41">
        <v>3615</v>
      </c>
      <c r="AA22" s="41"/>
      <c r="AB22" s="41">
        <v>398</v>
      </c>
      <c r="AC22" s="41"/>
      <c r="AD22" s="41">
        <v>3468</v>
      </c>
      <c r="AE22" s="41">
        <v>165</v>
      </c>
      <c r="AF22" s="41">
        <v>8588</v>
      </c>
      <c r="AG22" s="41">
        <v>4010</v>
      </c>
      <c r="AH22" s="41">
        <v>27.150000000000002</v>
      </c>
      <c r="AI22" s="41">
        <v>6614</v>
      </c>
      <c r="AJ22" s="45">
        <v>0.36199999999999999</v>
      </c>
      <c r="AK22" s="45">
        <v>0.89500000000000002</v>
      </c>
      <c r="AL22" s="45">
        <v>185.62828821570002</v>
      </c>
      <c r="AM22" s="45">
        <v>0.41699999999999998</v>
      </c>
      <c r="AN22" s="45">
        <v>10.37</v>
      </c>
      <c r="AO22" s="45">
        <v>2.63</v>
      </c>
      <c r="AP22" s="45">
        <v>6.69</v>
      </c>
      <c r="AQ22" s="45">
        <v>10</v>
      </c>
      <c r="AR22" s="45">
        <v>5.8388616000000013</v>
      </c>
      <c r="AS22" s="45">
        <v>1.02</v>
      </c>
      <c r="AT22" s="47">
        <v>0.01</v>
      </c>
      <c r="AU22" s="45">
        <v>4.9530000000000003</v>
      </c>
      <c r="AV22" s="45">
        <v>1.79348</v>
      </c>
      <c r="AW22" s="45">
        <v>10.088843819999999</v>
      </c>
      <c r="AX22" s="45">
        <v>0</v>
      </c>
      <c r="AY22" s="48">
        <v>0.31654100000000002</v>
      </c>
    </row>
    <row r="23" spans="1:51" ht="13.5" customHeight="1" x14ac:dyDescent="0.2">
      <c r="A23" s="40">
        <v>45677</v>
      </c>
      <c r="B23" s="41">
        <f>7803-(C23+D23+E23+F23)</f>
        <v>5877</v>
      </c>
      <c r="C23" s="42">
        <v>1453</v>
      </c>
      <c r="D23" s="42">
        <v>130</v>
      </c>
      <c r="E23" s="42">
        <v>231</v>
      </c>
      <c r="F23" s="42">
        <v>112</v>
      </c>
      <c r="G23" s="42">
        <v>130</v>
      </c>
      <c r="H23" s="41">
        <v>9237</v>
      </c>
      <c r="I23" s="41">
        <v>731</v>
      </c>
      <c r="J23" s="41">
        <v>1787</v>
      </c>
      <c r="K23" s="41">
        <v>11471</v>
      </c>
      <c r="L23" s="41">
        <v>3776</v>
      </c>
      <c r="M23" s="41">
        <v>8404</v>
      </c>
      <c r="N23" s="41">
        <v>434</v>
      </c>
      <c r="O23" s="41">
        <v>9311</v>
      </c>
      <c r="P23" s="41">
        <v>395</v>
      </c>
      <c r="Q23" s="41">
        <v>7638</v>
      </c>
      <c r="R23" s="41">
        <v>2853</v>
      </c>
      <c r="S23" s="41">
        <v>10476</v>
      </c>
      <c r="T23" s="41">
        <v>8439</v>
      </c>
      <c r="U23" s="41">
        <v>106.92659999999999</v>
      </c>
      <c r="V23" s="41">
        <v>809</v>
      </c>
      <c r="W23" s="41">
        <v>8397</v>
      </c>
      <c r="X23" s="41">
        <v>3989</v>
      </c>
      <c r="Y23" s="41"/>
      <c r="Z23" s="41">
        <v>3618</v>
      </c>
      <c r="AA23" s="41"/>
      <c r="AB23" s="41">
        <v>398</v>
      </c>
      <c r="AC23" s="41"/>
      <c r="AD23" s="41">
        <v>3270</v>
      </c>
      <c r="AE23" s="41">
        <v>165</v>
      </c>
      <c r="AF23" s="41">
        <v>8530</v>
      </c>
      <c r="AG23" s="41">
        <v>4010</v>
      </c>
      <c r="AH23" s="41">
        <v>27.142499999999998</v>
      </c>
      <c r="AI23" s="41">
        <v>6651</v>
      </c>
      <c r="AJ23" s="45">
        <v>0.40799999999999997</v>
      </c>
      <c r="AK23" s="45">
        <v>0.98499999999999999</v>
      </c>
      <c r="AL23" s="45">
        <v>181.59791760000002</v>
      </c>
      <c r="AM23" s="45">
        <v>0.41699999999999998</v>
      </c>
      <c r="AN23" s="45">
        <v>10.34</v>
      </c>
      <c r="AO23" s="45">
        <v>4.3600000000000003</v>
      </c>
      <c r="AP23" s="45">
        <v>4.29</v>
      </c>
      <c r="AQ23" s="45">
        <v>10</v>
      </c>
      <c r="AR23" s="45">
        <v>9.2671095000000001</v>
      </c>
      <c r="AS23" s="45">
        <v>1.3</v>
      </c>
      <c r="AT23" s="47">
        <v>0.01</v>
      </c>
      <c r="AU23" s="45">
        <v>4.9539999999999997</v>
      </c>
      <c r="AV23" s="45">
        <v>1.9429799999999999</v>
      </c>
      <c r="AW23" s="45">
        <v>10.1000724</v>
      </c>
      <c r="AX23" s="45">
        <v>0</v>
      </c>
      <c r="AY23" s="48">
        <v>0.31787599999999999</v>
      </c>
    </row>
    <row r="24" spans="1:51" ht="13.5" customHeight="1" x14ac:dyDescent="0.2">
      <c r="A24" s="40">
        <v>45678</v>
      </c>
      <c r="B24" s="41">
        <f>7668-(C24+D24+E24+F24)</f>
        <v>5746</v>
      </c>
      <c r="C24" s="42">
        <v>1464</v>
      </c>
      <c r="D24" s="42">
        <v>129</v>
      </c>
      <c r="E24" s="42">
        <v>224</v>
      </c>
      <c r="F24" s="42">
        <v>105</v>
      </c>
      <c r="G24" s="42">
        <v>130</v>
      </c>
      <c r="H24" s="41">
        <v>8993</v>
      </c>
      <c r="I24" s="41">
        <v>725</v>
      </c>
      <c r="J24" s="41">
        <v>1742</v>
      </c>
      <c r="K24" s="41">
        <v>11467</v>
      </c>
      <c r="L24" s="41">
        <v>3667</v>
      </c>
      <c r="M24" s="41">
        <v>8503</v>
      </c>
      <c r="N24" s="41">
        <v>398</v>
      </c>
      <c r="O24" s="41">
        <v>9123</v>
      </c>
      <c r="P24" s="41">
        <v>394</v>
      </c>
      <c r="Q24" s="41">
        <v>7518</v>
      </c>
      <c r="R24" s="41">
        <v>3166</v>
      </c>
      <c r="S24" s="41">
        <v>10548</v>
      </c>
      <c r="T24" s="41">
        <v>8446</v>
      </c>
      <c r="U24" s="41">
        <v>106.92659999999999</v>
      </c>
      <c r="V24" s="41">
        <v>785</v>
      </c>
      <c r="W24" s="41">
        <v>8521</v>
      </c>
      <c r="X24" s="41">
        <v>3691</v>
      </c>
      <c r="Y24" s="41"/>
      <c r="Z24" s="41">
        <v>3626</v>
      </c>
      <c r="AA24" s="41"/>
      <c r="AB24" s="41">
        <v>398</v>
      </c>
      <c r="AC24" s="41"/>
      <c r="AD24" s="41">
        <v>3773</v>
      </c>
      <c r="AE24" s="41">
        <v>165</v>
      </c>
      <c r="AF24" s="41">
        <v>8603</v>
      </c>
      <c r="AG24" s="41">
        <v>4010</v>
      </c>
      <c r="AH24" s="41">
        <v>22.62</v>
      </c>
      <c r="AI24" s="41">
        <v>5686</v>
      </c>
      <c r="AJ24" s="45">
        <v>0.36899999999999999</v>
      </c>
      <c r="AK24" s="45">
        <v>0.89400000000000002</v>
      </c>
      <c r="AL24" s="45">
        <v>184.70131350000003</v>
      </c>
      <c r="AM24" s="45">
        <v>0.41699999999999998</v>
      </c>
      <c r="AN24" s="45">
        <v>7.82</v>
      </c>
      <c r="AO24" s="45">
        <v>12.61</v>
      </c>
      <c r="AP24" s="45">
        <v>4.29</v>
      </c>
      <c r="AQ24" s="45">
        <v>10</v>
      </c>
      <c r="AR24" s="45">
        <v>8.1142380000000021</v>
      </c>
      <c r="AS24" s="45">
        <v>1.02</v>
      </c>
      <c r="AT24" s="47">
        <v>0.01</v>
      </c>
      <c r="AU24" s="45">
        <v>4.9539999999999997</v>
      </c>
      <c r="AV24" s="45">
        <v>2.0111400000000001</v>
      </c>
      <c r="AW24" s="45">
        <v>9.7980306600000002</v>
      </c>
      <c r="AX24" s="45">
        <v>0</v>
      </c>
      <c r="AY24" s="48">
        <v>0.28528199999999998</v>
      </c>
    </row>
    <row r="25" spans="1:51" ht="13.5" customHeight="1" x14ac:dyDescent="0.2">
      <c r="A25" s="40">
        <v>45679</v>
      </c>
      <c r="B25" s="41">
        <f>7765-(C25+D25+E25+F25)</f>
        <v>5889</v>
      </c>
      <c r="C25" s="42">
        <v>1408</v>
      </c>
      <c r="D25" s="42">
        <v>127</v>
      </c>
      <c r="E25" s="42">
        <v>237</v>
      </c>
      <c r="F25" s="42">
        <v>104</v>
      </c>
      <c r="G25" s="42">
        <v>104</v>
      </c>
      <c r="H25" s="41">
        <v>10357.701999999999</v>
      </c>
      <c r="I25" s="41">
        <v>617.053</v>
      </c>
      <c r="J25" s="41">
        <v>1542.354</v>
      </c>
      <c r="K25" s="41">
        <v>11961</v>
      </c>
      <c r="L25" s="41">
        <f>3318.19211836+290</f>
        <v>3608.1921183600002</v>
      </c>
      <c r="M25" s="41">
        <f>9111-N25</f>
        <v>8713</v>
      </c>
      <c r="N25" s="41">
        <v>398</v>
      </c>
      <c r="O25" s="41">
        <v>9123</v>
      </c>
      <c r="P25" s="41">
        <v>392</v>
      </c>
      <c r="Q25" s="41">
        <v>7578</v>
      </c>
      <c r="R25" s="41">
        <v>3051</v>
      </c>
      <c r="S25" s="41">
        <v>10500</v>
      </c>
      <c r="T25" s="41">
        <v>8021</v>
      </c>
      <c r="U25" s="41">
        <v>106.92659999999999</v>
      </c>
      <c r="V25" s="41">
        <v>765</v>
      </c>
      <c r="W25" s="41">
        <v>8519</v>
      </c>
      <c r="X25" s="41">
        <v>4005</v>
      </c>
      <c r="Y25" s="41"/>
      <c r="Z25" s="41">
        <v>3629</v>
      </c>
      <c r="AA25" s="41"/>
      <c r="AB25" s="41">
        <v>398</v>
      </c>
      <c r="AC25" s="41"/>
      <c r="AD25" s="41">
        <v>3345</v>
      </c>
      <c r="AE25" s="41">
        <v>165</v>
      </c>
      <c r="AF25" s="41">
        <v>7162</v>
      </c>
      <c r="AG25" s="41">
        <v>4010</v>
      </c>
      <c r="AH25" s="41">
        <v>29.932499999999997</v>
      </c>
      <c r="AI25" s="41">
        <v>6101</v>
      </c>
      <c r="AJ25" s="45">
        <v>0.28999999999999998</v>
      </c>
      <c r="AK25" s="45">
        <v>0.69</v>
      </c>
      <c r="AL25" s="45">
        <v>184.45541254140002</v>
      </c>
      <c r="AM25" s="45">
        <v>0.41699999999999998</v>
      </c>
      <c r="AN25" s="45">
        <v>6.41</v>
      </c>
      <c r="AO25" s="45">
        <v>13.1</v>
      </c>
      <c r="AP25" s="45">
        <v>6.66</v>
      </c>
      <c r="AQ25" s="45">
        <v>10</v>
      </c>
      <c r="AR25" s="45">
        <v>8.64</v>
      </c>
      <c r="AS25" s="45">
        <v>1.39</v>
      </c>
      <c r="AT25" s="47">
        <v>0.01</v>
      </c>
      <c r="AU25" s="45">
        <v>4.2839999999999998</v>
      </c>
      <c r="AV25" s="45">
        <v>1.98346</v>
      </c>
      <c r="AW25" s="45">
        <v>9.6276599100000002</v>
      </c>
      <c r="AX25" s="45">
        <v>0.32700000000000001</v>
      </c>
      <c r="AY25" s="48">
        <v>0.326019</v>
      </c>
    </row>
    <row r="26" spans="1:51" ht="13.5" customHeight="1" x14ac:dyDescent="0.2">
      <c r="A26" s="40">
        <v>45680</v>
      </c>
      <c r="B26" s="41">
        <f>7423-(C26+D26+E26+F26)</f>
        <v>5564</v>
      </c>
      <c r="C26" s="42">
        <v>1409</v>
      </c>
      <c r="D26" s="42">
        <v>122</v>
      </c>
      <c r="E26" s="42">
        <v>229</v>
      </c>
      <c r="F26" s="42">
        <v>99</v>
      </c>
      <c r="G26" s="42">
        <v>99</v>
      </c>
      <c r="H26" s="41">
        <v>8718.9429999999993</v>
      </c>
      <c r="I26" s="41">
        <v>682.89400000000001</v>
      </c>
      <c r="J26" s="41">
        <v>1694.357</v>
      </c>
      <c r="K26" s="41">
        <v>12355</v>
      </c>
      <c r="L26" s="41">
        <f>3344.31269976+293</f>
        <v>3637.3126997600002</v>
      </c>
      <c r="M26" s="41">
        <f>8304-N26</f>
        <v>7906</v>
      </c>
      <c r="N26" s="41">
        <v>398</v>
      </c>
      <c r="O26" s="41">
        <v>9123</v>
      </c>
      <c r="P26" s="41">
        <v>392</v>
      </c>
      <c r="Q26" s="41">
        <v>7856</v>
      </c>
      <c r="R26" s="41">
        <v>3279</v>
      </c>
      <c r="S26" s="41">
        <v>10530</v>
      </c>
      <c r="T26" s="41">
        <v>8203</v>
      </c>
      <c r="U26" s="41">
        <v>106.92659999999999</v>
      </c>
      <c r="V26" s="41">
        <v>827</v>
      </c>
      <c r="W26" s="41">
        <v>8431</v>
      </c>
      <c r="X26" s="41">
        <v>3494</v>
      </c>
      <c r="Y26" s="41"/>
      <c r="Z26" s="41">
        <v>3625</v>
      </c>
      <c r="AA26" s="41"/>
      <c r="AB26" s="41">
        <v>398</v>
      </c>
      <c r="AC26" s="41"/>
      <c r="AD26" s="41">
        <v>2477</v>
      </c>
      <c r="AE26" s="41">
        <v>165</v>
      </c>
      <c r="AF26" s="41">
        <v>1474</v>
      </c>
      <c r="AG26" s="41">
        <v>4010</v>
      </c>
      <c r="AH26" s="41">
        <v>29.932499999999997</v>
      </c>
      <c r="AI26" s="41">
        <v>5791</v>
      </c>
      <c r="AJ26" s="45">
        <v>0.442</v>
      </c>
      <c r="AK26" s="45">
        <v>1.085</v>
      </c>
      <c r="AL26" s="45">
        <v>188.45541254139999</v>
      </c>
      <c r="AM26" s="45">
        <v>0.41699999999999998</v>
      </c>
      <c r="AN26" s="45">
        <v>3.35</v>
      </c>
      <c r="AO26" s="45">
        <v>12.75</v>
      </c>
      <c r="AP26" s="45">
        <v>6.66</v>
      </c>
      <c r="AQ26" s="45">
        <v>10</v>
      </c>
      <c r="AR26" s="45">
        <v>8.8000000000000007</v>
      </c>
      <c r="AS26" s="45">
        <v>1.06</v>
      </c>
      <c r="AT26" s="47">
        <v>0.01</v>
      </c>
      <c r="AU26" s="45">
        <v>0.999</v>
      </c>
      <c r="AV26" s="45">
        <v>2.1480000000000001</v>
      </c>
      <c r="AW26" s="45">
        <v>9.6276599100000002</v>
      </c>
      <c r="AX26" s="45">
        <v>0.42599999999999999</v>
      </c>
      <c r="AY26" s="48">
        <v>0.326019</v>
      </c>
    </row>
    <row r="27" spans="1:51" ht="13.5" customHeight="1" x14ac:dyDescent="0.2">
      <c r="A27" s="40">
        <v>45681</v>
      </c>
      <c r="B27" s="41">
        <f>7622-(C27+D27+E27+F27)</f>
        <v>5720</v>
      </c>
      <c r="C27" s="42">
        <v>1406</v>
      </c>
      <c r="D27" s="42">
        <v>127</v>
      </c>
      <c r="E27" s="42">
        <v>253</v>
      </c>
      <c r="F27" s="42">
        <v>116</v>
      </c>
      <c r="G27" s="42">
        <v>116</v>
      </c>
      <c r="H27" s="41">
        <v>8736</v>
      </c>
      <c r="I27" s="41">
        <v>741</v>
      </c>
      <c r="J27" s="41">
        <v>1802</v>
      </c>
      <c r="K27" s="41">
        <v>12361</v>
      </c>
      <c r="L27" s="41">
        <v>3653</v>
      </c>
      <c r="M27" s="41">
        <v>8614</v>
      </c>
      <c r="N27" s="41">
        <v>497</v>
      </c>
      <c r="O27" s="41">
        <v>9357</v>
      </c>
      <c r="P27" s="41">
        <v>359</v>
      </c>
      <c r="Q27" s="41">
        <v>7856</v>
      </c>
      <c r="R27" s="41">
        <v>3075</v>
      </c>
      <c r="S27" s="41">
        <v>10473</v>
      </c>
      <c r="T27" s="41">
        <v>8034</v>
      </c>
      <c r="U27" s="41">
        <v>106.92659999999999</v>
      </c>
      <c r="V27" s="41">
        <v>812</v>
      </c>
      <c r="W27" s="41">
        <v>8483</v>
      </c>
      <c r="X27" s="41">
        <v>3975</v>
      </c>
      <c r="Y27" s="41"/>
      <c r="Z27" s="41">
        <v>3626</v>
      </c>
      <c r="AA27" s="41"/>
      <c r="AB27" s="41">
        <v>398</v>
      </c>
      <c r="AC27" s="41"/>
      <c r="AD27" s="41">
        <v>2301</v>
      </c>
      <c r="AE27" s="41">
        <v>165</v>
      </c>
      <c r="AF27" s="41">
        <v>1580</v>
      </c>
      <c r="AG27" s="41">
        <v>4010</v>
      </c>
      <c r="AH27" s="41">
        <v>29.932499999999997</v>
      </c>
      <c r="AI27" s="41">
        <v>6231</v>
      </c>
      <c r="AJ27" s="45">
        <v>0.47567999999999999</v>
      </c>
      <c r="AK27" s="45">
        <v>1.19048</v>
      </c>
      <c r="AL27" s="45">
        <v>181.1647641804</v>
      </c>
      <c r="AM27" s="45">
        <v>0.41699999999999998</v>
      </c>
      <c r="AN27" s="45">
        <v>2.85</v>
      </c>
      <c r="AO27" s="45">
        <v>11.87</v>
      </c>
      <c r="AP27" s="45">
        <v>6.69</v>
      </c>
      <c r="AQ27" s="45">
        <v>10</v>
      </c>
      <c r="AR27" s="45">
        <v>8.81</v>
      </c>
      <c r="AS27" s="45">
        <v>1.3</v>
      </c>
      <c r="AT27" s="47">
        <v>0.01</v>
      </c>
      <c r="AU27" s="45">
        <v>0.97890246000000003</v>
      </c>
      <c r="AV27" s="45">
        <v>2.22289</v>
      </c>
      <c r="AW27" s="45">
        <v>6.9026812800000004</v>
      </c>
      <c r="AX27" s="45">
        <v>0.43129899999999999</v>
      </c>
      <c r="AY27" s="48">
        <v>0.47206300000000001</v>
      </c>
    </row>
    <row r="28" spans="1:51" ht="13.5" customHeight="1" x14ac:dyDescent="0.2">
      <c r="A28" s="40">
        <v>45682</v>
      </c>
      <c r="B28" s="41">
        <f>7636-(C28+D28+E28+F28)</f>
        <v>5724</v>
      </c>
      <c r="C28" s="42">
        <v>1449</v>
      </c>
      <c r="D28" s="42">
        <v>131</v>
      </c>
      <c r="E28" s="42">
        <v>223</v>
      </c>
      <c r="F28" s="42">
        <v>109</v>
      </c>
      <c r="G28" s="42">
        <v>109</v>
      </c>
      <c r="H28" s="41">
        <v>8679</v>
      </c>
      <c r="I28" s="41">
        <v>739</v>
      </c>
      <c r="J28" s="41">
        <v>1787</v>
      </c>
      <c r="K28" s="41">
        <v>12373</v>
      </c>
      <c r="L28" s="41">
        <v>3620</v>
      </c>
      <c r="M28" s="41">
        <v>8641</v>
      </c>
      <c r="N28" s="41">
        <v>362</v>
      </c>
      <c r="O28" s="41">
        <v>9264</v>
      </c>
      <c r="P28" s="41">
        <v>389</v>
      </c>
      <c r="Q28" s="41">
        <v>7856</v>
      </c>
      <c r="R28" s="41">
        <v>3069</v>
      </c>
      <c r="S28" s="41">
        <v>10471</v>
      </c>
      <c r="T28" s="41">
        <v>8217</v>
      </c>
      <c r="U28" s="41">
        <v>106.92659999999999</v>
      </c>
      <c r="V28" s="41">
        <v>830</v>
      </c>
      <c r="W28" s="41">
        <v>8479</v>
      </c>
      <c r="X28" s="41">
        <v>3782</v>
      </c>
      <c r="Y28" s="41"/>
      <c r="Z28" s="41">
        <v>3627</v>
      </c>
      <c r="AA28" s="41"/>
      <c r="AB28" s="41">
        <v>398</v>
      </c>
      <c r="AC28" s="41"/>
      <c r="AD28" s="41">
        <v>2479</v>
      </c>
      <c r="AE28" s="41">
        <v>165</v>
      </c>
      <c r="AF28" s="41">
        <v>1582</v>
      </c>
      <c r="AG28" s="41">
        <v>4010</v>
      </c>
      <c r="AH28" s="41">
        <v>29.932499999999997</v>
      </c>
      <c r="AI28" s="41">
        <v>6371</v>
      </c>
      <c r="AJ28" s="45">
        <v>0.45891999999999999</v>
      </c>
      <c r="AK28" s="45">
        <v>1.1461199999999998</v>
      </c>
      <c r="AL28" s="45">
        <v>158.6404149</v>
      </c>
      <c r="AM28" s="45">
        <v>0.41699999999999998</v>
      </c>
      <c r="AN28" s="45">
        <v>3.02</v>
      </c>
      <c r="AO28" s="45">
        <v>11.51</v>
      </c>
      <c r="AP28" s="45">
        <v>6.83</v>
      </c>
      <c r="AQ28" s="45">
        <v>10</v>
      </c>
      <c r="AR28" s="45">
        <v>8.73</v>
      </c>
      <c r="AS28" s="45">
        <v>1</v>
      </c>
      <c r="AT28" s="47">
        <v>0.01</v>
      </c>
      <c r="AU28" s="45">
        <v>0.95550126999999996</v>
      </c>
      <c r="AV28" s="45">
        <v>2.16744</v>
      </c>
      <c r="AW28" s="45">
        <v>5.8617424800000011</v>
      </c>
      <c r="AX28" s="45">
        <v>0.51782099999999998</v>
      </c>
      <c r="AY28" s="48">
        <v>0.49858400000000003</v>
      </c>
    </row>
    <row r="29" spans="1:51" ht="13.5" customHeight="1" x14ac:dyDescent="0.2">
      <c r="A29" s="40">
        <v>45683</v>
      </c>
      <c r="B29" s="41">
        <f>7655-(C29+D29+E29+F29)</f>
        <v>5762</v>
      </c>
      <c r="C29" s="42">
        <v>1427</v>
      </c>
      <c r="D29" s="42">
        <v>128</v>
      </c>
      <c r="E29" s="42">
        <v>225</v>
      </c>
      <c r="F29" s="42">
        <v>113</v>
      </c>
      <c r="G29" s="42">
        <v>113</v>
      </c>
      <c r="H29" s="41">
        <v>8688</v>
      </c>
      <c r="I29" s="41">
        <v>818</v>
      </c>
      <c r="J29" s="41">
        <v>1813</v>
      </c>
      <c r="K29" s="41">
        <v>12307</v>
      </c>
      <c r="L29" s="41">
        <v>3567</v>
      </c>
      <c r="M29" s="41">
        <v>8396</v>
      </c>
      <c r="N29" s="41">
        <v>410</v>
      </c>
      <c r="O29" s="41">
        <v>9125</v>
      </c>
      <c r="P29" s="41">
        <v>365</v>
      </c>
      <c r="Q29" s="41">
        <v>7856</v>
      </c>
      <c r="R29" s="41">
        <v>3015</v>
      </c>
      <c r="S29" s="41">
        <v>10367</v>
      </c>
      <c r="T29" s="41">
        <v>8215</v>
      </c>
      <c r="U29" s="41">
        <f>3*6.2898</f>
        <v>18.869399999999999</v>
      </c>
      <c r="V29" s="41">
        <v>791</v>
      </c>
      <c r="W29" s="41">
        <v>8469</v>
      </c>
      <c r="X29" s="41">
        <v>3940</v>
      </c>
      <c r="Y29" s="41"/>
      <c r="Z29" s="41">
        <v>3628</v>
      </c>
      <c r="AA29" s="41"/>
      <c r="AB29" s="41">
        <v>398</v>
      </c>
      <c r="AC29" s="41"/>
      <c r="AD29" s="41">
        <v>3176</v>
      </c>
      <c r="AE29" s="41">
        <v>165</v>
      </c>
      <c r="AF29" s="41">
        <v>1533</v>
      </c>
      <c r="AG29" s="41">
        <v>4010</v>
      </c>
      <c r="AH29" s="41">
        <v>29.932499999999997</v>
      </c>
      <c r="AI29" s="41">
        <v>6290</v>
      </c>
      <c r="AJ29" s="45">
        <v>0.41591</v>
      </c>
      <c r="AK29" s="45">
        <v>1.0122800000000001</v>
      </c>
      <c r="AL29" s="45">
        <v>113.37617280000002</v>
      </c>
      <c r="AM29" s="45">
        <v>0.41699999999999998</v>
      </c>
      <c r="AN29" s="45">
        <v>3.78</v>
      </c>
      <c r="AO29" s="45">
        <v>10.87</v>
      </c>
      <c r="AP29" s="45">
        <v>6.79</v>
      </c>
      <c r="AQ29" s="45">
        <v>10</v>
      </c>
      <c r="AR29" s="45">
        <v>8.9700000000000006</v>
      </c>
      <c r="AS29" s="45">
        <v>1.2</v>
      </c>
      <c r="AT29" s="47">
        <v>0.01</v>
      </c>
      <c r="AU29" s="45">
        <v>0.95486232999999998</v>
      </c>
      <c r="AV29" s="45">
        <v>2.0685199999999999</v>
      </c>
      <c r="AW29" s="45">
        <v>4.7507486400000003</v>
      </c>
      <c r="AX29" s="45">
        <v>0.51355300000000004</v>
      </c>
      <c r="AY29" s="48">
        <v>0.51860600000000001</v>
      </c>
    </row>
    <row r="30" spans="1:51" ht="13.5" customHeight="1" x14ac:dyDescent="0.2">
      <c r="A30" s="40">
        <v>45684</v>
      </c>
      <c r="B30" s="41">
        <f>7593-(C30+D30+E30+F30)</f>
        <v>5716</v>
      </c>
      <c r="C30" s="42">
        <v>1427</v>
      </c>
      <c r="D30" s="42">
        <v>126</v>
      </c>
      <c r="E30" s="42">
        <v>213</v>
      </c>
      <c r="F30" s="42">
        <v>111</v>
      </c>
      <c r="G30" s="42">
        <v>111</v>
      </c>
      <c r="H30" s="41">
        <v>8749</v>
      </c>
      <c r="I30" s="41">
        <v>812</v>
      </c>
      <c r="J30" s="41">
        <v>1821</v>
      </c>
      <c r="K30" s="41">
        <v>12210</v>
      </c>
      <c r="L30" s="41">
        <v>3579</v>
      </c>
      <c r="M30" s="41">
        <v>8536</v>
      </c>
      <c r="N30" s="41">
        <v>364</v>
      </c>
      <c r="O30" s="41">
        <v>6184</v>
      </c>
      <c r="P30" s="41">
        <v>332</v>
      </c>
      <c r="Q30" s="41">
        <v>7856</v>
      </c>
      <c r="R30" s="41">
        <v>2991</v>
      </c>
      <c r="S30" s="41">
        <v>10425</v>
      </c>
      <c r="T30" s="41">
        <v>8362</v>
      </c>
      <c r="U30" s="41">
        <f>3*6.2898</f>
        <v>18.869399999999999</v>
      </c>
      <c r="V30" s="41">
        <v>774</v>
      </c>
      <c r="W30" s="41">
        <v>8495</v>
      </c>
      <c r="X30" s="41">
        <v>3782</v>
      </c>
      <c r="Y30" s="41"/>
      <c r="Z30" s="41">
        <v>3629</v>
      </c>
      <c r="AA30" s="41"/>
      <c r="AB30" s="41">
        <v>398</v>
      </c>
      <c r="AC30" s="41"/>
      <c r="AD30" s="41">
        <v>3145</v>
      </c>
      <c r="AE30" s="41">
        <v>165</v>
      </c>
      <c r="AF30" s="41">
        <v>2448</v>
      </c>
      <c r="AG30" s="41">
        <v>4010</v>
      </c>
      <c r="AH30" s="41">
        <v>29.932499999999997</v>
      </c>
      <c r="AI30" s="41">
        <v>6744</v>
      </c>
      <c r="AJ30" s="45">
        <v>0.22777</v>
      </c>
      <c r="AK30" s="45">
        <v>0.54095000000000004</v>
      </c>
      <c r="AL30" s="45">
        <v>106.11184650000001</v>
      </c>
      <c r="AM30" s="45">
        <v>0.41699999999999998</v>
      </c>
      <c r="AN30" s="45">
        <v>3.53</v>
      </c>
      <c r="AO30" s="45">
        <v>10.35</v>
      </c>
      <c r="AP30" s="45">
        <v>6.6</v>
      </c>
      <c r="AQ30" s="45">
        <v>10</v>
      </c>
      <c r="AR30" s="45">
        <v>8.65</v>
      </c>
      <c r="AS30" s="45">
        <v>1.2</v>
      </c>
      <c r="AT30" s="47">
        <v>0.01</v>
      </c>
      <c r="AU30" s="45">
        <v>1.4989318899999999</v>
      </c>
      <c r="AV30" s="45">
        <v>2.0087299999999999</v>
      </c>
      <c r="AW30" s="45">
        <v>3.9254480100000007</v>
      </c>
      <c r="AX30" s="45">
        <v>0.49796200000000002</v>
      </c>
      <c r="AY30" s="48">
        <v>0.52024400000000004</v>
      </c>
    </row>
    <row r="31" spans="1:51" ht="13.5" customHeight="1" x14ac:dyDescent="0.2">
      <c r="A31" s="40">
        <v>45685</v>
      </c>
      <c r="B31" s="41">
        <f>7635-(C31+D31+E31+F31)</f>
        <v>5783</v>
      </c>
      <c r="C31" s="42">
        <v>1392</v>
      </c>
      <c r="D31" s="42">
        <v>127</v>
      </c>
      <c r="E31" s="42">
        <v>215</v>
      </c>
      <c r="F31" s="42">
        <v>118</v>
      </c>
      <c r="G31" s="42">
        <v>118</v>
      </c>
      <c r="H31" s="41">
        <v>8790</v>
      </c>
      <c r="I31" s="41">
        <v>807</v>
      </c>
      <c r="J31" s="41">
        <v>1830</v>
      </c>
      <c r="K31" s="41">
        <v>12171</v>
      </c>
      <c r="L31" s="41">
        <v>3615</v>
      </c>
      <c r="M31" s="41">
        <v>8590</v>
      </c>
      <c r="N31" s="41">
        <v>212</v>
      </c>
      <c r="O31" s="41">
        <v>5734</v>
      </c>
      <c r="P31" s="41">
        <v>338</v>
      </c>
      <c r="Q31" s="41">
        <v>7856</v>
      </c>
      <c r="R31" s="41">
        <v>3051</v>
      </c>
      <c r="S31" s="41">
        <v>10273</v>
      </c>
      <c r="T31" s="41">
        <v>8308</v>
      </c>
      <c r="U31" s="41">
        <f>3*6.2898</f>
        <v>18.869399999999999</v>
      </c>
      <c r="V31" s="41">
        <v>758</v>
      </c>
      <c r="W31" s="41">
        <v>8463</v>
      </c>
      <c r="X31" s="41">
        <v>3945</v>
      </c>
      <c r="Y31" s="41"/>
      <c r="Z31" s="41">
        <v>3630</v>
      </c>
      <c r="AA31" s="41"/>
      <c r="AB31" s="41">
        <v>398</v>
      </c>
      <c r="AC31" s="41"/>
      <c r="AD31" s="41">
        <v>4000</v>
      </c>
      <c r="AE31" s="41">
        <v>165</v>
      </c>
      <c r="AF31" s="41">
        <v>4125</v>
      </c>
      <c r="AG31" s="41">
        <v>4010</v>
      </c>
      <c r="AH31" s="41">
        <v>29.932499999999997</v>
      </c>
      <c r="AI31" s="41">
        <v>6719</v>
      </c>
      <c r="AJ31" s="45">
        <v>0.20013999999999998</v>
      </c>
      <c r="AK31" s="45">
        <v>0.47533999999999998</v>
      </c>
      <c r="AL31" s="45">
        <v>100.55016839999999</v>
      </c>
      <c r="AM31" s="45">
        <v>0.41699999999999998</v>
      </c>
      <c r="AN31" s="45">
        <v>3.66</v>
      </c>
      <c r="AO31" s="45">
        <v>10.09</v>
      </c>
      <c r="AP31" s="45">
        <v>6.62</v>
      </c>
      <c r="AQ31" s="45">
        <v>10</v>
      </c>
      <c r="AR31" s="45">
        <v>8.6</v>
      </c>
      <c r="AS31" s="45">
        <v>1.3</v>
      </c>
      <c r="AT31" s="47">
        <v>0.01</v>
      </c>
      <c r="AU31" s="45">
        <v>2.5645013699999999</v>
      </c>
      <c r="AV31" s="45">
        <v>2.00353</v>
      </c>
      <c r="AW31" s="45">
        <v>4.3445423999999999</v>
      </c>
      <c r="AX31" s="45">
        <v>0.47978100000000001</v>
      </c>
      <c r="AY31" s="48">
        <v>0.52113900000000002</v>
      </c>
    </row>
    <row r="32" spans="1:51" ht="13.5" customHeight="1" x14ac:dyDescent="0.2">
      <c r="A32" s="40">
        <v>45686</v>
      </c>
      <c r="B32" s="41">
        <f>7685-(C32+D32+E32+F32)</f>
        <v>5822</v>
      </c>
      <c r="C32" s="42">
        <v>1422</v>
      </c>
      <c r="D32" s="42">
        <v>127</v>
      </c>
      <c r="E32" s="42">
        <v>203</v>
      </c>
      <c r="F32" s="42">
        <v>111</v>
      </c>
      <c r="G32" s="42">
        <v>111</v>
      </c>
      <c r="H32" s="41">
        <v>8763</v>
      </c>
      <c r="I32" s="41">
        <v>791</v>
      </c>
      <c r="J32" s="41">
        <v>1792</v>
      </c>
      <c r="K32" s="41">
        <v>12155</v>
      </c>
      <c r="L32" s="41">
        <v>3584</v>
      </c>
      <c r="M32" s="41">
        <v>8640</v>
      </c>
      <c r="N32" s="41">
        <v>168</v>
      </c>
      <c r="O32" s="41">
        <v>5453</v>
      </c>
      <c r="P32" s="41">
        <v>325</v>
      </c>
      <c r="Q32" s="41">
        <v>7856</v>
      </c>
      <c r="R32" s="41">
        <v>3027</v>
      </c>
      <c r="S32" s="41">
        <v>10363</v>
      </c>
      <c r="T32" s="41">
        <v>8458</v>
      </c>
      <c r="U32" s="41">
        <f>12*6.2898</f>
        <v>75.477599999999995</v>
      </c>
      <c r="V32" s="41">
        <v>813</v>
      </c>
      <c r="W32" s="41">
        <v>8441</v>
      </c>
      <c r="X32" s="41">
        <v>3805</v>
      </c>
      <c r="Y32" s="41"/>
      <c r="Z32" s="41">
        <v>3631</v>
      </c>
      <c r="AA32" s="41"/>
      <c r="AB32" s="41">
        <v>398</v>
      </c>
      <c r="AC32" s="41"/>
      <c r="AD32" s="41">
        <v>3128</v>
      </c>
      <c r="AE32" s="41">
        <v>165</v>
      </c>
      <c r="AF32" s="41">
        <v>0</v>
      </c>
      <c r="AG32" s="41">
        <v>4010</v>
      </c>
      <c r="AH32" s="41">
        <v>30</v>
      </c>
      <c r="AI32" s="41">
        <v>6697</v>
      </c>
      <c r="AJ32" s="45">
        <v>0.34308</v>
      </c>
      <c r="AK32" s="45">
        <v>0.8148200000000001</v>
      </c>
      <c r="AL32" s="45">
        <v>98.304452400000002</v>
      </c>
      <c r="AM32" s="45">
        <v>0.41699999999999998</v>
      </c>
      <c r="AN32" s="45">
        <v>3.71</v>
      </c>
      <c r="AO32" s="45">
        <v>10.09</v>
      </c>
      <c r="AP32" s="45">
        <v>6.64</v>
      </c>
      <c r="AQ32" s="45">
        <v>10</v>
      </c>
      <c r="AR32" s="45">
        <v>8.5</v>
      </c>
      <c r="AS32" s="45">
        <v>1.1000000000000001</v>
      </c>
      <c r="AT32" s="47">
        <v>0.01</v>
      </c>
      <c r="AU32" s="45">
        <v>1.76654E-3</v>
      </c>
      <c r="AV32" s="45">
        <v>1.9935699999999998</v>
      </c>
      <c r="AW32" s="45">
        <v>4.09151094</v>
      </c>
      <c r="AX32" s="45">
        <v>9.8147999999999999E-2</v>
      </c>
      <c r="AY32" s="48">
        <v>1.8042000000000002E-2</v>
      </c>
    </row>
    <row r="33" spans="1:52" ht="13.5" customHeight="1" x14ac:dyDescent="0.2">
      <c r="A33" s="40">
        <v>45687</v>
      </c>
      <c r="B33" s="41">
        <f>7704-(C33+D33+E33+F33)</f>
        <v>5888</v>
      </c>
      <c r="C33" s="42">
        <v>1364</v>
      </c>
      <c r="D33" s="42">
        <v>125</v>
      </c>
      <c r="E33" s="42">
        <v>216</v>
      </c>
      <c r="F33" s="42">
        <v>111</v>
      </c>
      <c r="G33" s="42">
        <v>111</v>
      </c>
      <c r="H33" s="41">
        <v>8747</v>
      </c>
      <c r="I33" s="41">
        <v>790</v>
      </c>
      <c r="J33" s="41">
        <v>1777</v>
      </c>
      <c r="K33" s="41">
        <v>12156</v>
      </c>
      <c r="L33" s="41">
        <v>3594</v>
      </c>
      <c r="M33" s="41">
        <v>8439</v>
      </c>
      <c r="N33" s="41">
        <v>166</v>
      </c>
      <c r="O33" s="41">
        <v>6593</v>
      </c>
      <c r="P33" s="41">
        <v>384</v>
      </c>
      <c r="Q33" s="41">
        <v>7856</v>
      </c>
      <c r="R33" s="41">
        <v>2973</v>
      </c>
      <c r="S33" s="41">
        <v>10290</v>
      </c>
      <c r="T33" s="41">
        <v>8358</v>
      </c>
      <c r="U33" s="41">
        <f>16*6.2898</f>
        <v>100.63679999999999</v>
      </c>
      <c r="V33" s="41">
        <v>807</v>
      </c>
      <c r="W33" s="41">
        <v>8450</v>
      </c>
      <c r="X33" s="41">
        <v>4126</v>
      </c>
      <c r="Y33" s="41"/>
      <c r="Z33" s="41">
        <v>3639</v>
      </c>
      <c r="AA33" s="41"/>
      <c r="AB33" s="41">
        <v>398</v>
      </c>
      <c r="AC33" s="41"/>
      <c r="AD33" s="41">
        <v>2996</v>
      </c>
      <c r="AE33" s="41">
        <v>165</v>
      </c>
      <c r="AF33" s="41">
        <v>478</v>
      </c>
      <c r="AG33" s="41">
        <v>4010</v>
      </c>
      <c r="AH33" s="41">
        <v>41</v>
      </c>
      <c r="AI33" s="41">
        <v>6777</v>
      </c>
      <c r="AJ33" s="45">
        <v>0.32332</v>
      </c>
      <c r="AK33" s="45">
        <v>0.76790000000000003</v>
      </c>
      <c r="AL33" s="45">
        <v>98.905781700000006</v>
      </c>
      <c r="AM33" s="45">
        <v>0.41699999999999998</v>
      </c>
      <c r="AN33" s="45">
        <v>2.38</v>
      </c>
      <c r="AO33" s="45">
        <v>9.35</v>
      </c>
      <c r="AP33" s="45">
        <v>6.8</v>
      </c>
      <c r="AQ33" s="45">
        <v>10</v>
      </c>
      <c r="AR33" s="45">
        <v>8.74</v>
      </c>
      <c r="AS33" s="45">
        <v>1.3</v>
      </c>
      <c r="AT33" s="47">
        <v>0.01</v>
      </c>
      <c r="AU33" s="45">
        <v>0.28046809</v>
      </c>
      <c r="AV33" s="45">
        <v>1.9899</v>
      </c>
      <c r="AW33" s="45">
        <v>3.6070577400000001</v>
      </c>
      <c r="AX33" s="45">
        <v>0</v>
      </c>
      <c r="AY33" s="48">
        <v>0</v>
      </c>
    </row>
    <row r="34" spans="1:52" ht="13.5" customHeight="1" x14ac:dyDescent="0.2">
      <c r="A34" s="40">
        <v>45688</v>
      </c>
      <c r="B34" s="41">
        <f>7670-(C34+D34+E34+F34)</f>
        <v>5849</v>
      </c>
      <c r="C34" s="42">
        <v>1376</v>
      </c>
      <c r="D34" s="42">
        <v>127</v>
      </c>
      <c r="E34" s="42">
        <v>206</v>
      </c>
      <c r="F34" s="42">
        <v>112</v>
      </c>
      <c r="G34" s="42">
        <v>112</v>
      </c>
      <c r="H34" s="41">
        <v>8572</v>
      </c>
      <c r="I34" s="41">
        <v>826</v>
      </c>
      <c r="J34" s="41">
        <v>1850</v>
      </c>
      <c r="K34" s="41">
        <v>12186</v>
      </c>
      <c r="L34" s="41">
        <v>3604</v>
      </c>
      <c r="M34" s="41">
        <v>8310</v>
      </c>
      <c r="N34" s="41">
        <v>696</v>
      </c>
      <c r="O34" s="41">
        <v>6127</v>
      </c>
      <c r="P34" s="41">
        <v>399</v>
      </c>
      <c r="Q34" s="41">
        <v>7856</v>
      </c>
      <c r="R34" s="41">
        <v>3087</v>
      </c>
      <c r="S34" s="41">
        <v>10356</v>
      </c>
      <c r="T34" s="41">
        <v>8191</v>
      </c>
      <c r="U34" s="41">
        <f>6.15*6.2898</f>
        <v>38.682270000000003</v>
      </c>
      <c r="V34" s="41">
        <v>773</v>
      </c>
      <c r="W34" s="41">
        <v>8486</v>
      </c>
      <c r="X34" s="41">
        <v>3645</v>
      </c>
      <c r="Y34" s="41"/>
      <c r="Z34" s="41">
        <v>3328</v>
      </c>
      <c r="AA34" s="41"/>
      <c r="AB34" s="41">
        <v>398</v>
      </c>
      <c r="AC34" s="41"/>
      <c r="AD34" s="41">
        <v>3231</v>
      </c>
      <c r="AE34" s="41">
        <v>165</v>
      </c>
      <c r="AF34" s="41">
        <v>2069</v>
      </c>
      <c r="AG34" s="41">
        <v>4010</v>
      </c>
      <c r="AH34" s="41">
        <v>29.932499999999997</v>
      </c>
      <c r="AI34" s="41">
        <v>6564</v>
      </c>
      <c r="AJ34" s="45">
        <v>0.34497000000000005</v>
      </c>
      <c r="AK34" s="45">
        <v>0.82658000000000009</v>
      </c>
      <c r="AL34" s="45">
        <v>102.2485794</v>
      </c>
      <c r="AM34" s="45">
        <v>0.41699999999999998</v>
      </c>
      <c r="AN34" s="45">
        <v>2.62</v>
      </c>
      <c r="AO34" s="45">
        <v>9</v>
      </c>
      <c r="AP34" s="45">
        <v>6.76</v>
      </c>
      <c r="AQ34" s="45">
        <v>10</v>
      </c>
      <c r="AR34" s="45">
        <v>8.82</v>
      </c>
      <c r="AS34" s="45">
        <v>1</v>
      </c>
      <c r="AT34" s="47">
        <v>0.01</v>
      </c>
      <c r="AU34" s="45">
        <v>1.3519000000000001</v>
      </c>
      <c r="AV34" s="45">
        <v>1.99529</v>
      </c>
      <c r="AW34" s="45">
        <v>3.6204402300000003</v>
      </c>
      <c r="AX34" s="45">
        <v>0.36074900000000004</v>
      </c>
      <c r="AY34" s="48">
        <v>0.37280799999999997</v>
      </c>
    </row>
    <row r="35" spans="1:52" ht="16.899999999999999" customHeight="1" x14ac:dyDescent="0.2">
      <c r="A35" s="50" t="s">
        <v>52</v>
      </c>
      <c r="B35" s="51">
        <f t="shared" ref="B35:G35" si="0">SUM(B4:B34)*B$2</f>
        <v>1325995.6399999999</v>
      </c>
      <c r="C35" s="51">
        <f t="shared" si="0"/>
        <v>317357.04000000004</v>
      </c>
      <c r="D35" s="51">
        <f t="shared" si="0"/>
        <v>28603.120000000003</v>
      </c>
      <c r="E35" s="52">
        <f t="shared" si="0"/>
        <v>52570</v>
      </c>
      <c r="F35" s="52">
        <f t="shared" si="0"/>
        <v>25199.16</v>
      </c>
      <c r="G35" s="52">
        <f t="shared" si="0"/>
        <v>27759.424000000003</v>
      </c>
      <c r="H35" s="53">
        <f>SUM(H4:H34)</f>
        <v>262366.04399999999</v>
      </c>
      <c r="I35" s="52">
        <f>SUM(I4:I34)</f>
        <v>18768.593000000001</v>
      </c>
      <c r="J35" s="52">
        <f>SUM(J4:J34)</f>
        <v>48419.489000000001</v>
      </c>
      <c r="K35" s="52">
        <f>SUM(K4:K34)</f>
        <v>322013</v>
      </c>
      <c r="L35" s="52">
        <f>SUM(L4:L34)</f>
        <v>112148.4601654</v>
      </c>
      <c r="M35" s="52">
        <f t="shared" ref="M35:X35" si="1">SUM(M4:M34)</f>
        <v>264587</v>
      </c>
      <c r="N35" s="52">
        <f t="shared" si="1"/>
        <v>11418</v>
      </c>
      <c r="O35" s="52">
        <f t="shared" si="1"/>
        <v>274680</v>
      </c>
      <c r="P35" s="52">
        <f t="shared" si="1"/>
        <v>11762</v>
      </c>
      <c r="Q35" s="52">
        <f t="shared" si="1"/>
        <v>238355</v>
      </c>
      <c r="R35" s="52">
        <f t="shared" si="1"/>
        <v>91086</v>
      </c>
      <c r="S35" s="52">
        <f t="shared" si="1"/>
        <v>325886</v>
      </c>
      <c r="T35" s="52">
        <f t="shared" si="1"/>
        <v>204867</v>
      </c>
      <c r="U35" s="52">
        <f t="shared" si="1"/>
        <v>2686.6880699999988</v>
      </c>
      <c r="V35" s="52">
        <f t="shared" si="1"/>
        <v>24987</v>
      </c>
      <c r="W35" s="52">
        <f t="shared" si="1"/>
        <v>268458</v>
      </c>
      <c r="X35" s="52">
        <f t="shared" si="1"/>
        <v>119704</v>
      </c>
      <c r="Y35" s="52"/>
      <c r="Z35" s="52">
        <f>SUM(Z4:Z34)</f>
        <v>101852</v>
      </c>
      <c r="AA35" s="52"/>
      <c r="AB35" s="52">
        <f>SUM(AB4:AB34)*AB$2</f>
        <v>89820.64</v>
      </c>
      <c r="AC35" s="52"/>
      <c r="AD35" s="54">
        <f>SUM(AD4:AD34)</f>
        <v>114440</v>
      </c>
      <c r="AE35" s="54">
        <f>SUM(AE4:AE34)*AE$2</f>
        <v>43119.45</v>
      </c>
      <c r="AF35" s="54">
        <f>SUM(AF4:AF34)</f>
        <v>206194</v>
      </c>
      <c r="AG35" s="52">
        <f>SUM(AG4:AG34)*AG$2</f>
        <v>897518.2</v>
      </c>
      <c r="AH35" s="54">
        <f>SUM(AH4:AH34)*AH$2</f>
        <v>8275.7349594322677</v>
      </c>
      <c r="AI35" s="52">
        <f>SUM(AI4:AI34)</f>
        <v>205720</v>
      </c>
      <c r="AJ35" s="56">
        <f>SUM(AJ4:AJ34)*AJ$2</f>
        <v>409.67803255030975</v>
      </c>
      <c r="AK35" s="56">
        <f>SUM(AK4:AK34)*AK$2</f>
        <v>1070.9691808744046</v>
      </c>
      <c r="AL35" s="57">
        <f>SUM(AL4:AL34)</f>
        <v>5092.4427026818012</v>
      </c>
      <c r="AM35" s="57">
        <f>SUM(AM4:AM34)*AM$2</f>
        <v>456.5126967023669</v>
      </c>
      <c r="AN35" s="57">
        <f>SUM(AN4:AN34)</f>
        <v>268.03000000000003</v>
      </c>
      <c r="AO35" s="57">
        <f>SUM(AO4:AO34)</f>
        <v>177.09</v>
      </c>
      <c r="AP35" s="57">
        <f>SUM(AP4:AP34)</f>
        <v>178.25000000000003</v>
      </c>
      <c r="AQ35" s="57">
        <f>SUM(AQ4:AQ34)</f>
        <v>714</v>
      </c>
      <c r="AR35" s="57">
        <f>SUM(AR4:AR34)</f>
        <v>255.23178860000002</v>
      </c>
      <c r="AS35" s="57">
        <f>SUM(AS4:AS34)</f>
        <v>36.69</v>
      </c>
      <c r="AT35" s="57">
        <f t="shared" ref="AT35:AY35" si="2">SUM(AT4:AT34)*AT$2</f>
        <v>9.5349690000000038</v>
      </c>
      <c r="AU35" s="57">
        <f t="shared" si="2"/>
        <v>4098.6182179940652</v>
      </c>
      <c r="AV35" s="57">
        <f t="shared" si="2"/>
        <v>2422.385007328</v>
      </c>
      <c r="AW35" s="57">
        <f t="shared" si="2"/>
        <v>315.75395477999996</v>
      </c>
      <c r="AX35" s="57">
        <f t="shared" si="2"/>
        <v>247.24926820109999</v>
      </c>
      <c r="AY35" s="57">
        <f t="shared" si="2"/>
        <v>413.31689215399996</v>
      </c>
    </row>
    <row r="36" spans="1:52" ht="16.899999999999999" customHeight="1" x14ac:dyDescent="0.2">
      <c r="A36" s="50" t="s">
        <v>53</v>
      </c>
      <c r="B36" s="52">
        <f t="shared" ref="B36:L36" si="3">B35/B$2</f>
        <v>176564</v>
      </c>
      <c r="C36" s="52">
        <f t="shared" si="3"/>
        <v>43593</v>
      </c>
      <c r="D36" s="52">
        <f t="shared" si="3"/>
        <v>3929</v>
      </c>
      <c r="E36" s="52">
        <f t="shared" si="3"/>
        <v>7000</v>
      </c>
      <c r="F36" s="52">
        <f t="shared" si="3"/>
        <v>3435</v>
      </c>
      <c r="G36" s="52">
        <f t="shared" si="3"/>
        <v>3784</v>
      </c>
      <c r="H36" s="53">
        <f t="shared" si="3"/>
        <v>35491.761665902435</v>
      </c>
      <c r="I36" s="52">
        <f t="shared" si="3"/>
        <v>2513.2824288250631</v>
      </c>
      <c r="J36" s="52">
        <f t="shared" si="3"/>
        <v>6510.1453288470766</v>
      </c>
      <c r="K36" s="52">
        <f t="shared" si="3"/>
        <v>40361.055601671331</v>
      </c>
      <c r="L36" s="52">
        <f t="shared" si="3"/>
        <v>14729.551261128148</v>
      </c>
      <c r="M36" s="52">
        <f t="shared" ref="M36:X36" si="4">M35/M$2</f>
        <v>34905.936675461744</v>
      </c>
      <c r="N36" s="52">
        <f t="shared" si="4"/>
        <v>1460.1023017902812</v>
      </c>
      <c r="O36" s="52">
        <f t="shared" si="4"/>
        <v>36624</v>
      </c>
      <c r="P36" s="52">
        <f t="shared" si="4"/>
        <v>1568.2666666666667</v>
      </c>
      <c r="Q36" s="52">
        <f t="shared" si="4"/>
        <v>32036.962365591397</v>
      </c>
      <c r="R36" s="52">
        <f t="shared" si="4"/>
        <v>11677.692307692309</v>
      </c>
      <c r="S36" s="52">
        <f t="shared" si="4"/>
        <v>43831.338264963015</v>
      </c>
      <c r="T36" s="52">
        <f t="shared" si="4"/>
        <v>27554.404841963686</v>
      </c>
      <c r="U36" s="52">
        <f t="shared" si="4"/>
        <v>312.06457688319648</v>
      </c>
      <c r="V36" s="52">
        <f t="shared" si="4"/>
        <v>3170.9390862944165</v>
      </c>
      <c r="W36" s="52">
        <f t="shared" si="4"/>
        <v>35092.549019607839</v>
      </c>
      <c r="X36" s="52">
        <f t="shared" si="4"/>
        <v>15792.084432717678</v>
      </c>
      <c r="Y36" s="52"/>
      <c r="Z36" s="52">
        <f>Z35/Z$2</f>
        <v>13973.595430854355</v>
      </c>
      <c r="AA36" s="52"/>
      <c r="AB36" s="52">
        <f>AB35/AB$2</f>
        <v>12338</v>
      </c>
      <c r="AC36" s="52"/>
      <c r="AD36" s="52">
        <f t="shared" ref="AD36:AH36" si="5">AD35/AD$2</f>
        <v>15121.564482029598</v>
      </c>
      <c r="AE36" s="52">
        <f t="shared" si="5"/>
        <v>5115</v>
      </c>
      <c r="AF36" s="52">
        <f>AF35/AF$2</f>
        <v>25437.207007155193</v>
      </c>
      <c r="AG36" s="52">
        <f t="shared" si="5"/>
        <v>124310</v>
      </c>
      <c r="AH36" s="52">
        <f t="shared" si="5"/>
        <v>986.80250000000001</v>
      </c>
      <c r="AI36" s="52">
        <f>AI35/AI$2</f>
        <v>26374.358974358976</v>
      </c>
      <c r="AJ36" s="56">
        <f>AJ35/$AJ$2</f>
        <v>11.600790000000003</v>
      </c>
      <c r="AK36" s="57">
        <f>AK35/$AJ$2</f>
        <v>30.326469999999993</v>
      </c>
      <c r="AL36" s="57">
        <f>AL35/$AJ$2</f>
        <v>144.2019187923855</v>
      </c>
      <c r="AM36" s="57">
        <f>AM35/$AJ$2</f>
        <v>12.926999999999996</v>
      </c>
      <c r="AN36" s="57">
        <f>AN35/$AJ$2</f>
        <v>7.5897643921587674</v>
      </c>
      <c r="AO36" s="57">
        <f>AO35/$AJ$2</f>
        <v>5.0146303630466589</v>
      </c>
      <c r="AP36" s="57">
        <f>AP35/$AJ$2</f>
        <v>5.0474779050938343</v>
      </c>
      <c r="AQ36" s="57">
        <f>AQ35/$AJ$2</f>
        <v>20.218228466967727</v>
      </c>
      <c r="AR36" s="57">
        <f>AR35/$AJ$2</f>
        <v>7.2273594032879673</v>
      </c>
      <c r="AS36" s="57">
        <f>AS35/$AJ$2</f>
        <v>1.0389451014748541</v>
      </c>
      <c r="AT36" s="57">
        <f>AT35/$AJ$2</f>
        <v>0.27000025443621128</v>
      </c>
      <c r="AU36" s="57">
        <f>AU35/$AJ$2</f>
        <v>116.05994331972008</v>
      </c>
      <c r="AV36" s="57">
        <f>AV35/$AJ$2</f>
        <v>68.594304640216791</v>
      </c>
      <c r="AW36" s="57">
        <f>AW35/$AJ$2</f>
        <v>8.941156298446268</v>
      </c>
      <c r="AX36" s="57">
        <f>AX35/$AJ$2</f>
        <v>7.001319597731678</v>
      </c>
      <c r="AY36" s="57">
        <f>AY35/$AJ$2</f>
        <v>11.703831029168951</v>
      </c>
    </row>
    <row r="37" spans="1:52" ht="16.899999999999999" customHeight="1" x14ac:dyDescent="0.2">
      <c r="A37" s="50" t="s">
        <v>54</v>
      </c>
      <c r="B37" s="59">
        <f>B35</f>
        <v>1325995.6399999999</v>
      </c>
      <c r="C37" s="59">
        <f t="shared" ref="C37:L37" si="6">C35</f>
        <v>317357.04000000004</v>
      </c>
      <c r="D37" s="59">
        <f t="shared" si="6"/>
        <v>28603.120000000003</v>
      </c>
      <c r="E37" s="59">
        <f t="shared" si="6"/>
        <v>52570</v>
      </c>
      <c r="F37" s="59">
        <f t="shared" si="6"/>
        <v>25199.16</v>
      </c>
      <c r="G37" s="59">
        <f t="shared" si="6"/>
        <v>27759.424000000003</v>
      </c>
      <c r="H37" s="60">
        <f t="shared" si="6"/>
        <v>262366.04399999999</v>
      </c>
      <c r="I37" s="59">
        <f t="shared" si="6"/>
        <v>18768.593000000001</v>
      </c>
      <c r="J37" s="59">
        <f t="shared" si="6"/>
        <v>48419.489000000001</v>
      </c>
      <c r="K37" s="59">
        <f t="shared" si="6"/>
        <v>322013</v>
      </c>
      <c r="L37" s="59">
        <f t="shared" si="6"/>
        <v>112148.4601654</v>
      </c>
      <c r="M37" s="59">
        <f t="shared" ref="M37:Z38" si="7">M35</f>
        <v>264587</v>
      </c>
      <c r="N37" s="59">
        <f t="shared" si="7"/>
        <v>11418</v>
      </c>
      <c r="O37" s="59">
        <f t="shared" si="7"/>
        <v>274680</v>
      </c>
      <c r="P37" s="59">
        <f t="shared" si="7"/>
        <v>11762</v>
      </c>
      <c r="Q37" s="59">
        <f t="shared" si="7"/>
        <v>238355</v>
      </c>
      <c r="R37" s="59">
        <f t="shared" si="7"/>
        <v>91086</v>
      </c>
      <c r="S37" s="59">
        <f t="shared" si="7"/>
        <v>325886</v>
      </c>
      <c r="T37" s="59">
        <f t="shared" si="7"/>
        <v>204867</v>
      </c>
      <c r="U37" s="59">
        <f t="shared" si="7"/>
        <v>2686.6880699999988</v>
      </c>
      <c r="V37" s="59">
        <f t="shared" si="7"/>
        <v>24987</v>
      </c>
      <c r="W37" s="59">
        <f t="shared" si="7"/>
        <v>268458</v>
      </c>
      <c r="X37" s="59">
        <f t="shared" si="7"/>
        <v>119704</v>
      </c>
      <c r="Y37" s="59"/>
      <c r="Z37" s="59">
        <f t="shared" si="7"/>
        <v>101852</v>
      </c>
      <c r="AA37" s="59"/>
      <c r="AB37" s="59">
        <f>AB35</f>
        <v>89820.64</v>
      </c>
      <c r="AC37" s="59"/>
      <c r="AD37" s="59">
        <f t="shared" ref="AD37:AG38" si="8">AD35</f>
        <v>114440</v>
      </c>
      <c r="AE37" s="59">
        <f t="shared" si="8"/>
        <v>43119.45</v>
      </c>
      <c r="AF37" s="59">
        <f>AF35</f>
        <v>206194</v>
      </c>
      <c r="AG37" s="59">
        <f t="shared" si="8"/>
        <v>897518.2</v>
      </c>
      <c r="AH37" s="59">
        <f>AH35</f>
        <v>8275.7349594322677</v>
      </c>
      <c r="AI37" s="59">
        <f>AI35</f>
        <v>205720</v>
      </c>
      <c r="AJ37" s="61">
        <f>AJ35</f>
        <v>409.67803255030975</v>
      </c>
      <c r="AK37" s="61">
        <f t="shared" ref="AK37:AX38" si="9">AK35</f>
        <v>1070.9691808744046</v>
      </c>
      <c r="AL37" s="61">
        <f t="shared" si="9"/>
        <v>5092.4427026818012</v>
      </c>
      <c r="AM37" s="61">
        <f t="shared" si="9"/>
        <v>456.5126967023669</v>
      </c>
      <c r="AN37" s="61">
        <f t="shared" si="9"/>
        <v>268.03000000000003</v>
      </c>
      <c r="AO37" s="61">
        <f t="shared" si="9"/>
        <v>177.09</v>
      </c>
      <c r="AP37" s="61">
        <f t="shared" si="9"/>
        <v>178.25000000000003</v>
      </c>
      <c r="AQ37" s="61">
        <f t="shared" si="9"/>
        <v>714</v>
      </c>
      <c r="AR37" s="61">
        <f t="shared" si="9"/>
        <v>255.23178860000002</v>
      </c>
      <c r="AS37" s="61">
        <f t="shared" si="9"/>
        <v>36.69</v>
      </c>
      <c r="AT37" s="61">
        <f t="shared" si="9"/>
        <v>9.5349690000000038</v>
      </c>
      <c r="AU37" s="61">
        <f t="shared" si="9"/>
        <v>4098.6182179940652</v>
      </c>
      <c r="AV37" s="61">
        <f t="shared" si="9"/>
        <v>2422.385007328</v>
      </c>
      <c r="AW37" s="61">
        <f t="shared" si="9"/>
        <v>315.75395477999996</v>
      </c>
      <c r="AX37" s="61">
        <f t="shared" si="9"/>
        <v>247.24926820109999</v>
      </c>
      <c r="AY37" s="61">
        <f>AY35</f>
        <v>413.31689215399996</v>
      </c>
    </row>
    <row r="38" spans="1:52" ht="16.899999999999999" customHeight="1" x14ac:dyDescent="0.2">
      <c r="A38" s="50" t="s">
        <v>55</v>
      </c>
      <c r="B38" s="59">
        <f t="shared" ref="B38:L38" si="10">B36</f>
        <v>176564</v>
      </c>
      <c r="C38" s="59">
        <f t="shared" si="10"/>
        <v>43593</v>
      </c>
      <c r="D38" s="59">
        <f t="shared" si="10"/>
        <v>3929</v>
      </c>
      <c r="E38" s="59">
        <f t="shared" si="10"/>
        <v>7000</v>
      </c>
      <c r="F38" s="59">
        <f t="shared" si="10"/>
        <v>3435</v>
      </c>
      <c r="G38" s="59">
        <f t="shared" si="10"/>
        <v>3784</v>
      </c>
      <c r="H38" s="60">
        <f t="shared" si="10"/>
        <v>35491.761665902435</v>
      </c>
      <c r="I38" s="59">
        <f t="shared" si="10"/>
        <v>2513.2824288250631</v>
      </c>
      <c r="J38" s="59">
        <f t="shared" si="10"/>
        <v>6510.1453288470766</v>
      </c>
      <c r="K38" s="59">
        <f t="shared" si="10"/>
        <v>40361.055601671331</v>
      </c>
      <c r="L38" s="59">
        <f t="shared" si="10"/>
        <v>14729.551261128148</v>
      </c>
      <c r="M38" s="59">
        <f t="shared" si="7"/>
        <v>34905.936675461744</v>
      </c>
      <c r="N38" s="59">
        <f t="shared" si="7"/>
        <v>1460.1023017902812</v>
      </c>
      <c r="O38" s="59">
        <f t="shared" si="7"/>
        <v>36624</v>
      </c>
      <c r="P38" s="59">
        <f t="shared" si="7"/>
        <v>1568.2666666666667</v>
      </c>
      <c r="Q38" s="59">
        <f t="shared" si="7"/>
        <v>32036.962365591397</v>
      </c>
      <c r="R38" s="59">
        <f t="shared" si="7"/>
        <v>11677.692307692309</v>
      </c>
      <c r="S38" s="59">
        <f t="shared" si="7"/>
        <v>43831.338264963015</v>
      </c>
      <c r="T38" s="59">
        <f t="shared" si="7"/>
        <v>27554.404841963686</v>
      </c>
      <c r="U38" s="59">
        <f t="shared" si="7"/>
        <v>312.06457688319648</v>
      </c>
      <c r="V38" s="59">
        <f t="shared" si="7"/>
        <v>3170.9390862944165</v>
      </c>
      <c r="W38" s="59">
        <f t="shared" si="7"/>
        <v>35092.549019607839</v>
      </c>
      <c r="X38" s="59">
        <f t="shared" si="7"/>
        <v>15792.084432717678</v>
      </c>
      <c r="Y38" s="59"/>
      <c r="Z38" s="59">
        <f t="shared" si="7"/>
        <v>13973.595430854355</v>
      </c>
      <c r="AA38" s="59"/>
      <c r="AB38" s="59">
        <f>AB36</f>
        <v>12338</v>
      </c>
      <c r="AC38" s="59"/>
      <c r="AD38" s="59">
        <f t="shared" si="8"/>
        <v>15121.564482029598</v>
      </c>
      <c r="AE38" s="59">
        <f t="shared" si="8"/>
        <v>5115</v>
      </c>
      <c r="AF38" s="59">
        <f>AF36</f>
        <v>25437.207007155193</v>
      </c>
      <c r="AG38" s="59">
        <f t="shared" si="8"/>
        <v>124310</v>
      </c>
      <c r="AH38" s="59">
        <f>AH36</f>
        <v>986.80250000000001</v>
      </c>
      <c r="AI38" s="63">
        <f>AI36</f>
        <v>26374.358974358976</v>
      </c>
      <c r="AJ38" s="61">
        <f>AJ36</f>
        <v>11.600790000000003</v>
      </c>
      <c r="AK38" s="61">
        <f t="shared" si="9"/>
        <v>30.326469999999993</v>
      </c>
      <c r="AL38" s="61">
        <f t="shared" si="9"/>
        <v>144.2019187923855</v>
      </c>
      <c r="AM38" s="61">
        <f t="shared" si="9"/>
        <v>12.926999999999996</v>
      </c>
      <c r="AN38" s="61">
        <f t="shared" si="9"/>
        <v>7.5897643921587674</v>
      </c>
      <c r="AO38" s="61">
        <f t="shared" si="9"/>
        <v>5.0146303630466589</v>
      </c>
      <c r="AP38" s="61">
        <f t="shared" si="9"/>
        <v>5.0474779050938343</v>
      </c>
      <c r="AQ38" s="61">
        <f t="shared" si="9"/>
        <v>20.218228466967727</v>
      </c>
      <c r="AR38" s="61">
        <f t="shared" si="9"/>
        <v>7.2273594032879673</v>
      </c>
      <c r="AS38" s="61">
        <f t="shared" si="9"/>
        <v>1.0389451014748541</v>
      </c>
      <c r="AT38" s="61">
        <f t="shared" si="9"/>
        <v>0.27000025443621128</v>
      </c>
      <c r="AU38" s="61">
        <f t="shared" si="9"/>
        <v>116.05994331972008</v>
      </c>
      <c r="AV38" s="61">
        <f t="shared" si="9"/>
        <v>68.594304640216791</v>
      </c>
      <c r="AW38" s="61">
        <f t="shared" si="9"/>
        <v>8.941156298446268</v>
      </c>
      <c r="AX38" s="61">
        <f t="shared" si="9"/>
        <v>7.001319597731678</v>
      </c>
      <c r="AY38" s="61">
        <f>AY36</f>
        <v>11.703831029168951</v>
      </c>
      <c r="AZ38" s="64"/>
    </row>
    <row r="39" spans="1:52" s="66" customFormat="1" ht="16.899999999999999" customHeight="1" x14ac:dyDescent="0.2">
      <c r="A39" s="50" t="s">
        <v>56</v>
      </c>
      <c r="B39" s="65">
        <f t="shared" ref="B39:AI39" si="11">B38</f>
        <v>176564</v>
      </c>
      <c r="C39" s="65">
        <f t="shared" si="11"/>
        <v>43593</v>
      </c>
      <c r="D39" s="65">
        <f t="shared" si="11"/>
        <v>3929</v>
      </c>
      <c r="E39" s="65">
        <f t="shared" si="11"/>
        <v>7000</v>
      </c>
      <c r="F39" s="65">
        <f t="shared" si="11"/>
        <v>3435</v>
      </c>
      <c r="G39" s="65">
        <f t="shared" si="11"/>
        <v>3784</v>
      </c>
      <c r="H39" s="60">
        <f t="shared" si="11"/>
        <v>35491.761665902435</v>
      </c>
      <c r="I39" s="59">
        <f t="shared" si="11"/>
        <v>2513.2824288250631</v>
      </c>
      <c r="J39" s="59">
        <f t="shared" si="11"/>
        <v>6510.1453288470766</v>
      </c>
      <c r="K39" s="59">
        <f t="shared" si="11"/>
        <v>40361.055601671331</v>
      </c>
      <c r="L39" s="59">
        <f t="shared" si="11"/>
        <v>14729.551261128148</v>
      </c>
      <c r="M39" s="59">
        <f t="shared" si="11"/>
        <v>34905.936675461744</v>
      </c>
      <c r="N39" s="59">
        <f t="shared" si="11"/>
        <v>1460.1023017902812</v>
      </c>
      <c r="O39" s="59">
        <f t="shared" si="11"/>
        <v>36624</v>
      </c>
      <c r="P39" s="59">
        <f t="shared" si="11"/>
        <v>1568.2666666666667</v>
      </c>
      <c r="Q39" s="59">
        <f t="shared" si="11"/>
        <v>32036.962365591397</v>
      </c>
      <c r="R39" s="59">
        <f t="shared" si="11"/>
        <v>11677.692307692309</v>
      </c>
      <c r="S39" s="59">
        <f t="shared" si="11"/>
        <v>43831.338264963015</v>
      </c>
      <c r="T39" s="59">
        <f t="shared" si="11"/>
        <v>27554.404841963686</v>
      </c>
      <c r="U39" s="59">
        <f t="shared" si="11"/>
        <v>312.06457688319648</v>
      </c>
      <c r="V39" s="59">
        <f t="shared" si="11"/>
        <v>3170.9390862944165</v>
      </c>
      <c r="W39" s="59">
        <f t="shared" si="11"/>
        <v>35092.549019607839</v>
      </c>
      <c r="X39" s="59">
        <f t="shared" si="11"/>
        <v>15792.084432717678</v>
      </c>
      <c r="Y39" s="59"/>
      <c r="Z39" s="59">
        <f t="shared" si="11"/>
        <v>13973.595430854355</v>
      </c>
      <c r="AA39" s="59"/>
      <c r="AB39" s="59">
        <f t="shared" si="11"/>
        <v>12338</v>
      </c>
      <c r="AC39" s="59"/>
      <c r="AD39" s="59">
        <f t="shared" si="11"/>
        <v>15121.564482029598</v>
      </c>
      <c r="AE39" s="59">
        <f>AE38</f>
        <v>5115</v>
      </c>
      <c r="AF39" s="59">
        <f>AF38</f>
        <v>25437.207007155193</v>
      </c>
      <c r="AG39" s="59">
        <f t="shared" si="11"/>
        <v>124310</v>
      </c>
      <c r="AH39" s="59">
        <f t="shared" si="11"/>
        <v>986.80250000000001</v>
      </c>
      <c r="AI39" s="59">
        <f t="shared" si="11"/>
        <v>26374.358974358976</v>
      </c>
      <c r="AJ39" s="61">
        <f>AJ38</f>
        <v>11.600790000000003</v>
      </c>
      <c r="AK39" s="61">
        <f t="shared" ref="AK39:AY39" si="12">AK38</f>
        <v>30.326469999999993</v>
      </c>
      <c r="AL39" s="61">
        <f t="shared" si="12"/>
        <v>144.2019187923855</v>
      </c>
      <c r="AM39" s="61">
        <f t="shared" si="12"/>
        <v>12.926999999999996</v>
      </c>
      <c r="AN39" s="61">
        <f>AN38</f>
        <v>7.5897643921587674</v>
      </c>
      <c r="AO39" s="61">
        <f t="shared" si="12"/>
        <v>5.0146303630466589</v>
      </c>
      <c r="AP39" s="61">
        <f t="shared" si="12"/>
        <v>5.0474779050938343</v>
      </c>
      <c r="AQ39" s="61">
        <f t="shared" si="12"/>
        <v>20.218228466967727</v>
      </c>
      <c r="AR39" s="61">
        <f t="shared" si="12"/>
        <v>7.2273594032879673</v>
      </c>
      <c r="AS39" s="61">
        <f t="shared" si="12"/>
        <v>1.0389451014748541</v>
      </c>
      <c r="AT39" s="61">
        <f>AT38</f>
        <v>0.27000025443621128</v>
      </c>
      <c r="AU39" s="61">
        <f>AU38</f>
        <v>116.05994331972008</v>
      </c>
      <c r="AV39" s="61">
        <f t="shared" si="12"/>
        <v>68.594304640216791</v>
      </c>
      <c r="AW39" s="61">
        <f t="shared" si="12"/>
        <v>8.941156298446268</v>
      </c>
      <c r="AX39" s="61">
        <f t="shared" si="12"/>
        <v>7.001319597731678</v>
      </c>
      <c r="AY39" s="61">
        <f t="shared" si="12"/>
        <v>11.703831029168951</v>
      </c>
    </row>
    <row r="40" spans="1:52" ht="13.5" customHeight="1" x14ac:dyDescent="0.2">
      <c r="A40" s="40">
        <v>45689</v>
      </c>
      <c r="B40" s="41">
        <v>5876</v>
      </c>
      <c r="C40" s="41">
        <v>1387</v>
      </c>
      <c r="D40" s="41">
        <v>123</v>
      </c>
      <c r="E40" s="41">
        <v>228</v>
      </c>
      <c r="F40" s="41">
        <v>117</v>
      </c>
      <c r="G40" s="41">
        <v>130</v>
      </c>
      <c r="H40" s="41">
        <v>8546</v>
      </c>
      <c r="I40" s="41">
        <v>814</v>
      </c>
      <c r="J40" s="41">
        <v>1829</v>
      </c>
      <c r="K40" s="41">
        <v>11903</v>
      </c>
      <c r="L40" s="41">
        <v>3573</v>
      </c>
      <c r="M40" s="41">
        <v>8795</v>
      </c>
      <c r="N40" s="41">
        <v>293</v>
      </c>
      <c r="O40" s="41">
        <v>6618</v>
      </c>
      <c r="P40" s="41">
        <v>396</v>
      </c>
      <c r="Q40" s="41">
        <v>7886</v>
      </c>
      <c r="R40" s="41">
        <v>2991</v>
      </c>
      <c r="S40" s="41">
        <v>10272</v>
      </c>
      <c r="T40" s="41">
        <v>8343</v>
      </c>
      <c r="U40" s="41">
        <f>17*6.2898</f>
        <v>106.92659999999999</v>
      </c>
      <c r="V40" s="41">
        <v>819</v>
      </c>
      <c r="W40" s="41">
        <v>8343</v>
      </c>
      <c r="X40" s="41">
        <v>4147</v>
      </c>
      <c r="Y40" s="41"/>
      <c r="Z40" s="41">
        <v>2932</v>
      </c>
      <c r="AA40" s="41"/>
      <c r="AB40" s="41">
        <v>409</v>
      </c>
      <c r="AC40" s="41"/>
      <c r="AD40" s="41">
        <v>3195</v>
      </c>
      <c r="AE40" s="41">
        <v>155</v>
      </c>
      <c r="AF40" s="41">
        <v>2124</v>
      </c>
      <c r="AG40" s="41">
        <v>3</v>
      </c>
      <c r="AH40" s="67">
        <f>64*0.75</f>
        <v>48</v>
      </c>
      <c r="AI40" s="41">
        <v>6343</v>
      </c>
      <c r="AJ40" s="45">
        <v>0.17499999999999999</v>
      </c>
      <c r="AK40" s="45">
        <v>0.41619</v>
      </c>
      <c r="AL40" s="45">
        <v>92.22972</v>
      </c>
      <c r="AM40" s="45">
        <v>0.51</v>
      </c>
      <c r="AN40" s="45">
        <v>4.7300000000000004</v>
      </c>
      <c r="AO40" s="45">
        <v>8.8000000000000007</v>
      </c>
      <c r="AP40" s="45">
        <v>6.73</v>
      </c>
      <c r="AQ40" s="45">
        <v>10</v>
      </c>
      <c r="AR40" s="45">
        <v>8.74</v>
      </c>
      <c r="AS40" s="45">
        <v>1.4</v>
      </c>
      <c r="AT40" s="47">
        <v>1.2999999999999999E-2</v>
      </c>
      <c r="AU40" s="45">
        <v>1.3260000000000001</v>
      </c>
      <c r="AV40" s="45">
        <v>1.9950000000000001</v>
      </c>
      <c r="AW40" s="45">
        <v>3.2132100000000001</v>
      </c>
      <c r="AX40" s="45">
        <v>0.36</v>
      </c>
      <c r="AY40" s="48">
        <v>0.51300000000000001</v>
      </c>
    </row>
    <row r="41" spans="1:52" ht="13.5" customHeight="1" x14ac:dyDescent="0.2">
      <c r="A41" s="40">
        <v>45690</v>
      </c>
      <c r="B41" s="41">
        <v>5900</v>
      </c>
      <c r="C41" s="41">
        <v>1430</v>
      </c>
      <c r="D41" s="41">
        <v>126</v>
      </c>
      <c r="E41" s="41">
        <v>214</v>
      </c>
      <c r="F41" s="41">
        <v>113</v>
      </c>
      <c r="G41" s="41">
        <v>130</v>
      </c>
      <c r="H41" s="41">
        <v>8536</v>
      </c>
      <c r="I41" s="41">
        <v>828</v>
      </c>
      <c r="J41" s="41">
        <v>1811</v>
      </c>
      <c r="K41" s="41">
        <v>11714</v>
      </c>
      <c r="L41" s="41">
        <v>3648</v>
      </c>
      <c r="M41" s="41">
        <v>8907</v>
      </c>
      <c r="N41" s="41">
        <v>502</v>
      </c>
      <c r="O41" s="41">
        <v>8234</v>
      </c>
      <c r="P41" s="41">
        <v>367</v>
      </c>
      <c r="Q41" s="41">
        <v>7838</v>
      </c>
      <c r="R41" s="41">
        <v>2943</v>
      </c>
      <c r="S41" s="41">
        <v>10335</v>
      </c>
      <c r="T41" s="41">
        <v>8358</v>
      </c>
      <c r="U41" s="41">
        <f>10*6.2898</f>
        <v>62.897999999999996</v>
      </c>
      <c r="V41" s="41">
        <v>785</v>
      </c>
      <c r="W41" s="41">
        <v>8358</v>
      </c>
      <c r="X41" s="41">
        <v>3606</v>
      </c>
      <c r="Y41" s="41"/>
      <c r="Z41" s="41">
        <v>2940</v>
      </c>
      <c r="AA41" s="41"/>
      <c r="AB41" s="41">
        <v>409</v>
      </c>
      <c r="AC41" s="41"/>
      <c r="AD41" s="41">
        <v>4000</v>
      </c>
      <c r="AE41" s="41">
        <v>155</v>
      </c>
      <c r="AF41" s="41">
        <v>1582</v>
      </c>
      <c r="AG41" s="41">
        <f>8225*0.49</f>
        <v>4030.25</v>
      </c>
      <c r="AH41" s="67">
        <f>55*0.75</f>
        <v>41.25</v>
      </c>
      <c r="AI41" s="41">
        <v>6704</v>
      </c>
      <c r="AJ41" s="45">
        <v>0.37</v>
      </c>
      <c r="AK41" s="45">
        <v>0.90628999999999993</v>
      </c>
      <c r="AL41" s="45">
        <v>137.99148000000002</v>
      </c>
      <c r="AM41" s="45">
        <v>0.47599999999999998</v>
      </c>
      <c r="AN41" s="45">
        <v>7.19</v>
      </c>
      <c r="AO41" s="45">
        <v>8.4600000000000009</v>
      </c>
      <c r="AP41" s="45">
        <v>6.83</v>
      </c>
      <c r="AQ41" s="45">
        <v>10</v>
      </c>
      <c r="AR41" s="45">
        <v>8.74</v>
      </c>
      <c r="AS41" s="45">
        <v>1</v>
      </c>
      <c r="AT41" s="47">
        <v>1.2999999999999999E-2</v>
      </c>
      <c r="AU41" s="45">
        <v>0.99</v>
      </c>
      <c r="AV41" s="45">
        <v>1.9999</v>
      </c>
      <c r="AW41" s="45">
        <v>3.3544500000000004</v>
      </c>
      <c r="AX41" s="45">
        <v>0.33300000000000002</v>
      </c>
      <c r="AY41" s="48">
        <v>0.51400000000000001</v>
      </c>
    </row>
    <row r="42" spans="1:52" ht="13.5" customHeight="1" x14ac:dyDescent="0.2">
      <c r="A42" s="40">
        <v>45691</v>
      </c>
      <c r="B42" s="41">
        <v>5991</v>
      </c>
      <c r="C42" s="41">
        <v>1373</v>
      </c>
      <c r="D42" s="41">
        <v>125</v>
      </c>
      <c r="E42" s="41">
        <v>225</v>
      </c>
      <c r="F42" s="41">
        <v>115</v>
      </c>
      <c r="G42" s="41">
        <v>130</v>
      </c>
      <c r="H42" s="41">
        <v>8443</v>
      </c>
      <c r="I42" s="41">
        <v>845</v>
      </c>
      <c r="J42" s="41">
        <v>1835</v>
      </c>
      <c r="K42" s="41">
        <v>11621</v>
      </c>
      <c r="L42" s="41">
        <v>3664</v>
      </c>
      <c r="M42" s="41">
        <v>8791</v>
      </c>
      <c r="N42" s="41">
        <v>524</v>
      </c>
      <c r="O42" s="41">
        <v>7440</v>
      </c>
      <c r="P42" s="41">
        <v>370</v>
      </c>
      <c r="Q42" s="41">
        <v>7756</v>
      </c>
      <c r="R42" s="41">
        <v>2979</v>
      </c>
      <c r="S42" s="41">
        <v>10356</v>
      </c>
      <c r="T42" s="41">
        <v>8391</v>
      </c>
      <c r="U42" s="41">
        <f>10*6.2898</f>
        <v>62.897999999999996</v>
      </c>
      <c r="V42" s="41">
        <v>783</v>
      </c>
      <c r="W42" s="41">
        <v>8336</v>
      </c>
      <c r="X42" s="41">
        <v>3912</v>
      </c>
      <c r="Y42" s="41"/>
      <c r="Z42" s="41">
        <v>2945</v>
      </c>
      <c r="AA42" s="41"/>
      <c r="AB42" s="41">
        <f>233/0.55</f>
        <v>423.63636363636363</v>
      </c>
      <c r="AC42" s="41"/>
      <c r="AD42" s="41">
        <v>4000</v>
      </c>
      <c r="AE42" s="41">
        <v>155</v>
      </c>
      <c r="AF42" s="41">
        <v>1636</v>
      </c>
      <c r="AG42" s="41">
        <f>8230*0.49</f>
        <v>4032.7</v>
      </c>
      <c r="AH42" s="67">
        <f>56*0.75</f>
        <v>42</v>
      </c>
      <c r="AI42" s="41">
        <v>6088</v>
      </c>
      <c r="AJ42" s="45">
        <v>0.48499999999999999</v>
      </c>
      <c r="AK42" s="45">
        <v>1.24051</v>
      </c>
      <c r="AL42" s="45">
        <v>142.58178000000001</v>
      </c>
      <c r="AM42" s="45">
        <v>0.47599999999999998</v>
      </c>
      <c r="AN42" s="45">
        <v>5.94</v>
      </c>
      <c r="AO42" s="45">
        <v>8.11</v>
      </c>
      <c r="AP42" s="45">
        <v>6.81</v>
      </c>
      <c r="AQ42" s="45">
        <v>10</v>
      </c>
      <c r="AR42" s="45">
        <v>8.74</v>
      </c>
      <c r="AS42" s="45">
        <v>1</v>
      </c>
      <c r="AT42" s="47">
        <v>1.2999999999999999E-2</v>
      </c>
      <c r="AU42" s="45">
        <v>0.998</v>
      </c>
      <c r="AV42" s="45">
        <v>1.9999</v>
      </c>
      <c r="AW42" s="45">
        <v>4.2024493000000005</v>
      </c>
      <c r="AX42" s="45">
        <v>0.32900000000000001</v>
      </c>
      <c r="AY42" s="48">
        <v>0.51100000000000001</v>
      </c>
    </row>
    <row r="43" spans="1:52" ht="13.5" customHeight="1" x14ac:dyDescent="0.2">
      <c r="A43" s="40">
        <v>45692</v>
      </c>
      <c r="B43" s="41">
        <v>5952</v>
      </c>
      <c r="C43" s="41">
        <v>1403</v>
      </c>
      <c r="D43" s="41">
        <v>125</v>
      </c>
      <c r="E43" s="41">
        <v>222</v>
      </c>
      <c r="F43" s="41">
        <v>112</v>
      </c>
      <c r="G43" s="41">
        <v>130</v>
      </c>
      <c r="H43" s="41">
        <v>8528.0740000000005</v>
      </c>
      <c r="I43" s="41">
        <v>889.91300000000001</v>
      </c>
      <c r="J43" s="41">
        <v>1933.5509999999999</v>
      </c>
      <c r="K43" s="41">
        <v>11554</v>
      </c>
      <c r="L43" s="41">
        <f>3456.97621832+307</f>
        <v>3763.97621832</v>
      </c>
      <c r="M43" s="41">
        <f>9116-N43</f>
        <v>8644</v>
      </c>
      <c r="N43" s="41">
        <v>472</v>
      </c>
      <c r="O43" s="41">
        <v>7493</v>
      </c>
      <c r="P43" s="41">
        <v>366</v>
      </c>
      <c r="Q43" s="41">
        <v>7783</v>
      </c>
      <c r="R43" s="41">
        <v>3003</v>
      </c>
      <c r="S43" s="41">
        <v>10286</v>
      </c>
      <c r="T43" s="41">
        <v>8115</v>
      </c>
      <c r="U43" s="41">
        <f>10*6.2898</f>
        <v>62.897999999999996</v>
      </c>
      <c r="V43" s="41">
        <v>794</v>
      </c>
      <c r="W43" s="41">
        <v>8305</v>
      </c>
      <c r="X43" s="41">
        <v>3808</v>
      </c>
      <c r="Y43" s="41"/>
      <c r="Z43" s="41">
        <v>2940</v>
      </c>
      <c r="AA43" s="41"/>
      <c r="AB43" s="41">
        <f>232/0.55</f>
        <v>421.81818181818176</v>
      </c>
      <c r="AC43" s="41"/>
      <c r="AD43" s="41">
        <v>4000</v>
      </c>
      <c r="AE43" s="41">
        <v>155</v>
      </c>
      <c r="AF43" s="41">
        <v>2689</v>
      </c>
      <c r="AG43" s="41">
        <f>8226*0.49</f>
        <v>4030.74</v>
      </c>
      <c r="AH43" s="67">
        <f>54*0.75</f>
        <v>40.5</v>
      </c>
      <c r="AI43" s="41">
        <v>7040</v>
      </c>
      <c r="AJ43" s="45">
        <v>0.47399999999999998</v>
      </c>
      <c r="AK43" s="45">
        <v>1.2070000000000001</v>
      </c>
      <c r="AL43" s="45">
        <v>171.88908000000001</v>
      </c>
      <c r="AM43" s="45">
        <v>0.45900000000000002</v>
      </c>
      <c r="AN43" s="45">
        <v>2.63</v>
      </c>
      <c r="AO43" s="45">
        <v>7.88</v>
      </c>
      <c r="AP43" s="45">
        <v>6.59</v>
      </c>
      <c r="AQ43" s="45">
        <v>10</v>
      </c>
      <c r="AR43" s="45">
        <v>8.74</v>
      </c>
      <c r="AS43" s="45">
        <v>1.1000000000000001</v>
      </c>
      <c r="AT43" s="47">
        <v>1.2999999999999999E-2</v>
      </c>
      <c r="AU43" s="45">
        <v>1.1615</v>
      </c>
      <c r="AV43" s="45">
        <v>2</v>
      </c>
      <c r="AW43" s="45">
        <v>7.5573458000000002</v>
      </c>
      <c r="AX43" s="45">
        <v>0.33</v>
      </c>
      <c r="AY43" s="48">
        <v>0.504</v>
      </c>
    </row>
    <row r="44" spans="1:52" ht="13.5" customHeight="1" x14ac:dyDescent="0.2">
      <c r="A44" s="40">
        <v>45693</v>
      </c>
      <c r="B44" s="41">
        <v>5931</v>
      </c>
      <c r="C44" s="41">
        <v>1400</v>
      </c>
      <c r="D44" s="41">
        <v>124</v>
      </c>
      <c r="E44" s="41">
        <v>224</v>
      </c>
      <c r="F44" s="41">
        <v>113</v>
      </c>
      <c r="G44" s="41">
        <v>130</v>
      </c>
      <c r="H44" s="41">
        <v>8508.8610000000008</v>
      </c>
      <c r="I44" s="41">
        <v>883.13300000000004</v>
      </c>
      <c r="J44" s="41">
        <v>1891.895</v>
      </c>
      <c r="K44" s="41">
        <v>11540</v>
      </c>
      <c r="L44" s="41">
        <f>3397.72901936+300</f>
        <v>3697.7290193600002</v>
      </c>
      <c r="M44" s="41">
        <f>9026-N44</f>
        <v>8633</v>
      </c>
      <c r="N44" s="41">
        <v>393</v>
      </c>
      <c r="O44" s="41">
        <v>9234</v>
      </c>
      <c r="P44" s="41">
        <v>387</v>
      </c>
      <c r="Q44" s="41">
        <v>7736</v>
      </c>
      <c r="R44" s="41">
        <v>2998</v>
      </c>
      <c r="S44" s="41">
        <v>10293</v>
      </c>
      <c r="T44" s="41">
        <v>8147</v>
      </c>
      <c r="U44" s="41">
        <f>14*6.2898</f>
        <v>88.057199999999995</v>
      </c>
      <c r="V44" s="41">
        <v>808</v>
      </c>
      <c r="W44" s="41">
        <v>8317</v>
      </c>
      <c r="X44" s="41">
        <v>3492</v>
      </c>
      <c r="Y44" s="41"/>
      <c r="Z44" s="41">
        <v>2947</v>
      </c>
      <c r="AA44" s="41"/>
      <c r="AB44" s="41">
        <f>233/0.55</f>
        <v>423.63636363636363</v>
      </c>
      <c r="AC44" s="41"/>
      <c r="AD44" s="41">
        <v>4000</v>
      </c>
      <c r="AE44" s="41">
        <v>155</v>
      </c>
      <c r="AF44" s="41">
        <v>2979</v>
      </c>
      <c r="AG44" s="41">
        <f>8228*0.49</f>
        <v>4031.72</v>
      </c>
      <c r="AH44" s="67">
        <f>49*0.75</f>
        <v>36.75</v>
      </c>
      <c r="AI44" s="41">
        <v>6957</v>
      </c>
      <c r="AJ44" s="45">
        <v>0.38300000000000001</v>
      </c>
      <c r="AK44" s="45">
        <v>0.91100000000000003</v>
      </c>
      <c r="AL44" s="45">
        <v>196.81793999999999</v>
      </c>
      <c r="AM44" s="45">
        <v>0.47399999999999998</v>
      </c>
      <c r="AN44" s="45">
        <v>2.64</v>
      </c>
      <c r="AO44" s="45">
        <v>7.52</v>
      </c>
      <c r="AP44" s="45">
        <v>6.37</v>
      </c>
      <c r="AQ44" s="45">
        <v>10</v>
      </c>
      <c r="AR44" s="45">
        <v>8.74</v>
      </c>
      <c r="AS44" s="45">
        <v>1.1000000000000001</v>
      </c>
      <c r="AT44" s="47">
        <v>1.2999999999999999E-2</v>
      </c>
      <c r="AU44" s="45">
        <v>1.8240000000000001</v>
      </c>
      <c r="AV44" s="45">
        <v>1.744</v>
      </c>
      <c r="AW44" s="45">
        <v>7.9811222000000006</v>
      </c>
      <c r="AX44" s="45">
        <v>0.33100000000000002</v>
      </c>
      <c r="AY44" s="48">
        <v>0.502</v>
      </c>
    </row>
    <row r="45" spans="1:52" ht="13.5" customHeight="1" x14ac:dyDescent="0.2">
      <c r="A45" s="40">
        <v>45694</v>
      </c>
      <c r="B45" s="41">
        <v>5951</v>
      </c>
      <c r="C45" s="41">
        <v>1433</v>
      </c>
      <c r="D45" s="41">
        <v>123</v>
      </c>
      <c r="E45" s="41">
        <v>217</v>
      </c>
      <c r="F45" s="41">
        <v>110</v>
      </c>
      <c r="G45" s="41">
        <v>130</v>
      </c>
      <c r="H45" s="41">
        <v>8547.1029999999992</v>
      </c>
      <c r="I45" s="41">
        <v>806.84699999999998</v>
      </c>
      <c r="J45" s="41">
        <v>1624.1859999999999</v>
      </c>
      <c r="K45" s="41">
        <v>12082</v>
      </c>
      <c r="L45" s="41">
        <f>3563.41374884+324</f>
        <v>3887.4137488400002</v>
      </c>
      <c r="M45" s="41">
        <f>9252-N45</f>
        <v>8854</v>
      </c>
      <c r="N45" s="41">
        <v>398</v>
      </c>
      <c r="O45" s="41">
        <v>8711</v>
      </c>
      <c r="P45" s="41">
        <v>374</v>
      </c>
      <c r="Q45" s="41">
        <v>7752</v>
      </c>
      <c r="R45" s="41">
        <v>2961</v>
      </c>
      <c r="S45" s="41">
        <v>10176</v>
      </c>
      <c r="T45" s="41">
        <v>8130</v>
      </c>
      <c r="U45" s="41">
        <f>7*6.2898</f>
        <v>44.028599999999997</v>
      </c>
      <c r="V45" s="41">
        <v>777</v>
      </c>
      <c r="W45" s="41">
        <v>8190</v>
      </c>
      <c r="X45" s="41">
        <v>4043</v>
      </c>
      <c r="Y45" s="41"/>
      <c r="Z45" s="41">
        <v>2947</v>
      </c>
      <c r="AA45" s="41"/>
      <c r="AB45" s="41">
        <f>216/0.55</f>
        <v>392.72727272727269</v>
      </c>
      <c r="AC45" s="41"/>
      <c r="AD45" s="41">
        <v>4000</v>
      </c>
      <c r="AE45" s="41">
        <v>155</v>
      </c>
      <c r="AF45" s="41">
        <v>3001</v>
      </c>
      <c r="AG45" s="41">
        <f>8225*0.49</f>
        <v>4030.25</v>
      </c>
      <c r="AH45" s="67">
        <f>54*0.75</f>
        <v>40.5</v>
      </c>
      <c r="AI45" s="41">
        <v>6734</v>
      </c>
      <c r="AJ45" s="45">
        <v>0.38400000000000001</v>
      </c>
      <c r="AK45" s="45">
        <v>0.91100000000000003</v>
      </c>
      <c r="AL45" s="45">
        <v>207.02252999999999</v>
      </c>
      <c r="AM45" s="45">
        <v>0.44</v>
      </c>
      <c r="AN45" s="45">
        <v>2.64</v>
      </c>
      <c r="AO45" s="45">
        <v>7.12</v>
      </c>
      <c r="AP45" s="45">
        <v>6.33</v>
      </c>
      <c r="AQ45" s="45">
        <v>10</v>
      </c>
      <c r="AR45" s="45">
        <v>8.74</v>
      </c>
      <c r="AS45" s="45">
        <v>1.5</v>
      </c>
      <c r="AT45" s="47">
        <v>1.2999999999999999E-2</v>
      </c>
      <c r="AU45" s="45">
        <v>1.8240000000000001</v>
      </c>
      <c r="AV45" s="45">
        <v>1.744</v>
      </c>
      <c r="AW45" s="45">
        <v>8.0517516000000011</v>
      </c>
      <c r="AX45" s="45">
        <v>0.33200000000000002</v>
      </c>
      <c r="AY45" s="48">
        <v>0.504</v>
      </c>
    </row>
    <row r="46" spans="1:52" ht="13.5" customHeight="1" x14ac:dyDescent="0.2">
      <c r="A46" s="40">
        <v>45695</v>
      </c>
      <c r="B46" s="41">
        <v>5978</v>
      </c>
      <c r="C46" s="41">
        <v>1418</v>
      </c>
      <c r="D46" s="41">
        <v>125</v>
      </c>
      <c r="E46" s="41">
        <v>226</v>
      </c>
      <c r="F46" s="41">
        <v>110</v>
      </c>
      <c r="G46" s="41">
        <v>130</v>
      </c>
      <c r="H46" s="41">
        <v>8527.8369999999995</v>
      </c>
      <c r="I46" s="41">
        <v>728.24900000000002</v>
      </c>
      <c r="J46" s="41">
        <v>1431.953</v>
      </c>
      <c r="K46" s="41">
        <v>12824</v>
      </c>
      <c r="L46" s="41">
        <v>4067.6672453599999</v>
      </c>
      <c r="M46" s="41">
        <f>8954-N46</f>
        <v>8556</v>
      </c>
      <c r="N46" s="41">
        <v>398</v>
      </c>
      <c r="O46" s="41">
        <v>9198</v>
      </c>
      <c r="P46" s="41">
        <v>331</v>
      </c>
      <c r="Q46" s="41">
        <v>7782</v>
      </c>
      <c r="R46" s="41">
        <v>2973</v>
      </c>
      <c r="S46" s="41">
        <v>10274</v>
      </c>
      <c r="T46" s="41">
        <v>8331</v>
      </c>
      <c r="U46" s="41">
        <f>14*6.2898</f>
        <v>88.057199999999995</v>
      </c>
      <c r="V46" s="41">
        <v>814</v>
      </c>
      <c r="W46" s="41">
        <v>8277</v>
      </c>
      <c r="X46" s="41">
        <v>3704</v>
      </c>
      <c r="Y46" s="41"/>
      <c r="Z46" s="41">
        <v>2947</v>
      </c>
      <c r="AA46" s="41"/>
      <c r="AB46" s="41">
        <f>238/0.55</f>
        <v>432.72727272727269</v>
      </c>
      <c r="AC46" s="41"/>
      <c r="AD46" s="41">
        <v>3034</v>
      </c>
      <c r="AE46" s="41">
        <v>155</v>
      </c>
      <c r="AF46" s="41">
        <v>2685</v>
      </c>
      <c r="AG46" s="41">
        <f>8228*0.49</f>
        <v>4031.72</v>
      </c>
      <c r="AH46" s="67">
        <f>54*0.75</f>
        <v>40.5</v>
      </c>
      <c r="AI46" s="41">
        <v>6927</v>
      </c>
      <c r="AJ46" s="45">
        <v>0.38539999999999996</v>
      </c>
      <c r="AK46" s="45">
        <v>0.92900000000000005</v>
      </c>
      <c r="AL46" s="45">
        <v>210.41229000000001</v>
      </c>
      <c r="AM46" s="45">
        <v>0.40400000000000003</v>
      </c>
      <c r="AN46" s="45">
        <v>0.38700000000000001</v>
      </c>
      <c r="AO46" s="45">
        <v>7.12</v>
      </c>
      <c r="AP46" s="45">
        <v>6.55</v>
      </c>
      <c r="AQ46" s="45">
        <v>10</v>
      </c>
      <c r="AR46" s="45">
        <v>8.74</v>
      </c>
      <c r="AS46" s="45">
        <v>1.1000000000000001</v>
      </c>
      <c r="AT46" s="47">
        <v>1.2999999999999999E-2</v>
      </c>
      <c r="AU46" s="45">
        <v>1.631</v>
      </c>
      <c r="AV46" s="45">
        <v>1.998</v>
      </c>
      <c r="AW46" s="45">
        <v>8.5108427000000013</v>
      </c>
      <c r="AX46" s="45">
        <v>0.33600000000000002</v>
      </c>
      <c r="AY46" s="48">
        <v>0.50600000000000001</v>
      </c>
    </row>
    <row r="47" spans="1:52" ht="13.5" customHeight="1" x14ac:dyDescent="0.2">
      <c r="A47" s="40">
        <v>45696</v>
      </c>
      <c r="B47" s="41">
        <v>5937</v>
      </c>
      <c r="C47" s="68">
        <v>1434</v>
      </c>
      <c r="D47" s="69">
        <v>127</v>
      </c>
      <c r="E47" s="69">
        <v>221</v>
      </c>
      <c r="F47" s="69">
        <v>111</v>
      </c>
      <c r="G47" s="41">
        <v>130</v>
      </c>
      <c r="H47" s="41">
        <v>8050.3019999999997</v>
      </c>
      <c r="I47" s="41">
        <v>854.49300000000005</v>
      </c>
      <c r="J47" s="41">
        <v>1594.7349999999999</v>
      </c>
      <c r="K47" s="41">
        <v>12306</v>
      </c>
      <c r="L47" s="41">
        <v>4202.9882837999994</v>
      </c>
      <c r="M47" s="41">
        <f>8800-N47</f>
        <v>8476</v>
      </c>
      <c r="N47" s="41">
        <v>324</v>
      </c>
      <c r="O47" s="41">
        <v>9257</v>
      </c>
      <c r="P47" s="41">
        <v>372</v>
      </c>
      <c r="Q47" s="41">
        <v>7791</v>
      </c>
      <c r="R47" s="41">
        <v>2660</v>
      </c>
      <c r="S47" s="41">
        <v>10274</v>
      </c>
      <c r="T47" s="41">
        <v>8286</v>
      </c>
      <c r="U47" s="41">
        <f>14*6.2898</f>
        <v>88.057199999999995</v>
      </c>
      <c r="V47" s="41">
        <v>816</v>
      </c>
      <c r="W47" s="41">
        <v>8222</v>
      </c>
      <c r="X47" s="41">
        <v>3801</v>
      </c>
      <c r="Y47" s="41"/>
      <c r="Z47" s="41">
        <v>2956</v>
      </c>
      <c r="AA47" s="41"/>
      <c r="AB47" s="41">
        <f>175/0.55</f>
        <v>318.18181818181813</v>
      </c>
      <c r="AC47" s="41"/>
      <c r="AD47" s="41">
        <v>3060</v>
      </c>
      <c r="AE47" s="41">
        <v>155</v>
      </c>
      <c r="AF47" s="41">
        <v>1535</v>
      </c>
      <c r="AG47" s="41">
        <f>8225*0.49</f>
        <v>4030.25</v>
      </c>
      <c r="AH47" s="67">
        <f t="shared" ref="AH47:AH52" si="13">56*0.75</f>
        <v>42</v>
      </c>
      <c r="AI47" s="41">
        <v>6719</v>
      </c>
      <c r="AJ47" s="45">
        <v>0.49798000000000003</v>
      </c>
      <c r="AK47" s="45">
        <v>1.327</v>
      </c>
      <c r="AL47" s="45">
        <v>208.32900000000001</v>
      </c>
      <c r="AM47" s="45">
        <v>0.42899999999999999</v>
      </c>
      <c r="AN47" s="45">
        <v>1.79</v>
      </c>
      <c r="AO47" s="45">
        <v>6.54</v>
      </c>
      <c r="AP47" s="45">
        <v>6.33</v>
      </c>
      <c r="AQ47" s="45">
        <v>10</v>
      </c>
      <c r="AR47" s="45">
        <v>8.74</v>
      </c>
      <c r="AS47" s="45">
        <v>1.1000000000000001</v>
      </c>
      <c r="AT47" s="47">
        <v>1.2999999999999999E-2</v>
      </c>
      <c r="AU47" s="45">
        <v>0.94399999999999995</v>
      </c>
      <c r="AV47" s="45">
        <v>2</v>
      </c>
      <c r="AW47" s="45">
        <v>9.0052485000000004</v>
      </c>
      <c r="AX47" s="45">
        <v>0.34399999999999997</v>
      </c>
      <c r="AY47" s="48">
        <v>0.50600000000000001</v>
      </c>
    </row>
    <row r="48" spans="1:52" ht="13.5" customHeight="1" x14ac:dyDescent="0.2">
      <c r="A48" s="40">
        <v>45697</v>
      </c>
      <c r="B48" s="41">
        <v>5933</v>
      </c>
      <c r="C48" s="68">
        <v>1442</v>
      </c>
      <c r="D48" s="69">
        <v>124</v>
      </c>
      <c r="E48" s="69">
        <v>236</v>
      </c>
      <c r="F48" s="69">
        <v>115</v>
      </c>
      <c r="G48" s="41">
        <v>130</v>
      </c>
      <c r="H48" s="41">
        <v>8951.1450000000004</v>
      </c>
      <c r="I48" s="41">
        <v>919.74199999999996</v>
      </c>
      <c r="J48" s="41">
        <v>1834.079</v>
      </c>
      <c r="K48" s="41">
        <v>12660</v>
      </c>
      <c r="L48" s="41">
        <f>3543+713.8516918</f>
        <v>4256.8516918000005</v>
      </c>
      <c r="M48" s="41">
        <f>8938-N48</f>
        <v>8646</v>
      </c>
      <c r="N48" s="41">
        <v>292</v>
      </c>
      <c r="O48" s="41">
        <v>8991</v>
      </c>
      <c r="P48" s="41">
        <v>372</v>
      </c>
      <c r="Q48" s="41">
        <v>7788</v>
      </c>
      <c r="R48" s="41">
        <v>2618</v>
      </c>
      <c r="S48" s="41">
        <v>10320</v>
      </c>
      <c r="T48" s="41">
        <v>8203</v>
      </c>
      <c r="U48" s="41">
        <f>14*6.2898</f>
        <v>88.057199999999995</v>
      </c>
      <c r="V48" s="41">
        <v>813</v>
      </c>
      <c r="W48" s="41">
        <v>8263</v>
      </c>
      <c r="X48" s="41">
        <v>3868</v>
      </c>
      <c r="Y48" s="41"/>
      <c r="Z48" s="41">
        <v>2962</v>
      </c>
      <c r="AA48" s="41"/>
      <c r="AB48" s="41">
        <f>223/0.55</f>
        <v>405.45454545454544</v>
      </c>
      <c r="AC48" s="41"/>
      <c r="AD48" s="41">
        <v>3202</v>
      </c>
      <c r="AE48" s="41">
        <v>155</v>
      </c>
      <c r="AF48" s="41">
        <v>1525</v>
      </c>
      <c r="AG48" s="41">
        <f>8228*0.49</f>
        <v>4031.72</v>
      </c>
      <c r="AH48" s="70">
        <f t="shared" si="13"/>
        <v>42</v>
      </c>
      <c r="AI48" s="41">
        <v>6691</v>
      </c>
      <c r="AJ48" s="45">
        <v>0.49808999999999998</v>
      </c>
      <c r="AK48" s="45">
        <v>1.3340000000000001</v>
      </c>
      <c r="AL48" s="45">
        <v>197.10042000000001</v>
      </c>
      <c r="AM48" s="45">
        <v>0.44</v>
      </c>
      <c r="AN48" s="45">
        <v>3.17</v>
      </c>
      <c r="AO48" s="45">
        <v>6.47</v>
      </c>
      <c r="AP48" s="45">
        <v>6.33</v>
      </c>
      <c r="AQ48" s="45">
        <v>10</v>
      </c>
      <c r="AR48" s="45">
        <v>8.74</v>
      </c>
      <c r="AS48" s="45">
        <v>1.5</v>
      </c>
      <c r="AT48" s="47">
        <v>1.2999999999999999E-2</v>
      </c>
      <c r="AU48" s="45">
        <v>0.93899999999999995</v>
      </c>
      <c r="AV48" s="45">
        <v>2.0219999999999998</v>
      </c>
      <c r="AW48" s="45">
        <v>8.934619099999999</v>
      </c>
      <c r="AX48" s="45">
        <v>0.34200000000000003</v>
      </c>
      <c r="AY48" s="48">
        <v>0.50600000000000001</v>
      </c>
    </row>
    <row r="49" spans="1:51" ht="13.5" customHeight="1" x14ac:dyDescent="0.2">
      <c r="A49" s="40">
        <v>45698</v>
      </c>
      <c r="B49" s="68">
        <v>5970</v>
      </c>
      <c r="C49" s="68">
        <v>1441</v>
      </c>
      <c r="D49" s="69">
        <v>128</v>
      </c>
      <c r="E49" s="69">
        <v>216</v>
      </c>
      <c r="F49" s="69">
        <v>109</v>
      </c>
      <c r="G49" s="41">
        <v>130</v>
      </c>
      <c r="H49" s="41">
        <v>8549.1859999999997</v>
      </c>
      <c r="I49" s="41">
        <v>898.529</v>
      </c>
      <c r="J49" s="41">
        <v>1798.9770000000001</v>
      </c>
      <c r="K49" s="41">
        <v>12295</v>
      </c>
      <c r="L49" s="41">
        <f>3690.51561764+351</f>
        <v>4041.5156176400001</v>
      </c>
      <c r="M49" s="41">
        <f>8803-N49</f>
        <v>8511</v>
      </c>
      <c r="N49" s="41">
        <v>292</v>
      </c>
      <c r="O49" s="41">
        <v>9302</v>
      </c>
      <c r="P49" s="41">
        <v>370</v>
      </c>
      <c r="Q49" s="41">
        <v>7739</v>
      </c>
      <c r="R49" s="41">
        <v>2558</v>
      </c>
      <c r="S49" s="41">
        <v>10240</v>
      </c>
      <c r="T49" s="41">
        <v>8271</v>
      </c>
      <c r="U49" s="41">
        <f>20*6.2898</f>
        <v>125.79599999999999</v>
      </c>
      <c r="V49" s="41">
        <v>850</v>
      </c>
      <c r="W49" s="41">
        <v>8306</v>
      </c>
      <c r="X49" s="41">
        <v>3716</v>
      </c>
      <c r="Y49" s="41"/>
      <c r="Z49" s="41">
        <v>2953</v>
      </c>
      <c r="AA49" s="41"/>
      <c r="AB49" s="41">
        <f>251/0.55</f>
        <v>456.36363636363632</v>
      </c>
      <c r="AC49" s="41"/>
      <c r="AD49" s="41">
        <v>3220</v>
      </c>
      <c r="AE49" s="41">
        <v>155</v>
      </c>
      <c r="AF49" s="41">
        <v>3648</v>
      </c>
      <c r="AG49" s="41">
        <f>8224*0.49</f>
        <v>4029.7599999999998</v>
      </c>
      <c r="AH49" s="70">
        <f t="shared" si="13"/>
        <v>42</v>
      </c>
      <c r="AI49" s="41">
        <v>6707</v>
      </c>
      <c r="AJ49" s="45">
        <v>0.56999999999999995</v>
      </c>
      <c r="AK49" s="45">
        <v>1.6220000000000001</v>
      </c>
      <c r="AL49" s="45">
        <v>210.30636000000001</v>
      </c>
      <c r="AM49" s="45">
        <v>0.41699999999999998</v>
      </c>
      <c r="AN49" s="45">
        <v>4.1900000000000004</v>
      </c>
      <c r="AO49" s="45">
        <v>6.47</v>
      </c>
      <c r="AP49" s="45">
        <v>6.33</v>
      </c>
      <c r="AQ49" s="45">
        <v>14</v>
      </c>
      <c r="AR49" s="45">
        <v>8.74</v>
      </c>
      <c r="AS49" s="45">
        <v>1.1000000000000001</v>
      </c>
      <c r="AT49" s="47">
        <v>1.2999999999999999E-2</v>
      </c>
      <c r="AU49" s="45">
        <v>2.2829999999999999</v>
      </c>
      <c r="AV49" s="45">
        <v>2.0489999999999999</v>
      </c>
      <c r="AW49" s="45">
        <v>9.6409131000000006</v>
      </c>
      <c r="AX49" s="45">
        <v>0.33500000000000002</v>
      </c>
      <c r="AY49" s="48">
        <v>0.50600000000000001</v>
      </c>
    </row>
    <row r="50" spans="1:51" ht="13.5" customHeight="1" x14ac:dyDescent="0.2">
      <c r="A50" s="40">
        <v>45699</v>
      </c>
      <c r="B50" s="68">
        <v>5894</v>
      </c>
      <c r="C50" s="68">
        <v>1404</v>
      </c>
      <c r="D50" s="69">
        <v>124</v>
      </c>
      <c r="E50" s="69">
        <v>228</v>
      </c>
      <c r="F50" s="69">
        <v>109</v>
      </c>
      <c r="G50" s="41">
        <v>130</v>
      </c>
      <c r="H50" s="41">
        <v>8654.0660000000007</v>
      </c>
      <c r="I50" s="41">
        <v>839.85299999999995</v>
      </c>
      <c r="J50" s="41">
        <v>1737.654</v>
      </c>
      <c r="K50" s="41">
        <v>12235</v>
      </c>
      <c r="L50" s="41">
        <f>3708.08272368+357</f>
        <v>4065.0827236800001</v>
      </c>
      <c r="M50" s="41">
        <f>8806-N50</f>
        <v>8569</v>
      </c>
      <c r="N50" s="41">
        <v>237</v>
      </c>
      <c r="O50" s="41">
        <v>9880</v>
      </c>
      <c r="P50" s="41">
        <v>368</v>
      </c>
      <c r="Q50" s="41">
        <v>7707</v>
      </c>
      <c r="R50" s="41">
        <v>2727</v>
      </c>
      <c r="S50" s="41">
        <v>10304</v>
      </c>
      <c r="T50" s="41">
        <v>8066</v>
      </c>
      <c r="U50" s="41">
        <f>10*6.2898</f>
        <v>62.897999999999996</v>
      </c>
      <c r="V50" s="41">
        <v>795</v>
      </c>
      <c r="W50" s="41">
        <v>8251</v>
      </c>
      <c r="X50" s="41">
        <v>3837</v>
      </c>
      <c r="Y50" s="41"/>
      <c r="Z50" s="41">
        <v>2957</v>
      </c>
      <c r="AA50" s="41"/>
      <c r="AB50" s="41">
        <f>252/0.55</f>
        <v>458.18181818181813</v>
      </c>
      <c r="AC50" s="41"/>
      <c r="AD50" s="41">
        <v>3992</v>
      </c>
      <c r="AE50" s="41">
        <v>155</v>
      </c>
      <c r="AF50" s="41">
        <v>8251</v>
      </c>
      <c r="AG50" s="41">
        <f>8095*0.49</f>
        <v>3966.5499999999997</v>
      </c>
      <c r="AH50" s="70">
        <f t="shared" si="13"/>
        <v>42</v>
      </c>
      <c r="AI50" s="41">
        <v>6691</v>
      </c>
      <c r="AJ50" s="45">
        <v>0.35099999999999998</v>
      </c>
      <c r="AK50" s="45">
        <v>0.89200000000000002</v>
      </c>
      <c r="AL50" s="45">
        <v>215.10852000000003</v>
      </c>
      <c r="AM50" s="45">
        <v>0.43</v>
      </c>
      <c r="AN50" s="45">
        <v>1.45</v>
      </c>
      <c r="AO50" s="45">
        <v>1.76</v>
      </c>
      <c r="AP50" s="45">
        <v>6.7</v>
      </c>
      <c r="AQ50" s="45">
        <v>35</v>
      </c>
      <c r="AR50" s="45">
        <v>8.74</v>
      </c>
      <c r="AS50" s="45">
        <v>1.3</v>
      </c>
      <c r="AT50" s="47">
        <v>1.2999999999999999E-2</v>
      </c>
      <c r="AU50" s="45">
        <v>4.9219999999999997</v>
      </c>
      <c r="AV50" s="45">
        <v>2.0779999999999998</v>
      </c>
      <c r="AW50" s="45">
        <v>9.9587453999999997</v>
      </c>
      <c r="AX50" s="45">
        <v>0.33500000000000002</v>
      </c>
      <c r="AY50" s="48">
        <v>0.50600000000000001</v>
      </c>
    </row>
    <row r="51" spans="1:51" ht="13.5" customHeight="1" x14ac:dyDescent="0.2">
      <c r="A51" s="40">
        <v>45700</v>
      </c>
      <c r="B51" s="68">
        <v>5872</v>
      </c>
      <c r="C51" s="68">
        <v>1407</v>
      </c>
      <c r="D51" s="69">
        <v>127</v>
      </c>
      <c r="E51" s="69">
        <v>221</v>
      </c>
      <c r="F51" s="69">
        <v>110</v>
      </c>
      <c r="G51" s="41">
        <v>130</v>
      </c>
      <c r="H51" s="41">
        <v>8599.116</v>
      </c>
      <c r="I51" s="41">
        <v>864.83299999999997</v>
      </c>
      <c r="J51" s="41">
        <v>1841.5029999999999</v>
      </c>
      <c r="K51" s="41">
        <v>12164</v>
      </c>
      <c r="L51" s="41">
        <f>3698.28086208+350</f>
        <v>4048.2808620800001</v>
      </c>
      <c r="M51" s="41">
        <f>8715-N51</f>
        <v>8478</v>
      </c>
      <c r="N51" s="41">
        <v>237</v>
      </c>
      <c r="O51" s="41">
        <v>9359</v>
      </c>
      <c r="P51" s="41">
        <v>379</v>
      </c>
      <c r="Q51" s="41">
        <v>7715</v>
      </c>
      <c r="R51" s="41">
        <v>2589</v>
      </c>
      <c r="S51" s="41">
        <v>10333</v>
      </c>
      <c r="T51" s="41">
        <v>8114</v>
      </c>
      <c r="U51" s="41">
        <f>10*6.2898</f>
        <v>62.897999999999996</v>
      </c>
      <c r="V51" s="41">
        <v>795</v>
      </c>
      <c r="W51" s="41">
        <v>8209</v>
      </c>
      <c r="X51" s="41">
        <v>3821</v>
      </c>
      <c r="Y51" s="41"/>
      <c r="Z51" s="41">
        <v>2957</v>
      </c>
      <c r="AA51" s="41"/>
      <c r="AB51" s="41">
        <f>252/0.55</f>
        <v>458.18181818181813</v>
      </c>
      <c r="AC51" s="41"/>
      <c r="AD51" s="41">
        <v>4506</v>
      </c>
      <c r="AE51" s="41">
        <v>155</v>
      </c>
      <c r="AF51" s="41">
        <v>8343</v>
      </c>
      <c r="AG51" s="41">
        <f>8096*0.49</f>
        <v>3967.04</v>
      </c>
      <c r="AH51" s="70">
        <f t="shared" si="13"/>
        <v>42</v>
      </c>
      <c r="AI51" s="41">
        <v>6701</v>
      </c>
      <c r="AJ51" s="45">
        <v>0.38500000000000001</v>
      </c>
      <c r="AK51" s="45">
        <v>0.96299999999999997</v>
      </c>
      <c r="AL51" s="45">
        <v>206.88129000000001</v>
      </c>
      <c r="AM51" s="45">
        <v>0.44900000000000001</v>
      </c>
      <c r="AN51" s="45">
        <v>2.34</v>
      </c>
      <c r="AO51" s="45">
        <v>1.38</v>
      </c>
      <c r="AP51" s="45">
        <v>6.74</v>
      </c>
      <c r="AQ51" s="45">
        <v>48</v>
      </c>
      <c r="AR51" s="45">
        <v>8.74</v>
      </c>
      <c r="AS51" s="45">
        <v>1.3</v>
      </c>
      <c r="AT51" s="47">
        <v>1.2999999999999999E-2</v>
      </c>
      <c r="AU51" s="45">
        <v>4.9219999999999997</v>
      </c>
      <c r="AV51" s="45">
        <v>2.6219999999999999</v>
      </c>
      <c r="AW51" s="45">
        <v>10.912242299999999</v>
      </c>
      <c r="AX51" s="45">
        <v>0.32500000000000001</v>
      </c>
      <c r="AY51" s="48">
        <v>0.50600000000000001</v>
      </c>
    </row>
    <row r="52" spans="1:51" ht="13.5" customHeight="1" x14ac:dyDescent="0.2">
      <c r="A52" s="40">
        <v>45701</v>
      </c>
      <c r="B52" s="68">
        <v>5888</v>
      </c>
      <c r="C52" s="68">
        <v>1438</v>
      </c>
      <c r="D52" s="69">
        <v>120</v>
      </c>
      <c r="E52" s="69">
        <v>226</v>
      </c>
      <c r="F52" s="69">
        <v>114</v>
      </c>
      <c r="G52" s="41">
        <v>130</v>
      </c>
      <c r="H52" s="41">
        <v>8433.9750000000004</v>
      </c>
      <c r="I52" s="41">
        <v>916.11199999999997</v>
      </c>
      <c r="J52" s="41">
        <v>1931.396</v>
      </c>
      <c r="K52" s="41">
        <v>12159</v>
      </c>
      <c r="L52" s="41">
        <f>3672.05899412+346</f>
        <v>4018.0589941200001</v>
      </c>
      <c r="M52" s="41">
        <f>8750-N52</f>
        <v>8513</v>
      </c>
      <c r="N52" s="41">
        <v>237</v>
      </c>
      <c r="O52" s="41">
        <v>9514</v>
      </c>
      <c r="P52" s="41">
        <v>358</v>
      </c>
      <c r="Q52" s="41">
        <v>7705</v>
      </c>
      <c r="R52" s="41">
        <v>2703</v>
      </c>
      <c r="S52" s="41">
        <v>10246</v>
      </c>
      <c r="T52" s="41">
        <v>8091</v>
      </c>
      <c r="U52" s="41">
        <f>19*6.2898</f>
        <v>119.50619999999999</v>
      </c>
      <c r="V52" s="41">
        <v>842</v>
      </c>
      <c r="W52" s="41">
        <v>8227</v>
      </c>
      <c r="X52" s="41">
        <v>3830</v>
      </c>
      <c r="Y52" s="41"/>
      <c r="Z52" s="41">
        <v>2965</v>
      </c>
      <c r="AA52" s="41"/>
      <c r="AB52" s="41">
        <f>231/0.55</f>
        <v>419.99999999999994</v>
      </c>
      <c r="AC52" s="41"/>
      <c r="AD52" s="41">
        <v>4650</v>
      </c>
      <c r="AE52" s="41">
        <v>155</v>
      </c>
      <c r="AF52" s="41">
        <v>9084</v>
      </c>
      <c r="AG52" s="41">
        <f>8096*0.49</f>
        <v>3967.04</v>
      </c>
      <c r="AH52" s="70">
        <f t="shared" si="13"/>
        <v>42</v>
      </c>
      <c r="AI52" s="41">
        <v>6739</v>
      </c>
      <c r="AJ52" s="45">
        <v>0.47</v>
      </c>
      <c r="AK52" s="45">
        <v>1.2689999999999999</v>
      </c>
      <c r="AL52" s="45">
        <v>210.65946000000002</v>
      </c>
      <c r="AM52" s="45">
        <v>0.47599999999999998</v>
      </c>
      <c r="AN52" s="45">
        <v>2.78</v>
      </c>
      <c r="AO52" s="45">
        <v>1.7</v>
      </c>
      <c r="AP52" s="45">
        <v>6.88</v>
      </c>
      <c r="AQ52" s="45">
        <v>51</v>
      </c>
      <c r="AR52" s="45">
        <v>8.74</v>
      </c>
      <c r="AS52" s="45">
        <v>1.3</v>
      </c>
      <c r="AT52" s="47">
        <v>1.2999999999999999E-2</v>
      </c>
      <c r="AU52" s="45">
        <v>4.95</v>
      </c>
      <c r="AV52" s="45">
        <v>2.9980000000000002</v>
      </c>
      <c r="AW52" s="45">
        <v>12.1482568</v>
      </c>
      <c r="AX52" s="45">
        <v>0.31900000000000001</v>
      </c>
      <c r="AY52" s="48">
        <v>0.49099999999999999</v>
      </c>
    </row>
    <row r="53" spans="1:51" ht="13.5" customHeight="1" x14ac:dyDescent="0.2">
      <c r="A53" s="40">
        <v>45702</v>
      </c>
      <c r="B53" s="68">
        <v>5902</v>
      </c>
      <c r="C53" s="68">
        <v>1441</v>
      </c>
      <c r="D53" s="69">
        <v>123</v>
      </c>
      <c r="E53" s="69">
        <v>219</v>
      </c>
      <c r="F53" s="69">
        <v>108</v>
      </c>
      <c r="G53" s="41">
        <v>130</v>
      </c>
      <c r="H53" s="41">
        <v>8582.7459999999992</v>
      </c>
      <c r="I53" s="41">
        <v>968.95399999999995</v>
      </c>
      <c r="J53" s="41">
        <v>1995.68</v>
      </c>
      <c r="K53" s="41">
        <v>12122</v>
      </c>
      <c r="L53" s="41">
        <f>3535.0628096+327</f>
        <v>3862.0628096</v>
      </c>
      <c r="M53" s="41">
        <f>9124-N53</f>
        <v>8609</v>
      </c>
      <c r="N53" s="41">
        <v>515</v>
      </c>
      <c r="O53" s="41">
        <v>9244</v>
      </c>
      <c r="P53" s="41">
        <v>366</v>
      </c>
      <c r="Q53" s="41">
        <v>7685</v>
      </c>
      <c r="R53" s="41">
        <v>2769</v>
      </c>
      <c r="S53" s="41">
        <v>10242</v>
      </c>
      <c r="T53" s="41">
        <v>7946</v>
      </c>
      <c r="U53" s="41">
        <f>20*6.2898</f>
        <v>125.79599999999999</v>
      </c>
      <c r="V53" s="41">
        <v>849</v>
      </c>
      <c r="W53" s="41">
        <v>8185</v>
      </c>
      <c r="X53" s="41">
        <v>3788</v>
      </c>
      <c r="Y53" s="41"/>
      <c r="Z53" s="41">
        <v>2965</v>
      </c>
      <c r="AA53" s="41"/>
      <c r="AB53" s="41">
        <f>237/0.55</f>
        <v>430.90909090909088</v>
      </c>
      <c r="AC53" s="41"/>
      <c r="AD53" s="41">
        <v>4525</v>
      </c>
      <c r="AE53" s="41">
        <v>155</v>
      </c>
      <c r="AF53" s="41">
        <v>9970</v>
      </c>
      <c r="AG53" s="41">
        <f>8095*0.49</f>
        <v>3966.5499999999997</v>
      </c>
      <c r="AH53" s="70">
        <f>55*0.75</f>
        <v>41.25</v>
      </c>
      <c r="AI53" s="41">
        <v>6644</v>
      </c>
      <c r="AJ53" s="45">
        <v>0.47</v>
      </c>
      <c r="AK53" s="45">
        <v>1.2689999999999999</v>
      </c>
      <c r="AL53" s="45">
        <v>202.39692000000002</v>
      </c>
      <c r="AM53" s="45">
        <v>0.47799999999999998</v>
      </c>
      <c r="AN53" s="45">
        <v>2.58</v>
      </c>
      <c r="AO53" s="45">
        <v>1.75</v>
      </c>
      <c r="AP53" s="45">
        <v>6.83</v>
      </c>
      <c r="AQ53" s="45">
        <v>50</v>
      </c>
      <c r="AR53" s="45">
        <v>8.74</v>
      </c>
      <c r="AS53" s="45">
        <v>1.3</v>
      </c>
      <c r="AT53" s="47">
        <v>1.2999999999999999E-2</v>
      </c>
      <c r="AU53" s="45">
        <v>4.9530000000000003</v>
      </c>
      <c r="AV53" s="45">
        <v>3.1389999999999998</v>
      </c>
      <c r="AW53" s="45">
        <v>12.1482568</v>
      </c>
      <c r="AX53" s="45">
        <v>0.31900000000000001</v>
      </c>
      <c r="AY53" s="48">
        <v>0.49099999999999999</v>
      </c>
    </row>
    <row r="54" spans="1:51" ht="13.5" customHeight="1" x14ac:dyDescent="0.2">
      <c r="A54" s="40">
        <v>45703</v>
      </c>
      <c r="B54" s="68">
        <v>5842</v>
      </c>
      <c r="C54" s="68">
        <v>1406</v>
      </c>
      <c r="D54" s="69">
        <v>125</v>
      </c>
      <c r="E54" s="69">
        <v>222</v>
      </c>
      <c r="F54" s="69">
        <v>110</v>
      </c>
      <c r="G54" s="41">
        <v>130</v>
      </c>
      <c r="H54" s="41">
        <v>8577.1740000000009</v>
      </c>
      <c r="I54" s="41">
        <v>1030.749</v>
      </c>
      <c r="J54" s="41">
        <v>2103.0219999999999</v>
      </c>
      <c r="K54" s="41">
        <v>11785</v>
      </c>
      <c r="L54" s="41">
        <f>3631.4902342+341</f>
        <v>3972.4902342</v>
      </c>
      <c r="M54" s="41">
        <f>9200-N54</f>
        <v>8729</v>
      </c>
      <c r="N54" s="41">
        <v>471</v>
      </c>
      <c r="O54" s="41">
        <v>9448</v>
      </c>
      <c r="P54" s="41">
        <v>357</v>
      </c>
      <c r="Q54" s="41">
        <v>7645</v>
      </c>
      <c r="R54" s="41">
        <v>2865</v>
      </c>
      <c r="S54" s="41">
        <v>10248</v>
      </c>
      <c r="T54" s="41">
        <v>7970</v>
      </c>
      <c r="U54" s="41">
        <f>19*6.2898</f>
        <v>119.50619999999999</v>
      </c>
      <c r="V54" s="41">
        <v>832</v>
      </c>
      <c r="W54" s="41">
        <v>8169</v>
      </c>
      <c r="X54" s="41">
        <v>3822</v>
      </c>
      <c r="Y54" s="41"/>
      <c r="Z54" s="41">
        <v>2965</v>
      </c>
      <c r="AA54" s="41"/>
      <c r="AB54" s="41">
        <f>238/0.55</f>
        <v>432.72727272727269</v>
      </c>
      <c r="AC54" s="41"/>
      <c r="AD54" s="41">
        <v>4556</v>
      </c>
      <c r="AE54" s="41">
        <v>155</v>
      </c>
      <c r="AF54" s="41">
        <v>9617</v>
      </c>
      <c r="AG54" s="41">
        <f>8225*0.49</f>
        <v>4030.25</v>
      </c>
      <c r="AH54" s="70">
        <f>54*0.75</f>
        <v>40.5</v>
      </c>
      <c r="AI54" s="41">
        <v>6654</v>
      </c>
      <c r="AJ54" s="45">
        <v>0.46</v>
      </c>
      <c r="AK54" s="45">
        <v>1.2450000000000001</v>
      </c>
      <c r="AL54" s="45">
        <v>213.51957000000002</v>
      </c>
      <c r="AM54" s="45">
        <v>0.44900000000000001</v>
      </c>
      <c r="AN54" s="45">
        <v>2.9</v>
      </c>
      <c r="AO54" s="45">
        <v>1.82</v>
      </c>
      <c r="AP54" s="45">
        <v>6.78</v>
      </c>
      <c r="AQ54" s="45">
        <v>50</v>
      </c>
      <c r="AR54" s="45">
        <v>8.74</v>
      </c>
      <c r="AS54" s="45">
        <v>1.3</v>
      </c>
      <c r="AT54" s="47">
        <v>1.2999999999999999E-2</v>
      </c>
      <c r="AU54" s="45">
        <v>4.9509999999999996</v>
      </c>
      <c r="AV54" s="45">
        <v>3.274</v>
      </c>
      <c r="AW54" s="45">
        <v>12.1482568</v>
      </c>
      <c r="AX54" s="45">
        <v>0.32200000000000001</v>
      </c>
      <c r="AY54" s="48">
        <v>0.48399999999999999</v>
      </c>
    </row>
    <row r="55" spans="1:51" ht="13.5" customHeight="1" x14ac:dyDescent="0.2">
      <c r="A55" s="40">
        <v>45704</v>
      </c>
      <c r="B55" s="41">
        <v>5830</v>
      </c>
      <c r="C55" s="68">
        <v>1453</v>
      </c>
      <c r="D55" s="69">
        <v>128</v>
      </c>
      <c r="E55" s="69">
        <v>216</v>
      </c>
      <c r="F55" s="69">
        <v>114</v>
      </c>
      <c r="G55" s="69">
        <v>114</v>
      </c>
      <c r="H55" s="41">
        <v>8598.1530000000002</v>
      </c>
      <c r="I55" s="41">
        <v>1046.973</v>
      </c>
      <c r="J55" s="41">
        <v>2230.4659999999999</v>
      </c>
      <c r="K55" s="41">
        <v>10680</v>
      </c>
      <c r="L55" s="41">
        <f>3746.84160716+357</f>
        <v>4103.8416071600004</v>
      </c>
      <c r="M55" s="41">
        <f>9313-N55</f>
        <v>8910</v>
      </c>
      <c r="N55" s="41">
        <v>403</v>
      </c>
      <c r="O55" s="41">
        <v>9397</v>
      </c>
      <c r="P55" s="41">
        <v>357</v>
      </c>
      <c r="Q55" s="41">
        <v>7659</v>
      </c>
      <c r="R55" s="41">
        <v>2721</v>
      </c>
      <c r="S55" s="41">
        <v>10201</v>
      </c>
      <c r="T55" s="41">
        <v>7913</v>
      </c>
      <c r="U55" s="41">
        <f>4*6.2898</f>
        <v>25.159199999999998</v>
      </c>
      <c r="V55" s="41">
        <v>661</v>
      </c>
      <c r="W55" s="41">
        <v>8180</v>
      </c>
      <c r="X55" s="41">
        <v>3737</v>
      </c>
      <c r="Y55" s="41"/>
      <c r="Z55" s="41">
        <v>3163</v>
      </c>
      <c r="AA55" s="41"/>
      <c r="AB55" s="41">
        <f>238/0.55</f>
        <v>432.72727272727269</v>
      </c>
      <c r="AC55" s="41"/>
      <c r="AD55" s="41">
        <v>3135</v>
      </c>
      <c r="AE55" s="41">
        <v>155</v>
      </c>
      <c r="AF55" s="41">
        <v>9005</v>
      </c>
      <c r="AG55" s="41">
        <f>8223*0.49</f>
        <v>4029.27</v>
      </c>
      <c r="AH55" s="70">
        <f t="shared" ref="AH55:AH62" si="14">56*0.75</f>
        <v>42</v>
      </c>
      <c r="AI55" s="41">
        <v>6724</v>
      </c>
      <c r="AJ55" s="45">
        <v>0.254</v>
      </c>
      <c r="AK55" s="45">
        <v>0.60399999999999998</v>
      </c>
      <c r="AL55" s="45">
        <v>210.12981000000002</v>
      </c>
      <c r="AM55" s="45">
        <v>0.13300000000000001</v>
      </c>
      <c r="AN55" s="45">
        <v>3.11</v>
      </c>
      <c r="AO55" s="45">
        <v>1.61</v>
      </c>
      <c r="AP55" s="45">
        <v>6.6</v>
      </c>
      <c r="AQ55" s="45">
        <v>16</v>
      </c>
      <c r="AR55" s="45">
        <v>8.74</v>
      </c>
      <c r="AS55" s="45">
        <v>1.3</v>
      </c>
      <c r="AT55" s="47">
        <v>1.2999999999999999E-2</v>
      </c>
      <c r="AU55" s="45">
        <v>4.9470000000000001</v>
      </c>
      <c r="AV55" s="45">
        <v>1.7410000000000001</v>
      </c>
      <c r="AW55" s="45">
        <v>13.3136419</v>
      </c>
      <c r="AX55" s="45">
        <v>0.33500000000000002</v>
      </c>
      <c r="AY55" s="48">
        <v>0.48499999999999999</v>
      </c>
    </row>
    <row r="56" spans="1:51" ht="13.5" customHeight="1" x14ac:dyDescent="0.2">
      <c r="A56" s="40">
        <v>45705</v>
      </c>
      <c r="B56" s="41">
        <v>5866</v>
      </c>
      <c r="C56" s="68">
        <v>1422</v>
      </c>
      <c r="D56" s="69">
        <v>126</v>
      </c>
      <c r="E56" s="69">
        <v>237</v>
      </c>
      <c r="F56" s="69">
        <v>106</v>
      </c>
      <c r="G56" s="69">
        <v>106</v>
      </c>
      <c r="H56" s="41">
        <v>8664.8070000000007</v>
      </c>
      <c r="I56" s="41">
        <v>810.26400000000001</v>
      </c>
      <c r="J56" s="41">
        <v>1733.414</v>
      </c>
      <c r="K56" s="41">
        <v>12445</v>
      </c>
      <c r="L56" s="41">
        <f>3593.25887528+334</f>
        <v>3927.2588752800002</v>
      </c>
      <c r="M56" s="41">
        <f>9045-N56</f>
        <v>8641</v>
      </c>
      <c r="N56" s="41">
        <v>404</v>
      </c>
      <c r="O56" s="41">
        <v>9549</v>
      </c>
      <c r="P56" s="41">
        <v>359</v>
      </c>
      <c r="Q56" s="41">
        <v>7215</v>
      </c>
      <c r="R56" s="41">
        <v>2830</v>
      </c>
      <c r="S56" s="41">
        <v>10227</v>
      </c>
      <c r="T56" s="41">
        <v>8046</v>
      </c>
      <c r="U56" s="41">
        <f>18*6.2898</f>
        <v>113.21639999999999</v>
      </c>
      <c r="V56" s="41">
        <v>780</v>
      </c>
      <c r="W56" s="41">
        <v>8150</v>
      </c>
      <c r="X56" s="41">
        <v>3850</v>
      </c>
      <c r="Y56" s="41"/>
      <c r="Z56" s="41">
        <v>3645</v>
      </c>
      <c r="AA56" s="41"/>
      <c r="AB56" s="41">
        <f>239/0.55</f>
        <v>434.5454545454545</v>
      </c>
      <c r="AC56" s="41"/>
      <c r="AD56" s="41">
        <v>3606</v>
      </c>
      <c r="AE56" s="41">
        <v>155</v>
      </c>
      <c r="AF56" s="41">
        <v>9132</v>
      </c>
      <c r="AG56" s="41">
        <f>8226*0.49</f>
        <v>4030.74</v>
      </c>
      <c r="AH56" s="70">
        <f t="shared" si="14"/>
        <v>42</v>
      </c>
      <c r="AI56" s="41">
        <v>6735</v>
      </c>
      <c r="AJ56" s="45">
        <v>0.13900000000000001</v>
      </c>
      <c r="AK56" s="45">
        <v>0.3</v>
      </c>
      <c r="AL56" s="45">
        <v>212.49558000000002</v>
      </c>
      <c r="AM56" s="45">
        <v>0.39100000000000001</v>
      </c>
      <c r="AN56" s="45">
        <v>3.11</v>
      </c>
      <c r="AO56" s="45">
        <v>1.61</v>
      </c>
      <c r="AP56" s="45">
        <v>6.6</v>
      </c>
      <c r="AQ56" s="45">
        <v>10</v>
      </c>
      <c r="AR56" s="45">
        <v>8.74</v>
      </c>
      <c r="AS56" s="45">
        <v>1.3</v>
      </c>
      <c r="AT56" s="47">
        <v>1.2999999999999999E-2</v>
      </c>
      <c r="AU56" s="45">
        <v>4.9539999999999997</v>
      </c>
      <c r="AV56" s="45">
        <v>3.3359999999999999</v>
      </c>
      <c r="AW56" s="45">
        <v>10.629724700000001</v>
      </c>
      <c r="AX56" s="45">
        <v>0.33500000000000002</v>
      </c>
      <c r="AY56" s="48">
        <v>0.48499999999999999</v>
      </c>
    </row>
    <row r="57" spans="1:51" ht="13.5" customHeight="1" x14ac:dyDescent="0.2">
      <c r="A57" s="40">
        <v>45706</v>
      </c>
      <c r="B57" s="41">
        <v>5823</v>
      </c>
      <c r="C57" s="68">
        <v>1500</v>
      </c>
      <c r="D57" s="69">
        <v>127</v>
      </c>
      <c r="E57" s="69">
        <v>228</v>
      </c>
      <c r="F57" s="69">
        <v>109</v>
      </c>
      <c r="G57" s="69">
        <v>109</v>
      </c>
      <c r="H57" s="41">
        <v>8681.5869999999995</v>
      </c>
      <c r="I57" s="41">
        <v>715.93499999999995</v>
      </c>
      <c r="J57" s="41">
        <v>1665.0360000000001</v>
      </c>
      <c r="K57" s="41">
        <v>12447</v>
      </c>
      <c r="L57" s="41">
        <f>3554.7760946+329</f>
        <v>3883.7760945999999</v>
      </c>
      <c r="M57" s="41">
        <f>9020-N57</f>
        <v>8631</v>
      </c>
      <c r="N57" s="41">
        <v>389</v>
      </c>
      <c r="O57" s="41">
        <v>9745</v>
      </c>
      <c r="P57" s="41">
        <v>359</v>
      </c>
      <c r="Q57" s="41">
        <v>6892</v>
      </c>
      <c r="R57" s="41">
        <v>2769</v>
      </c>
      <c r="S57" s="41">
        <v>10099</v>
      </c>
      <c r="T57" s="41">
        <v>8017</v>
      </c>
      <c r="U57" s="41">
        <f>14*6.2898</f>
        <v>88.057199999999995</v>
      </c>
      <c r="V57" s="41">
        <v>785</v>
      </c>
      <c r="W57" s="41">
        <v>8180</v>
      </c>
      <c r="X57" s="41">
        <v>3700</v>
      </c>
      <c r="Y57" s="41"/>
      <c r="Z57" s="41">
        <v>3645</v>
      </c>
      <c r="AA57" s="41"/>
      <c r="AB57" s="41">
        <f>236/0.55</f>
        <v>429.09090909090907</v>
      </c>
      <c r="AC57" s="41"/>
      <c r="AD57" s="41">
        <v>3033</v>
      </c>
      <c r="AE57" s="41">
        <v>155</v>
      </c>
      <c r="AF57" s="41">
        <v>9145</v>
      </c>
      <c r="AG57" s="41">
        <f>8230*0.49</f>
        <v>4032.7</v>
      </c>
      <c r="AH57" s="70">
        <f t="shared" si="14"/>
        <v>42</v>
      </c>
      <c r="AI57" s="41">
        <v>6654</v>
      </c>
      <c r="AJ57" s="45">
        <v>0.215</v>
      </c>
      <c r="AK57" s="45">
        <v>0.54500000000000004</v>
      </c>
      <c r="AL57" s="45">
        <v>212.53089000000003</v>
      </c>
      <c r="AM57" s="45">
        <v>0.34699999999999998</v>
      </c>
      <c r="AN57" s="45">
        <v>3.89</v>
      </c>
      <c r="AO57" s="45">
        <v>1.66</v>
      </c>
      <c r="AP57" s="45">
        <v>6.29</v>
      </c>
      <c r="AQ57" s="45">
        <v>10</v>
      </c>
      <c r="AR57" s="45">
        <v>8.74</v>
      </c>
      <c r="AS57" s="45">
        <v>1.3</v>
      </c>
      <c r="AT57" s="47">
        <v>1.2999999999999999E-2</v>
      </c>
      <c r="AU57" s="45">
        <v>4.9569999999999999</v>
      </c>
      <c r="AV57" s="45">
        <v>3.3740000000000001</v>
      </c>
      <c r="AW57" s="45">
        <v>11.795109800000001</v>
      </c>
      <c r="AX57" s="45">
        <v>0.34499999999999997</v>
      </c>
      <c r="AY57" s="48">
        <v>0.48799999999999999</v>
      </c>
    </row>
    <row r="58" spans="1:51" ht="13.5" customHeight="1" x14ac:dyDescent="0.2">
      <c r="A58" s="40">
        <v>45707</v>
      </c>
      <c r="B58" s="41">
        <v>5812</v>
      </c>
      <c r="C58" s="68">
        <v>1485</v>
      </c>
      <c r="D58" s="69">
        <v>126</v>
      </c>
      <c r="E58" s="69">
        <v>233</v>
      </c>
      <c r="F58" s="69">
        <v>107</v>
      </c>
      <c r="G58" s="69">
        <v>107</v>
      </c>
      <c r="H58" s="41">
        <v>9852</v>
      </c>
      <c r="I58" s="41">
        <v>744</v>
      </c>
      <c r="J58" s="41">
        <v>1730</v>
      </c>
      <c r="K58" s="41">
        <v>12661</v>
      </c>
      <c r="L58" s="41">
        <v>3804</v>
      </c>
      <c r="M58" s="41">
        <v>8761</v>
      </c>
      <c r="N58" s="41">
        <v>324</v>
      </c>
      <c r="O58" s="41">
        <v>9519</v>
      </c>
      <c r="P58" s="41">
        <v>384</v>
      </c>
      <c r="Q58" s="41">
        <v>7357</v>
      </c>
      <c r="R58" s="41">
        <v>2872</v>
      </c>
      <c r="S58" s="41">
        <v>10434</v>
      </c>
      <c r="T58" s="41">
        <v>7913</v>
      </c>
      <c r="U58" s="41">
        <f>14*6.2898</f>
        <v>88.057199999999995</v>
      </c>
      <c r="V58" s="41">
        <v>828</v>
      </c>
      <c r="W58" s="41">
        <v>8205</v>
      </c>
      <c r="X58" s="41">
        <v>4017</v>
      </c>
      <c r="Y58" s="41"/>
      <c r="Z58" s="41">
        <v>3629</v>
      </c>
      <c r="AA58" s="41"/>
      <c r="AB58" s="41">
        <f>236/0.55</f>
        <v>429.09090909090907</v>
      </c>
      <c r="AC58" s="41"/>
      <c r="AD58" s="41">
        <v>3444</v>
      </c>
      <c r="AE58" s="41">
        <v>155</v>
      </c>
      <c r="AF58" s="41">
        <v>9223</v>
      </c>
      <c r="AG58" s="41">
        <f>8226*0.49</f>
        <v>4030.74</v>
      </c>
      <c r="AH58" s="70">
        <f t="shared" si="14"/>
        <v>42</v>
      </c>
      <c r="AI58" s="41">
        <v>6980</v>
      </c>
      <c r="AJ58" s="45">
        <v>0.375</v>
      </c>
      <c r="AK58" s="45">
        <v>0.89900000000000002</v>
      </c>
      <c r="AL58" s="45">
        <v>211.11849000000001</v>
      </c>
      <c r="AM58" s="45">
        <v>0.32800000000000001</v>
      </c>
      <c r="AN58" s="45">
        <v>3.89</v>
      </c>
      <c r="AO58" s="45">
        <v>1.66</v>
      </c>
      <c r="AP58" s="45">
        <v>6.29</v>
      </c>
      <c r="AQ58" s="45">
        <v>10</v>
      </c>
      <c r="AR58" s="45">
        <v>8.74</v>
      </c>
      <c r="AS58" s="45">
        <v>1.3</v>
      </c>
      <c r="AT58" s="47">
        <v>1.2999999999999999E-2</v>
      </c>
      <c r="AU58" s="45">
        <v>4.9610000000000003</v>
      </c>
      <c r="AV58" s="45">
        <v>3.343</v>
      </c>
      <c r="AW58" s="45">
        <v>13.172383100000001</v>
      </c>
      <c r="AX58" s="45">
        <v>0.33900000000000002</v>
      </c>
      <c r="AY58" s="48">
        <v>0.48799999999999999</v>
      </c>
    </row>
    <row r="59" spans="1:51" ht="13.5" customHeight="1" x14ac:dyDescent="0.2">
      <c r="A59" s="40">
        <v>45708</v>
      </c>
      <c r="B59" s="41">
        <v>5684</v>
      </c>
      <c r="C59" s="68">
        <v>1500</v>
      </c>
      <c r="D59" s="69">
        <v>128</v>
      </c>
      <c r="E59" s="69">
        <v>224</v>
      </c>
      <c r="F59" s="69">
        <v>101</v>
      </c>
      <c r="G59" s="69">
        <v>101</v>
      </c>
      <c r="H59" s="41">
        <v>9852</v>
      </c>
      <c r="I59" s="41">
        <v>744</v>
      </c>
      <c r="J59" s="41">
        <v>1730</v>
      </c>
      <c r="K59" s="41">
        <v>12661</v>
      </c>
      <c r="L59" s="41">
        <v>3804</v>
      </c>
      <c r="M59" s="41">
        <f>9170-N59</f>
        <v>8853</v>
      </c>
      <c r="N59" s="41">
        <v>317</v>
      </c>
      <c r="O59" s="41">
        <v>9519</v>
      </c>
      <c r="P59" s="41">
        <v>384</v>
      </c>
      <c r="Q59" s="41">
        <v>7424</v>
      </c>
      <c r="R59" s="41">
        <v>2877</v>
      </c>
      <c r="S59" s="41">
        <v>10113</v>
      </c>
      <c r="T59" s="41">
        <v>8046</v>
      </c>
      <c r="U59" s="41">
        <f>17*6.2898</f>
        <v>106.92659999999999</v>
      </c>
      <c r="V59" s="41">
        <v>817</v>
      </c>
      <c r="W59" s="41">
        <v>8205</v>
      </c>
      <c r="X59" s="41">
        <v>3551</v>
      </c>
      <c r="Y59" s="41"/>
      <c r="Z59" s="41">
        <v>3629</v>
      </c>
      <c r="AA59" s="41"/>
      <c r="AB59" s="41">
        <f>225/0.55</f>
        <v>409.09090909090907</v>
      </c>
      <c r="AC59" s="41"/>
      <c r="AD59" s="41">
        <v>4646</v>
      </c>
      <c r="AE59" s="41">
        <v>155</v>
      </c>
      <c r="AF59" s="41">
        <v>9106</v>
      </c>
      <c r="AG59" s="41">
        <f>8226*0.49</f>
        <v>4030.74</v>
      </c>
      <c r="AH59" s="70">
        <f t="shared" si="14"/>
        <v>42</v>
      </c>
      <c r="AI59" s="41">
        <v>6879</v>
      </c>
      <c r="AJ59" s="45">
        <v>0.42399999999999999</v>
      </c>
      <c r="AK59" s="45">
        <v>1.03</v>
      </c>
      <c r="AL59" s="45">
        <v>197.98317</v>
      </c>
      <c r="AM59" s="45">
        <v>0.375</v>
      </c>
      <c r="AN59" s="45">
        <v>4.16</v>
      </c>
      <c r="AO59" s="45">
        <v>1.87</v>
      </c>
      <c r="AP59" s="45">
        <v>6.65</v>
      </c>
      <c r="AQ59" s="45">
        <v>10</v>
      </c>
      <c r="AR59" s="45">
        <v>8.74</v>
      </c>
      <c r="AS59" s="45">
        <v>1.3</v>
      </c>
      <c r="AT59" s="47">
        <v>1.2999999999999999E-2</v>
      </c>
      <c r="AU59" s="45">
        <v>4.9530000000000003</v>
      </c>
      <c r="AV59" s="45">
        <v>3.39</v>
      </c>
      <c r="AW59" s="45">
        <v>13.172383100000001</v>
      </c>
      <c r="AX59" s="45">
        <v>0.33900000000000002</v>
      </c>
      <c r="AY59" s="48">
        <v>0.48799999999999999</v>
      </c>
    </row>
    <row r="60" spans="1:51" ht="13.5" customHeight="1" x14ac:dyDescent="0.2">
      <c r="A60" s="40">
        <v>45709</v>
      </c>
      <c r="B60" s="41">
        <v>5877</v>
      </c>
      <c r="C60" s="68">
        <v>1434</v>
      </c>
      <c r="D60" s="69">
        <v>120</v>
      </c>
      <c r="E60" s="69">
        <v>238</v>
      </c>
      <c r="F60" s="69">
        <v>102</v>
      </c>
      <c r="G60" s="69">
        <v>102</v>
      </c>
      <c r="H60" s="41">
        <v>8701</v>
      </c>
      <c r="I60" s="41">
        <v>748</v>
      </c>
      <c r="J60" s="41">
        <v>1752</v>
      </c>
      <c r="K60" s="41">
        <v>12590</v>
      </c>
      <c r="L60" s="41">
        <v>3688</v>
      </c>
      <c r="M60" s="41">
        <v>8963</v>
      </c>
      <c r="N60" s="41">
        <v>289</v>
      </c>
      <c r="O60" s="41">
        <v>8826</v>
      </c>
      <c r="P60" s="41">
        <v>414</v>
      </c>
      <c r="Q60" s="41">
        <v>7561</v>
      </c>
      <c r="R60" s="41">
        <v>2853</v>
      </c>
      <c r="S60" s="41">
        <v>9117</v>
      </c>
      <c r="T60" s="41">
        <v>8027</v>
      </c>
      <c r="U60" s="41">
        <f>17*6.2898</f>
        <v>106.92659999999999</v>
      </c>
      <c r="V60" s="41">
        <v>833</v>
      </c>
      <c r="W60" s="41">
        <v>8128</v>
      </c>
      <c r="X60" s="41">
        <v>4057</v>
      </c>
      <c r="Y60" s="41"/>
      <c r="Z60" s="41">
        <v>3637</v>
      </c>
      <c r="AA60" s="41"/>
      <c r="AB60" s="41">
        <f>227/0.55</f>
        <v>412.72727272727269</v>
      </c>
      <c r="AC60" s="41"/>
      <c r="AD60" s="41">
        <v>4393</v>
      </c>
      <c r="AE60" s="41">
        <v>155</v>
      </c>
      <c r="AF60" s="41">
        <v>8887</v>
      </c>
      <c r="AG60" s="41">
        <f>8231*0.49</f>
        <v>4033.19</v>
      </c>
      <c r="AH60" s="70">
        <f t="shared" si="14"/>
        <v>42</v>
      </c>
      <c r="AI60" s="41">
        <v>7099</v>
      </c>
      <c r="AJ60" s="45">
        <v>0.625</v>
      </c>
      <c r="AK60" s="45">
        <v>1.63</v>
      </c>
      <c r="AL60" s="45">
        <f>5725*35.31/1000</f>
        <v>202.14975000000001</v>
      </c>
      <c r="AM60" s="45">
        <v>0.4</v>
      </c>
      <c r="AN60" s="45">
        <v>5.2</v>
      </c>
      <c r="AO60" s="45">
        <v>1.73</v>
      </c>
      <c r="AP60" s="45">
        <v>0.79</v>
      </c>
      <c r="AQ60" s="45">
        <v>10</v>
      </c>
      <c r="AR60" s="45">
        <v>8.34</v>
      </c>
      <c r="AS60" s="45">
        <v>0.1</v>
      </c>
      <c r="AT60" s="47">
        <v>1.2999999999999999E-2</v>
      </c>
      <c r="AU60" s="45">
        <v>4.952</v>
      </c>
      <c r="AV60" s="45">
        <v>2.266</v>
      </c>
      <c r="AW60" s="45">
        <f>404*35.3147/1000</f>
        <v>14.267138800000001</v>
      </c>
      <c r="AX60" s="45">
        <v>0.33900000000000002</v>
      </c>
      <c r="AY60" s="48">
        <v>0.48799999999999999</v>
      </c>
    </row>
    <row r="61" spans="1:51" ht="13.5" customHeight="1" x14ac:dyDescent="0.2">
      <c r="A61" s="40">
        <v>45710</v>
      </c>
      <c r="B61" s="41">
        <v>5884</v>
      </c>
      <c r="C61" s="68">
        <v>1513</v>
      </c>
      <c r="D61" s="69">
        <v>126</v>
      </c>
      <c r="E61" s="69">
        <v>227</v>
      </c>
      <c r="F61" s="69">
        <v>103</v>
      </c>
      <c r="G61" s="69">
        <v>103</v>
      </c>
      <c r="H61" s="41">
        <v>8634</v>
      </c>
      <c r="I61" s="41">
        <v>847</v>
      </c>
      <c r="J61" s="41">
        <v>1861</v>
      </c>
      <c r="K61" s="41">
        <v>12591</v>
      </c>
      <c r="L61" s="41">
        <v>3645</v>
      </c>
      <c r="M61" s="41">
        <v>8869</v>
      </c>
      <c r="N61" s="41">
        <v>338</v>
      </c>
      <c r="O61" s="41">
        <v>9640</v>
      </c>
      <c r="P61" s="41">
        <v>411</v>
      </c>
      <c r="Q61" s="41">
        <v>7587</v>
      </c>
      <c r="R61" s="41">
        <v>2763</v>
      </c>
      <c r="S61" s="41">
        <v>9073</v>
      </c>
      <c r="T61" s="41">
        <v>8001</v>
      </c>
      <c r="U61" s="41">
        <f>7*6.2898</f>
        <v>44.028599999999997</v>
      </c>
      <c r="V61" s="41">
        <v>149</v>
      </c>
      <c r="W61" s="41">
        <v>8147</v>
      </c>
      <c r="X61" s="41">
        <v>3923</v>
      </c>
      <c r="Y61" s="41"/>
      <c r="Z61" s="41">
        <v>3635</v>
      </c>
      <c r="AA61" s="41"/>
      <c r="AB61" s="41">
        <f>203/0.55</f>
        <v>369.09090909090907</v>
      </c>
      <c r="AC61" s="41"/>
      <c r="AD61" s="41">
        <v>3860</v>
      </c>
      <c r="AE61" s="41">
        <v>155</v>
      </c>
      <c r="AF61" s="41">
        <v>9059</v>
      </c>
      <c r="AG61" s="41">
        <f>8224*0.49</f>
        <v>4029.7599999999998</v>
      </c>
      <c r="AH61" s="70">
        <f t="shared" si="14"/>
        <v>42</v>
      </c>
      <c r="AI61" s="41">
        <v>7395</v>
      </c>
      <c r="AJ61" s="45">
        <v>0.52400000000000002</v>
      </c>
      <c r="AK61" s="45">
        <v>0.51400000000000001</v>
      </c>
      <c r="AL61" s="45">
        <f>5859*35.31/1000</f>
        <v>206.88129000000001</v>
      </c>
      <c r="AM61" s="45">
        <v>0.437</v>
      </c>
      <c r="AN61" s="45">
        <v>5.4</v>
      </c>
      <c r="AO61" s="45">
        <v>1.69</v>
      </c>
      <c r="AP61" s="45">
        <v>0</v>
      </c>
      <c r="AQ61" s="45">
        <v>10</v>
      </c>
      <c r="AR61" s="45">
        <v>8.51</v>
      </c>
      <c r="AS61" s="45">
        <v>0</v>
      </c>
      <c r="AT61" s="47">
        <v>1.2999999999999999E-2</v>
      </c>
      <c r="AU61" s="45">
        <v>4.9530000000000003</v>
      </c>
      <c r="AV61" s="45">
        <v>3.4670000000000001</v>
      </c>
      <c r="AW61" s="45">
        <f>400*35.3147/1000</f>
        <v>14.12588</v>
      </c>
      <c r="AX61" s="45">
        <v>0.33900000000000002</v>
      </c>
      <c r="AY61" s="48">
        <v>0.48899999999999999</v>
      </c>
    </row>
    <row r="62" spans="1:51" ht="13.5" customHeight="1" x14ac:dyDescent="0.2">
      <c r="A62" s="40">
        <v>45711</v>
      </c>
      <c r="B62" s="41">
        <v>5761</v>
      </c>
      <c r="C62" s="68">
        <v>1471</v>
      </c>
      <c r="D62" s="69">
        <v>119</v>
      </c>
      <c r="E62" s="69">
        <v>237</v>
      </c>
      <c r="F62" s="69">
        <v>111</v>
      </c>
      <c r="G62" s="69">
        <v>111</v>
      </c>
      <c r="H62" s="41">
        <v>8575</v>
      </c>
      <c r="I62" s="41">
        <v>834</v>
      </c>
      <c r="J62" s="41">
        <v>1834</v>
      </c>
      <c r="K62" s="41">
        <v>12562</v>
      </c>
      <c r="L62" s="41">
        <v>3792</v>
      </c>
      <c r="M62" s="41">
        <v>8780</v>
      </c>
      <c r="N62" s="41">
        <v>325</v>
      </c>
      <c r="O62" s="41">
        <v>9350</v>
      </c>
      <c r="P62" s="41">
        <v>411</v>
      </c>
      <c r="Q62" s="41">
        <v>7656</v>
      </c>
      <c r="R62" s="41">
        <v>2733</v>
      </c>
      <c r="S62" s="41">
        <v>9061</v>
      </c>
      <c r="T62" s="41">
        <v>8035</v>
      </c>
      <c r="U62" s="41">
        <f>7*6.2898</f>
        <v>44.028599999999997</v>
      </c>
      <c r="V62" s="41">
        <v>579</v>
      </c>
      <c r="W62" s="41">
        <v>8100</v>
      </c>
      <c r="X62" s="41">
        <v>4041</v>
      </c>
      <c r="Y62" s="41"/>
      <c r="Z62" s="41">
        <v>3638</v>
      </c>
      <c r="AA62" s="41"/>
      <c r="AB62" s="41">
        <f>255/0.55</f>
        <v>463.63636363636363</v>
      </c>
      <c r="AC62" s="41"/>
      <c r="AD62" s="41">
        <v>3194</v>
      </c>
      <c r="AE62" s="41">
        <v>155</v>
      </c>
      <c r="AF62" s="41">
        <v>8935</v>
      </c>
      <c r="AG62" s="41">
        <f>8203*0.49</f>
        <v>4019.47</v>
      </c>
      <c r="AH62" s="70">
        <f t="shared" si="14"/>
        <v>42</v>
      </c>
      <c r="AI62" s="41">
        <v>7488</v>
      </c>
      <c r="AJ62" s="45">
        <v>0</v>
      </c>
      <c r="AK62" s="45">
        <v>0</v>
      </c>
      <c r="AL62" s="45">
        <f>4749*35.31/1000</f>
        <v>167.68719000000002</v>
      </c>
      <c r="AM62" s="45">
        <v>0.371</v>
      </c>
      <c r="AN62" s="45">
        <v>4.7300000000000004</v>
      </c>
      <c r="AO62" s="45">
        <v>1.47</v>
      </c>
      <c r="AP62" s="45">
        <v>0</v>
      </c>
      <c r="AQ62" s="45">
        <v>10</v>
      </c>
      <c r="AR62" s="45">
        <v>8.5</v>
      </c>
      <c r="AS62" s="45">
        <v>0</v>
      </c>
      <c r="AT62" s="47">
        <v>1.2999999999999999E-2</v>
      </c>
      <c r="AU62" s="45">
        <v>4.952</v>
      </c>
      <c r="AV62" s="45">
        <v>2</v>
      </c>
      <c r="AW62" s="45">
        <f>391*35.3147/1000</f>
        <v>13.808047700000001</v>
      </c>
      <c r="AX62" s="45">
        <v>0.33900000000000002</v>
      </c>
      <c r="AY62" s="48">
        <v>0.48799999999999999</v>
      </c>
    </row>
    <row r="63" spans="1:51" ht="13.5" customHeight="1" x14ac:dyDescent="0.2">
      <c r="A63" s="40">
        <v>45712</v>
      </c>
      <c r="B63" s="41">
        <v>5857</v>
      </c>
      <c r="C63" s="68">
        <v>1419</v>
      </c>
      <c r="D63" s="69">
        <v>125</v>
      </c>
      <c r="E63" s="69">
        <v>233</v>
      </c>
      <c r="F63" s="69">
        <v>112</v>
      </c>
      <c r="G63" s="69">
        <v>112</v>
      </c>
      <c r="H63" s="41">
        <v>8407.8279999999995</v>
      </c>
      <c r="I63" s="41">
        <v>780.86800000000005</v>
      </c>
      <c r="J63" s="41">
        <v>1713.9059999999999</v>
      </c>
      <c r="K63" s="41">
        <v>12540</v>
      </c>
      <c r="L63" s="41">
        <f>3445.61942568+315</f>
        <v>3760.6194256799999</v>
      </c>
      <c r="M63" s="41">
        <f>9104-N63</f>
        <v>8783</v>
      </c>
      <c r="N63" s="41">
        <v>321</v>
      </c>
      <c r="O63" s="41">
        <v>7746</v>
      </c>
      <c r="P63" s="41">
        <v>0</v>
      </c>
      <c r="Q63" s="41">
        <v>7656</v>
      </c>
      <c r="R63" s="41">
        <v>2781</v>
      </c>
      <c r="S63" s="41">
        <v>9090</v>
      </c>
      <c r="T63" s="41">
        <v>8008</v>
      </c>
      <c r="U63" s="41">
        <f>17*6.2898</f>
        <v>106.92659999999999</v>
      </c>
      <c r="V63" s="41">
        <v>692</v>
      </c>
      <c r="W63" s="41">
        <v>8219</v>
      </c>
      <c r="X63" s="41">
        <v>3910</v>
      </c>
      <c r="Y63" s="41"/>
      <c r="Z63" s="41">
        <v>3640</v>
      </c>
      <c r="AA63" s="41"/>
      <c r="AB63" s="41">
        <f>186/0.55</f>
        <v>338.18181818181813</v>
      </c>
      <c r="AC63" s="41"/>
      <c r="AD63" s="41">
        <v>3653</v>
      </c>
      <c r="AE63" s="41">
        <v>155</v>
      </c>
      <c r="AF63" s="41">
        <v>8862</v>
      </c>
      <c r="AG63" s="41">
        <f>8122*0.49</f>
        <v>3979.7799999999997</v>
      </c>
      <c r="AH63" s="70">
        <f>55*0.75</f>
        <v>41.25</v>
      </c>
      <c r="AI63" s="41">
        <v>7106</v>
      </c>
      <c r="AJ63" s="45">
        <v>0.36899999999999999</v>
      </c>
      <c r="AK63" s="45">
        <v>0.88800000000000001</v>
      </c>
      <c r="AL63" s="45">
        <f>4869*35.31/1000</f>
        <v>171.92439000000002</v>
      </c>
      <c r="AM63" s="45">
        <v>0.24399999999999999</v>
      </c>
      <c r="AN63" s="45">
        <v>4.7300000000000004</v>
      </c>
      <c r="AO63" s="45">
        <v>1.74</v>
      </c>
      <c r="AP63" s="45">
        <v>0</v>
      </c>
      <c r="AQ63" s="45">
        <v>10</v>
      </c>
      <c r="AR63" s="45">
        <v>8.5</v>
      </c>
      <c r="AS63" s="45">
        <v>0</v>
      </c>
      <c r="AT63" s="47">
        <v>1.2999999999999999E-2</v>
      </c>
      <c r="AU63" s="45">
        <v>4.9530000000000003</v>
      </c>
      <c r="AV63" s="45">
        <v>2.544</v>
      </c>
      <c r="AW63" s="45">
        <f>421*35.3147/1000</f>
        <v>14.867488700000001</v>
      </c>
      <c r="AX63" s="45">
        <v>0.33900000000000002</v>
      </c>
      <c r="AY63" s="48">
        <v>0.48899999999999999</v>
      </c>
    </row>
    <row r="64" spans="1:51" ht="13.5" customHeight="1" x14ac:dyDescent="0.2">
      <c r="A64" s="40">
        <v>45713</v>
      </c>
      <c r="B64" s="41">
        <v>5798</v>
      </c>
      <c r="C64" s="68">
        <v>1455</v>
      </c>
      <c r="D64" s="69">
        <v>119</v>
      </c>
      <c r="E64" s="69">
        <v>234</v>
      </c>
      <c r="F64" s="69">
        <v>104</v>
      </c>
      <c r="G64" s="69">
        <v>104</v>
      </c>
      <c r="H64" s="41">
        <v>7607.0249999999996</v>
      </c>
      <c r="I64" s="41">
        <v>751.92700000000002</v>
      </c>
      <c r="J64" s="41">
        <v>1533.7719999999999</v>
      </c>
      <c r="K64" s="41">
        <v>11396</v>
      </c>
      <c r="L64" s="41">
        <f>3305.80730016+294</f>
        <v>3599.8073001600001</v>
      </c>
      <c r="M64" s="41">
        <f>9005-N64</f>
        <v>8644</v>
      </c>
      <c r="N64" s="41">
        <v>361</v>
      </c>
      <c r="O64" s="41">
        <v>8300</v>
      </c>
      <c r="P64" s="41">
        <v>0</v>
      </c>
      <c r="Q64" s="41">
        <v>7779</v>
      </c>
      <c r="R64" s="41">
        <v>2589</v>
      </c>
      <c r="S64" s="41">
        <v>13617</v>
      </c>
      <c r="T64" s="41">
        <v>8024</v>
      </c>
      <c r="U64" s="41">
        <f>17*6.2898</f>
        <v>106.92659999999999</v>
      </c>
      <c r="V64" s="41">
        <v>700</v>
      </c>
      <c r="W64" s="41">
        <v>8161</v>
      </c>
      <c r="X64" s="41">
        <v>4021</v>
      </c>
      <c r="Y64" s="41"/>
      <c r="Z64" s="41">
        <v>3645</v>
      </c>
      <c r="AA64" s="41"/>
      <c r="AB64" s="41">
        <f>241/0.55</f>
        <v>438.18181818181813</v>
      </c>
      <c r="AC64" s="41"/>
      <c r="AD64" s="41">
        <v>3791</v>
      </c>
      <c r="AE64" s="41">
        <v>155</v>
      </c>
      <c r="AF64" s="41">
        <v>8985</v>
      </c>
      <c r="AG64" s="41">
        <f>8227*0.49</f>
        <v>4031.23</v>
      </c>
      <c r="AH64" s="70">
        <f>55*0.75</f>
        <v>41.25</v>
      </c>
      <c r="AI64" s="41">
        <v>7198</v>
      </c>
      <c r="AJ64" s="45">
        <v>0.40699999999999997</v>
      </c>
      <c r="AK64" s="45">
        <v>0.96799999999999997</v>
      </c>
      <c r="AL64" s="45">
        <f>5377*35.31/1000</f>
        <v>189.86187000000001</v>
      </c>
      <c r="AM64" s="45">
        <v>0.214</v>
      </c>
      <c r="AN64" s="45">
        <v>3.81</v>
      </c>
      <c r="AO64" s="45">
        <v>1.69</v>
      </c>
      <c r="AP64" s="45">
        <v>1.08</v>
      </c>
      <c r="AQ64" s="45">
        <v>2.5</v>
      </c>
      <c r="AR64" s="45">
        <v>8.5</v>
      </c>
      <c r="AS64" s="45">
        <v>0.1</v>
      </c>
      <c r="AT64" s="47">
        <v>1.2999999999999999E-2</v>
      </c>
      <c r="AU64" s="45">
        <v>4.9530000000000003</v>
      </c>
      <c r="AV64" s="45">
        <v>2.996</v>
      </c>
      <c r="AW64" s="45">
        <f>408*35.3147/1000</f>
        <v>14.408397600000001</v>
      </c>
      <c r="AX64" s="45">
        <v>0.32800000000000001</v>
      </c>
      <c r="AY64" s="48">
        <v>0.49099999999999999</v>
      </c>
    </row>
    <row r="65" spans="1:52" ht="13.5" customHeight="1" x14ac:dyDescent="0.2">
      <c r="A65" s="40">
        <v>45714</v>
      </c>
      <c r="B65" s="41">
        <v>5823</v>
      </c>
      <c r="C65" s="68">
        <v>1500</v>
      </c>
      <c r="D65" s="69">
        <v>127</v>
      </c>
      <c r="E65" s="69">
        <v>228</v>
      </c>
      <c r="F65" s="69">
        <v>109</v>
      </c>
      <c r="G65" s="69">
        <v>109</v>
      </c>
      <c r="H65" s="41">
        <v>6391.7190000000001</v>
      </c>
      <c r="I65" s="41">
        <v>899.952</v>
      </c>
      <c r="J65" s="41">
        <v>1370.0730000000001</v>
      </c>
      <c r="K65" s="41">
        <v>11462</v>
      </c>
      <c r="L65" s="41">
        <f>1485.16891788+146</f>
        <v>1631.16891788</v>
      </c>
      <c r="M65" s="41">
        <f>8902-N65</f>
        <v>8530</v>
      </c>
      <c r="N65" s="41">
        <v>372</v>
      </c>
      <c r="O65" s="41">
        <v>8047</v>
      </c>
      <c r="P65" s="41">
        <v>0</v>
      </c>
      <c r="Q65" s="41">
        <v>7715</v>
      </c>
      <c r="R65" s="41">
        <v>2733</v>
      </c>
      <c r="S65" s="41">
        <v>9816</v>
      </c>
      <c r="T65" s="41">
        <v>8169</v>
      </c>
      <c r="U65" s="41">
        <f>17*6.2898</f>
        <v>106.92659999999999</v>
      </c>
      <c r="V65" s="41">
        <v>700</v>
      </c>
      <c r="W65" s="41">
        <v>8275</v>
      </c>
      <c r="X65" s="41">
        <v>3605</v>
      </c>
      <c r="Y65" s="41"/>
      <c r="Z65" s="41">
        <v>3645</v>
      </c>
      <c r="AA65" s="41"/>
      <c r="AB65" s="41">
        <f>241/0.55</f>
        <v>438.18181818181813</v>
      </c>
      <c r="AC65" s="41"/>
      <c r="AD65" s="41">
        <v>4089</v>
      </c>
      <c r="AE65" s="41">
        <v>155</v>
      </c>
      <c r="AF65" s="41">
        <v>8868</v>
      </c>
      <c r="AG65" s="41">
        <f>8226*0.49</f>
        <v>4030.74</v>
      </c>
      <c r="AH65" s="70">
        <f>55*0.75</f>
        <v>41.25</v>
      </c>
      <c r="AI65" s="41">
        <v>6937</v>
      </c>
      <c r="AJ65" s="45">
        <v>0.62</v>
      </c>
      <c r="AK65" s="45">
        <v>1.516</v>
      </c>
      <c r="AL65" s="45">
        <f>5403*35.31/1000</f>
        <v>190.77993000000004</v>
      </c>
      <c r="AM65" s="45">
        <v>0.20100000000000001</v>
      </c>
      <c r="AN65" s="45">
        <v>3.49</v>
      </c>
      <c r="AO65" s="45">
        <v>1.27</v>
      </c>
      <c r="AP65" s="45">
        <v>6.13</v>
      </c>
      <c r="AQ65" s="45">
        <v>3.37</v>
      </c>
      <c r="AR65" s="45">
        <v>8.5</v>
      </c>
      <c r="AS65" s="45">
        <v>0.1</v>
      </c>
      <c r="AT65" s="47">
        <v>1.2999999999999999E-2</v>
      </c>
      <c r="AU65" s="45">
        <v>4.9530000000000003</v>
      </c>
      <c r="AV65" s="45">
        <v>2.5430000000000001</v>
      </c>
      <c r="AW65" s="45">
        <f>423*35.3147/1000</f>
        <v>14.938118100000002</v>
      </c>
      <c r="AX65" s="45">
        <v>0.318</v>
      </c>
      <c r="AY65" s="48">
        <v>0.49199999999999999</v>
      </c>
    </row>
    <row r="66" spans="1:52" s="71" customFormat="1" ht="13.5" customHeight="1" x14ac:dyDescent="0.2">
      <c r="A66" s="40">
        <v>45715</v>
      </c>
      <c r="B66" s="41">
        <v>5902</v>
      </c>
      <c r="C66" s="41">
        <v>1485</v>
      </c>
      <c r="D66" s="41">
        <v>126</v>
      </c>
      <c r="E66" s="41">
        <v>233</v>
      </c>
      <c r="F66" s="41">
        <v>107</v>
      </c>
      <c r="G66" s="41">
        <v>107</v>
      </c>
      <c r="H66" s="41">
        <v>8703.27</v>
      </c>
      <c r="I66" s="41">
        <v>667.91899999999998</v>
      </c>
      <c r="J66" s="41">
        <v>1565.951</v>
      </c>
      <c r="K66" s="41">
        <v>12417</v>
      </c>
      <c r="L66" s="41">
        <v>3670.1913215999998</v>
      </c>
      <c r="M66" s="41">
        <f>8706-N66</f>
        <v>8334</v>
      </c>
      <c r="N66" s="41">
        <v>372</v>
      </c>
      <c r="O66" s="41">
        <v>8188</v>
      </c>
      <c r="P66" s="41">
        <v>0</v>
      </c>
      <c r="Q66" s="41">
        <v>7708</v>
      </c>
      <c r="R66" s="41">
        <v>2655</v>
      </c>
      <c r="S66" s="41">
        <v>9229</v>
      </c>
      <c r="T66" s="41">
        <v>8118</v>
      </c>
      <c r="U66" s="41">
        <f>17*6.2898</f>
        <v>106.92659999999999</v>
      </c>
      <c r="V66" s="41">
        <v>700</v>
      </c>
      <c r="W66" s="41">
        <v>8187</v>
      </c>
      <c r="X66" s="41">
        <v>4089</v>
      </c>
      <c r="Y66" s="41"/>
      <c r="Z66" s="41">
        <v>3655</v>
      </c>
      <c r="AA66" s="41"/>
      <c r="AB66" s="41">
        <f>241/0.55</f>
        <v>438.18181818181813</v>
      </c>
      <c r="AC66" s="41"/>
      <c r="AD66" s="41">
        <v>4457</v>
      </c>
      <c r="AE66" s="41">
        <v>155</v>
      </c>
      <c r="AF66" s="41">
        <v>8620</v>
      </c>
      <c r="AG66" s="41">
        <f>8222*0.49</f>
        <v>4028.7799999999997</v>
      </c>
      <c r="AH66" s="41">
        <f>55*0.75</f>
        <v>41.25</v>
      </c>
      <c r="AI66" s="41">
        <v>7141</v>
      </c>
      <c r="AJ66" s="45">
        <v>0.44400000000000001</v>
      </c>
      <c r="AK66" s="45">
        <v>1.1970000000000001</v>
      </c>
      <c r="AL66" s="45">
        <f>5517*35.31/1000</f>
        <v>194.80527000000001</v>
      </c>
      <c r="AM66" s="45">
        <v>3.4000000000000002E-2</v>
      </c>
      <c r="AN66" s="45">
        <v>3.59</v>
      </c>
      <c r="AO66" s="45">
        <v>1.58</v>
      </c>
      <c r="AP66" s="45">
        <v>2.21</v>
      </c>
      <c r="AQ66" s="45">
        <v>36</v>
      </c>
      <c r="AR66" s="45">
        <v>8.5</v>
      </c>
      <c r="AS66" s="45">
        <v>0.1</v>
      </c>
      <c r="AT66" s="45">
        <v>1.2999999999999999E-2</v>
      </c>
      <c r="AU66" s="45">
        <v>4.9530000000000003</v>
      </c>
      <c r="AV66" s="45">
        <v>2.7519999999999998</v>
      </c>
      <c r="AW66" s="45">
        <f>333*35.3147/1000</f>
        <v>11.759795100000002</v>
      </c>
      <c r="AX66" s="45">
        <v>0.31900000000000001</v>
      </c>
      <c r="AY66" s="45">
        <v>0.49</v>
      </c>
    </row>
    <row r="67" spans="1:52" s="71" customFormat="1" ht="13.5" customHeight="1" x14ac:dyDescent="0.2">
      <c r="A67" s="40">
        <v>45716</v>
      </c>
      <c r="B67" s="41">
        <v>5860</v>
      </c>
      <c r="C67" s="41">
        <v>1461</v>
      </c>
      <c r="D67" s="41">
        <v>126</v>
      </c>
      <c r="E67" s="41">
        <v>224</v>
      </c>
      <c r="F67" s="41">
        <v>106</v>
      </c>
      <c r="G67" s="41">
        <v>106</v>
      </c>
      <c r="H67" s="41">
        <v>8480.3310000000001</v>
      </c>
      <c r="I67" s="41">
        <v>751.94399999999996</v>
      </c>
      <c r="J67" s="41">
        <v>1652.8710000000001</v>
      </c>
      <c r="K67" s="41">
        <v>12198</v>
      </c>
      <c r="L67" s="41">
        <v>3791.7116026399999</v>
      </c>
      <c r="M67" s="41">
        <f>8738-N67</f>
        <v>8356</v>
      </c>
      <c r="N67" s="41">
        <v>382</v>
      </c>
      <c r="O67" s="41">
        <v>8188</v>
      </c>
      <c r="P67" s="41">
        <v>0</v>
      </c>
      <c r="Q67" s="41">
        <v>7658</v>
      </c>
      <c r="R67" s="41">
        <v>2665</v>
      </c>
      <c r="S67" s="41">
        <v>9862</v>
      </c>
      <c r="T67" s="41">
        <v>8130</v>
      </c>
      <c r="U67" s="41">
        <f>17*6.2898</f>
        <v>106.92659999999999</v>
      </c>
      <c r="V67" s="41">
        <v>700</v>
      </c>
      <c r="W67" s="41">
        <v>8184</v>
      </c>
      <c r="X67" s="41">
        <v>3474</v>
      </c>
      <c r="Y67" s="41"/>
      <c r="Z67" s="41">
        <v>3655</v>
      </c>
      <c r="AA67" s="41"/>
      <c r="AB67" s="41">
        <f>223/0.55</f>
        <v>405.45454545454544</v>
      </c>
      <c r="AC67" s="41"/>
      <c r="AD67" s="41">
        <v>4424</v>
      </c>
      <c r="AE67" s="41">
        <v>155</v>
      </c>
      <c r="AF67" s="41">
        <v>8635</v>
      </c>
      <c r="AG67" s="41">
        <f>8225*0.49</f>
        <v>4030.25</v>
      </c>
      <c r="AH67" s="41">
        <f>55*0.75</f>
        <v>41.25</v>
      </c>
      <c r="AI67" s="41">
        <v>7089</v>
      </c>
      <c r="AJ67" s="45">
        <v>4.3999999999999997E-2</v>
      </c>
      <c r="AK67" s="45">
        <v>1.27</v>
      </c>
      <c r="AL67" s="45">
        <f>5602*35.31/1000</f>
        <v>197.80662000000004</v>
      </c>
      <c r="AM67" s="45">
        <v>0.22500000000000001</v>
      </c>
      <c r="AN67" s="45">
        <v>3.59</v>
      </c>
      <c r="AO67" s="45">
        <v>1.47</v>
      </c>
      <c r="AP67" s="45">
        <v>6.39</v>
      </c>
      <c r="AQ67" s="45">
        <v>27</v>
      </c>
      <c r="AR67" s="45">
        <v>8.5</v>
      </c>
      <c r="AS67" s="45">
        <v>0.1</v>
      </c>
      <c r="AT67" s="45">
        <v>1.2999999999999999E-2</v>
      </c>
      <c r="AU67" s="45">
        <v>4.9530000000000003</v>
      </c>
      <c r="AV67" s="45">
        <v>3.077</v>
      </c>
      <c r="AW67" s="45">
        <f>440*35.3147/1000</f>
        <v>15.538468</v>
      </c>
      <c r="AX67" s="45">
        <v>0.32800000000000001</v>
      </c>
      <c r="AY67" s="45">
        <v>0.49099999999999999</v>
      </c>
    </row>
    <row r="68" spans="1:52" ht="13.5" customHeight="1" x14ac:dyDescent="0.2">
      <c r="A68" s="4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</row>
    <row r="69" spans="1:52" ht="16.899999999999999" customHeight="1" x14ac:dyDescent="0.2">
      <c r="A69" s="50" t="s">
        <v>52</v>
      </c>
      <c r="B69" s="72">
        <f t="shared" ref="B69:G69" si="15">SUM(B40:B68)*B$2</f>
        <v>1236100.94</v>
      </c>
      <c r="C69" s="72">
        <f t="shared" si="15"/>
        <v>293784.40000000002</v>
      </c>
      <c r="D69" s="72">
        <f t="shared" si="15"/>
        <v>25421.760000000002</v>
      </c>
      <c r="E69" s="72">
        <f t="shared" si="15"/>
        <v>47590.869999999995</v>
      </c>
      <c r="F69" s="72">
        <f t="shared" si="15"/>
        <v>22499.512000000002</v>
      </c>
      <c r="G69" s="72">
        <f t="shared" si="15"/>
        <v>24509.576000000001</v>
      </c>
      <c r="H69" s="73">
        <f t="shared" ref="H69:Q69" si="16">SUM(H40:H68)</f>
        <v>239183.30500000002</v>
      </c>
      <c r="I69" s="74">
        <f t="shared" si="16"/>
        <v>23431.188999999998</v>
      </c>
      <c r="J69" s="74">
        <f t="shared" si="16"/>
        <v>49566.12</v>
      </c>
      <c r="K69" s="74">
        <f t="shared" si="16"/>
        <v>339614</v>
      </c>
      <c r="L69" s="74">
        <f t="shared" si="16"/>
        <v>105870.49259380001</v>
      </c>
      <c r="M69" s="72">
        <f t="shared" si="16"/>
        <v>242766</v>
      </c>
      <c r="N69" s="72">
        <f t="shared" si="16"/>
        <v>10182</v>
      </c>
      <c r="O69" s="72">
        <f t="shared" si="16"/>
        <v>247937</v>
      </c>
      <c r="P69" s="72">
        <f t="shared" si="16"/>
        <v>8612</v>
      </c>
      <c r="Q69" s="72">
        <f t="shared" si="16"/>
        <v>214175</v>
      </c>
      <c r="R69" s="72">
        <f>SUM(R40:R68)</f>
        <v>78178</v>
      </c>
      <c r="S69" s="72">
        <f t="shared" ref="S69:AA69" si="17">SUM(S40:S68)</f>
        <v>284138</v>
      </c>
      <c r="T69" s="72">
        <f t="shared" si="17"/>
        <v>227209</v>
      </c>
      <c r="U69" s="72">
        <f t="shared" si="17"/>
        <v>2459.3117999999995</v>
      </c>
      <c r="V69" s="72">
        <f>SUM(V40:V68)</f>
        <v>21096</v>
      </c>
      <c r="W69" s="72">
        <f>SUM(W40:W68)</f>
        <v>230279</v>
      </c>
      <c r="X69" s="72">
        <f>SUM(X40:X68)</f>
        <v>107170</v>
      </c>
      <c r="Y69" s="72">
        <f t="shared" si="17"/>
        <v>0</v>
      </c>
      <c r="Z69" s="72">
        <f>SUM(Z40:Z68)</f>
        <v>91139</v>
      </c>
      <c r="AA69" s="72">
        <f t="shared" si="17"/>
        <v>0</v>
      </c>
      <c r="AB69" s="72">
        <f>SUM(AB40:AB68)*AB2</f>
        <v>85399.694545454564</v>
      </c>
      <c r="AC69" s="72">
        <f>SUM(AC40:AC67)</f>
        <v>0</v>
      </c>
      <c r="AD69" s="72">
        <f>SUM(AD40:AD68)</f>
        <v>107665</v>
      </c>
      <c r="AE69" s="75">
        <f>SUM(AE40:AE68)*AE2</f>
        <v>36586.199999999997</v>
      </c>
      <c r="AF69" s="75">
        <f>SUM(AF40:AF68)</f>
        <v>185131</v>
      </c>
      <c r="AG69" s="75">
        <f>SUM(AG40:AG68)*AG2</f>
        <v>783492.23460000008</v>
      </c>
      <c r="AH69" s="75">
        <f>SUM(AH40:AH68)*$AH$2</f>
        <v>9774.366294388501</v>
      </c>
      <c r="AI69" s="72">
        <f>SUM(AI40:AI68)</f>
        <v>191764</v>
      </c>
      <c r="AJ69" s="56">
        <f>SUM(AJ40:AJ68)*AJ$2</f>
        <v>381.34436914671682</v>
      </c>
      <c r="AK69" s="56">
        <f>SUM(AK40:AK68)*AK$2</f>
        <v>981.85332569729587</v>
      </c>
      <c r="AL69" s="57">
        <f>SUM(AL40:AL68)</f>
        <v>5389.4006099999997</v>
      </c>
      <c r="AM69" s="57">
        <f>SUM(AM40:AM68)*AM$2</f>
        <v>371.05120323754699</v>
      </c>
      <c r="AN69" s="57">
        <f>SUM(AN40:AN68)</f>
        <v>100.05700000000003</v>
      </c>
      <c r="AO69" s="57">
        <f>SUM(AO40:AO68)</f>
        <v>103.94999999999997</v>
      </c>
      <c r="AP69" s="57">
        <f>SUM(AP40:AP68)</f>
        <v>148.15999999999997</v>
      </c>
      <c r="AQ69" s="57">
        <f>SUM(AQ40:AQ68)</f>
        <v>502.87</v>
      </c>
      <c r="AR69" s="57">
        <f>SUM(AR40:AR68)</f>
        <v>242.65</v>
      </c>
      <c r="AS69" s="57">
        <f>SUM(AS40:AS68)</f>
        <v>25.400000000000013</v>
      </c>
      <c r="AT69" s="57">
        <f t="shared" ref="AT69:AY69" si="18">SUM(AT40:AT68)*AT$2</f>
        <v>12.854550800000009</v>
      </c>
      <c r="AU69" s="57">
        <f t="shared" si="18"/>
        <v>3637.8555337500006</v>
      </c>
      <c r="AV69" s="57">
        <f t="shared" si="18"/>
        <v>2489.3967694600001</v>
      </c>
      <c r="AW69" s="57">
        <f t="shared" si="18"/>
        <v>303.56428700000004</v>
      </c>
      <c r="AX69" s="57">
        <f t="shared" si="18"/>
        <v>329.62740980000007</v>
      </c>
      <c r="AY69" s="57">
        <f t="shared" si="18"/>
        <v>490.94495940000002</v>
      </c>
    </row>
    <row r="70" spans="1:52" ht="16.899999999999999" customHeight="1" x14ac:dyDescent="0.2">
      <c r="A70" s="50" t="s">
        <v>53</v>
      </c>
      <c r="B70" s="72">
        <f t="shared" ref="B70:L70" si="19">B69/B$2</f>
        <v>164594</v>
      </c>
      <c r="C70" s="72">
        <f t="shared" si="19"/>
        <v>40355</v>
      </c>
      <c r="D70" s="72">
        <f t="shared" si="19"/>
        <v>3492</v>
      </c>
      <c r="E70" s="72">
        <f t="shared" si="19"/>
        <v>6337</v>
      </c>
      <c r="F70" s="72">
        <f t="shared" si="19"/>
        <v>3067</v>
      </c>
      <c r="G70" s="72">
        <f t="shared" si="19"/>
        <v>3341</v>
      </c>
      <c r="H70" s="76">
        <f t="shared" si="19"/>
        <v>32355.699411783833</v>
      </c>
      <c r="I70" s="72">
        <f t="shared" si="19"/>
        <v>3137.645725504256</v>
      </c>
      <c r="J70" s="72">
        <f t="shared" si="19"/>
        <v>6664.3133013459446</v>
      </c>
      <c r="K70" s="72">
        <f t="shared" si="19"/>
        <v>42567.162000000018</v>
      </c>
      <c r="L70" s="72">
        <f t="shared" si="19"/>
        <v>13905.004539530702</v>
      </c>
      <c r="M70" s="72">
        <f t="shared" ref="M70:AG70" si="20">M69/M$2</f>
        <v>32027.176781002639</v>
      </c>
      <c r="N70" s="72">
        <f t="shared" si="20"/>
        <v>1302.0460358056266</v>
      </c>
      <c r="O70" s="72">
        <f t="shared" si="20"/>
        <v>33058.26666666667</v>
      </c>
      <c r="P70" s="72">
        <f t="shared" si="20"/>
        <v>1148.2666666666667</v>
      </c>
      <c r="Q70" s="72">
        <f t="shared" si="20"/>
        <v>28786.962365591397</v>
      </c>
      <c r="R70" s="72">
        <f t="shared" si="20"/>
        <v>10022.820512820514</v>
      </c>
      <c r="S70" s="72">
        <f t="shared" si="20"/>
        <v>38216.274377942165</v>
      </c>
      <c r="T70" s="72">
        <f t="shared" si="20"/>
        <v>30559.381304640217</v>
      </c>
      <c r="U70" s="72">
        <f t="shared" si="20"/>
        <v>285.6543358570288</v>
      </c>
      <c r="V70" s="72">
        <f t="shared" si="20"/>
        <v>2677.1573604060914</v>
      </c>
      <c r="W70" s="72">
        <f t="shared" si="20"/>
        <v>30101.830065359474</v>
      </c>
      <c r="X70" s="72">
        <f t="shared" si="20"/>
        <v>14138.522427440634</v>
      </c>
      <c r="Y70" s="72">
        <f t="shared" si="20"/>
        <v>0</v>
      </c>
      <c r="Z70" s="72">
        <f t="shared" si="20"/>
        <v>12503.824313441415</v>
      </c>
      <c r="AA70" s="72">
        <f t="shared" si="20"/>
        <v>0</v>
      </c>
      <c r="AB70" s="72">
        <f t="shared" si="20"/>
        <v>11730.727272727276</v>
      </c>
      <c r="AC70" s="72">
        <f t="shared" si="20"/>
        <v>0</v>
      </c>
      <c r="AD70" s="72">
        <f t="shared" si="20"/>
        <v>14226.347780126851</v>
      </c>
      <c r="AE70" s="72">
        <f t="shared" si="20"/>
        <v>4340</v>
      </c>
      <c r="AF70" s="72">
        <f>AF69/AF$2</f>
        <v>22838.761411300271</v>
      </c>
      <c r="AG70" s="72">
        <f t="shared" si="20"/>
        <v>108516.93000000002</v>
      </c>
      <c r="AH70" s="72">
        <f>AH69/AH2</f>
        <v>1165.5</v>
      </c>
      <c r="AI70" s="72">
        <f>AI69/AI$2</f>
        <v>24585.128205128207</v>
      </c>
      <c r="AJ70" s="56">
        <f>AJ69/$AJ$2</f>
        <v>10.798469999999998</v>
      </c>
      <c r="AK70" s="56">
        <f>AK69/$AJ$2</f>
        <v>27.802990000000001</v>
      </c>
      <c r="AL70" s="57">
        <f>AL69/$AJ$2</f>
        <v>152.61083029831264</v>
      </c>
      <c r="AM70" s="57">
        <f>AM69/$AJ$2</f>
        <v>10.507</v>
      </c>
      <c r="AN70" s="57">
        <f>AN69/$AJ$2</f>
        <v>2.8332987194949442</v>
      </c>
      <c r="AO70" s="57">
        <f>AO69/$AJ$2</f>
        <v>2.9435362032791241</v>
      </c>
      <c r="AP70" s="57">
        <f>AP69/$AJ$2</f>
        <v>4.1954239911287639</v>
      </c>
      <c r="AQ70" s="57">
        <f>AQ69/$AJ$2</f>
        <v>14.239692645916051</v>
      </c>
      <c r="AR70" s="57">
        <f>AR69/$AJ$2</f>
        <v>6.8710828256438639</v>
      </c>
      <c r="AS70" s="57">
        <f>AS69/$AJ$2</f>
        <v>0.71924790344675138</v>
      </c>
      <c r="AT70" s="57">
        <f>AT69/$AJ$2</f>
        <v>0.36400034301770717</v>
      </c>
      <c r="AU70" s="57">
        <f>AU69/$AJ$2</f>
        <v>103.01259707448226</v>
      </c>
      <c r="AV70" s="57">
        <f>AV69/$AJ$2</f>
        <v>70.491866428394488</v>
      </c>
      <c r="AW70" s="57">
        <f>AW69/$AJ$2</f>
        <v>8.5959833459077881</v>
      </c>
      <c r="AX70" s="57">
        <f>AX69/$AJ$2</f>
        <v>9.3340087959540572</v>
      </c>
      <c r="AY70" s="57">
        <f>AY69/$AJ$2</f>
        <v>13.902013100637808</v>
      </c>
    </row>
    <row r="71" spans="1:52" ht="16.899999999999999" customHeight="1" x14ac:dyDescent="0.2">
      <c r="A71" s="50" t="s">
        <v>54</v>
      </c>
      <c r="B71" s="77">
        <f>B69</f>
        <v>1236100.94</v>
      </c>
      <c r="C71" s="77">
        <f t="shared" ref="C71:L71" si="21">C69</f>
        <v>293784.40000000002</v>
      </c>
      <c r="D71" s="77">
        <f t="shared" si="21"/>
        <v>25421.760000000002</v>
      </c>
      <c r="E71" s="77">
        <f t="shared" si="21"/>
        <v>47590.869999999995</v>
      </c>
      <c r="F71" s="77">
        <f t="shared" si="21"/>
        <v>22499.512000000002</v>
      </c>
      <c r="G71" s="77">
        <f t="shared" si="21"/>
        <v>24509.576000000001</v>
      </c>
      <c r="H71" s="78">
        <f t="shared" si="21"/>
        <v>239183.30500000002</v>
      </c>
      <c r="I71" s="77">
        <f t="shared" si="21"/>
        <v>23431.188999999998</v>
      </c>
      <c r="J71" s="77">
        <f t="shared" si="21"/>
        <v>49566.12</v>
      </c>
      <c r="K71" s="77">
        <f t="shared" si="21"/>
        <v>339614</v>
      </c>
      <c r="L71" s="77">
        <f t="shared" si="21"/>
        <v>105870.49259380001</v>
      </c>
      <c r="M71" s="77">
        <f t="shared" ref="M71:AA72" si="22">M69</f>
        <v>242766</v>
      </c>
      <c r="N71" s="77">
        <f t="shared" si="22"/>
        <v>10182</v>
      </c>
      <c r="O71" s="77">
        <f t="shared" si="22"/>
        <v>247937</v>
      </c>
      <c r="P71" s="77">
        <f t="shared" si="22"/>
        <v>8612</v>
      </c>
      <c r="Q71" s="77">
        <f t="shared" si="22"/>
        <v>214175</v>
      </c>
      <c r="R71" s="77">
        <f t="shared" si="22"/>
        <v>78178</v>
      </c>
      <c r="S71" s="77">
        <f t="shared" si="22"/>
        <v>284138</v>
      </c>
      <c r="T71" s="77">
        <f t="shared" si="22"/>
        <v>227209</v>
      </c>
      <c r="U71" s="77">
        <f t="shared" si="22"/>
        <v>2459.3117999999995</v>
      </c>
      <c r="V71" s="77">
        <f t="shared" si="22"/>
        <v>21096</v>
      </c>
      <c r="W71" s="77">
        <f t="shared" si="22"/>
        <v>230279</v>
      </c>
      <c r="X71" s="77">
        <f t="shared" si="22"/>
        <v>107170</v>
      </c>
      <c r="Y71" s="77">
        <f t="shared" si="22"/>
        <v>0</v>
      </c>
      <c r="Z71" s="77">
        <f t="shared" si="22"/>
        <v>91139</v>
      </c>
      <c r="AA71" s="77">
        <f t="shared" si="22"/>
        <v>0</v>
      </c>
      <c r="AB71" s="77">
        <f>AB69</f>
        <v>85399.694545454564</v>
      </c>
      <c r="AC71" s="77">
        <f t="shared" ref="AC71:AG72" si="23">AC69</f>
        <v>0</v>
      </c>
      <c r="AD71" s="77">
        <f t="shared" si="23"/>
        <v>107665</v>
      </c>
      <c r="AE71" s="77">
        <f t="shared" si="23"/>
        <v>36586.199999999997</v>
      </c>
      <c r="AF71" s="77">
        <f>AF69</f>
        <v>185131</v>
      </c>
      <c r="AG71" s="77">
        <f t="shared" si="23"/>
        <v>783492.23460000008</v>
      </c>
      <c r="AH71" s="77">
        <f>AH69</f>
        <v>9774.366294388501</v>
      </c>
      <c r="AI71" s="77">
        <f>AI69</f>
        <v>191764</v>
      </c>
      <c r="AJ71" s="56">
        <f>AJ69</f>
        <v>381.34436914671682</v>
      </c>
      <c r="AK71" s="56">
        <f t="shared" ref="AK71:AX72" si="24">AK69</f>
        <v>981.85332569729587</v>
      </c>
      <c r="AL71" s="57">
        <f t="shared" si="24"/>
        <v>5389.4006099999997</v>
      </c>
      <c r="AM71" s="57">
        <f t="shared" si="24"/>
        <v>371.05120323754699</v>
      </c>
      <c r="AN71" s="57">
        <f t="shared" si="24"/>
        <v>100.05700000000003</v>
      </c>
      <c r="AO71" s="57">
        <f t="shared" si="24"/>
        <v>103.94999999999997</v>
      </c>
      <c r="AP71" s="57">
        <f t="shared" si="24"/>
        <v>148.15999999999997</v>
      </c>
      <c r="AQ71" s="57">
        <f t="shared" si="24"/>
        <v>502.87</v>
      </c>
      <c r="AR71" s="57">
        <f t="shared" si="24"/>
        <v>242.65</v>
      </c>
      <c r="AS71" s="57">
        <f t="shared" si="24"/>
        <v>25.400000000000013</v>
      </c>
      <c r="AT71" s="57">
        <f t="shared" si="24"/>
        <v>12.854550800000009</v>
      </c>
      <c r="AU71" s="57">
        <f t="shared" si="24"/>
        <v>3637.8555337500006</v>
      </c>
      <c r="AV71" s="57">
        <f t="shared" si="24"/>
        <v>2489.3967694600001</v>
      </c>
      <c r="AW71" s="57">
        <f t="shared" si="24"/>
        <v>303.56428700000004</v>
      </c>
      <c r="AX71" s="57">
        <f t="shared" si="24"/>
        <v>329.62740980000007</v>
      </c>
      <c r="AY71" s="57">
        <f>AY69</f>
        <v>490.94495940000002</v>
      </c>
    </row>
    <row r="72" spans="1:52" ht="16.899999999999999" customHeight="1" x14ac:dyDescent="0.2">
      <c r="A72" s="50" t="s">
        <v>55</v>
      </c>
      <c r="B72" s="77">
        <f t="shared" ref="B72:L72" si="25">B70</f>
        <v>164594</v>
      </c>
      <c r="C72" s="77">
        <f t="shared" si="25"/>
        <v>40355</v>
      </c>
      <c r="D72" s="77">
        <f t="shared" si="25"/>
        <v>3492</v>
      </c>
      <c r="E72" s="77">
        <f t="shared" si="25"/>
        <v>6337</v>
      </c>
      <c r="F72" s="77">
        <f t="shared" si="25"/>
        <v>3067</v>
      </c>
      <c r="G72" s="77">
        <f t="shared" si="25"/>
        <v>3341</v>
      </c>
      <c r="H72" s="78">
        <f t="shared" si="25"/>
        <v>32355.699411783833</v>
      </c>
      <c r="I72" s="77">
        <f t="shared" si="25"/>
        <v>3137.645725504256</v>
      </c>
      <c r="J72" s="77">
        <f t="shared" si="25"/>
        <v>6664.3133013459446</v>
      </c>
      <c r="K72" s="77">
        <f t="shared" si="25"/>
        <v>42567.162000000018</v>
      </c>
      <c r="L72" s="77">
        <f t="shared" si="25"/>
        <v>13905.004539530702</v>
      </c>
      <c r="M72" s="77">
        <f t="shared" si="22"/>
        <v>32027.176781002639</v>
      </c>
      <c r="N72" s="77">
        <f t="shared" si="22"/>
        <v>1302.0460358056266</v>
      </c>
      <c r="O72" s="77">
        <f t="shared" si="22"/>
        <v>33058.26666666667</v>
      </c>
      <c r="P72" s="77">
        <f t="shared" si="22"/>
        <v>1148.2666666666667</v>
      </c>
      <c r="Q72" s="77">
        <f t="shared" si="22"/>
        <v>28786.962365591397</v>
      </c>
      <c r="R72" s="77">
        <f t="shared" si="22"/>
        <v>10022.820512820514</v>
      </c>
      <c r="S72" s="77">
        <f t="shared" si="22"/>
        <v>38216.274377942165</v>
      </c>
      <c r="T72" s="77">
        <f t="shared" si="22"/>
        <v>30559.381304640217</v>
      </c>
      <c r="U72" s="77">
        <f t="shared" si="22"/>
        <v>285.6543358570288</v>
      </c>
      <c r="V72" s="77">
        <f t="shared" si="22"/>
        <v>2677.1573604060914</v>
      </c>
      <c r="W72" s="77">
        <f t="shared" si="22"/>
        <v>30101.830065359474</v>
      </c>
      <c r="X72" s="77">
        <f t="shared" si="22"/>
        <v>14138.522427440634</v>
      </c>
      <c r="Y72" s="77">
        <f t="shared" si="22"/>
        <v>0</v>
      </c>
      <c r="Z72" s="77">
        <f t="shared" si="22"/>
        <v>12503.824313441415</v>
      </c>
      <c r="AA72" s="77">
        <f t="shared" si="22"/>
        <v>0</v>
      </c>
      <c r="AB72" s="79">
        <f>AB70</f>
        <v>11730.727272727276</v>
      </c>
      <c r="AC72" s="77">
        <f t="shared" si="23"/>
        <v>0</v>
      </c>
      <c r="AD72" s="77">
        <f t="shared" si="23"/>
        <v>14226.347780126851</v>
      </c>
      <c r="AE72" s="77">
        <f>AE70</f>
        <v>4340</v>
      </c>
      <c r="AF72" s="77">
        <f>AF70</f>
        <v>22838.761411300271</v>
      </c>
      <c r="AG72" s="77">
        <f t="shared" si="23"/>
        <v>108516.93000000002</v>
      </c>
      <c r="AH72" s="77">
        <f>AH70</f>
        <v>1165.5</v>
      </c>
      <c r="AI72" s="77">
        <f>AI70</f>
        <v>24585.128205128207</v>
      </c>
      <c r="AJ72" s="56">
        <f>AJ70</f>
        <v>10.798469999999998</v>
      </c>
      <c r="AK72" s="56">
        <f t="shared" si="24"/>
        <v>27.802990000000001</v>
      </c>
      <c r="AL72" s="57">
        <f t="shared" si="24"/>
        <v>152.61083029831264</v>
      </c>
      <c r="AM72" s="57">
        <f t="shared" si="24"/>
        <v>10.507</v>
      </c>
      <c r="AN72" s="57">
        <f t="shared" si="24"/>
        <v>2.8332987194949442</v>
      </c>
      <c r="AO72" s="57">
        <f t="shared" si="24"/>
        <v>2.9435362032791241</v>
      </c>
      <c r="AP72" s="57">
        <f t="shared" si="24"/>
        <v>4.1954239911287639</v>
      </c>
      <c r="AQ72" s="57">
        <f t="shared" si="24"/>
        <v>14.239692645916051</v>
      </c>
      <c r="AR72" s="57">
        <f t="shared" si="24"/>
        <v>6.8710828256438639</v>
      </c>
      <c r="AS72" s="57">
        <f t="shared" si="24"/>
        <v>0.71924790344675138</v>
      </c>
      <c r="AT72" s="57">
        <f t="shared" si="24"/>
        <v>0.36400034301770717</v>
      </c>
      <c r="AU72" s="57">
        <f t="shared" si="24"/>
        <v>103.01259707448226</v>
      </c>
      <c r="AV72" s="57">
        <f t="shared" si="24"/>
        <v>70.491866428394488</v>
      </c>
      <c r="AW72" s="57">
        <f t="shared" si="24"/>
        <v>8.5959833459077881</v>
      </c>
      <c r="AX72" s="57">
        <f t="shared" si="24"/>
        <v>9.3340087959540572</v>
      </c>
      <c r="AY72" s="57">
        <f>AY70</f>
        <v>13.902013100637808</v>
      </c>
      <c r="AZ72" s="64"/>
    </row>
    <row r="73" spans="1:52" s="66" customFormat="1" ht="16.899999999999999" customHeight="1" x14ac:dyDescent="0.2">
      <c r="A73" s="50" t="s">
        <v>56</v>
      </c>
      <c r="B73" s="77">
        <f>B72+B39</f>
        <v>341158</v>
      </c>
      <c r="C73" s="77">
        <f t="shared" ref="C73:AI73" si="26">C72+C39</f>
        <v>83948</v>
      </c>
      <c r="D73" s="77">
        <f t="shared" si="26"/>
        <v>7421</v>
      </c>
      <c r="E73" s="77">
        <f t="shared" si="26"/>
        <v>13337</v>
      </c>
      <c r="F73" s="77">
        <f t="shared" si="26"/>
        <v>6502</v>
      </c>
      <c r="G73" s="77">
        <f t="shared" si="26"/>
        <v>7125</v>
      </c>
      <c r="H73" s="78">
        <f t="shared" si="26"/>
        <v>67847.461077686268</v>
      </c>
      <c r="I73" s="77">
        <f t="shared" si="26"/>
        <v>5650.9281543293191</v>
      </c>
      <c r="J73" s="77">
        <f t="shared" si="26"/>
        <v>13174.458630193021</v>
      </c>
      <c r="K73" s="77">
        <f t="shared" si="26"/>
        <v>82928.217601671349</v>
      </c>
      <c r="L73" s="77">
        <f t="shared" si="26"/>
        <v>28634.555800658851</v>
      </c>
      <c r="M73" s="77">
        <f>M72+M39</f>
        <v>66933.113456464387</v>
      </c>
      <c r="N73" s="77">
        <f t="shared" si="26"/>
        <v>2762.1483375959078</v>
      </c>
      <c r="O73" s="77">
        <f t="shared" si="26"/>
        <v>69682.266666666663</v>
      </c>
      <c r="P73" s="77">
        <f t="shared" si="26"/>
        <v>2716.5333333333333</v>
      </c>
      <c r="Q73" s="77">
        <f t="shared" si="26"/>
        <v>60823.924731182793</v>
      </c>
      <c r="R73" s="77">
        <f t="shared" si="26"/>
        <v>21700.51282051282</v>
      </c>
      <c r="S73" s="77">
        <f t="shared" si="26"/>
        <v>82047.61264290518</v>
      </c>
      <c r="T73" s="77">
        <f t="shared" si="26"/>
        <v>58113.786146603903</v>
      </c>
      <c r="U73" s="77">
        <f t="shared" si="26"/>
        <v>597.71891274022528</v>
      </c>
      <c r="V73" s="77">
        <f t="shared" si="26"/>
        <v>5848.0964467005078</v>
      </c>
      <c r="W73" s="77">
        <f t="shared" si="26"/>
        <v>65194.37908496731</v>
      </c>
      <c r="X73" s="77">
        <f t="shared" si="26"/>
        <v>29930.60686015831</v>
      </c>
      <c r="Y73" s="77">
        <f t="shared" si="26"/>
        <v>0</v>
      </c>
      <c r="Z73" s="77">
        <f t="shared" si="26"/>
        <v>26477.41974429577</v>
      </c>
      <c r="AA73" s="77">
        <f t="shared" si="26"/>
        <v>0</v>
      </c>
      <c r="AB73" s="77">
        <f t="shared" si="26"/>
        <v>24068.727272727276</v>
      </c>
      <c r="AC73" s="77">
        <f t="shared" si="26"/>
        <v>0</v>
      </c>
      <c r="AD73" s="77">
        <f t="shared" si="26"/>
        <v>29347.912262156449</v>
      </c>
      <c r="AE73" s="77">
        <f>AE72+AE39</f>
        <v>9455</v>
      </c>
      <c r="AF73" s="77">
        <f>AF72+AF39</f>
        <v>48275.968418455464</v>
      </c>
      <c r="AG73" s="77">
        <f t="shared" si="26"/>
        <v>232826.93000000002</v>
      </c>
      <c r="AH73" s="77">
        <f t="shared" si="26"/>
        <v>2152.3024999999998</v>
      </c>
      <c r="AI73" s="77">
        <f t="shared" si="26"/>
        <v>50959.487179487187</v>
      </c>
      <c r="AJ73" s="61">
        <f t="shared" ref="AJ73:AY73" si="27">AJ72+AJ39</f>
        <v>22.399260000000002</v>
      </c>
      <c r="AK73" s="61">
        <f t="shared" si="27"/>
        <v>58.129459999999995</v>
      </c>
      <c r="AL73" s="61">
        <f t="shared" si="27"/>
        <v>296.81274909069816</v>
      </c>
      <c r="AM73" s="61">
        <f t="shared" si="27"/>
        <v>23.433999999999997</v>
      </c>
      <c r="AN73" s="61">
        <f t="shared" si="27"/>
        <v>10.423063111653711</v>
      </c>
      <c r="AO73" s="61">
        <f t="shared" si="27"/>
        <v>7.958166566325783</v>
      </c>
      <c r="AP73" s="61">
        <f t="shared" si="27"/>
        <v>9.2429018962225982</v>
      </c>
      <c r="AQ73" s="61">
        <f t="shared" si="27"/>
        <v>34.457921112883781</v>
      </c>
      <c r="AR73" s="61">
        <f t="shared" si="27"/>
        <v>14.09844222893183</v>
      </c>
      <c r="AS73" s="61">
        <f t="shared" si="27"/>
        <v>1.7581930049216055</v>
      </c>
      <c r="AT73" s="61">
        <f t="shared" si="27"/>
        <v>0.63400059745391846</v>
      </c>
      <c r="AU73" s="61">
        <f t="shared" si="27"/>
        <v>219.07254039420235</v>
      </c>
      <c r="AV73" s="61">
        <f t="shared" si="27"/>
        <v>139.08617106861129</v>
      </c>
      <c r="AW73" s="61">
        <f t="shared" si="27"/>
        <v>17.537139644354056</v>
      </c>
      <c r="AX73" s="61">
        <f t="shared" si="27"/>
        <v>16.335328393685735</v>
      </c>
      <c r="AY73" s="61">
        <f t="shared" si="27"/>
        <v>25.605844129806759</v>
      </c>
    </row>
    <row r="74" spans="1:52" ht="13.5" customHeight="1" x14ac:dyDescent="0.2">
      <c r="A74" s="40">
        <v>45717</v>
      </c>
      <c r="B74" s="41">
        <v>5846</v>
      </c>
      <c r="C74" s="41">
        <v>1474</v>
      </c>
      <c r="D74" s="41">
        <v>127</v>
      </c>
      <c r="E74" s="41">
        <v>237</v>
      </c>
      <c r="F74" s="41">
        <v>106</v>
      </c>
      <c r="G74" s="41">
        <v>115</v>
      </c>
      <c r="H74" s="67">
        <v>8216.3310000000001</v>
      </c>
      <c r="I74" s="41">
        <v>663.81700000000001</v>
      </c>
      <c r="J74" s="41">
        <v>1480.327</v>
      </c>
      <c r="K74" s="41">
        <v>12105</v>
      </c>
      <c r="L74" s="41">
        <f>3439.529175+311</f>
        <v>3750.5291750000001</v>
      </c>
      <c r="M74" s="44">
        <f>8765-N74</f>
        <v>8372</v>
      </c>
      <c r="N74" s="44">
        <v>393</v>
      </c>
      <c r="O74" s="41">
        <v>8464</v>
      </c>
      <c r="P74" s="41">
        <v>167</v>
      </c>
      <c r="Q74" s="41">
        <v>7686</v>
      </c>
      <c r="R74" s="41">
        <v>2751</v>
      </c>
      <c r="S74" s="41">
        <v>9985</v>
      </c>
      <c r="T74" s="41">
        <v>8152</v>
      </c>
      <c r="U74" s="41">
        <f>20*6.2898</f>
        <v>125.79599999999999</v>
      </c>
      <c r="V74" s="41">
        <v>784</v>
      </c>
      <c r="W74" s="41">
        <v>8099</v>
      </c>
      <c r="X74" s="41">
        <v>3682</v>
      </c>
      <c r="Y74" s="41"/>
      <c r="Z74" s="41">
        <v>3655</v>
      </c>
      <c r="AA74" s="41"/>
      <c r="AB74" s="41">
        <f>219/0.55</f>
        <v>398.18181818181813</v>
      </c>
      <c r="AC74" s="41"/>
      <c r="AD74" s="41">
        <v>4342</v>
      </c>
      <c r="AE74" s="41">
        <v>170</v>
      </c>
      <c r="AF74" s="44">
        <v>8856</v>
      </c>
      <c r="AG74" s="41">
        <v>4026</v>
      </c>
      <c r="AH74" s="41">
        <v>37.200000000000003</v>
      </c>
      <c r="AI74" s="41">
        <v>7043</v>
      </c>
      <c r="AJ74" s="45">
        <v>2.1000000000000001E-2</v>
      </c>
      <c r="AK74" s="45">
        <v>1.079</v>
      </c>
      <c r="AL74" s="45">
        <f>5743*35.31/1000</f>
        <v>202.78533000000002</v>
      </c>
      <c r="AM74" s="45">
        <v>0.13800000000000001</v>
      </c>
      <c r="AN74" s="45">
        <v>3.59</v>
      </c>
      <c r="AO74" s="45">
        <v>1.47</v>
      </c>
      <c r="AP74" s="45">
        <v>6.39</v>
      </c>
      <c r="AQ74" s="45">
        <v>22</v>
      </c>
      <c r="AR74" s="45">
        <v>8.11</v>
      </c>
      <c r="AS74" s="45">
        <v>1.2</v>
      </c>
      <c r="AT74" s="47">
        <v>1.41E-2</v>
      </c>
      <c r="AU74" s="45">
        <v>4.9539999999999997</v>
      </c>
      <c r="AV74" s="80">
        <v>3.0129999999999999</v>
      </c>
      <c r="AW74" s="45">
        <f>368*35.3147/1000</f>
        <v>12.995809600000001</v>
      </c>
      <c r="AX74" s="45">
        <v>0.32800000000000001</v>
      </c>
      <c r="AY74" s="48">
        <v>0.49099999999999999</v>
      </c>
    </row>
    <row r="75" spans="1:52" ht="13.5" customHeight="1" x14ac:dyDescent="0.2">
      <c r="A75" s="40">
        <v>45718</v>
      </c>
      <c r="B75" s="41">
        <v>5828</v>
      </c>
      <c r="C75" s="41">
        <v>1561</v>
      </c>
      <c r="D75" s="41">
        <v>125</v>
      </c>
      <c r="E75" s="41">
        <v>225</v>
      </c>
      <c r="F75" s="41">
        <v>112</v>
      </c>
      <c r="G75" s="41">
        <v>120</v>
      </c>
      <c r="H75" s="67">
        <v>8778.0939999999991</v>
      </c>
      <c r="I75" s="41">
        <v>734.976</v>
      </c>
      <c r="J75" s="41">
        <v>1668.9659999999999</v>
      </c>
      <c r="K75" s="41">
        <v>12266</v>
      </c>
      <c r="L75" s="41">
        <f>3363.94757224+300</f>
        <v>3663.9475722400002</v>
      </c>
      <c r="M75" s="44">
        <f>8750-N75</f>
        <v>8381</v>
      </c>
      <c r="N75" s="44">
        <v>369</v>
      </c>
      <c r="O75" s="41">
        <v>7810</v>
      </c>
      <c r="P75" s="41">
        <v>214</v>
      </c>
      <c r="Q75" s="41">
        <v>7675</v>
      </c>
      <c r="R75" s="41">
        <v>2660</v>
      </c>
      <c r="S75" s="41">
        <v>9971</v>
      </c>
      <c r="T75" s="41">
        <v>8254</v>
      </c>
      <c r="U75" s="41">
        <f>15*6.2898</f>
        <v>94.346999999999994</v>
      </c>
      <c r="V75" s="41">
        <v>776</v>
      </c>
      <c r="W75" s="41">
        <v>8097</v>
      </c>
      <c r="X75" s="41">
        <v>3699</v>
      </c>
      <c r="Y75" s="41"/>
      <c r="Z75" s="41">
        <v>3659</v>
      </c>
      <c r="AA75" s="41"/>
      <c r="AB75" s="41">
        <f>227/0.55</f>
        <v>412.72727272727269</v>
      </c>
      <c r="AC75" s="41"/>
      <c r="AD75" s="41">
        <v>4342</v>
      </c>
      <c r="AE75" s="41">
        <v>170</v>
      </c>
      <c r="AF75" s="44">
        <v>8932</v>
      </c>
      <c r="AG75" s="41">
        <v>4026</v>
      </c>
      <c r="AH75" s="41">
        <v>37.200000000000003</v>
      </c>
      <c r="AI75" s="41">
        <v>7074</v>
      </c>
      <c r="AJ75" s="45">
        <v>0</v>
      </c>
      <c r="AK75" s="45">
        <v>0.14799999999999999</v>
      </c>
      <c r="AL75" s="45">
        <f>4135*35.31/1000</f>
        <v>146.00685000000001</v>
      </c>
      <c r="AM75" s="45">
        <v>0.36399999999999999</v>
      </c>
      <c r="AN75" s="45">
        <v>3.64</v>
      </c>
      <c r="AO75" s="45">
        <v>1.67</v>
      </c>
      <c r="AP75" s="45">
        <v>6.6</v>
      </c>
      <c r="AQ75" s="45">
        <v>37</v>
      </c>
      <c r="AR75" s="45">
        <v>8.14</v>
      </c>
      <c r="AS75" s="45">
        <v>1.3</v>
      </c>
      <c r="AT75" s="47">
        <v>1.41E-2</v>
      </c>
      <c r="AU75" s="45">
        <v>4.9530000000000003</v>
      </c>
      <c r="AV75" s="80">
        <v>2.5590000000000002</v>
      </c>
      <c r="AW75" s="45">
        <f>337*35.3147/1000</f>
        <v>11.901053900000001</v>
      </c>
      <c r="AX75" s="45">
        <v>0.33400000000000002</v>
      </c>
      <c r="AY75" s="48">
        <v>0.49099999999999999</v>
      </c>
    </row>
    <row r="76" spans="1:52" ht="13.5" customHeight="1" x14ac:dyDescent="0.2">
      <c r="A76" s="40">
        <v>45719</v>
      </c>
      <c r="B76" s="41">
        <v>5762</v>
      </c>
      <c r="C76" s="41">
        <v>1520</v>
      </c>
      <c r="D76" s="41">
        <v>126</v>
      </c>
      <c r="E76" s="41">
        <v>242</v>
      </c>
      <c r="F76" s="41">
        <v>113</v>
      </c>
      <c r="G76" s="41">
        <v>120</v>
      </c>
      <c r="H76" s="67">
        <v>9007</v>
      </c>
      <c r="I76" s="41">
        <v>798</v>
      </c>
      <c r="J76" s="41">
        <v>1853</v>
      </c>
      <c r="K76" s="41">
        <v>12420</v>
      </c>
      <c r="L76" s="41">
        <v>3694</v>
      </c>
      <c r="M76" s="44">
        <v>8400</v>
      </c>
      <c r="N76" s="44">
        <v>406</v>
      </c>
      <c r="O76" s="41">
        <v>9255</v>
      </c>
      <c r="P76" s="41">
        <v>293</v>
      </c>
      <c r="Q76" s="41">
        <v>7675</v>
      </c>
      <c r="R76" s="41">
        <v>2679</v>
      </c>
      <c r="S76" s="41">
        <v>9808</v>
      </c>
      <c r="T76" s="41">
        <v>8266</v>
      </c>
      <c r="U76" s="41">
        <f>20*6.2898</f>
        <v>125.79599999999999</v>
      </c>
      <c r="V76" s="41">
        <v>808</v>
      </c>
      <c r="W76" s="41">
        <v>8015</v>
      </c>
      <c r="X76" s="41">
        <v>3684</v>
      </c>
      <c r="Y76" s="41"/>
      <c r="Z76" s="41">
        <v>3395</v>
      </c>
      <c r="AA76" s="41"/>
      <c r="AB76" s="41">
        <f>230/0.55</f>
        <v>418.18181818181813</v>
      </c>
      <c r="AC76" s="41"/>
      <c r="AD76" s="41">
        <v>4342</v>
      </c>
      <c r="AE76" s="41">
        <v>170</v>
      </c>
      <c r="AF76" s="44">
        <v>8928</v>
      </c>
      <c r="AG76" s="41">
        <v>4026</v>
      </c>
      <c r="AH76" s="41">
        <v>37.200000000000003</v>
      </c>
      <c r="AI76" s="41">
        <v>6996</v>
      </c>
      <c r="AJ76" s="45">
        <v>1.0820000000000001E-3</v>
      </c>
      <c r="AK76" s="45">
        <v>0.52900000000000003</v>
      </c>
      <c r="AL76" s="45">
        <f>5781*35.31/1000</f>
        <v>204.12711000000002</v>
      </c>
      <c r="AM76" s="45">
        <v>0.40799999999999997</v>
      </c>
      <c r="AN76" s="45">
        <v>5.47</v>
      </c>
      <c r="AO76" s="45">
        <v>1.58</v>
      </c>
      <c r="AP76" s="45">
        <v>6.34</v>
      </c>
      <c r="AQ76" s="45">
        <v>51</v>
      </c>
      <c r="AR76" s="45">
        <v>7.92</v>
      </c>
      <c r="AS76" s="45">
        <v>1.1000000000000001</v>
      </c>
      <c r="AT76" s="47">
        <v>1.41E-2</v>
      </c>
      <c r="AU76" s="45">
        <v>4.9550000000000001</v>
      </c>
      <c r="AV76" s="80">
        <v>2.67</v>
      </c>
      <c r="AW76" s="45">
        <f>337*35.3147/1000</f>
        <v>11.901053900000001</v>
      </c>
      <c r="AX76" s="45">
        <v>0.33400000000000002</v>
      </c>
      <c r="AY76" s="48">
        <v>0.49099999999999999</v>
      </c>
    </row>
    <row r="77" spans="1:52" ht="13.5" customHeight="1" x14ac:dyDescent="0.2">
      <c r="A77" s="40">
        <v>45720</v>
      </c>
      <c r="B77" s="41">
        <v>5837</v>
      </c>
      <c r="C77" s="41">
        <v>1545</v>
      </c>
      <c r="D77" s="41">
        <v>129</v>
      </c>
      <c r="E77" s="41">
        <v>229</v>
      </c>
      <c r="F77" s="41">
        <v>113</v>
      </c>
      <c r="G77" s="41">
        <v>120</v>
      </c>
      <c r="H77" s="67">
        <v>8880</v>
      </c>
      <c r="I77" s="41">
        <v>799</v>
      </c>
      <c r="J77" s="41">
        <v>1854</v>
      </c>
      <c r="K77" s="41">
        <v>12353</v>
      </c>
      <c r="L77" s="41">
        <v>3685</v>
      </c>
      <c r="M77" s="44">
        <v>8452</v>
      </c>
      <c r="N77" s="44">
        <v>350</v>
      </c>
      <c r="O77" s="41">
        <v>8919</v>
      </c>
      <c r="P77" s="41">
        <v>355</v>
      </c>
      <c r="Q77" s="41">
        <v>7656</v>
      </c>
      <c r="R77" s="41">
        <v>2534</v>
      </c>
      <c r="S77" s="41">
        <v>9894</v>
      </c>
      <c r="T77" s="41">
        <v>8261</v>
      </c>
      <c r="U77" s="41">
        <f>15*6.2898</f>
        <v>94.346999999999994</v>
      </c>
      <c r="V77" s="41">
        <v>779</v>
      </c>
      <c r="W77" s="41">
        <v>8061</v>
      </c>
      <c r="X77" s="41">
        <v>3763</v>
      </c>
      <c r="Y77" s="41"/>
      <c r="Z77" s="41">
        <v>2998</v>
      </c>
      <c r="AA77" s="41"/>
      <c r="AB77" s="41">
        <f>232/0.55</f>
        <v>421.81818181818176</v>
      </c>
      <c r="AC77" s="41"/>
      <c r="AD77" s="41">
        <v>4342</v>
      </c>
      <c r="AE77" s="41">
        <v>170</v>
      </c>
      <c r="AF77" s="44">
        <v>8912</v>
      </c>
      <c r="AG77" s="41">
        <v>4026</v>
      </c>
      <c r="AH77" s="41">
        <v>37.200000000000003</v>
      </c>
      <c r="AI77" s="41">
        <v>6912</v>
      </c>
      <c r="AJ77" s="45">
        <v>0</v>
      </c>
      <c r="AK77" s="45">
        <v>0.70499999999999996</v>
      </c>
      <c r="AL77" s="45">
        <f>5838*35.31/1000</f>
        <v>206.13978</v>
      </c>
      <c r="AM77" s="45">
        <v>0.13200000000000001</v>
      </c>
      <c r="AN77" s="45">
        <v>7.3</v>
      </c>
      <c r="AO77" s="45">
        <v>1.81</v>
      </c>
      <c r="AP77" s="45">
        <v>6.41</v>
      </c>
      <c r="AQ77" s="45">
        <v>46</v>
      </c>
      <c r="AR77" s="45">
        <v>7.97</v>
      </c>
      <c r="AS77" s="45">
        <v>1.1000000000000001</v>
      </c>
      <c r="AT77" s="47">
        <v>1.41E-2</v>
      </c>
      <c r="AU77" s="45">
        <v>4.9480000000000004</v>
      </c>
      <c r="AV77" s="80">
        <v>3.2029999999999998</v>
      </c>
      <c r="AW77" s="45">
        <f>357*35.3147/1000</f>
        <v>12.607347900000001</v>
      </c>
      <c r="AX77" s="45">
        <v>0.34</v>
      </c>
      <c r="AY77" s="48">
        <v>0.49099999999999999</v>
      </c>
    </row>
    <row r="78" spans="1:52" ht="13.5" customHeight="1" x14ac:dyDescent="0.2">
      <c r="A78" s="40">
        <v>45721</v>
      </c>
      <c r="B78" s="41">
        <v>5852</v>
      </c>
      <c r="C78" s="41">
        <v>1497</v>
      </c>
      <c r="D78" s="41">
        <v>129</v>
      </c>
      <c r="E78" s="41">
        <v>253</v>
      </c>
      <c r="F78" s="41">
        <v>102</v>
      </c>
      <c r="G78" s="41">
        <v>120</v>
      </c>
      <c r="H78" s="67">
        <v>9302.6440000000002</v>
      </c>
      <c r="I78" s="41">
        <v>995.65200000000004</v>
      </c>
      <c r="J78" s="41">
        <v>2322.9929999999999</v>
      </c>
      <c r="K78" s="41">
        <v>12369</v>
      </c>
      <c r="L78" s="41">
        <f>3469.4046838+309</f>
        <v>3778.4046837999999</v>
      </c>
      <c r="M78" s="44">
        <f>8889-N78</f>
        <v>8492</v>
      </c>
      <c r="N78" s="44">
        <v>397</v>
      </c>
      <c r="O78" s="41">
        <v>9270</v>
      </c>
      <c r="P78" s="41">
        <v>408</v>
      </c>
      <c r="Q78" s="41">
        <v>7622</v>
      </c>
      <c r="R78" s="41">
        <v>2769</v>
      </c>
      <c r="S78" s="41">
        <v>9691</v>
      </c>
      <c r="T78" s="41">
        <v>8280</v>
      </c>
      <c r="U78" s="41">
        <f>20*6.2898</f>
        <v>125.79599999999999</v>
      </c>
      <c r="V78" s="41">
        <v>793</v>
      </c>
      <c r="W78" s="41">
        <v>8141</v>
      </c>
      <c r="X78" s="41">
        <v>3894</v>
      </c>
      <c r="Y78" s="41"/>
      <c r="Z78" s="41">
        <v>2995</v>
      </c>
      <c r="AA78" s="41"/>
      <c r="AB78" s="41">
        <f>229/0.55</f>
        <v>416.36363636363632</v>
      </c>
      <c r="AC78" s="41"/>
      <c r="AD78" s="41">
        <v>4342</v>
      </c>
      <c r="AE78" s="41">
        <v>170</v>
      </c>
      <c r="AF78" s="44">
        <v>8994</v>
      </c>
      <c r="AG78" s="41">
        <v>4026</v>
      </c>
      <c r="AH78" s="41">
        <v>37.200000000000003</v>
      </c>
      <c r="AI78" s="41">
        <v>6885</v>
      </c>
      <c r="AJ78" s="45">
        <v>1.9E-2</v>
      </c>
      <c r="AK78" s="45">
        <v>0.44500000000000001</v>
      </c>
      <c r="AL78" s="45">
        <f>4773*35.31/1000</f>
        <v>168.53462999999999</v>
      </c>
      <c r="AM78" s="45">
        <v>8.8999999999999996E-2</v>
      </c>
      <c r="AN78" s="45">
        <v>7.84</v>
      </c>
      <c r="AO78" s="45">
        <v>5.16</v>
      </c>
      <c r="AP78" s="45">
        <v>6.77</v>
      </c>
      <c r="AQ78" s="45">
        <v>50</v>
      </c>
      <c r="AR78" s="45">
        <v>8.09</v>
      </c>
      <c r="AS78" s="45">
        <v>1.2</v>
      </c>
      <c r="AT78" s="47">
        <v>1.41E-2</v>
      </c>
      <c r="AU78" s="45">
        <v>4.952</v>
      </c>
      <c r="AV78" s="80">
        <v>3.2679999999999998</v>
      </c>
      <c r="AW78" s="45">
        <f>344*35.3147/1000</f>
        <v>12.1482568</v>
      </c>
      <c r="AX78" s="45">
        <v>0.34</v>
      </c>
      <c r="AY78" s="48">
        <v>0.48099999999999998</v>
      </c>
    </row>
    <row r="79" spans="1:52" ht="13.5" customHeight="1" x14ac:dyDescent="0.2">
      <c r="A79" s="40">
        <v>45722</v>
      </c>
      <c r="B79" s="41">
        <v>5951</v>
      </c>
      <c r="C79" s="41">
        <v>1433</v>
      </c>
      <c r="D79" s="41">
        <v>123</v>
      </c>
      <c r="E79" s="41">
        <v>217</v>
      </c>
      <c r="F79" s="41">
        <v>110</v>
      </c>
      <c r="G79" s="41">
        <v>120</v>
      </c>
      <c r="H79" s="67">
        <v>9129.9410000000007</v>
      </c>
      <c r="I79" s="41">
        <v>905.93700000000001</v>
      </c>
      <c r="J79" s="41">
        <v>1932.0550000000001</v>
      </c>
      <c r="K79" s="41">
        <v>12353</v>
      </c>
      <c r="L79" s="41">
        <f>3442.64756876+305</f>
        <v>3747.64756876</v>
      </c>
      <c r="M79" s="44">
        <f>9006-N79</f>
        <v>8609</v>
      </c>
      <c r="N79" s="44">
        <v>397</v>
      </c>
      <c r="O79" s="41">
        <v>9267</v>
      </c>
      <c r="P79" s="41">
        <v>434</v>
      </c>
      <c r="Q79" s="41">
        <v>7645</v>
      </c>
      <c r="R79" s="41">
        <v>3082</v>
      </c>
      <c r="S79" s="41">
        <v>9797</v>
      </c>
      <c r="T79" s="41">
        <v>8271</v>
      </c>
      <c r="U79" s="41">
        <f>20*6.2898</f>
        <v>125.79599999999999</v>
      </c>
      <c r="V79" s="41">
        <v>791</v>
      </c>
      <c r="W79" s="41">
        <v>8101</v>
      </c>
      <c r="X79" s="41">
        <v>3489</v>
      </c>
      <c r="Y79" s="41"/>
      <c r="Z79" s="41">
        <v>2991</v>
      </c>
      <c r="AA79" s="41"/>
      <c r="AB79" s="41">
        <f>229/0.55</f>
        <v>416.36363636363632</v>
      </c>
      <c r="AC79" s="41"/>
      <c r="AD79" s="41">
        <v>4342</v>
      </c>
      <c r="AE79" s="41">
        <v>170</v>
      </c>
      <c r="AF79" s="44">
        <v>8970</v>
      </c>
      <c r="AG79" s="41">
        <v>4026</v>
      </c>
      <c r="AH79" s="41">
        <v>37.200000000000003</v>
      </c>
      <c r="AI79" s="41">
        <v>6484</v>
      </c>
      <c r="AJ79" s="45">
        <v>0.19800000000000001</v>
      </c>
      <c r="AK79" s="45">
        <v>0.878</v>
      </c>
      <c r="AL79" s="45">
        <f>5750*35.31/1000</f>
        <v>203.0325</v>
      </c>
      <c r="AM79" s="45">
        <v>0.28399999999999997</v>
      </c>
      <c r="AN79" s="45">
        <v>6.49</v>
      </c>
      <c r="AO79" s="45">
        <v>13.22</v>
      </c>
      <c r="AP79" s="45">
        <v>6.58</v>
      </c>
      <c r="AQ79" s="45">
        <v>50</v>
      </c>
      <c r="AR79" s="45">
        <v>8.08</v>
      </c>
      <c r="AS79" s="45">
        <v>0.9</v>
      </c>
      <c r="AT79" s="47">
        <v>1.41E-2</v>
      </c>
      <c r="AU79" s="45">
        <v>4.9550000000000001</v>
      </c>
      <c r="AV79" s="80">
        <v>3.3820000000000001</v>
      </c>
      <c r="AW79" s="45">
        <f>353*35.3147/1000</f>
        <v>12.466089100000001</v>
      </c>
      <c r="AX79" s="45">
        <v>0.34300000000000003</v>
      </c>
      <c r="AY79" s="48">
        <v>0.48099999999999998</v>
      </c>
    </row>
    <row r="80" spans="1:52" ht="13.5" customHeight="1" x14ac:dyDescent="0.2">
      <c r="A80" s="40">
        <v>45723</v>
      </c>
      <c r="B80" s="41">
        <v>5785</v>
      </c>
      <c r="C80" s="41">
        <v>1455</v>
      </c>
      <c r="D80" s="41">
        <v>125</v>
      </c>
      <c r="E80" s="41">
        <v>247</v>
      </c>
      <c r="F80" s="41">
        <v>79</v>
      </c>
      <c r="G80" s="41">
        <v>120</v>
      </c>
      <c r="H80" s="67">
        <v>9142.3179999999993</v>
      </c>
      <c r="I80" s="41">
        <v>911.22699999999998</v>
      </c>
      <c r="J80" s="41">
        <v>1872.528</v>
      </c>
      <c r="K80" s="41">
        <v>12351</v>
      </c>
      <c r="L80" s="41">
        <f>3345.60456636+291</f>
        <v>3636.6045663599998</v>
      </c>
      <c r="M80" s="44">
        <f>8908-N80</f>
        <v>8511</v>
      </c>
      <c r="N80" s="44">
        <v>397</v>
      </c>
      <c r="O80" s="41">
        <v>9428</v>
      </c>
      <c r="P80" s="41">
        <v>396</v>
      </c>
      <c r="Q80" s="41">
        <v>7354</v>
      </c>
      <c r="R80" s="41">
        <v>2445</v>
      </c>
      <c r="S80" s="41">
        <v>9610</v>
      </c>
      <c r="T80" s="41">
        <v>8306</v>
      </c>
      <c r="U80" s="41">
        <f>30*6.2898</f>
        <v>188.69399999999999</v>
      </c>
      <c r="V80" s="41">
        <v>828</v>
      </c>
      <c r="W80" s="41">
        <v>7915</v>
      </c>
      <c r="X80" s="41">
        <v>3647</v>
      </c>
      <c r="Y80" s="41"/>
      <c r="Z80" s="41">
        <v>2985</v>
      </c>
      <c r="AA80" s="41"/>
      <c r="AB80" s="41">
        <f>229/0.55</f>
        <v>416.36363636363632</v>
      </c>
      <c r="AC80" s="41"/>
      <c r="AD80" s="41">
        <v>4342</v>
      </c>
      <c r="AE80" s="41">
        <v>170</v>
      </c>
      <c r="AF80" s="44">
        <v>8753</v>
      </c>
      <c r="AG80" s="41">
        <v>4026</v>
      </c>
      <c r="AH80" s="41">
        <v>37.200000000000003</v>
      </c>
      <c r="AI80" s="41">
        <v>6722</v>
      </c>
      <c r="AJ80" s="45">
        <v>0.317</v>
      </c>
      <c r="AK80" s="45">
        <v>1.2849999999999999</v>
      </c>
      <c r="AL80" s="45">
        <f>5757*35.31/1000</f>
        <v>203.27967000000001</v>
      </c>
      <c r="AM80" s="45">
        <v>0.13100000000000001</v>
      </c>
      <c r="AN80" s="45">
        <v>5.13</v>
      </c>
      <c r="AO80" s="45">
        <v>1.45</v>
      </c>
      <c r="AP80" s="45">
        <v>6.58</v>
      </c>
      <c r="AQ80" s="45">
        <v>25</v>
      </c>
      <c r="AR80" s="45">
        <v>7.81</v>
      </c>
      <c r="AS80" s="45">
        <v>1</v>
      </c>
      <c r="AT80" s="47">
        <v>1.41E-2</v>
      </c>
      <c r="AU80" s="45">
        <v>4.8440000000000003</v>
      </c>
      <c r="AV80" s="80">
        <v>3.355</v>
      </c>
      <c r="AW80" s="45">
        <f>368*35.3147/1000</f>
        <v>12.995809600000001</v>
      </c>
      <c r="AX80" s="45">
        <v>0.34</v>
      </c>
      <c r="AY80" s="48">
        <v>0.48599999999999999</v>
      </c>
    </row>
    <row r="81" spans="1:56" ht="13.5" customHeight="1" x14ac:dyDescent="0.2">
      <c r="A81" s="40">
        <v>45724</v>
      </c>
      <c r="B81" s="41">
        <v>5932</v>
      </c>
      <c r="C81" s="41">
        <v>1491</v>
      </c>
      <c r="D81" s="41">
        <v>127</v>
      </c>
      <c r="E81" s="41">
        <v>237</v>
      </c>
      <c r="F81" s="41">
        <v>84</v>
      </c>
      <c r="G81" s="41">
        <v>120</v>
      </c>
      <c r="H81" s="41">
        <v>8934.0310000000009</v>
      </c>
      <c r="I81" s="41">
        <v>926</v>
      </c>
      <c r="J81" s="41">
        <v>1905</v>
      </c>
      <c r="K81" s="41">
        <v>12292</v>
      </c>
      <c r="L81" s="41">
        <f>3294.3759342+297</f>
        <v>3591.3759341999998</v>
      </c>
      <c r="M81" s="44">
        <f>8608-N81</f>
        <v>8211</v>
      </c>
      <c r="N81" s="44">
        <v>397</v>
      </c>
      <c r="O81" s="41">
        <v>9386</v>
      </c>
      <c r="P81" s="41">
        <v>433</v>
      </c>
      <c r="Q81" s="41">
        <v>7579</v>
      </c>
      <c r="R81" s="41">
        <v>2745</v>
      </c>
      <c r="S81" s="41">
        <v>9691</v>
      </c>
      <c r="T81" s="41">
        <v>8268</v>
      </c>
      <c r="U81" s="41">
        <f>24*6.2898</f>
        <v>150.95519999999999</v>
      </c>
      <c r="V81" s="41">
        <v>818</v>
      </c>
      <c r="W81" s="41">
        <v>7924</v>
      </c>
      <c r="X81" s="41">
        <v>3738</v>
      </c>
      <c r="Y81" s="41"/>
      <c r="Z81" s="41">
        <v>2981</v>
      </c>
      <c r="AA81" s="41"/>
      <c r="AB81" s="41">
        <f>229/0.55</f>
        <v>416.36363636363632</v>
      </c>
      <c r="AC81" s="41"/>
      <c r="AD81" s="41">
        <v>4342</v>
      </c>
      <c r="AE81" s="41">
        <v>170</v>
      </c>
      <c r="AF81" s="41">
        <v>8932</v>
      </c>
      <c r="AG81" s="41">
        <v>4026</v>
      </c>
      <c r="AH81" s="41">
        <v>37.200000000000003</v>
      </c>
      <c r="AI81" s="41">
        <v>6739</v>
      </c>
      <c r="AJ81" s="45">
        <v>9.8000000000000004E-2</v>
      </c>
      <c r="AK81" s="45">
        <v>0.374</v>
      </c>
      <c r="AL81" s="45">
        <f>5720*35.31/1000</f>
        <v>201.97320000000002</v>
      </c>
      <c r="AM81" s="45">
        <v>0.372</v>
      </c>
      <c r="AN81" s="45">
        <v>3.34</v>
      </c>
      <c r="AO81" s="45">
        <v>1.27</v>
      </c>
      <c r="AP81" s="45">
        <v>6.58</v>
      </c>
      <c r="AQ81" s="45">
        <v>10</v>
      </c>
      <c r="AR81" s="45">
        <v>6.57</v>
      </c>
      <c r="AS81" s="45">
        <v>1.1000000000000001</v>
      </c>
      <c r="AT81" s="47">
        <v>1.41E-2</v>
      </c>
      <c r="AU81" s="45">
        <v>4.9550000000000001</v>
      </c>
      <c r="AV81" s="45">
        <v>3.18</v>
      </c>
      <c r="AW81" s="45">
        <f>321*35.3147/1000</f>
        <v>11.3360187</v>
      </c>
      <c r="AX81" s="45">
        <v>0.34</v>
      </c>
      <c r="AY81" s="48">
        <v>0.48799999999999999</v>
      </c>
    </row>
    <row r="82" spans="1:56" ht="13.5" customHeight="1" x14ac:dyDescent="0.2">
      <c r="A82" s="40">
        <v>45725</v>
      </c>
      <c r="B82" s="41">
        <v>6027</v>
      </c>
      <c r="C82" s="41">
        <v>1462</v>
      </c>
      <c r="D82" s="41">
        <v>126</v>
      </c>
      <c r="E82" s="41">
        <v>243</v>
      </c>
      <c r="F82" s="41">
        <v>86</v>
      </c>
      <c r="G82" s="41">
        <v>120</v>
      </c>
      <c r="H82" s="67">
        <v>8926.5820000000003</v>
      </c>
      <c r="I82" s="41">
        <v>924.16600000000005</v>
      </c>
      <c r="J82" s="41">
        <v>1901.9459999999999</v>
      </c>
      <c r="K82" s="41">
        <v>12410</v>
      </c>
      <c r="L82" s="41">
        <f>3311.67148748+300</f>
        <v>3611.67148748</v>
      </c>
      <c r="M82" s="44">
        <f>8502-N82</f>
        <v>8105</v>
      </c>
      <c r="N82" s="44">
        <v>397</v>
      </c>
      <c r="O82" s="41">
        <v>9424</v>
      </c>
      <c r="P82" s="41">
        <v>428</v>
      </c>
      <c r="Q82" s="41">
        <v>7609</v>
      </c>
      <c r="R82" s="41">
        <v>2222</v>
      </c>
      <c r="S82" s="41">
        <v>9672</v>
      </c>
      <c r="T82" s="41">
        <v>8373</v>
      </c>
      <c r="U82" s="41">
        <f>16*6.2898</f>
        <v>100.63679999999999</v>
      </c>
      <c r="V82" s="41">
        <v>786</v>
      </c>
      <c r="W82" s="41">
        <v>8038</v>
      </c>
      <c r="X82" s="41">
        <v>3558</v>
      </c>
      <c r="Y82" s="41"/>
      <c r="Z82" s="41">
        <v>2976</v>
      </c>
      <c r="AA82" s="41"/>
      <c r="AB82" s="41">
        <f>229/0.55</f>
        <v>416.36363636363632</v>
      </c>
      <c r="AC82" s="41"/>
      <c r="AD82" s="41">
        <v>3363</v>
      </c>
      <c r="AE82" s="41">
        <v>170</v>
      </c>
      <c r="AF82" s="44">
        <v>8982</v>
      </c>
      <c r="AG82" s="41">
        <v>4026</v>
      </c>
      <c r="AH82" s="41">
        <v>37.200000000000003</v>
      </c>
      <c r="AI82" s="41">
        <v>6706</v>
      </c>
      <c r="AJ82" s="45">
        <v>0.17599999999999999</v>
      </c>
      <c r="AK82" s="45">
        <v>0.66900000000000004</v>
      </c>
      <c r="AL82" s="45">
        <f>5709*35.31/1000</f>
        <v>201.58479</v>
      </c>
      <c r="AM82" s="45">
        <v>0.13600000000000001</v>
      </c>
      <c r="AN82" s="45">
        <v>3.14</v>
      </c>
      <c r="AO82" s="45">
        <v>0.63</v>
      </c>
      <c r="AP82" s="45">
        <v>6.45</v>
      </c>
      <c r="AQ82" s="45">
        <v>10</v>
      </c>
      <c r="AR82" s="45">
        <v>8.09</v>
      </c>
      <c r="AS82" s="45">
        <v>1</v>
      </c>
      <c r="AT82" s="47">
        <v>1.41E-2</v>
      </c>
      <c r="AU82" s="45">
        <v>4.9550000000000001</v>
      </c>
      <c r="AV82" s="80">
        <v>2.41</v>
      </c>
      <c r="AW82" s="45">
        <f>314*35.3147/1000</f>
        <v>11.088815800000001</v>
      </c>
      <c r="AX82" s="45">
        <v>0.33900000000000002</v>
      </c>
      <c r="AY82" s="48">
        <v>0.498</v>
      </c>
    </row>
    <row r="83" spans="1:56" ht="13.5" customHeight="1" x14ac:dyDescent="0.2">
      <c r="A83" s="40">
        <v>45726</v>
      </c>
      <c r="B83" s="41">
        <v>5938</v>
      </c>
      <c r="C83" s="41">
        <v>1539</v>
      </c>
      <c r="D83" s="41">
        <v>128</v>
      </c>
      <c r="E83" s="41">
        <v>236</v>
      </c>
      <c r="F83" s="41">
        <v>116</v>
      </c>
      <c r="G83" s="41">
        <v>120</v>
      </c>
      <c r="H83" s="67">
        <v>8916</v>
      </c>
      <c r="I83" s="41">
        <v>932</v>
      </c>
      <c r="J83" s="41">
        <v>1922</v>
      </c>
      <c r="K83" s="41">
        <v>12340</v>
      </c>
      <c r="L83" s="41">
        <v>3584</v>
      </c>
      <c r="M83" s="44">
        <v>8601</v>
      </c>
      <c r="N83" s="41">
        <v>382</v>
      </c>
      <c r="O83" s="41">
        <v>9202</v>
      </c>
      <c r="P83" s="41">
        <v>424</v>
      </c>
      <c r="Q83" s="41">
        <v>7618</v>
      </c>
      <c r="R83" s="41">
        <v>2313</v>
      </c>
      <c r="S83" s="41">
        <v>9778</v>
      </c>
      <c r="T83" s="41">
        <v>8355</v>
      </c>
      <c r="U83" s="41">
        <f>26*6.2898</f>
        <v>163.53479999999999</v>
      </c>
      <c r="V83" s="41">
        <v>829</v>
      </c>
      <c r="W83" s="41">
        <v>8006</v>
      </c>
      <c r="X83" s="41">
        <v>3750</v>
      </c>
      <c r="Y83" s="41"/>
      <c r="Z83" s="41">
        <v>2965</v>
      </c>
      <c r="AA83" s="41"/>
      <c r="AB83" s="41">
        <f>238/0.55</f>
        <v>432.72727272727269</v>
      </c>
      <c r="AC83" s="41"/>
      <c r="AD83" s="41">
        <v>3104</v>
      </c>
      <c r="AE83" s="41">
        <v>170</v>
      </c>
      <c r="AF83" s="44">
        <v>8956</v>
      </c>
      <c r="AG83" s="41">
        <v>4026</v>
      </c>
      <c r="AH83" s="41">
        <v>37.200000000000003</v>
      </c>
      <c r="AI83" s="41">
        <v>6650</v>
      </c>
      <c r="AJ83" s="45">
        <v>0.38600000000000001</v>
      </c>
      <c r="AK83" s="45">
        <v>1.371</v>
      </c>
      <c r="AL83" s="45">
        <f>5709*35.31/1000</f>
        <v>201.58479</v>
      </c>
      <c r="AM83" s="45">
        <v>0.36399999999999999</v>
      </c>
      <c r="AN83" s="45">
        <v>3.32</v>
      </c>
      <c r="AO83" s="45">
        <v>0.96</v>
      </c>
      <c r="AP83" s="45">
        <v>6.58</v>
      </c>
      <c r="AQ83" s="45">
        <v>19</v>
      </c>
      <c r="AR83" s="45">
        <v>8.27</v>
      </c>
      <c r="AS83" s="45">
        <v>1.3</v>
      </c>
      <c r="AT83" s="47">
        <v>1.41E-2</v>
      </c>
      <c r="AU83" s="45">
        <v>4.9530000000000003</v>
      </c>
      <c r="AV83" s="80">
        <v>2.036</v>
      </c>
      <c r="AW83" s="45">
        <f>330*35.3147/1000</f>
        <v>11.653851000000001</v>
      </c>
      <c r="AX83" s="45">
        <v>0.33700000000000002</v>
      </c>
      <c r="AY83" s="46">
        <v>0.499</v>
      </c>
    </row>
    <row r="84" spans="1:56" ht="13.5" customHeight="1" x14ac:dyDescent="0.2">
      <c r="A84" s="40">
        <v>45727</v>
      </c>
      <c r="B84" s="41">
        <v>5800</v>
      </c>
      <c r="C84" s="41">
        <v>1446</v>
      </c>
      <c r="D84" s="41">
        <v>127</v>
      </c>
      <c r="E84" s="41">
        <v>240</v>
      </c>
      <c r="F84" s="41">
        <v>123</v>
      </c>
      <c r="G84" s="41">
        <v>120</v>
      </c>
      <c r="H84" s="67">
        <v>9181.7810000000009</v>
      </c>
      <c r="I84" s="41">
        <v>1001.928</v>
      </c>
      <c r="J84" s="41">
        <v>2066.1260000000002</v>
      </c>
      <c r="K84" s="41">
        <v>12302</v>
      </c>
      <c r="L84" s="41">
        <f>3289.71937192+296</f>
        <v>3585.71937192</v>
      </c>
      <c r="M84" s="44">
        <f>8601-N84</f>
        <v>8238</v>
      </c>
      <c r="N84" s="41">
        <v>363</v>
      </c>
      <c r="O84" s="41">
        <v>9162</v>
      </c>
      <c r="P84" s="41">
        <v>414</v>
      </c>
      <c r="Q84" s="41">
        <v>7629</v>
      </c>
      <c r="R84" s="41">
        <v>2511</v>
      </c>
      <c r="S84" s="41">
        <v>9609</v>
      </c>
      <c r="T84" s="41">
        <v>8413</v>
      </c>
      <c r="U84" s="41">
        <f>26*6.2898</f>
        <v>163.53479999999999</v>
      </c>
      <c r="V84" s="41">
        <v>840</v>
      </c>
      <c r="W84" s="41">
        <v>7980</v>
      </c>
      <c r="X84" s="41">
        <v>3640</v>
      </c>
      <c r="Y84" s="41"/>
      <c r="Z84" s="41">
        <v>2951</v>
      </c>
      <c r="AA84" s="41"/>
      <c r="AB84" s="41">
        <f>232/0.55</f>
        <v>421.81818181818176</v>
      </c>
      <c r="AC84" s="41"/>
      <c r="AD84" s="41">
        <v>3866</v>
      </c>
      <c r="AE84" s="41">
        <v>170</v>
      </c>
      <c r="AF84" s="44">
        <v>8952</v>
      </c>
      <c r="AG84" s="41">
        <v>4026</v>
      </c>
      <c r="AH84" s="41">
        <v>37.200000000000003</v>
      </c>
      <c r="AI84" s="41">
        <v>6950</v>
      </c>
      <c r="AJ84" s="45">
        <v>0.23499999999999999</v>
      </c>
      <c r="AK84" s="45">
        <v>0.86499999999999999</v>
      </c>
      <c r="AL84" s="45">
        <f>5671*35.31/1000</f>
        <v>200.24301</v>
      </c>
      <c r="AM84" s="45">
        <v>0.38900000000000001</v>
      </c>
      <c r="AN84" s="45">
        <v>3.32</v>
      </c>
      <c r="AO84" s="45">
        <v>0.96</v>
      </c>
      <c r="AP84" s="45">
        <v>6.46</v>
      </c>
      <c r="AQ84" s="45">
        <v>50</v>
      </c>
      <c r="AR84" s="45">
        <v>8.3699999999999992</v>
      </c>
      <c r="AS84" s="45">
        <v>1</v>
      </c>
      <c r="AT84" s="47">
        <v>1.41E-2</v>
      </c>
      <c r="AU84" s="45">
        <v>4.952</v>
      </c>
      <c r="AV84" s="80">
        <v>3.407</v>
      </c>
      <c r="AW84" s="45">
        <f>403*35.3147/1000</f>
        <v>14.231824100000001</v>
      </c>
      <c r="AX84" s="45">
        <v>0.33500000000000002</v>
      </c>
      <c r="AY84" s="46">
        <v>0.497</v>
      </c>
    </row>
    <row r="85" spans="1:56" ht="13.5" customHeight="1" x14ac:dyDescent="0.2">
      <c r="A85" s="40">
        <v>45728</v>
      </c>
      <c r="B85" s="41">
        <v>5788</v>
      </c>
      <c r="C85" s="41">
        <v>1455</v>
      </c>
      <c r="D85" s="41">
        <v>126</v>
      </c>
      <c r="E85" s="41">
        <v>229</v>
      </c>
      <c r="F85" s="41">
        <v>111</v>
      </c>
      <c r="G85" s="41">
        <v>120</v>
      </c>
      <c r="H85" s="67">
        <v>9008.67</v>
      </c>
      <c r="I85" s="41">
        <v>1025.8219999999999</v>
      </c>
      <c r="J85" s="41">
        <v>2240.6320000000001</v>
      </c>
      <c r="K85" s="41">
        <v>12343</v>
      </c>
      <c r="L85" s="41">
        <f>3362.5122712+302</f>
        <v>3664.5122712000002</v>
      </c>
      <c r="M85" s="44">
        <f>8311-N85</f>
        <v>7981</v>
      </c>
      <c r="N85" s="41">
        <v>330</v>
      </c>
      <c r="O85" s="41">
        <v>9196</v>
      </c>
      <c r="P85" s="41">
        <v>414</v>
      </c>
      <c r="Q85" s="41">
        <v>7666</v>
      </c>
      <c r="R85" s="41">
        <v>2012</v>
      </c>
      <c r="S85" s="41">
        <v>9757</v>
      </c>
      <c r="T85" s="41">
        <v>8266</v>
      </c>
      <c r="U85" s="41">
        <f>30*6.2898</f>
        <v>188.69399999999999</v>
      </c>
      <c r="V85" s="41">
        <v>842</v>
      </c>
      <c r="W85" s="41">
        <v>8051</v>
      </c>
      <c r="X85" s="41">
        <v>3945</v>
      </c>
      <c r="Y85" s="41"/>
      <c r="Z85" s="41">
        <v>2936</v>
      </c>
      <c r="AA85" s="41"/>
      <c r="AB85" s="41">
        <f>231/0.55</f>
        <v>419.99999999999994</v>
      </c>
      <c r="AC85" s="41"/>
      <c r="AD85" s="41">
        <v>4858</v>
      </c>
      <c r="AE85" s="41">
        <v>170</v>
      </c>
      <c r="AF85" s="44">
        <v>8830</v>
      </c>
      <c r="AG85" s="41">
        <v>4026</v>
      </c>
      <c r="AH85" s="41">
        <v>37.200000000000003</v>
      </c>
      <c r="AI85" s="41">
        <v>6931</v>
      </c>
      <c r="AJ85" s="45">
        <v>0.38400000000000001</v>
      </c>
      <c r="AK85" s="45">
        <v>1.155</v>
      </c>
      <c r="AL85" s="45">
        <f>5598*35.31/1000</f>
        <v>197.66538</v>
      </c>
      <c r="AM85" s="45">
        <v>0.13500000000000001</v>
      </c>
      <c r="AN85" s="45">
        <v>3.5</v>
      </c>
      <c r="AO85" s="45">
        <v>1.1399999999999999</v>
      </c>
      <c r="AP85" s="45">
        <v>6.46</v>
      </c>
      <c r="AQ85" s="45">
        <v>50</v>
      </c>
      <c r="AR85" s="45">
        <v>8.27</v>
      </c>
      <c r="AS85" s="45">
        <v>1.2</v>
      </c>
      <c r="AT85" s="47">
        <v>1.41E-2</v>
      </c>
      <c r="AU85" s="45">
        <v>4.952</v>
      </c>
      <c r="AV85" s="80">
        <v>3.4430000000000001</v>
      </c>
      <c r="AW85" s="45">
        <f>392*35.3147/1000</f>
        <v>13.8433624</v>
      </c>
      <c r="AX85" s="45">
        <v>0.33</v>
      </c>
      <c r="AY85" s="46">
        <v>0.497</v>
      </c>
    </row>
    <row r="86" spans="1:56" ht="13.5" customHeight="1" x14ac:dyDescent="0.2">
      <c r="A86" s="40">
        <v>45729</v>
      </c>
      <c r="B86" s="41">
        <v>5814</v>
      </c>
      <c r="C86" s="41">
        <v>1442</v>
      </c>
      <c r="D86" s="41">
        <v>125</v>
      </c>
      <c r="E86" s="41">
        <v>237</v>
      </c>
      <c r="F86" s="41">
        <v>114</v>
      </c>
      <c r="G86" s="41">
        <v>120</v>
      </c>
      <c r="H86" s="67">
        <v>8838.9509999999991</v>
      </c>
      <c r="I86" s="41">
        <v>862.51700000000005</v>
      </c>
      <c r="J86" s="41">
        <v>2091.3090000000002</v>
      </c>
      <c r="K86" s="41">
        <v>12319</v>
      </c>
      <c r="L86" s="41">
        <f>3282.48453772+291</f>
        <v>3573.4845377199999</v>
      </c>
      <c r="M86" s="44">
        <f>8560-N86</f>
        <v>8177</v>
      </c>
      <c r="N86" s="41">
        <v>383</v>
      </c>
      <c r="O86" s="41">
        <v>9199</v>
      </c>
      <c r="P86" s="41">
        <v>402</v>
      </c>
      <c r="Q86" s="41">
        <v>7652</v>
      </c>
      <c r="R86" s="41">
        <v>2853</v>
      </c>
      <c r="S86" s="41">
        <v>9752</v>
      </c>
      <c r="T86" s="41">
        <v>8235</v>
      </c>
      <c r="U86" s="41">
        <f>30*6.2898</f>
        <v>188.69399999999999</v>
      </c>
      <c r="V86" s="41">
        <v>842</v>
      </c>
      <c r="W86" s="41">
        <v>8043</v>
      </c>
      <c r="X86" s="41">
        <v>3627</v>
      </c>
      <c r="Y86" s="41"/>
      <c r="Z86" s="41">
        <v>2976</v>
      </c>
      <c r="AA86" s="41"/>
      <c r="AB86" s="41">
        <f>223/0.55</f>
        <v>405.45454545454544</v>
      </c>
      <c r="AC86" s="41"/>
      <c r="AD86" s="41">
        <v>4775</v>
      </c>
      <c r="AE86" s="41">
        <v>170</v>
      </c>
      <c r="AF86" s="44">
        <v>8878</v>
      </c>
      <c r="AG86" s="41">
        <v>4026</v>
      </c>
      <c r="AH86" s="41">
        <v>37.200000000000003</v>
      </c>
      <c r="AI86" s="41">
        <v>6771</v>
      </c>
      <c r="AJ86" s="45">
        <v>0.54200000000000004</v>
      </c>
      <c r="AK86" s="45">
        <v>1.389</v>
      </c>
      <c r="AL86" s="45">
        <f>5654*35.31/1000</f>
        <v>199.64274000000003</v>
      </c>
      <c r="AM86" s="45">
        <v>0.13500000000000001</v>
      </c>
      <c r="AN86" s="45">
        <v>3.33</v>
      </c>
      <c r="AO86" s="45">
        <v>1.57</v>
      </c>
      <c r="AP86" s="45">
        <v>6.46</v>
      </c>
      <c r="AQ86" s="45">
        <v>50</v>
      </c>
      <c r="AR86" s="45">
        <v>8.5299999999999994</v>
      </c>
      <c r="AS86" s="45">
        <v>0.6</v>
      </c>
      <c r="AT86" s="47">
        <v>1.41E-2</v>
      </c>
      <c r="AU86" s="45">
        <v>4.9450000000000003</v>
      </c>
      <c r="AV86" s="80">
        <v>3.6120000000000001</v>
      </c>
      <c r="AW86" s="45">
        <f>375*35.3147/1000</f>
        <v>13.243012500000001</v>
      </c>
      <c r="AX86" s="45">
        <v>0.33</v>
      </c>
      <c r="AY86" s="46">
        <v>0.497</v>
      </c>
    </row>
    <row r="87" spans="1:56" ht="13.5" customHeight="1" x14ac:dyDescent="0.2">
      <c r="A87" s="40">
        <v>45730</v>
      </c>
      <c r="B87" s="41">
        <v>5718</v>
      </c>
      <c r="C87" s="41">
        <v>1451</v>
      </c>
      <c r="D87" s="41">
        <v>125</v>
      </c>
      <c r="E87" s="41">
        <v>233</v>
      </c>
      <c r="F87" s="41">
        <v>108</v>
      </c>
      <c r="G87" s="41">
        <v>120</v>
      </c>
      <c r="H87" s="67">
        <v>9061.2749999999996</v>
      </c>
      <c r="I87" s="41">
        <v>949.74199999999996</v>
      </c>
      <c r="J87" s="41">
        <v>2336.5590000000002</v>
      </c>
      <c r="K87" s="41">
        <v>12282</v>
      </c>
      <c r="L87" s="41">
        <f>3321.95224288+296</f>
        <v>3617.9522428800001</v>
      </c>
      <c r="M87" s="44">
        <f>8582-N87</f>
        <v>8220</v>
      </c>
      <c r="N87" s="41">
        <v>362</v>
      </c>
      <c r="O87" s="41">
        <v>9241</v>
      </c>
      <c r="P87" s="41">
        <v>427</v>
      </c>
      <c r="Q87" s="41">
        <v>7704</v>
      </c>
      <c r="R87" s="41">
        <v>2823</v>
      </c>
      <c r="S87" s="41">
        <v>10140</v>
      </c>
      <c r="T87" s="41">
        <v>8145</v>
      </c>
      <c r="U87" s="41">
        <f>30*6.2898</f>
        <v>188.69399999999999</v>
      </c>
      <c r="V87" s="41">
        <v>876</v>
      </c>
      <c r="W87" s="41">
        <v>7940</v>
      </c>
      <c r="X87" s="41">
        <v>3818</v>
      </c>
      <c r="Y87" s="41"/>
      <c r="Z87" s="41">
        <v>2976</v>
      </c>
      <c r="AA87" s="41"/>
      <c r="AB87" s="41">
        <f>226/0.55</f>
        <v>410.90909090909088</v>
      </c>
      <c r="AC87" s="41"/>
      <c r="AD87" s="41">
        <v>4522</v>
      </c>
      <c r="AE87" s="41">
        <v>170</v>
      </c>
      <c r="AF87" s="44">
        <v>8865</v>
      </c>
      <c r="AG87" s="41">
        <v>4026</v>
      </c>
      <c r="AH87" s="41">
        <v>37.200000000000003</v>
      </c>
      <c r="AI87" s="41">
        <v>6742</v>
      </c>
      <c r="AJ87" s="45">
        <v>0.46899999999999997</v>
      </c>
      <c r="AK87" s="45">
        <v>1.21</v>
      </c>
      <c r="AL87" s="45">
        <f>5611*35.31/1000</f>
        <v>198.12441000000001</v>
      </c>
      <c r="AM87" s="45">
        <v>0.34300000000000003</v>
      </c>
      <c r="AN87" s="45">
        <v>1.03</v>
      </c>
      <c r="AO87" s="45">
        <v>1.1299999999999999</v>
      </c>
      <c r="AP87" s="45">
        <v>6.88</v>
      </c>
      <c r="AQ87" s="45">
        <v>50</v>
      </c>
      <c r="AR87" s="45">
        <v>8.5</v>
      </c>
      <c r="AS87" s="45">
        <v>1.3</v>
      </c>
      <c r="AT87" s="47">
        <v>1.41E-2</v>
      </c>
      <c r="AU87" s="45">
        <v>4.9580000000000002</v>
      </c>
      <c r="AV87" s="80">
        <v>3.5939999999999999</v>
      </c>
      <c r="AW87" s="45">
        <f>377*35.3147/1000</f>
        <v>13.3136419</v>
      </c>
      <c r="AX87" s="45">
        <v>0.33600000000000002</v>
      </c>
      <c r="AY87" s="46">
        <v>0.497</v>
      </c>
    </row>
    <row r="88" spans="1:56" ht="13.5" customHeight="1" x14ac:dyDescent="0.2">
      <c r="A88" s="40">
        <v>45731</v>
      </c>
      <c r="B88" s="41">
        <v>5787</v>
      </c>
      <c r="C88" s="41">
        <v>1406</v>
      </c>
      <c r="D88" s="41">
        <v>126</v>
      </c>
      <c r="E88" s="41">
        <v>245</v>
      </c>
      <c r="F88" s="41">
        <v>116</v>
      </c>
      <c r="G88" s="41">
        <v>120</v>
      </c>
      <c r="H88" s="41">
        <v>9160.9330000000009</v>
      </c>
      <c r="I88" s="41">
        <v>924.41300000000001</v>
      </c>
      <c r="J88" s="41">
        <v>2271.0030000000002</v>
      </c>
      <c r="K88" s="41">
        <v>12247</v>
      </c>
      <c r="L88" s="41">
        <f>3316.1588282+295</f>
        <v>3611.1588281999998</v>
      </c>
      <c r="M88" s="44">
        <f>8804-N88</f>
        <v>8402</v>
      </c>
      <c r="N88" s="41">
        <v>402</v>
      </c>
      <c r="O88" s="41">
        <v>9209</v>
      </c>
      <c r="P88" s="41">
        <v>424</v>
      </c>
      <c r="Q88" s="41">
        <v>7689</v>
      </c>
      <c r="R88" s="41">
        <v>2589</v>
      </c>
      <c r="S88" s="41">
        <v>10133</v>
      </c>
      <c r="T88" s="41">
        <v>8340</v>
      </c>
      <c r="U88" s="41">
        <f>30*6.2898</f>
        <v>188.69399999999999</v>
      </c>
      <c r="V88" s="41">
        <v>883</v>
      </c>
      <c r="W88" s="41">
        <v>7936</v>
      </c>
      <c r="X88" s="41">
        <v>3399</v>
      </c>
      <c r="Y88" s="41"/>
      <c r="Z88" s="41">
        <v>2976</v>
      </c>
      <c r="AA88" s="41"/>
      <c r="AB88" s="41">
        <f>229/0.55</f>
        <v>416.36363636363632</v>
      </c>
      <c r="AC88" s="41"/>
      <c r="AD88" s="41">
        <v>4515</v>
      </c>
      <c r="AE88" s="41">
        <v>170</v>
      </c>
      <c r="AF88" s="44">
        <v>8825</v>
      </c>
      <c r="AG88" s="41">
        <v>4026</v>
      </c>
      <c r="AH88" s="41">
        <v>37.200000000000003</v>
      </c>
      <c r="AI88" s="41">
        <v>6701</v>
      </c>
      <c r="AJ88" s="45">
        <v>0.44600000000000001</v>
      </c>
      <c r="AK88" s="45">
        <v>1.159</v>
      </c>
      <c r="AL88" s="45">
        <f>5575*35.31/1000</f>
        <v>196.85325</v>
      </c>
      <c r="AM88" s="45">
        <v>0.122</v>
      </c>
      <c r="AN88" s="45">
        <v>0.11</v>
      </c>
      <c r="AO88" s="45">
        <v>1.04</v>
      </c>
      <c r="AP88" s="45">
        <v>6.52</v>
      </c>
      <c r="AQ88" s="45">
        <v>50</v>
      </c>
      <c r="AR88" s="45">
        <v>7.95</v>
      </c>
      <c r="AS88" s="45">
        <v>0.8</v>
      </c>
      <c r="AT88" s="47">
        <v>1.41E-2</v>
      </c>
      <c r="AU88" s="45">
        <v>4.952</v>
      </c>
      <c r="AV88" s="80">
        <v>2.9359999999999999</v>
      </c>
      <c r="AW88" s="45">
        <f>368*35.3147/1000</f>
        <v>12.995809600000001</v>
      </c>
      <c r="AX88" s="45">
        <v>0.33600000000000002</v>
      </c>
      <c r="AY88" s="45">
        <v>0.49299999999999999</v>
      </c>
    </row>
    <row r="89" spans="1:56" ht="13.5" customHeight="1" x14ac:dyDescent="0.2">
      <c r="A89" s="40">
        <v>45732</v>
      </c>
      <c r="B89" s="41">
        <v>5850</v>
      </c>
      <c r="C89" s="41">
        <v>1437</v>
      </c>
      <c r="D89" s="41">
        <v>126</v>
      </c>
      <c r="E89" s="41">
        <v>241</v>
      </c>
      <c r="F89" s="41">
        <v>112</v>
      </c>
      <c r="G89" s="41">
        <v>120</v>
      </c>
      <c r="H89" s="81">
        <v>8898.0810000000001</v>
      </c>
      <c r="I89" s="82">
        <v>900.10799999999995</v>
      </c>
      <c r="J89" s="82">
        <v>2188.5070000000001</v>
      </c>
      <c r="K89" s="82">
        <v>12183</v>
      </c>
      <c r="L89" s="82">
        <f>3336.81168168+298</f>
        <v>3634.8116816800002</v>
      </c>
      <c r="M89" s="44">
        <f>8902-N89</f>
        <v>8554</v>
      </c>
      <c r="N89" s="41">
        <v>348</v>
      </c>
      <c r="O89" s="41">
        <v>9267</v>
      </c>
      <c r="P89" s="41">
        <v>425</v>
      </c>
      <c r="Q89" s="41">
        <v>7209</v>
      </c>
      <c r="R89" s="82">
        <v>2499</v>
      </c>
      <c r="S89" s="82">
        <v>10651</v>
      </c>
      <c r="T89" s="82">
        <v>8312</v>
      </c>
      <c r="U89" s="41">
        <f>10*6.2898</f>
        <v>62.897999999999996</v>
      </c>
      <c r="V89" s="41">
        <v>844</v>
      </c>
      <c r="W89" s="41">
        <v>7947</v>
      </c>
      <c r="X89" s="41">
        <v>4076</v>
      </c>
      <c r="Y89" s="41"/>
      <c r="Z89" s="41">
        <v>2936</v>
      </c>
      <c r="AA89" s="82"/>
      <c r="AB89" s="41">
        <f>231/0.55</f>
        <v>419.99999999999994</v>
      </c>
      <c r="AC89" s="82"/>
      <c r="AD89" s="41">
        <v>4530</v>
      </c>
      <c r="AE89" s="41">
        <v>170</v>
      </c>
      <c r="AF89" s="44">
        <v>6755</v>
      </c>
      <c r="AG89" s="41">
        <v>4026</v>
      </c>
      <c r="AH89" s="41">
        <v>37.200000000000003</v>
      </c>
      <c r="AI89" s="41">
        <v>6719</v>
      </c>
      <c r="AJ89" s="45">
        <v>8.8999999999999996E-2</v>
      </c>
      <c r="AK89" s="45">
        <v>0.22800000000000001</v>
      </c>
      <c r="AL89" s="45">
        <f>5428*35.31/1000</f>
        <v>191.66268000000002</v>
      </c>
      <c r="AM89" s="45">
        <v>0.36599999999999999</v>
      </c>
      <c r="AN89" s="45">
        <v>0.38</v>
      </c>
      <c r="AO89" s="45">
        <v>1.2</v>
      </c>
      <c r="AP89" s="45">
        <v>6.86</v>
      </c>
      <c r="AQ89" s="45">
        <v>50</v>
      </c>
      <c r="AR89" s="45">
        <v>8.1199999999999992</v>
      </c>
      <c r="AS89" s="45">
        <v>1</v>
      </c>
      <c r="AT89" s="47">
        <v>1.41E-2</v>
      </c>
      <c r="AU89" s="45">
        <v>3.9449999999999998</v>
      </c>
      <c r="AV89" s="80">
        <v>2.625</v>
      </c>
      <c r="AW89" s="45">
        <f>355*35.3147/1000</f>
        <v>12.536718500000001</v>
      </c>
      <c r="AX89" s="45">
        <v>0.33100000000000002</v>
      </c>
      <c r="AY89" s="46">
        <v>0.48699999999999999</v>
      </c>
    </row>
    <row r="90" spans="1:56" ht="13.5" customHeight="1" x14ac:dyDescent="0.2">
      <c r="A90" s="40">
        <v>45733</v>
      </c>
      <c r="B90" s="41">
        <v>5805</v>
      </c>
      <c r="C90" s="41">
        <v>1450</v>
      </c>
      <c r="D90" s="41">
        <v>115</v>
      </c>
      <c r="E90" s="41">
        <v>252</v>
      </c>
      <c r="F90" s="41">
        <v>117</v>
      </c>
      <c r="G90" s="41">
        <v>120</v>
      </c>
      <c r="H90" s="81">
        <v>8760</v>
      </c>
      <c r="I90" s="82">
        <v>851</v>
      </c>
      <c r="J90" s="82">
        <v>2124</v>
      </c>
      <c r="K90" s="82">
        <v>12166</v>
      </c>
      <c r="L90" s="82">
        <v>3622</v>
      </c>
      <c r="M90" s="44">
        <f>8902-N90</f>
        <v>8553</v>
      </c>
      <c r="N90" s="41">
        <v>349</v>
      </c>
      <c r="O90" s="41">
        <v>9471</v>
      </c>
      <c r="P90" s="41">
        <v>425</v>
      </c>
      <c r="Q90" s="41">
        <v>7281</v>
      </c>
      <c r="R90" s="82">
        <v>2534</v>
      </c>
      <c r="S90" s="82">
        <v>10633</v>
      </c>
      <c r="T90" s="82">
        <v>8277</v>
      </c>
      <c r="U90" s="41">
        <f>26*6.2898</f>
        <v>163.53479999999999</v>
      </c>
      <c r="V90" s="41">
        <v>895</v>
      </c>
      <c r="W90" s="82">
        <v>7937</v>
      </c>
      <c r="X90" s="41">
        <v>3452</v>
      </c>
      <c r="Y90" s="41"/>
      <c r="Z90" s="41">
        <v>2941</v>
      </c>
      <c r="AA90" s="82"/>
      <c r="AB90" s="41">
        <f>229/0.55</f>
        <v>416.36363636363632</v>
      </c>
      <c r="AC90" s="82"/>
      <c r="AD90" s="41">
        <v>4535</v>
      </c>
      <c r="AE90" s="41">
        <v>170</v>
      </c>
      <c r="AF90" s="44">
        <v>8960</v>
      </c>
      <c r="AG90" s="41">
        <v>4026</v>
      </c>
      <c r="AH90" s="41">
        <v>37.200000000000003</v>
      </c>
      <c r="AI90" s="41">
        <v>6757</v>
      </c>
      <c r="AJ90" s="45">
        <v>0.38</v>
      </c>
      <c r="AK90" s="45">
        <v>1.01</v>
      </c>
      <c r="AL90" s="45">
        <f>5680*35.31/1000</f>
        <v>200.56080000000003</v>
      </c>
      <c r="AM90" s="45">
        <v>0.11799999999999999</v>
      </c>
      <c r="AN90" s="45">
        <v>0.1</v>
      </c>
      <c r="AO90" s="45">
        <v>1.19</v>
      </c>
      <c r="AP90" s="45">
        <v>6.53</v>
      </c>
      <c r="AQ90" s="45">
        <v>50</v>
      </c>
      <c r="AR90" s="45">
        <v>8.3699999999999992</v>
      </c>
      <c r="AS90" s="45">
        <v>0.7</v>
      </c>
      <c r="AT90" s="47">
        <v>1.41E-2</v>
      </c>
      <c r="AU90" s="45">
        <v>4.9509999999999996</v>
      </c>
      <c r="AV90" s="80">
        <v>2.9860000000000002</v>
      </c>
      <c r="AW90" s="45">
        <f>374*35.3147/1000</f>
        <v>13.2076978</v>
      </c>
      <c r="AX90" s="45">
        <v>0.32700000000000001</v>
      </c>
      <c r="AY90" s="48">
        <v>0.48799999999999999</v>
      </c>
    </row>
    <row r="91" spans="1:56" ht="13.5" customHeight="1" x14ac:dyDescent="0.2">
      <c r="A91" s="40">
        <v>45734</v>
      </c>
      <c r="B91" s="41">
        <v>5915</v>
      </c>
      <c r="C91" s="41">
        <v>1482</v>
      </c>
      <c r="D91" s="41">
        <v>126</v>
      </c>
      <c r="E91" s="41">
        <v>240</v>
      </c>
      <c r="F91" s="41">
        <v>110</v>
      </c>
      <c r="G91" s="41">
        <v>120</v>
      </c>
      <c r="H91" s="81">
        <v>9130.3119999999999</v>
      </c>
      <c r="I91" s="82">
        <v>865.98500000000001</v>
      </c>
      <c r="J91" s="82">
        <v>2190.4879999999998</v>
      </c>
      <c r="K91" s="82">
        <v>12196</v>
      </c>
      <c r="L91" s="82">
        <f>3316.65129044+296</f>
        <v>3612.6512904400001</v>
      </c>
      <c r="M91" s="44">
        <f>8718-N91</f>
        <v>8362</v>
      </c>
      <c r="N91" s="41">
        <v>356</v>
      </c>
      <c r="O91" s="41">
        <v>9125</v>
      </c>
      <c r="P91" s="41">
        <v>430</v>
      </c>
      <c r="Q91" s="41">
        <v>7235</v>
      </c>
      <c r="R91" s="82">
        <v>2618</v>
      </c>
      <c r="S91" s="82">
        <v>10521</v>
      </c>
      <c r="T91" s="82">
        <v>8518</v>
      </c>
      <c r="U91" s="41">
        <f>29*6.2898</f>
        <v>182.4042</v>
      </c>
      <c r="V91" s="41">
        <v>914</v>
      </c>
      <c r="W91" s="82">
        <v>7913</v>
      </c>
      <c r="X91" s="41">
        <v>3981</v>
      </c>
      <c r="Y91" s="41"/>
      <c r="Z91" s="41">
        <v>2950</v>
      </c>
      <c r="AA91" s="82"/>
      <c r="AB91" s="41">
        <f>308/0.55</f>
        <v>560</v>
      </c>
      <c r="AC91" s="82"/>
      <c r="AD91" s="41">
        <v>4369</v>
      </c>
      <c r="AE91" s="41">
        <v>170</v>
      </c>
      <c r="AF91" s="44">
        <v>8854</v>
      </c>
      <c r="AG91" s="41">
        <v>4026</v>
      </c>
      <c r="AH91" s="41">
        <v>37.200000000000003</v>
      </c>
      <c r="AI91" s="41">
        <v>6737</v>
      </c>
      <c r="AJ91" s="45">
        <v>0.39500000000000002</v>
      </c>
      <c r="AK91" s="45">
        <v>1.2230000000000001</v>
      </c>
      <c r="AL91" s="45">
        <f>5555*35.31/1000</f>
        <v>196.14705000000001</v>
      </c>
      <c r="AM91" s="45">
        <v>0.44400000000000001</v>
      </c>
      <c r="AN91" s="45">
        <v>1.27</v>
      </c>
      <c r="AO91" s="45">
        <v>1.21</v>
      </c>
      <c r="AP91" s="45">
        <v>6.46</v>
      </c>
      <c r="AQ91" s="45">
        <v>50</v>
      </c>
      <c r="AR91" s="45">
        <v>8.08</v>
      </c>
      <c r="AS91" s="45">
        <v>1.3</v>
      </c>
      <c r="AT91" s="47">
        <v>1.41E-2</v>
      </c>
      <c r="AU91" s="45">
        <v>4.9560000000000004</v>
      </c>
      <c r="AV91" s="80">
        <v>3.1840000000000002</v>
      </c>
      <c r="AW91" s="45">
        <f>380*35.3147/1000</f>
        <v>13.419586000000001</v>
      </c>
      <c r="AX91" s="45">
        <v>0.32700000000000001</v>
      </c>
      <c r="AY91" s="48">
        <v>0.48799999999999999</v>
      </c>
    </row>
    <row r="92" spans="1:56" ht="13.5" customHeight="1" x14ac:dyDescent="0.2">
      <c r="A92" s="40">
        <v>45735</v>
      </c>
      <c r="B92" s="41">
        <v>5970</v>
      </c>
      <c r="C92" s="41">
        <v>1488</v>
      </c>
      <c r="D92" s="41">
        <v>127</v>
      </c>
      <c r="E92" s="41">
        <v>248</v>
      </c>
      <c r="F92" s="41">
        <v>113</v>
      </c>
      <c r="G92" s="41">
        <v>120</v>
      </c>
      <c r="H92" s="81">
        <v>8914.81</v>
      </c>
      <c r="I92" s="82">
        <v>884.01300000000003</v>
      </c>
      <c r="J92" s="82">
        <v>2190.1709999999998</v>
      </c>
      <c r="K92" s="82">
        <v>12185</v>
      </c>
      <c r="L92" s="82">
        <f>3295.47651756+299</f>
        <v>3594.47651756</v>
      </c>
      <c r="M92" s="44">
        <f>8704-N92</f>
        <v>8284</v>
      </c>
      <c r="N92" s="41">
        <v>420</v>
      </c>
      <c r="O92" s="41">
        <v>9067</v>
      </c>
      <c r="P92" s="41">
        <v>416</v>
      </c>
      <c r="Q92" s="82">
        <v>7326</v>
      </c>
      <c r="R92" s="82">
        <v>2558</v>
      </c>
      <c r="S92" s="82">
        <v>10424</v>
      </c>
      <c r="T92" s="82">
        <v>8239</v>
      </c>
      <c r="U92" s="41">
        <f>30*6.2898</f>
        <v>188.69399999999999</v>
      </c>
      <c r="V92" s="41">
        <v>923</v>
      </c>
      <c r="W92" s="82">
        <v>7914</v>
      </c>
      <c r="X92" s="82">
        <v>3219</v>
      </c>
      <c r="Y92" s="82"/>
      <c r="Z92" s="41">
        <v>2955</v>
      </c>
      <c r="AA92" s="82"/>
      <c r="AB92" s="41">
        <f>309/0.55</f>
        <v>561.81818181818176</v>
      </c>
      <c r="AC92" s="82"/>
      <c r="AD92" s="41">
        <v>4498</v>
      </c>
      <c r="AE92" s="41">
        <v>170</v>
      </c>
      <c r="AF92" s="83">
        <v>8864</v>
      </c>
      <c r="AG92" s="41">
        <v>4026</v>
      </c>
      <c r="AH92" s="41">
        <v>37.200000000000003</v>
      </c>
      <c r="AI92" s="41">
        <v>6731</v>
      </c>
      <c r="AJ92" s="45">
        <v>0.499</v>
      </c>
      <c r="AK92" s="45">
        <v>1.2270000000000001</v>
      </c>
      <c r="AL92" s="45">
        <f>5659*35.31/1000</f>
        <v>199.81929</v>
      </c>
      <c r="AM92" s="45">
        <v>0.40100000000000002</v>
      </c>
      <c r="AN92" s="45">
        <v>1.77</v>
      </c>
      <c r="AO92" s="45">
        <v>1.08</v>
      </c>
      <c r="AP92" s="45">
        <v>6.32</v>
      </c>
      <c r="AQ92" s="45">
        <v>50</v>
      </c>
      <c r="AR92" s="45">
        <v>7.97</v>
      </c>
      <c r="AS92" s="45">
        <v>0.7</v>
      </c>
      <c r="AT92" s="47">
        <v>1.41E-2</v>
      </c>
      <c r="AU92" s="45">
        <v>4.9560000000000004</v>
      </c>
      <c r="AV92" s="80">
        <v>3.464</v>
      </c>
      <c r="AW92" s="45">
        <f>354*35.3147/1000</f>
        <v>12.5014038</v>
      </c>
      <c r="AX92" s="45">
        <v>0.32500000000000001</v>
      </c>
      <c r="AY92" s="48">
        <v>0.49299999999999999</v>
      </c>
    </row>
    <row r="93" spans="1:56" s="49" customFormat="1" ht="13.5" customHeight="1" x14ac:dyDescent="0.2">
      <c r="A93" s="40">
        <v>45736</v>
      </c>
      <c r="B93" s="41">
        <v>5901</v>
      </c>
      <c r="C93" s="41">
        <v>1451</v>
      </c>
      <c r="D93" s="41">
        <v>125</v>
      </c>
      <c r="E93" s="41">
        <v>234</v>
      </c>
      <c r="F93" s="41">
        <v>112</v>
      </c>
      <c r="G93" s="41">
        <v>120</v>
      </c>
      <c r="H93" s="81">
        <v>9202.2520000000004</v>
      </c>
      <c r="I93" s="82">
        <v>1036.768</v>
      </c>
      <c r="J93" s="82">
        <v>2247.2170000000001</v>
      </c>
      <c r="K93" s="82">
        <v>12206</v>
      </c>
      <c r="L93" s="82">
        <f>3272.56217968+295</f>
        <v>3567.5621796800001</v>
      </c>
      <c r="M93" s="44">
        <f>8702-N93</f>
        <v>8361</v>
      </c>
      <c r="N93" s="41">
        <v>341</v>
      </c>
      <c r="O93" s="41">
        <v>9085</v>
      </c>
      <c r="P93" s="41">
        <v>368</v>
      </c>
      <c r="Q93" s="82">
        <v>7381</v>
      </c>
      <c r="R93" s="82">
        <v>2492</v>
      </c>
      <c r="S93" s="82">
        <v>10593</v>
      </c>
      <c r="T93" s="82">
        <v>8271</v>
      </c>
      <c r="U93" s="41">
        <f>18*6.2898</f>
        <v>113.21639999999999</v>
      </c>
      <c r="V93" s="41">
        <v>918</v>
      </c>
      <c r="W93" s="82">
        <v>7869</v>
      </c>
      <c r="X93" s="82">
        <v>3615</v>
      </c>
      <c r="Y93" s="82"/>
      <c r="Z93" s="41">
        <v>3186</v>
      </c>
      <c r="AA93" s="82"/>
      <c r="AB93" s="41">
        <f>354/0.55</f>
        <v>643.63636363636363</v>
      </c>
      <c r="AC93" s="82"/>
      <c r="AD93" s="41">
        <v>4377</v>
      </c>
      <c r="AE93" s="41">
        <v>170</v>
      </c>
      <c r="AF93" s="83">
        <v>8935</v>
      </c>
      <c r="AG93" s="41">
        <v>4026</v>
      </c>
      <c r="AH93" s="41">
        <v>37.200000000000003</v>
      </c>
      <c r="AI93" s="41">
        <v>6735</v>
      </c>
      <c r="AJ93" s="45">
        <v>0.432</v>
      </c>
      <c r="AK93" s="45">
        <v>1.0620000000000001</v>
      </c>
      <c r="AL93" s="45">
        <f>5460*35.31/1000</f>
        <v>192.79259999999999</v>
      </c>
      <c r="AM93" s="45">
        <v>0.14399999999999999</v>
      </c>
      <c r="AN93" s="45">
        <v>1.77</v>
      </c>
      <c r="AO93" s="45">
        <v>1.01</v>
      </c>
      <c r="AP93" s="45">
        <v>6.99</v>
      </c>
      <c r="AQ93" s="45">
        <v>50</v>
      </c>
      <c r="AR93" s="45">
        <v>7.84</v>
      </c>
      <c r="AS93" s="45">
        <v>0.7</v>
      </c>
      <c r="AT93" s="47">
        <v>1.41E-2</v>
      </c>
      <c r="AU93" s="45">
        <v>4.96</v>
      </c>
      <c r="AV93" s="80">
        <v>3.4319999999999999</v>
      </c>
      <c r="AW93" s="45">
        <f>373*35.3147/1000</f>
        <v>13.172383100000001</v>
      </c>
      <c r="AX93" s="45">
        <v>0.32500000000000001</v>
      </c>
      <c r="AY93" s="48">
        <v>0.49399999999999999</v>
      </c>
      <c r="AZ93" s="6"/>
      <c r="BA93" s="6"/>
      <c r="BB93" s="6"/>
      <c r="BC93" s="6"/>
      <c r="BD93" s="6"/>
    </row>
    <row r="94" spans="1:56" ht="13.5" customHeight="1" x14ac:dyDescent="0.2">
      <c r="A94" s="40">
        <v>45737</v>
      </c>
      <c r="B94" s="41">
        <v>5935</v>
      </c>
      <c r="C94" s="41">
        <v>1444</v>
      </c>
      <c r="D94" s="41">
        <v>117</v>
      </c>
      <c r="E94" s="41">
        <v>242</v>
      </c>
      <c r="F94" s="41">
        <v>119</v>
      </c>
      <c r="G94" s="41">
        <v>120</v>
      </c>
      <c r="H94" s="81">
        <v>9011.8269999999993</v>
      </c>
      <c r="I94" s="82">
        <v>1040.5429999999999</v>
      </c>
      <c r="J94" s="82">
        <v>2335.4270000000001</v>
      </c>
      <c r="K94" s="82">
        <v>12196</v>
      </c>
      <c r="L94" s="82">
        <f>3276.43901008+296</f>
        <v>3572.4390100800001</v>
      </c>
      <c r="M94" s="44">
        <f>8720-N94</f>
        <v>8379</v>
      </c>
      <c r="N94" s="41">
        <v>341</v>
      </c>
      <c r="O94" s="41">
        <v>7711</v>
      </c>
      <c r="P94" s="41">
        <v>0</v>
      </c>
      <c r="Q94" s="82">
        <v>7479</v>
      </c>
      <c r="R94" s="82">
        <v>2872</v>
      </c>
      <c r="S94" s="82">
        <v>10669</v>
      </c>
      <c r="T94" s="82">
        <v>8208</v>
      </c>
      <c r="U94" s="41">
        <f>26*6.2898</f>
        <v>163.53479999999999</v>
      </c>
      <c r="V94" s="41">
        <v>918</v>
      </c>
      <c r="W94" s="82">
        <v>7875</v>
      </c>
      <c r="X94" s="82">
        <v>3625</v>
      </c>
      <c r="Y94" s="82"/>
      <c r="Z94" s="41">
        <v>3619</v>
      </c>
      <c r="AA94" s="82"/>
      <c r="AB94" s="41">
        <f>244/0.55</f>
        <v>443.63636363636363</v>
      </c>
      <c r="AC94" s="82"/>
      <c r="AD94" s="41">
        <v>4092</v>
      </c>
      <c r="AE94" s="41">
        <v>170</v>
      </c>
      <c r="AF94" s="83">
        <v>8878</v>
      </c>
      <c r="AG94" s="41">
        <v>4026</v>
      </c>
      <c r="AH94" s="41">
        <v>37.200000000000003</v>
      </c>
      <c r="AI94" s="41">
        <v>6809</v>
      </c>
      <c r="AJ94" s="45">
        <v>0.39300000000000002</v>
      </c>
      <c r="AK94" s="45">
        <v>0.97</v>
      </c>
      <c r="AL94" s="45">
        <f>5267*35.31/1000</f>
        <v>185.97777000000002</v>
      </c>
      <c r="AM94" s="45">
        <v>0.151</v>
      </c>
      <c r="AN94" s="45">
        <v>1.27</v>
      </c>
      <c r="AO94" s="45">
        <v>18.5</v>
      </c>
      <c r="AP94" s="45">
        <v>7.77</v>
      </c>
      <c r="AQ94" s="45">
        <v>51</v>
      </c>
      <c r="AR94" s="45">
        <v>8.15</v>
      </c>
      <c r="AS94" s="45">
        <v>0.7</v>
      </c>
      <c r="AT94" s="47">
        <v>1.41E-2</v>
      </c>
      <c r="AU94" s="45">
        <v>4.9560000000000004</v>
      </c>
      <c r="AV94" s="80">
        <v>2.992</v>
      </c>
      <c r="AW94" s="45">
        <f>373*35.3147/1000</f>
        <v>13.172383100000001</v>
      </c>
      <c r="AX94" s="45">
        <v>0.32400000000000001</v>
      </c>
      <c r="AY94" s="48">
        <v>0.49399999999999999</v>
      </c>
    </row>
    <row r="95" spans="1:56" ht="13.5" customHeight="1" x14ac:dyDescent="0.2">
      <c r="A95" s="40">
        <v>45738</v>
      </c>
      <c r="B95" s="41">
        <v>5825</v>
      </c>
      <c r="C95" s="41">
        <v>1466</v>
      </c>
      <c r="D95" s="41">
        <v>126</v>
      </c>
      <c r="E95" s="41">
        <v>227</v>
      </c>
      <c r="F95" s="41">
        <v>109</v>
      </c>
      <c r="G95" s="41">
        <v>120</v>
      </c>
      <c r="H95" s="81">
        <v>9000.4570000000003</v>
      </c>
      <c r="I95" s="82">
        <v>1045.7180000000001</v>
      </c>
      <c r="J95" s="82">
        <v>2420.326</v>
      </c>
      <c r="K95" s="82">
        <v>12169</v>
      </c>
      <c r="L95" s="82">
        <f>3278.50237896+297</f>
        <v>3575.50237896</v>
      </c>
      <c r="M95" s="44">
        <f>8725-N95</f>
        <v>8384</v>
      </c>
      <c r="N95" s="41">
        <v>341</v>
      </c>
      <c r="O95" s="41">
        <v>7925</v>
      </c>
      <c r="P95" s="41">
        <v>0</v>
      </c>
      <c r="Q95" s="82">
        <v>6969</v>
      </c>
      <c r="R95" s="82">
        <v>2835</v>
      </c>
      <c r="S95" s="82">
        <v>10653</v>
      </c>
      <c r="T95" s="82">
        <v>8193</v>
      </c>
      <c r="U95" s="41">
        <f>14*6.2898</f>
        <v>88.057199999999995</v>
      </c>
      <c r="V95" s="41">
        <v>901</v>
      </c>
      <c r="W95" s="82">
        <v>7845</v>
      </c>
      <c r="X95" s="82">
        <v>3656</v>
      </c>
      <c r="Y95" s="82"/>
      <c r="Z95" s="41">
        <v>3610</v>
      </c>
      <c r="AA95" s="82"/>
      <c r="AB95" s="41">
        <f>277/0.55</f>
        <v>503.63636363636357</v>
      </c>
      <c r="AC95" s="82"/>
      <c r="AD95" s="41">
        <v>3837</v>
      </c>
      <c r="AE95" s="41">
        <v>170</v>
      </c>
      <c r="AF95" s="83">
        <v>8927</v>
      </c>
      <c r="AG95" s="41">
        <v>4026</v>
      </c>
      <c r="AH95" s="41">
        <v>37.200000000000003</v>
      </c>
      <c r="AI95" s="41">
        <v>6760</v>
      </c>
      <c r="AJ95" s="45">
        <v>0.29799999999999999</v>
      </c>
      <c r="AK95" s="45">
        <v>0.71199999999999997</v>
      </c>
      <c r="AL95" s="45">
        <f>5335*35.31/1000</f>
        <v>188.37885</v>
      </c>
      <c r="AM95" s="45">
        <v>0.42199999999999999</v>
      </c>
      <c r="AN95" s="45">
        <v>1.21</v>
      </c>
      <c r="AO95" s="45">
        <v>20</v>
      </c>
      <c r="AP95" s="45">
        <v>7.88</v>
      </c>
      <c r="AQ95" s="45">
        <v>51</v>
      </c>
      <c r="AR95" s="45">
        <v>8.14</v>
      </c>
      <c r="AS95" s="45">
        <v>0.8</v>
      </c>
      <c r="AT95" s="47">
        <v>1.41E-2</v>
      </c>
      <c r="AU95" s="45">
        <v>4.9530000000000003</v>
      </c>
      <c r="AV95" s="80">
        <v>2.8769999999999998</v>
      </c>
      <c r="AW95" s="45">
        <f>373*35.3147/1000</f>
        <v>13.172383100000001</v>
      </c>
      <c r="AX95" s="45">
        <v>0.32300000000000001</v>
      </c>
      <c r="AY95" s="48">
        <v>0.49399999999999999</v>
      </c>
    </row>
    <row r="96" spans="1:56" ht="13.5" customHeight="1" x14ac:dyDescent="0.2">
      <c r="A96" s="40">
        <v>45739</v>
      </c>
      <c r="B96" s="41">
        <v>5928</v>
      </c>
      <c r="C96" s="41">
        <v>1477</v>
      </c>
      <c r="D96" s="41">
        <v>128</v>
      </c>
      <c r="E96" s="41">
        <v>234</v>
      </c>
      <c r="F96" s="41">
        <v>119</v>
      </c>
      <c r="G96" s="41">
        <v>120</v>
      </c>
      <c r="H96" s="81">
        <v>9449.8340000000007</v>
      </c>
      <c r="I96" s="82">
        <v>1067.9390000000001</v>
      </c>
      <c r="J96" s="82">
        <v>2491.64</v>
      </c>
      <c r="K96" s="82">
        <v>12140</v>
      </c>
      <c r="L96" s="82">
        <f>3296.04241704+300</f>
        <v>3596.0424170400001</v>
      </c>
      <c r="M96" s="44">
        <f>8730-N96</f>
        <v>8383</v>
      </c>
      <c r="N96" s="41">
        <v>347</v>
      </c>
      <c r="O96" s="41">
        <v>7811</v>
      </c>
      <c r="P96" s="41">
        <v>0</v>
      </c>
      <c r="Q96" s="82">
        <v>6679</v>
      </c>
      <c r="R96" s="82">
        <v>3040</v>
      </c>
      <c r="S96" s="82">
        <v>10509</v>
      </c>
      <c r="T96" s="82">
        <v>8258</v>
      </c>
      <c r="U96" s="41">
        <f>20*6.2898</f>
        <v>125.79599999999999</v>
      </c>
      <c r="V96" s="41">
        <v>904</v>
      </c>
      <c r="W96" s="82">
        <v>7840</v>
      </c>
      <c r="X96" s="82">
        <v>3650</v>
      </c>
      <c r="Y96" s="82"/>
      <c r="Z96" s="41">
        <v>3612</v>
      </c>
      <c r="AA96" s="82"/>
      <c r="AB96" s="41">
        <f>278/0.55</f>
        <v>505.45454545454544</v>
      </c>
      <c r="AC96" s="82"/>
      <c r="AD96" s="41">
        <v>3660</v>
      </c>
      <c r="AE96" s="41">
        <v>170</v>
      </c>
      <c r="AF96" s="83">
        <v>8911</v>
      </c>
      <c r="AG96" s="41">
        <v>4026</v>
      </c>
      <c r="AH96" s="41">
        <v>37.200000000000003</v>
      </c>
      <c r="AI96" s="41">
        <v>6744</v>
      </c>
      <c r="AJ96" s="45">
        <v>0.192</v>
      </c>
      <c r="AK96" s="45">
        <v>0.438</v>
      </c>
      <c r="AL96" s="45">
        <f>5348*35.31/1000</f>
        <v>188.83788000000001</v>
      </c>
      <c r="AM96" s="45">
        <v>0.14599999999999999</v>
      </c>
      <c r="AN96" s="45">
        <v>1.27</v>
      </c>
      <c r="AO96" s="45">
        <v>20.11</v>
      </c>
      <c r="AP96" s="45">
        <v>7.55</v>
      </c>
      <c r="AQ96" s="45">
        <v>51</v>
      </c>
      <c r="AR96" s="45">
        <v>8.02</v>
      </c>
      <c r="AS96" s="45">
        <v>0.6</v>
      </c>
      <c r="AT96" s="47">
        <v>1.41E-2</v>
      </c>
      <c r="AU96" s="45">
        <v>4.9530000000000003</v>
      </c>
      <c r="AV96" s="80">
        <v>2.7839999999999998</v>
      </c>
      <c r="AW96" s="45">
        <f>373*35.3147/1000</f>
        <v>13.172383100000001</v>
      </c>
      <c r="AX96" s="45">
        <v>0.32500000000000001</v>
      </c>
      <c r="AY96" s="48">
        <v>0.49399999999999999</v>
      </c>
    </row>
    <row r="97" spans="1:52" ht="13.5" customHeight="1" x14ac:dyDescent="0.2">
      <c r="A97" s="40">
        <v>45740</v>
      </c>
      <c r="B97" s="41">
        <v>5807</v>
      </c>
      <c r="C97" s="41">
        <v>1452</v>
      </c>
      <c r="D97" s="41">
        <v>124</v>
      </c>
      <c r="E97" s="41">
        <v>231</v>
      </c>
      <c r="F97" s="41">
        <v>110</v>
      </c>
      <c r="G97" s="41">
        <v>120</v>
      </c>
      <c r="H97" s="81">
        <v>11249.241</v>
      </c>
      <c r="I97" s="82">
        <v>1042.3119999999999</v>
      </c>
      <c r="J97" s="82">
        <v>2433.828</v>
      </c>
      <c r="K97" s="82">
        <v>12066</v>
      </c>
      <c r="L97" s="82">
        <f>3269.00239816+296</f>
        <v>3565.0023981600002</v>
      </c>
      <c r="M97" s="44">
        <f>8725-N97</f>
        <v>8340</v>
      </c>
      <c r="N97" s="41">
        <v>385</v>
      </c>
      <c r="O97" s="41">
        <v>8766</v>
      </c>
      <c r="P97" s="41">
        <v>322</v>
      </c>
      <c r="Q97" s="82">
        <v>6580</v>
      </c>
      <c r="R97" s="82">
        <v>3153</v>
      </c>
      <c r="S97" s="82">
        <v>10424</v>
      </c>
      <c r="T97" s="82">
        <v>8257</v>
      </c>
      <c r="U97" s="41">
        <f>20*6.2898</f>
        <v>125.79599999999999</v>
      </c>
      <c r="V97" s="41">
        <v>895</v>
      </c>
      <c r="W97" s="82">
        <v>7837</v>
      </c>
      <c r="X97" s="82">
        <v>3693</v>
      </c>
      <c r="Y97" s="82"/>
      <c r="Z97" s="41">
        <v>3609</v>
      </c>
      <c r="AA97" s="82"/>
      <c r="AB97" s="41">
        <f>271/0.55</f>
        <v>492.72727272727269</v>
      </c>
      <c r="AC97" s="82"/>
      <c r="AD97" s="41">
        <v>3484</v>
      </c>
      <c r="AE97" s="41">
        <v>170</v>
      </c>
      <c r="AF97" s="83">
        <v>8917</v>
      </c>
      <c r="AG97" s="41">
        <v>4026</v>
      </c>
      <c r="AH97" s="41">
        <v>37.200000000000003</v>
      </c>
      <c r="AI97" s="41">
        <v>6818</v>
      </c>
      <c r="AJ97" s="45">
        <v>0.42799999999999999</v>
      </c>
      <c r="AK97" s="45">
        <v>1.1359999999999999</v>
      </c>
      <c r="AL97" s="45">
        <f>5745*35.31/1000</f>
        <v>202.85595000000001</v>
      </c>
      <c r="AM97" s="45">
        <v>0.39200000000000002</v>
      </c>
      <c r="AN97" s="45">
        <v>0.54</v>
      </c>
      <c r="AO97" s="45">
        <v>19.899999999999999</v>
      </c>
      <c r="AP97" s="45">
        <v>7.22</v>
      </c>
      <c r="AQ97" s="45">
        <v>51</v>
      </c>
      <c r="AR97" s="45">
        <v>7.95</v>
      </c>
      <c r="AS97" s="45">
        <v>0.9</v>
      </c>
      <c r="AT97" s="47">
        <v>1.41E-2</v>
      </c>
      <c r="AU97" s="45">
        <v>4.9530000000000003</v>
      </c>
      <c r="AV97" s="80">
        <v>3.0489999999999999</v>
      </c>
      <c r="AW97" s="45">
        <f>373*35.3147/1000</f>
        <v>13.172383100000001</v>
      </c>
      <c r="AX97" s="45">
        <v>0.32800000000000001</v>
      </c>
      <c r="AY97" s="48">
        <v>0.49399999999999999</v>
      </c>
    </row>
    <row r="98" spans="1:52" ht="13.5" customHeight="1" x14ac:dyDescent="0.2">
      <c r="A98" s="40">
        <v>45741</v>
      </c>
      <c r="B98" s="41">
        <v>5899</v>
      </c>
      <c r="C98" s="41">
        <v>1388</v>
      </c>
      <c r="D98" s="41">
        <v>130</v>
      </c>
      <c r="E98" s="41">
        <v>241</v>
      </c>
      <c r="F98" s="41">
        <v>114</v>
      </c>
      <c r="G98" s="41">
        <v>120</v>
      </c>
      <c r="H98" s="81">
        <v>9531</v>
      </c>
      <c r="I98" s="82">
        <v>1032</v>
      </c>
      <c r="J98" s="82">
        <v>2493</v>
      </c>
      <c r="K98" s="82">
        <v>11923</v>
      </c>
      <c r="L98" s="82">
        <v>3566</v>
      </c>
      <c r="M98" s="44">
        <v>8359</v>
      </c>
      <c r="N98" s="41">
        <v>376</v>
      </c>
      <c r="O98" s="41">
        <v>9194</v>
      </c>
      <c r="P98" s="41">
        <v>375</v>
      </c>
      <c r="Q98" s="82">
        <v>6378</v>
      </c>
      <c r="R98" s="82">
        <v>3244</v>
      </c>
      <c r="S98" s="82">
        <v>10523</v>
      </c>
      <c r="T98" s="82">
        <v>8141</v>
      </c>
      <c r="U98" s="41">
        <f>26*6.2898</f>
        <v>163.53479999999999</v>
      </c>
      <c r="V98" s="41">
        <v>907</v>
      </c>
      <c r="W98" s="82">
        <v>7867</v>
      </c>
      <c r="X98" s="82">
        <v>3486</v>
      </c>
      <c r="Y98" s="82"/>
      <c r="Z98" s="41">
        <v>3605</v>
      </c>
      <c r="AA98" s="82"/>
      <c r="AB98" s="41">
        <f>279/0.55</f>
        <v>507.27272727272725</v>
      </c>
      <c r="AC98" s="82"/>
      <c r="AD98" s="41">
        <v>3485</v>
      </c>
      <c r="AE98" s="41">
        <v>170</v>
      </c>
      <c r="AF98" s="83">
        <v>8917</v>
      </c>
      <c r="AG98" s="41">
        <v>4026</v>
      </c>
      <c r="AH98" s="41">
        <v>37.200000000000003</v>
      </c>
      <c r="AI98" s="41">
        <v>6811</v>
      </c>
      <c r="AJ98" s="45">
        <v>0.44589000000000001</v>
      </c>
      <c r="AK98" s="45">
        <v>1.357</v>
      </c>
      <c r="AL98" s="45">
        <f>5902*35.31/1000</f>
        <v>208.39962000000003</v>
      </c>
      <c r="AM98" s="45">
        <v>0.39200000000000002</v>
      </c>
      <c r="AN98" s="45">
        <v>2.4300000000000002</v>
      </c>
      <c r="AO98" s="45">
        <v>19.68</v>
      </c>
      <c r="AP98" s="45">
        <v>7.4</v>
      </c>
      <c r="AQ98" s="45">
        <v>50</v>
      </c>
      <c r="AR98" s="45">
        <v>8.09</v>
      </c>
      <c r="AS98" s="45">
        <v>0.7</v>
      </c>
      <c r="AT98" s="47">
        <v>1.41E-2</v>
      </c>
      <c r="AU98" s="45">
        <v>4.9539999999999997</v>
      </c>
      <c r="AV98" s="80">
        <v>3.2919999999999998</v>
      </c>
      <c r="AW98" s="45">
        <f>380*35.3147/1000</f>
        <v>13.419586000000001</v>
      </c>
      <c r="AX98" s="45">
        <v>0.32800000000000001</v>
      </c>
      <c r="AY98" s="48">
        <v>0.47</v>
      </c>
    </row>
    <row r="99" spans="1:52" ht="13.5" customHeight="1" x14ac:dyDescent="0.2">
      <c r="A99" s="40">
        <v>45742</v>
      </c>
      <c r="B99" s="41">
        <v>5846</v>
      </c>
      <c r="C99" s="41">
        <v>1434</v>
      </c>
      <c r="D99" s="41">
        <v>126</v>
      </c>
      <c r="E99" s="41">
        <v>234</v>
      </c>
      <c r="F99" s="41">
        <v>114</v>
      </c>
      <c r="G99" s="41">
        <v>120</v>
      </c>
      <c r="H99" s="81">
        <v>9429</v>
      </c>
      <c r="I99" s="82">
        <v>1040</v>
      </c>
      <c r="J99" s="82">
        <v>2494</v>
      </c>
      <c r="K99" s="82">
        <v>12068</v>
      </c>
      <c r="L99" s="82">
        <v>3564</v>
      </c>
      <c r="M99" s="44">
        <v>8419</v>
      </c>
      <c r="N99" s="41">
        <v>397</v>
      </c>
      <c r="O99" s="41">
        <v>9147</v>
      </c>
      <c r="P99" s="41">
        <v>403</v>
      </c>
      <c r="Q99" s="82">
        <v>6575</v>
      </c>
      <c r="R99" s="82">
        <v>3213</v>
      </c>
      <c r="S99" s="82">
        <v>5735</v>
      </c>
      <c r="T99" s="82">
        <v>7995</v>
      </c>
      <c r="U99" s="41">
        <f>14*6.2898</f>
        <v>88.057199999999995</v>
      </c>
      <c r="V99" s="41">
        <v>866</v>
      </c>
      <c r="W99" s="82">
        <v>7784</v>
      </c>
      <c r="X99" s="82">
        <v>2139</v>
      </c>
      <c r="Y99" s="82"/>
      <c r="Z99" s="41">
        <v>3611</v>
      </c>
      <c r="AA99" s="82"/>
      <c r="AB99" s="41">
        <f>274/0.55</f>
        <v>498.18181818181813</v>
      </c>
      <c r="AC99" s="82"/>
      <c r="AD99" s="41">
        <v>3486</v>
      </c>
      <c r="AE99" s="41">
        <v>170</v>
      </c>
      <c r="AF99" s="83">
        <v>9109</v>
      </c>
      <c r="AG99" s="41">
        <v>4026</v>
      </c>
      <c r="AH99" s="41">
        <v>37.200000000000003</v>
      </c>
      <c r="AI99" s="41">
        <v>6793</v>
      </c>
      <c r="AJ99" s="45">
        <v>0.36174000000000001</v>
      </c>
      <c r="AK99" s="45">
        <v>0.997</v>
      </c>
      <c r="AL99" s="45">
        <f>5808*35.31/1000</f>
        <v>205.08048000000002</v>
      </c>
      <c r="AM99" s="45">
        <v>0.39200000000000002</v>
      </c>
      <c r="AN99" s="45">
        <v>8.76</v>
      </c>
      <c r="AO99" s="45">
        <v>18.07</v>
      </c>
      <c r="AP99" s="45">
        <v>3.66</v>
      </c>
      <c r="AQ99" s="45">
        <v>35</v>
      </c>
      <c r="AR99" s="45">
        <v>7.28</v>
      </c>
      <c r="AS99" s="45">
        <v>0.1</v>
      </c>
      <c r="AT99" s="47">
        <v>1.41E-2</v>
      </c>
      <c r="AU99" s="45">
        <v>4.9539999999999997</v>
      </c>
      <c r="AV99" s="80">
        <v>2.74</v>
      </c>
      <c r="AW99" s="45">
        <f>370*35.3147/1000</f>
        <v>13.066439000000001</v>
      </c>
      <c r="AX99" s="45">
        <v>0.32800000000000001</v>
      </c>
      <c r="AY99" s="48">
        <v>0.47</v>
      </c>
    </row>
    <row r="100" spans="1:52" ht="13.5" customHeight="1" x14ac:dyDescent="0.2">
      <c r="A100" s="40">
        <v>45743</v>
      </c>
      <c r="B100" s="41">
        <v>5958</v>
      </c>
      <c r="C100" s="41">
        <v>1436</v>
      </c>
      <c r="D100" s="41">
        <v>128</v>
      </c>
      <c r="E100" s="41">
        <v>244</v>
      </c>
      <c r="F100" s="41">
        <v>111</v>
      </c>
      <c r="G100" s="41">
        <v>120</v>
      </c>
      <c r="H100" s="81">
        <v>9429</v>
      </c>
      <c r="I100" s="82">
        <v>1040</v>
      </c>
      <c r="J100" s="82">
        <v>2494</v>
      </c>
      <c r="K100" s="82">
        <v>12068</v>
      </c>
      <c r="L100" s="82">
        <v>3564</v>
      </c>
      <c r="M100" s="44">
        <v>8419</v>
      </c>
      <c r="N100" s="41">
        <v>397</v>
      </c>
      <c r="O100" s="41">
        <v>9469</v>
      </c>
      <c r="P100" s="41">
        <v>440</v>
      </c>
      <c r="Q100" s="82">
        <v>6679</v>
      </c>
      <c r="R100" s="82">
        <v>3226</v>
      </c>
      <c r="S100" s="82">
        <v>9419</v>
      </c>
      <c r="T100" s="82">
        <v>7976</v>
      </c>
      <c r="U100" s="41">
        <f>17*6.2898</f>
        <v>106.92659999999999</v>
      </c>
      <c r="V100" s="41">
        <v>852</v>
      </c>
      <c r="W100" s="82">
        <v>7622</v>
      </c>
      <c r="X100" s="82">
        <v>3602</v>
      </c>
      <c r="Y100" s="82"/>
      <c r="Z100" s="41">
        <v>3194</v>
      </c>
      <c r="AA100" s="82"/>
      <c r="AB100" s="41">
        <f>276/0.55</f>
        <v>501.81818181818176</v>
      </c>
      <c r="AC100" s="82"/>
      <c r="AD100" s="41">
        <v>4409</v>
      </c>
      <c r="AE100" s="41">
        <v>170</v>
      </c>
      <c r="AF100" s="83">
        <v>8474</v>
      </c>
      <c r="AG100" s="41">
        <v>4026</v>
      </c>
      <c r="AH100" s="41">
        <v>37.200000000000003</v>
      </c>
      <c r="AI100" s="41">
        <v>6791</v>
      </c>
      <c r="AJ100" s="45">
        <v>0.14324000000000001</v>
      </c>
      <c r="AK100" s="45">
        <v>0.34295999999999999</v>
      </c>
      <c r="AL100" s="45">
        <f>5792*35.31/1000</f>
        <v>204.51552000000001</v>
      </c>
      <c r="AM100" s="45">
        <v>0.373</v>
      </c>
      <c r="AN100" s="45">
        <v>14.19</v>
      </c>
      <c r="AO100" s="45">
        <v>13.2</v>
      </c>
      <c r="AP100" s="45">
        <v>7.35</v>
      </c>
      <c r="AQ100" s="45">
        <v>35</v>
      </c>
      <c r="AR100" s="45">
        <v>7.28</v>
      </c>
      <c r="AS100" s="45">
        <v>0.1</v>
      </c>
      <c r="AT100" s="47">
        <v>1.41E-2</v>
      </c>
      <c r="AU100" s="45">
        <v>4.9560000000000004</v>
      </c>
      <c r="AV100" s="80">
        <v>2.5289999999999999</v>
      </c>
      <c r="AW100" s="45">
        <f>388*35.3147/1000</f>
        <v>13.702103600000001</v>
      </c>
      <c r="AX100" s="45">
        <v>0.32800000000000001</v>
      </c>
      <c r="AY100" s="48">
        <v>0.48599999999999999</v>
      </c>
    </row>
    <row r="101" spans="1:52" ht="13.5" customHeight="1" x14ac:dyDescent="0.2">
      <c r="A101" s="40">
        <v>45744</v>
      </c>
      <c r="B101" s="41">
        <f>7896-(C101+D101+E101+F101)</f>
        <v>5938</v>
      </c>
      <c r="C101" s="41">
        <v>1477</v>
      </c>
      <c r="D101" s="41">
        <v>128</v>
      </c>
      <c r="E101" s="41">
        <v>234</v>
      </c>
      <c r="F101" s="41">
        <v>119</v>
      </c>
      <c r="G101" s="41">
        <v>120</v>
      </c>
      <c r="H101" s="81">
        <v>9429</v>
      </c>
      <c r="I101" s="82">
        <v>1040</v>
      </c>
      <c r="J101" s="82">
        <v>2494</v>
      </c>
      <c r="K101" s="82">
        <v>12068</v>
      </c>
      <c r="L101" s="82">
        <v>3564</v>
      </c>
      <c r="M101" s="44">
        <f>9030-N101</f>
        <v>8692</v>
      </c>
      <c r="N101" s="41">
        <v>338</v>
      </c>
      <c r="O101" s="41">
        <v>9350</v>
      </c>
      <c r="P101" s="41">
        <v>419</v>
      </c>
      <c r="Q101" s="82">
        <v>6685</v>
      </c>
      <c r="R101" s="82">
        <v>2615</v>
      </c>
      <c r="S101" s="82">
        <v>9809</v>
      </c>
      <c r="T101" s="82">
        <v>1344</v>
      </c>
      <c r="U101" s="41">
        <f>17*6.2898</f>
        <v>106.92659999999999</v>
      </c>
      <c r="V101" s="41">
        <v>852</v>
      </c>
      <c r="W101" s="82">
        <v>7586</v>
      </c>
      <c r="X101" s="82">
        <v>3790</v>
      </c>
      <c r="Y101" s="82"/>
      <c r="Z101" s="41">
        <v>3591</v>
      </c>
      <c r="AA101" s="82"/>
      <c r="AB101" s="41">
        <f>272/0.55</f>
        <v>494.5454545454545</v>
      </c>
      <c r="AC101" s="82"/>
      <c r="AD101" s="41">
        <v>4396</v>
      </c>
      <c r="AE101" s="41">
        <v>170</v>
      </c>
      <c r="AF101" s="83">
        <v>8958</v>
      </c>
      <c r="AG101" s="41">
        <f>8242*0.49</f>
        <v>4038.58</v>
      </c>
      <c r="AH101" s="41">
        <v>37.200000000000003</v>
      </c>
      <c r="AI101" s="41">
        <v>6827</v>
      </c>
      <c r="AJ101" s="45">
        <v>0.27145999999999998</v>
      </c>
      <c r="AK101" s="45">
        <v>0.71257000000000004</v>
      </c>
      <c r="AL101" s="45">
        <f>5810*35.31/1000</f>
        <v>205.15110000000001</v>
      </c>
      <c r="AM101" s="45">
        <v>0.13400000000000001</v>
      </c>
      <c r="AN101" s="45">
        <v>12.21</v>
      </c>
      <c r="AO101" s="45">
        <v>7.16</v>
      </c>
      <c r="AP101" s="45">
        <v>7.57</v>
      </c>
      <c r="AQ101" s="45">
        <v>35</v>
      </c>
      <c r="AR101" s="45">
        <v>7.28</v>
      </c>
      <c r="AS101" s="45">
        <v>0.1</v>
      </c>
      <c r="AT101" s="47">
        <v>1.41E-2</v>
      </c>
      <c r="AU101" s="45">
        <v>4.9560000000000004</v>
      </c>
      <c r="AV101" s="80">
        <v>2.0920000000000001</v>
      </c>
      <c r="AW101" s="45">
        <f>368*35.3147/1000</f>
        <v>12.995809600000001</v>
      </c>
      <c r="AX101" s="45">
        <v>2.7E-2</v>
      </c>
      <c r="AY101" s="48">
        <v>0.316</v>
      </c>
    </row>
    <row r="102" spans="1:52" ht="13.5" customHeight="1" x14ac:dyDescent="0.2">
      <c r="A102" s="40">
        <v>45745</v>
      </c>
      <c r="B102" s="41">
        <f>7886-(C102+D102+E102+F102)</f>
        <v>5928</v>
      </c>
      <c r="C102" s="41">
        <v>1477</v>
      </c>
      <c r="D102" s="41">
        <v>128</v>
      </c>
      <c r="E102" s="41">
        <v>234</v>
      </c>
      <c r="F102" s="41">
        <v>119</v>
      </c>
      <c r="G102" s="41">
        <v>120</v>
      </c>
      <c r="H102" s="81">
        <v>8914.0040000000008</v>
      </c>
      <c r="I102" s="82">
        <v>971.46600000000001</v>
      </c>
      <c r="J102" s="82">
        <v>2492.54</v>
      </c>
      <c r="K102" s="82">
        <v>12152</v>
      </c>
      <c r="L102" s="82">
        <v>3535.44838028</v>
      </c>
      <c r="M102" s="44">
        <f>9250-N102</f>
        <v>8884</v>
      </c>
      <c r="N102" s="41">
        <v>366</v>
      </c>
      <c r="O102" s="41">
        <v>9333</v>
      </c>
      <c r="P102" s="41">
        <v>454</v>
      </c>
      <c r="Q102" s="82">
        <v>7262</v>
      </c>
      <c r="R102" s="82">
        <v>3316</v>
      </c>
      <c r="S102" s="82">
        <v>10003</v>
      </c>
      <c r="T102" s="82">
        <v>0</v>
      </c>
      <c r="U102" s="41">
        <f>17*6.2898</f>
        <v>106.92659999999999</v>
      </c>
      <c r="V102" s="41">
        <v>852</v>
      </c>
      <c r="W102" s="82">
        <v>7714</v>
      </c>
      <c r="X102" s="82">
        <v>3428</v>
      </c>
      <c r="Y102" s="82"/>
      <c r="Z102" s="41">
        <v>3570</v>
      </c>
      <c r="AA102" s="82"/>
      <c r="AB102" s="41">
        <f>261/0.55</f>
        <v>474.5454545454545</v>
      </c>
      <c r="AC102" s="82"/>
      <c r="AD102" s="41">
        <v>3576</v>
      </c>
      <c r="AE102" s="41">
        <v>170</v>
      </c>
      <c r="AF102" s="83">
        <v>4694</v>
      </c>
      <c r="AG102" s="41">
        <f>8250*0.49</f>
        <v>4042.5</v>
      </c>
      <c r="AH102" s="41">
        <v>37.200000000000003</v>
      </c>
      <c r="AI102" s="41">
        <v>6819</v>
      </c>
      <c r="AJ102" s="45">
        <v>0.29627999999999999</v>
      </c>
      <c r="AK102" s="45">
        <v>0.74741000000000002</v>
      </c>
      <c r="AL102" s="45">
        <f>5718*35.31/1000</f>
        <v>201.90258000000003</v>
      </c>
      <c r="AM102" s="45">
        <v>0.13200000000000001</v>
      </c>
      <c r="AN102" s="45">
        <v>11.43</v>
      </c>
      <c r="AO102" s="45">
        <v>2.82</v>
      </c>
      <c r="AP102" s="45">
        <v>7.72</v>
      </c>
      <c r="AQ102" s="45">
        <v>29</v>
      </c>
      <c r="AR102" s="45">
        <v>7.28</v>
      </c>
      <c r="AS102" s="45">
        <v>0.1</v>
      </c>
      <c r="AT102" s="47">
        <v>1.41E-2</v>
      </c>
      <c r="AU102" s="45">
        <v>2.7959999999999998</v>
      </c>
      <c r="AV102" s="80">
        <v>2.0649999999999999</v>
      </c>
      <c r="AW102" s="45">
        <f>366*35.3147/1000</f>
        <v>12.925180200000002</v>
      </c>
      <c r="AX102" s="45">
        <v>0</v>
      </c>
      <c r="AY102" s="48">
        <v>0.30599999999999999</v>
      </c>
    </row>
    <row r="103" spans="1:52" ht="13.5" customHeight="1" x14ac:dyDescent="0.2">
      <c r="A103" s="40">
        <v>45746</v>
      </c>
      <c r="B103" s="41">
        <f>7887-(C103+D103+E103+F103)</f>
        <v>5929</v>
      </c>
      <c r="C103" s="41">
        <v>1477</v>
      </c>
      <c r="D103" s="41">
        <v>128</v>
      </c>
      <c r="E103" s="41">
        <v>234</v>
      </c>
      <c r="F103" s="41">
        <v>119</v>
      </c>
      <c r="G103" s="41">
        <v>120</v>
      </c>
      <c r="H103" s="81">
        <v>8948.9240000000009</v>
      </c>
      <c r="I103" s="82">
        <v>939.178</v>
      </c>
      <c r="J103" s="82">
        <v>2474.46</v>
      </c>
      <c r="K103" s="82">
        <v>12177</v>
      </c>
      <c r="L103" s="82">
        <v>3539.3321959599998</v>
      </c>
      <c r="M103" s="44">
        <f>9258-N103</f>
        <v>8862</v>
      </c>
      <c r="N103" s="41">
        <v>396</v>
      </c>
      <c r="O103" s="41">
        <v>9212</v>
      </c>
      <c r="P103" s="41">
        <v>409</v>
      </c>
      <c r="Q103" s="82">
        <v>6570</v>
      </c>
      <c r="R103" s="82">
        <v>2835</v>
      </c>
      <c r="S103" s="82">
        <v>10159</v>
      </c>
      <c r="T103" s="82">
        <v>0</v>
      </c>
      <c r="U103" s="41">
        <f>18*6.2898</f>
        <v>113.21639999999999</v>
      </c>
      <c r="V103" s="41">
        <v>852</v>
      </c>
      <c r="W103" s="82">
        <v>7691</v>
      </c>
      <c r="X103" s="82">
        <v>3514</v>
      </c>
      <c r="Y103" s="82"/>
      <c r="Z103" s="41">
        <v>3551</v>
      </c>
      <c r="AA103" s="82"/>
      <c r="AB103" s="41">
        <f>272/0.55</f>
        <v>494.5454545454545</v>
      </c>
      <c r="AC103" s="82"/>
      <c r="AD103" s="41">
        <v>3509</v>
      </c>
      <c r="AE103" s="41">
        <v>170</v>
      </c>
      <c r="AF103" s="83">
        <v>2255</v>
      </c>
      <c r="AG103" s="41">
        <f>8283*0.49</f>
        <v>4058.67</v>
      </c>
      <c r="AH103" s="41">
        <v>37.200000000000003</v>
      </c>
      <c r="AI103" s="41">
        <v>6819</v>
      </c>
      <c r="AJ103" s="45">
        <v>9.8629999999999995E-2</v>
      </c>
      <c r="AK103" s="45">
        <v>0.37507000000000001</v>
      </c>
      <c r="AL103" s="45">
        <f>5767*35.31/1000</f>
        <v>203.63277000000002</v>
      </c>
      <c r="AM103" s="45">
        <v>0.40400000000000003</v>
      </c>
      <c r="AN103" s="45">
        <v>10.039999999999999</v>
      </c>
      <c r="AO103" s="45">
        <v>2.92</v>
      </c>
      <c r="AP103" s="45">
        <v>7.87</v>
      </c>
      <c r="AQ103" s="45">
        <v>10</v>
      </c>
      <c r="AR103" s="45">
        <v>7.28</v>
      </c>
      <c r="AS103" s="45">
        <v>0.1</v>
      </c>
      <c r="AT103" s="47">
        <v>1.41E-2</v>
      </c>
      <c r="AU103" s="45">
        <v>1.163</v>
      </c>
      <c r="AV103" s="80">
        <v>1.99</v>
      </c>
      <c r="AW103" s="45">
        <f>389*35.3147/1000</f>
        <v>13.737418300000002</v>
      </c>
      <c r="AX103" s="45">
        <v>0</v>
      </c>
      <c r="AY103" s="48">
        <v>0.3</v>
      </c>
    </row>
    <row r="104" spans="1:52" ht="13.5" customHeight="1" x14ac:dyDescent="0.2">
      <c r="A104" s="40">
        <v>45747</v>
      </c>
      <c r="B104" s="41">
        <f>7802-(C104+D104+E104+F104)</f>
        <v>5844</v>
      </c>
      <c r="C104" s="41">
        <v>1477</v>
      </c>
      <c r="D104" s="41">
        <v>128</v>
      </c>
      <c r="E104" s="41">
        <v>234</v>
      </c>
      <c r="F104" s="41">
        <v>119</v>
      </c>
      <c r="G104" s="41">
        <v>120</v>
      </c>
      <c r="H104" s="81">
        <v>8926.8880000000008</v>
      </c>
      <c r="I104" s="82">
        <v>884.61400000000003</v>
      </c>
      <c r="J104" s="82">
        <v>2330.7629999999999</v>
      </c>
      <c r="K104" s="82">
        <v>12056</v>
      </c>
      <c r="L104" s="82">
        <v>3525.3672844799999</v>
      </c>
      <c r="M104" s="44">
        <f>8895-N104</f>
        <v>8524</v>
      </c>
      <c r="N104" s="41">
        <v>371</v>
      </c>
      <c r="O104" s="41">
        <v>8884</v>
      </c>
      <c r="P104" s="41">
        <v>409</v>
      </c>
      <c r="Q104" s="82">
        <v>6570</v>
      </c>
      <c r="R104" s="82">
        <v>2211</v>
      </c>
      <c r="S104" s="82">
        <v>10225</v>
      </c>
      <c r="T104" s="82">
        <v>0</v>
      </c>
      <c r="U104" s="41">
        <f>28*6.2898</f>
        <v>176.11439999999999</v>
      </c>
      <c r="V104" s="41">
        <v>852</v>
      </c>
      <c r="W104" s="82">
        <v>7691</v>
      </c>
      <c r="X104" s="82">
        <v>3535</v>
      </c>
      <c r="Y104" s="82"/>
      <c r="Z104" s="41">
        <v>3529</v>
      </c>
      <c r="AA104" s="82"/>
      <c r="AB104" s="41">
        <f>274/0.55</f>
        <v>498.18181818181813</v>
      </c>
      <c r="AC104" s="82"/>
      <c r="AD104" s="41">
        <v>3625</v>
      </c>
      <c r="AE104" s="41">
        <v>170</v>
      </c>
      <c r="AF104" s="83">
        <v>4669</v>
      </c>
      <c r="AG104" s="41">
        <f>8286*0.49</f>
        <v>4060.14</v>
      </c>
      <c r="AH104" s="41">
        <v>37.200000000000003</v>
      </c>
      <c r="AI104" s="41">
        <v>6819</v>
      </c>
      <c r="AJ104" s="45">
        <v>0.39429999999999998</v>
      </c>
      <c r="AK104" s="45">
        <v>1.137</v>
      </c>
      <c r="AL104" s="45">
        <f>5756*35.31/1000</f>
        <v>203.24436000000003</v>
      </c>
      <c r="AM104" s="45">
        <v>0.14000000000000001</v>
      </c>
      <c r="AN104" s="45">
        <v>8.5</v>
      </c>
      <c r="AO104" s="45">
        <v>3.27</v>
      </c>
      <c r="AP104" s="45">
        <v>7.87</v>
      </c>
      <c r="AQ104" s="45">
        <v>30</v>
      </c>
      <c r="AR104" s="45">
        <v>7.28</v>
      </c>
      <c r="AS104" s="45">
        <v>0.1</v>
      </c>
      <c r="AT104" s="47">
        <v>1.41E-2</v>
      </c>
      <c r="AU104" s="45">
        <v>2.84</v>
      </c>
      <c r="AV104" s="80">
        <v>2.5230000000000001</v>
      </c>
      <c r="AW104" s="45">
        <f>380*35.3147/1000</f>
        <v>13.419586000000001</v>
      </c>
      <c r="AX104" s="45">
        <v>0</v>
      </c>
      <c r="AY104" s="48">
        <v>0.3</v>
      </c>
    </row>
    <row r="105" spans="1:52" ht="16.899999999999999" customHeight="1" x14ac:dyDescent="0.2">
      <c r="A105" s="50" t="s">
        <v>52</v>
      </c>
      <c r="B105" s="72">
        <f t="shared" ref="B105:G105" si="28">SUM(B74:B104)*B$2</f>
        <v>1366391.93</v>
      </c>
      <c r="C105" s="72">
        <f t="shared" si="28"/>
        <v>331167.2</v>
      </c>
      <c r="D105" s="72">
        <f t="shared" si="28"/>
        <v>28421.120000000003</v>
      </c>
      <c r="E105" s="72">
        <f t="shared" si="28"/>
        <v>55228.54</v>
      </c>
      <c r="F105" s="72">
        <f t="shared" si="28"/>
        <v>25155.144</v>
      </c>
      <c r="G105" s="72">
        <f t="shared" si="28"/>
        <v>27253.24</v>
      </c>
      <c r="H105" s="73">
        <f>SUM(H74:H104)</f>
        <v>282709.18099999998</v>
      </c>
      <c r="I105" s="74">
        <f>SUM(I74:I104)</f>
        <v>29036.841000000008</v>
      </c>
      <c r="J105" s="74">
        <f>SUM(J74:J104)</f>
        <v>67612.811000000016</v>
      </c>
      <c r="K105" s="74">
        <f>SUM(K74:K104)</f>
        <v>378771</v>
      </c>
      <c r="L105" s="74">
        <f>SUM(L74:L104)</f>
        <v>111994.64397407998</v>
      </c>
      <c r="M105" s="72">
        <f t="shared" ref="M105:X105" si="29">SUM(M74:M104)</f>
        <v>260911</v>
      </c>
      <c r="N105" s="72">
        <f t="shared" si="29"/>
        <v>11594</v>
      </c>
      <c r="O105" s="72">
        <f t="shared" si="29"/>
        <v>279249</v>
      </c>
      <c r="P105" s="72">
        <f t="shared" si="29"/>
        <v>10928</v>
      </c>
      <c r="Q105" s="72">
        <f t="shared" si="29"/>
        <v>225317</v>
      </c>
      <c r="R105" s="72">
        <f t="shared" si="29"/>
        <v>84249</v>
      </c>
      <c r="S105" s="72">
        <f t="shared" si="29"/>
        <v>308238</v>
      </c>
      <c r="T105" s="72">
        <f t="shared" si="29"/>
        <v>224174</v>
      </c>
      <c r="U105" s="72">
        <f t="shared" si="29"/>
        <v>4289.6435999999994</v>
      </c>
      <c r="V105" s="72">
        <f t="shared" si="29"/>
        <v>26420</v>
      </c>
      <c r="W105" s="72">
        <f t="shared" si="29"/>
        <v>245279</v>
      </c>
      <c r="X105" s="72">
        <f t="shared" si="29"/>
        <v>111794</v>
      </c>
      <c r="Y105" s="72"/>
      <c r="Z105" s="72">
        <f>SUM(Z74:Z104)</f>
        <v>100484</v>
      </c>
      <c r="AA105" s="72"/>
      <c r="AB105" s="72">
        <f>SUM(AB74:AB104)*AB$2</f>
        <v>103786.32727272727</v>
      </c>
      <c r="AC105" s="72"/>
      <c r="AD105" s="72">
        <f>SUM(AD74:AD104)</f>
        <v>127607</v>
      </c>
      <c r="AE105" s="75">
        <f>SUM(AE74:AE104)*AE$2</f>
        <v>44426.1</v>
      </c>
      <c r="AF105" s="75">
        <f>SUM(AF74:AF104)</f>
        <v>258642</v>
      </c>
      <c r="AG105" s="75">
        <f>SUM(AG74:AG104)*AG$2</f>
        <v>901791.64579999994</v>
      </c>
      <c r="AH105" s="75">
        <f>SUM(AH74:AH104)*AH$2</f>
        <v>9671.2133939844061</v>
      </c>
      <c r="AI105" s="72">
        <f>SUM(AI74:AI104)</f>
        <v>210795</v>
      </c>
      <c r="AJ105" s="56">
        <f t="shared" ref="AJ105:AM105" si="30">SUM(AJ74:AJ104)*AJ$2</f>
        <v>296.98299817958952</v>
      </c>
      <c r="AK105" s="56">
        <f t="shared" si="30"/>
        <v>951.23621594352323</v>
      </c>
      <c r="AL105" s="56">
        <f>SUM(AL74:AL104)*AL$2</f>
        <v>6110.5367400000005</v>
      </c>
      <c r="AM105" s="57">
        <f t="shared" si="30"/>
        <v>285.801597773053</v>
      </c>
      <c r="AN105" s="57">
        <f>SUM(AN74:AN104)</f>
        <v>137.69</v>
      </c>
      <c r="AO105" s="57">
        <f t="shared" ref="AO105:AR105" si="31">SUM(AO74:AO104)</f>
        <v>186.37999999999997</v>
      </c>
      <c r="AP105" s="57">
        <f t="shared" si="31"/>
        <v>211.07999999999998</v>
      </c>
      <c r="AQ105" s="57">
        <f t="shared" si="31"/>
        <v>1248</v>
      </c>
      <c r="AR105" s="57">
        <f t="shared" si="31"/>
        <v>245.08000000000004</v>
      </c>
      <c r="AS105" s="57">
        <f>SUM(AS74:AS104)</f>
        <v>24.800000000000008</v>
      </c>
      <c r="AT105" s="58">
        <f>SUM(AT74:AT104)*AT$2</f>
        <v>15.43605537</v>
      </c>
      <c r="AU105" s="58">
        <f>SUM(AU74:AU104)*AU$2</f>
        <v>5098.9129594999986</v>
      </c>
      <c r="AV105" s="57">
        <f>SUM(AV74:AV104)*AV$2</f>
        <v>3202.7607724</v>
      </c>
      <c r="AW105" s="57">
        <f>SUM(AW74:AW104)</f>
        <v>399.51520109999996</v>
      </c>
      <c r="AX105" s="57">
        <f>SUM(AX74:AX104)*AX2</f>
        <v>317.40852360000002</v>
      </c>
      <c r="AY105" s="57">
        <f>SUM(AY74:AY104)*AY2</f>
        <v>510.36804440000009</v>
      </c>
    </row>
    <row r="106" spans="1:52" ht="16.899999999999999" customHeight="1" x14ac:dyDescent="0.2">
      <c r="A106" s="50" t="s">
        <v>53</v>
      </c>
      <c r="B106" s="72">
        <f t="shared" ref="B106:L106" si="32">B105/B$2</f>
        <v>181943</v>
      </c>
      <c r="C106" s="72">
        <f t="shared" si="32"/>
        <v>45490</v>
      </c>
      <c r="D106" s="72">
        <f t="shared" si="32"/>
        <v>3904</v>
      </c>
      <c r="E106" s="72">
        <f t="shared" si="32"/>
        <v>7354</v>
      </c>
      <c r="F106" s="72">
        <f t="shared" si="32"/>
        <v>3429</v>
      </c>
      <c r="G106" s="72">
        <f t="shared" si="32"/>
        <v>3715</v>
      </c>
      <c r="H106" s="76">
        <f t="shared" si="32"/>
        <v>38243.694648284873</v>
      </c>
      <c r="I106" s="72">
        <f t="shared" si="32"/>
        <v>3888.2926532578758</v>
      </c>
      <c r="J106" s="72">
        <f t="shared" si="32"/>
        <v>9090.7449622582826</v>
      </c>
      <c r="K106" s="72">
        <f t="shared" si="32"/>
        <v>47475.093835654618</v>
      </c>
      <c r="L106" s="72">
        <f t="shared" si="32"/>
        <v>14709.349080273429</v>
      </c>
      <c r="M106" s="72">
        <f t="shared" ref="M106:X106" si="33">M105/M$2</f>
        <v>34420.976253298155</v>
      </c>
      <c r="N106" s="72">
        <f t="shared" si="33"/>
        <v>1482.6086956521738</v>
      </c>
      <c r="O106" s="72">
        <f t="shared" si="33"/>
        <v>37233.199999999997</v>
      </c>
      <c r="P106" s="72">
        <f t="shared" si="33"/>
        <v>1457.0666666666666</v>
      </c>
      <c r="Q106" s="72">
        <f t="shared" si="33"/>
        <v>30284.543010752688</v>
      </c>
      <c r="R106" s="72">
        <f t="shared" si="33"/>
        <v>10801.153846153846</v>
      </c>
      <c r="S106" s="72">
        <f t="shared" si="33"/>
        <v>41457.700067249498</v>
      </c>
      <c r="T106" s="72">
        <f t="shared" si="33"/>
        <v>30151.176866173504</v>
      </c>
      <c r="U106" s="72">
        <f t="shared" si="33"/>
        <v>498.25129681456178</v>
      </c>
      <c r="V106" s="72">
        <f t="shared" si="33"/>
        <v>3352.7918781725889</v>
      </c>
      <c r="W106" s="72">
        <f t="shared" si="33"/>
        <v>32062.614379084967</v>
      </c>
      <c r="X106" s="72">
        <f t="shared" si="33"/>
        <v>14748.548812664907</v>
      </c>
      <c r="Y106" s="72"/>
      <c r="Z106" s="72">
        <f>Z105/Z$2</f>
        <v>13785.912532635284</v>
      </c>
      <c r="AA106" s="72"/>
      <c r="AB106" s="72">
        <f>AB105/AB$2</f>
        <v>14256.363636363636</v>
      </c>
      <c r="AC106" s="72"/>
      <c r="AD106" s="72">
        <f t="shared" ref="AD106:AG106" si="34">AD105/AD$2</f>
        <v>16861.390063424948</v>
      </c>
      <c r="AE106" s="72">
        <f t="shared" si="34"/>
        <v>5270</v>
      </c>
      <c r="AF106" s="72">
        <f t="shared" si="34"/>
        <v>31907.475943745376</v>
      </c>
      <c r="AG106" s="72">
        <f t="shared" si="34"/>
        <v>124901.89</v>
      </c>
      <c r="AH106" s="72">
        <f>AH105/$AH$2</f>
        <v>1153.2000000000007</v>
      </c>
      <c r="AI106" s="72">
        <f>AI105/AI$2</f>
        <v>27025</v>
      </c>
      <c r="AJ106" s="56">
        <f t="shared" ref="AJ106:AN106" si="35">AJ105/$AJ$2</f>
        <v>8.4096220000000006</v>
      </c>
      <c r="AK106" s="56">
        <f t="shared" si="35"/>
        <v>26.93601</v>
      </c>
      <c r="AL106" s="56">
        <f t="shared" si="35"/>
        <v>173.03113146375375</v>
      </c>
      <c r="AM106" s="57">
        <f t="shared" si="35"/>
        <v>8.093</v>
      </c>
      <c r="AN106" s="57">
        <f t="shared" si="35"/>
        <v>3.898946607306423</v>
      </c>
      <c r="AO106" s="57">
        <f>AO105/$AJ$2</f>
        <v>5.2776938678899779</v>
      </c>
      <c r="AP106" s="57">
        <f>AP105/$AJ$2</f>
        <v>5.9771199787220546</v>
      </c>
      <c r="AQ106" s="57">
        <f>AQ105/$AJ$2</f>
        <v>35.33942454730493</v>
      </c>
      <c r="AR106" s="57">
        <f>AR105/$AJ$2</f>
        <v>6.9398927628633764</v>
      </c>
      <c r="AS106" s="57">
        <f>AS105/$AJ$2</f>
        <v>0.70225779549131617</v>
      </c>
      <c r="AT106" s="58">
        <f>AT105/$AJ$2</f>
        <v>0.43710041190395521</v>
      </c>
      <c r="AU106" s="58">
        <f>AU105/$AJ$2</f>
        <v>144.38513606211978</v>
      </c>
      <c r="AV106" s="84">
        <f>AV105/$AJ$2</f>
        <v>90.692085464180977</v>
      </c>
      <c r="AW106" s="57">
        <f>AW105/$AJ$2</f>
        <v>11.313010660877246</v>
      </c>
      <c r="AX106" s="57">
        <f>AX105/$AJ$2</f>
        <v>8.9880084698987641</v>
      </c>
      <c r="AY106" s="57">
        <f>AY105/$AJ$2</f>
        <v>14.452013618933794</v>
      </c>
    </row>
    <row r="107" spans="1:52" ht="16.899999999999999" customHeight="1" x14ac:dyDescent="0.2">
      <c r="A107" s="50" t="s">
        <v>54</v>
      </c>
      <c r="B107" s="77">
        <f>B105</f>
        <v>1366391.93</v>
      </c>
      <c r="C107" s="77">
        <f t="shared" ref="C107:L107" si="36">C105</f>
        <v>331167.2</v>
      </c>
      <c r="D107" s="77">
        <f t="shared" si="36"/>
        <v>28421.120000000003</v>
      </c>
      <c r="E107" s="77">
        <f t="shared" si="36"/>
        <v>55228.54</v>
      </c>
      <c r="F107" s="77">
        <f t="shared" si="36"/>
        <v>25155.144</v>
      </c>
      <c r="G107" s="77">
        <f t="shared" si="36"/>
        <v>27253.24</v>
      </c>
      <c r="H107" s="78">
        <f t="shared" si="36"/>
        <v>282709.18099999998</v>
      </c>
      <c r="I107" s="77">
        <f t="shared" si="36"/>
        <v>29036.841000000008</v>
      </c>
      <c r="J107" s="77">
        <f t="shared" si="36"/>
        <v>67612.811000000016</v>
      </c>
      <c r="K107" s="77">
        <f t="shared" si="36"/>
        <v>378771</v>
      </c>
      <c r="L107" s="77">
        <f t="shared" si="36"/>
        <v>111994.64397407998</v>
      </c>
      <c r="M107" s="77">
        <f t="shared" ref="M107:AA108" si="37">M105</f>
        <v>260911</v>
      </c>
      <c r="N107" s="77">
        <f t="shared" si="37"/>
        <v>11594</v>
      </c>
      <c r="O107" s="77">
        <f t="shared" si="37"/>
        <v>279249</v>
      </c>
      <c r="P107" s="77">
        <f t="shared" si="37"/>
        <v>10928</v>
      </c>
      <c r="Q107" s="77">
        <f t="shared" si="37"/>
        <v>225317</v>
      </c>
      <c r="R107" s="77">
        <f t="shared" si="37"/>
        <v>84249</v>
      </c>
      <c r="S107" s="77">
        <f t="shared" si="37"/>
        <v>308238</v>
      </c>
      <c r="T107" s="77">
        <f t="shared" si="37"/>
        <v>224174</v>
      </c>
      <c r="U107" s="77">
        <f t="shared" si="37"/>
        <v>4289.6435999999994</v>
      </c>
      <c r="V107" s="77">
        <f t="shared" si="37"/>
        <v>26420</v>
      </c>
      <c r="W107" s="77">
        <f t="shared" si="37"/>
        <v>245279</v>
      </c>
      <c r="X107" s="77">
        <f t="shared" si="37"/>
        <v>111794</v>
      </c>
      <c r="Y107" s="77">
        <f t="shared" si="37"/>
        <v>0</v>
      </c>
      <c r="Z107" s="77">
        <f t="shared" si="37"/>
        <v>100484</v>
      </c>
      <c r="AA107" s="77">
        <f t="shared" si="37"/>
        <v>0</v>
      </c>
      <c r="AB107" s="77">
        <f>AB105</f>
        <v>103786.32727272727</v>
      </c>
      <c r="AC107" s="77">
        <f t="shared" ref="AC107:AG108" si="38">AC105</f>
        <v>0</v>
      </c>
      <c r="AD107" s="77">
        <f t="shared" si="38"/>
        <v>127607</v>
      </c>
      <c r="AE107" s="77">
        <f t="shared" si="38"/>
        <v>44426.1</v>
      </c>
      <c r="AF107" s="77">
        <f t="shared" si="38"/>
        <v>258642</v>
      </c>
      <c r="AG107" s="77">
        <f t="shared" si="38"/>
        <v>901791.64579999994</v>
      </c>
      <c r="AH107" s="77">
        <f>AH105</f>
        <v>9671.2133939844061</v>
      </c>
      <c r="AI107" s="77">
        <f>AI105</f>
        <v>210795</v>
      </c>
      <c r="AJ107" s="56">
        <f>AJ105</f>
        <v>296.98299817958952</v>
      </c>
      <c r="AK107" s="56">
        <f t="shared" ref="AK107:AX108" si="39">AK105</f>
        <v>951.23621594352323</v>
      </c>
      <c r="AL107" s="56">
        <f t="shared" si="39"/>
        <v>6110.5367400000005</v>
      </c>
      <c r="AM107" s="57">
        <f t="shared" si="39"/>
        <v>285.801597773053</v>
      </c>
      <c r="AN107" s="57">
        <f t="shared" si="39"/>
        <v>137.69</v>
      </c>
      <c r="AO107" s="57">
        <f t="shared" si="39"/>
        <v>186.37999999999997</v>
      </c>
      <c r="AP107" s="57">
        <f t="shared" si="39"/>
        <v>211.07999999999998</v>
      </c>
      <c r="AQ107" s="57">
        <f t="shared" si="39"/>
        <v>1248</v>
      </c>
      <c r="AR107" s="57">
        <f t="shared" si="39"/>
        <v>245.08000000000004</v>
      </c>
      <c r="AS107" s="57">
        <f t="shared" si="39"/>
        <v>24.800000000000008</v>
      </c>
      <c r="AT107" s="58">
        <f t="shared" si="39"/>
        <v>15.43605537</v>
      </c>
      <c r="AU107" s="57">
        <f t="shared" si="39"/>
        <v>5098.9129594999986</v>
      </c>
      <c r="AV107" s="57">
        <f t="shared" si="39"/>
        <v>3202.7607724</v>
      </c>
      <c r="AW107" s="57">
        <f t="shared" si="39"/>
        <v>399.51520109999996</v>
      </c>
      <c r="AX107" s="57">
        <f t="shared" si="39"/>
        <v>317.40852360000002</v>
      </c>
      <c r="AY107" s="57">
        <f>AY105</f>
        <v>510.36804440000009</v>
      </c>
    </row>
    <row r="108" spans="1:52" ht="16.899999999999999" customHeight="1" x14ac:dyDescent="0.2">
      <c r="A108" s="50" t="s">
        <v>55</v>
      </c>
      <c r="B108" s="77">
        <f t="shared" ref="B108:L108" si="40">B106</f>
        <v>181943</v>
      </c>
      <c r="C108" s="77">
        <f t="shared" si="40"/>
        <v>45490</v>
      </c>
      <c r="D108" s="77">
        <f t="shared" si="40"/>
        <v>3904</v>
      </c>
      <c r="E108" s="77">
        <f t="shared" si="40"/>
        <v>7354</v>
      </c>
      <c r="F108" s="77">
        <f t="shared" si="40"/>
        <v>3429</v>
      </c>
      <c r="G108" s="77">
        <f t="shared" si="40"/>
        <v>3715</v>
      </c>
      <c r="H108" s="78">
        <f t="shared" si="40"/>
        <v>38243.694648284873</v>
      </c>
      <c r="I108" s="77">
        <f t="shared" si="40"/>
        <v>3888.2926532578758</v>
      </c>
      <c r="J108" s="77">
        <f t="shared" si="40"/>
        <v>9090.7449622582826</v>
      </c>
      <c r="K108" s="77">
        <f t="shared" si="40"/>
        <v>47475.093835654618</v>
      </c>
      <c r="L108" s="77">
        <f t="shared" si="40"/>
        <v>14709.349080273429</v>
      </c>
      <c r="M108" s="77">
        <f t="shared" si="37"/>
        <v>34420.976253298155</v>
      </c>
      <c r="N108" s="77">
        <f t="shared" si="37"/>
        <v>1482.6086956521738</v>
      </c>
      <c r="O108" s="77">
        <f t="shared" si="37"/>
        <v>37233.199999999997</v>
      </c>
      <c r="P108" s="77">
        <f t="shared" si="37"/>
        <v>1457.0666666666666</v>
      </c>
      <c r="Q108" s="77">
        <f t="shared" si="37"/>
        <v>30284.543010752688</v>
      </c>
      <c r="R108" s="77">
        <f t="shared" si="37"/>
        <v>10801.153846153846</v>
      </c>
      <c r="S108" s="77">
        <f t="shared" si="37"/>
        <v>41457.700067249498</v>
      </c>
      <c r="T108" s="77">
        <f t="shared" si="37"/>
        <v>30151.176866173504</v>
      </c>
      <c r="U108" s="77">
        <f t="shared" si="37"/>
        <v>498.25129681456178</v>
      </c>
      <c r="V108" s="77">
        <f t="shared" si="37"/>
        <v>3352.7918781725889</v>
      </c>
      <c r="W108" s="77">
        <f t="shared" si="37"/>
        <v>32062.614379084967</v>
      </c>
      <c r="X108" s="77">
        <f t="shared" si="37"/>
        <v>14748.548812664907</v>
      </c>
      <c r="Y108" s="77">
        <f t="shared" si="37"/>
        <v>0</v>
      </c>
      <c r="Z108" s="77">
        <f t="shared" si="37"/>
        <v>13785.912532635284</v>
      </c>
      <c r="AA108" s="77">
        <f t="shared" si="37"/>
        <v>0</v>
      </c>
      <c r="AB108" s="79">
        <f>AB106</f>
        <v>14256.363636363636</v>
      </c>
      <c r="AC108" s="77">
        <f t="shared" si="38"/>
        <v>0</v>
      </c>
      <c r="AD108" s="77">
        <f t="shared" si="38"/>
        <v>16861.390063424948</v>
      </c>
      <c r="AE108" s="77">
        <f t="shared" si="38"/>
        <v>5270</v>
      </c>
      <c r="AF108" s="77">
        <f t="shared" si="38"/>
        <v>31907.475943745376</v>
      </c>
      <c r="AG108" s="77">
        <f t="shared" si="38"/>
        <v>124901.89</v>
      </c>
      <c r="AH108" s="77">
        <f>AH106</f>
        <v>1153.2000000000007</v>
      </c>
      <c r="AI108" s="77">
        <f>AI106</f>
        <v>27025</v>
      </c>
      <c r="AJ108" s="56">
        <f>AJ106</f>
        <v>8.4096220000000006</v>
      </c>
      <c r="AK108" s="56">
        <f t="shared" si="39"/>
        <v>26.93601</v>
      </c>
      <c r="AL108" s="56">
        <f t="shared" si="39"/>
        <v>173.03113146375375</v>
      </c>
      <c r="AM108" s="57">
        <f t="shared" si="39"/>
        <v>8.093</v>
      </c>
      <c r="AN108" s="57">
        <f t="shared" si="39"/>
        <v>3.898946607306423</v>
      </c>
      <c r="AO108" s="57">
        <f t="shared" si="39"/>
        <v>5.2776938678899779</v>
      </c>
      <c r="AP108" s="57">
        <f t="shared" si="39"/>
        <v>5.9771199787220546</v>
      </c>
      <c r="AQ108" s="57">
        <f t="shared" si="39"/>
        <v>35.33942454730493</v>
      </c>
      <c r="AR108" s="57">
        <f t="shared" si="39"/>
        <v>6.9398927628633764</v>
      </c>
      <c r="AS108" s="57">
        <f t="shared" si="39"/>
        <v>0.70225779549131617</v>
      </c>
      <c r="AT108" s="58">
        <f t="shared" si="39"/>
        <v>0.43710041190395521</v>
      </c>
      <c r="AU108" s="57">
        <f t="shared" si="39"/>
        <v>144.38513606211978</v>
      </c>
      <c r="AV108" s="57">
        <f t="shared" si="39"/>
        <v>90.692085464180977</v>
      </c>
      <c r="AW108" s="57">
        <f t="shared" si="39"/>
        <v>11.313010660877246</v>
      </c>
      <c r="AX108" s="57">
        <f t="shared" si="39"/>
        <v>8.9880084698987641</v>
      </c>
      <c r="AY108" s="57">
        <f>AY106</f>
        <v>14.452013618933794</v>
      </c>
      <c r="AZ108" s="64"/>
    </row>
    <row r="109" spans="1:52" s="66" customFormat="1" ht="16.899999999999999" customHeight="1" x14ac:dyDescent="0.2">
      <c r="A109" s="50" t="s">
        <v>56</v>
      </c>
      <c r="B109" s="77">
        <f t="shared" ref="B109:AI109" si="41">B108+B73</f>
        <v>523101</v>
      </c>
      <c r="C109" s="77">
        <f t="shared" si="41"/>
        <v>129438</v>
      </c>
      <c r="D109" s="77">
        <f t="shared" si="41"/>
        <v>11325</v>
      </c>
      <c r="E109" s="77">
        <f t="shared" si="41"/>
        <v>20691</v>
      </c>
      <c r="F109" s="77">
        <f t="shared" si="41"/>
        <v>9931</v>
      </c>
      <c r="G109" s="77">
        <f t="shared" si="41"/>
        <v>10840</v>
      </c>
      <c r="H109" s="78">
        <f t="shared" si="41"/>
        <v>106091.15572597114</v>
      </c>
      <c r="I109" s="77">
        <f t="shared" si="41"/>
        <v>9539.2208075871949</v>
      </c>
      <c r="J109" s="77">
        <f t="shared" si="41"/>
        <v>22265.203592451304</v>
      </c>
      <c r="K109" s="77">
        <f t="shared" si="41"/>
        <v>130403.31143732596</v>
      </c>
      <c r="L109" s="77">
        <f t="shared" si="41"/>
        <v>43343.904880932278</v>
      </c>
      <c r="M109" s="77">
        <f t="shared" si="41"/>
        <v>101354.08970976254</v>
      </c>
      <c r="N109" s="77">
        <f t="shared" si="41"/>
        <v>4244.7570332480818</v>
      </c>
      <c r="O109" s="77">
        <f t="shared" si="41"/>
        <v>106915.46666666666</v>
      </c>
      <c r="P109" s="77">
        <f t="shared" si="41"/>
        <v>4173.6000000000004</v>
      </c>
      <c r="Q109" s="77">
        <f t="shared" si="41"/>
        <v>91108.467741935485</v>
      </c>
      <c r="R109" s="77">
        <f t="shared" si="41"/>
        <v>32501.666666666664</v>
      </c>
      <c r="S109" s="77">
        <f t="shared" si="41"/>
        <v>123505.31271015469</v>
      </c>
      <c r="T109" s="77">
        <f t="shared" si="41"/>
        <v>88264.963012777414</v>
      </c>
      <c r="U109" s="77">
        <f t="shared" si="41"/>
        <v>1095.9702095547871</v>
      </c>
      <c r="V109" s="77">
        <f t="shared" si="41"/>
        <v>9200.8883248730963</v>
      </c>
      <c r="W109" s="77">
        <f t="shared" si="41"/>
        <v>97256.99346405227</v>
      </c>
      <c r="X109" s="77">
        <f t="shared" si="41"/>
        <v>44679.155672823217</v>
      </c>
      <c r="Y109" s="77">
        <f t="shared" si="41"/>
        <v>0</v>
      </c>
      <c r="Z109" s="77">
        <f t="shared" si="41"/>
        <v>40263.332276931054</v>
      </c>
      <c r="AA109" s="77">
        <f t="shared" si="41"/>
        <v>0</v>
      </c>
      <c r="AB109" s="77">
        <f t="shared" si="41"/>
        <v>38325.090909090912</v>
      </c>
      <c r="AC109" s="77">
        <f t="shared" si="41"/>
        <v>0</v>
      </c>
      <c r="AD109" s="77">
        <f t="shared" si="41"/>
        <v>46209.302325581397</v>
      </c>
      <c r="AE109" s="77">
        <f>AE108+AE73</f>
        <v>14725</v>
      </c>
      <c r="AF109" s="77">
        <f t="shared" si="41"/>
        <v>80183.44436220084</v>
      </c>
      <c r="AG109" s="77">
        <f t="shared" si="41"/>
        <v>357728.82</v>
      </c>
      <c r="AH109" s="77">
        <f t="shared" si="41"/>
        <v>3305.5025000000005</v>
      </c>
      <c r="AI109" s="77">
        <f t="shared" si="41"/>
        <v>77984.487179487187</v>
      </c>
      <c r="AJ109" s="61">
        <f>AJ108+AJ73</f>
        <v>30.808882000000004</v>
      </c>
      <c r="AK109" s="61">
        <f t="shared" ref="AK109:AY109" si="42">AK108+AK73</f>
        <v>85.065469999999991</v>
      </c>
      <c r="AL109" s="61">
        <f t="shared" si="42"/>
        <v>469.84388055445191</v>
      </c>
      <c r="AM109" s="61">
        <f t="shared" si="42"/>
        <v>31.526999999999997</v>
      </c>
      <c r="AN109" s="61">
        <f t="shared" si="42"/>
        <v>14.322009718960134</v>
      </c>
      <c r="AO109" s="61">
        <f t="shared" si="42"/>
        <v>13.235860434215761</v>
      </c>
      <c r="AP109" s="61">
        <f t="shared" si="42"/>
        <v>15.220021874944653</v>
      </c>
      <c r="AQ109" s="61">
        <f t="shared" si="42"/>
        <v>69.797345660188711</v>
      </c>
      <c r="AR109" s="61">
        <f t="shared" si="42"/>
        <v>21.038334991795207</v>
      </c>
      <c r="AS109" s="61">
        <f t="shared" si="42"/>
        <v>2.4604508004129215</v>
      </c>
      <c r="AT109" s="61">
        <f t="shared" si="42"/>
        <v>1.0711010093578737</v>
      </c>
      <c r="AU109" s="61">
        <f t="shared" si="42"/>
        <v>363.45767645632213</v>
      </c>
      <c r="AV109" s="61">
        <f t="shared" si="42"/>
        <v>229.77825653279228</v>
      </c>
      <c r="AW109" s="61">
        <f t="shared" si="42"/>
        <v>28.850150305231303</v>
      </c>
      <c r="AX109" s="61">
        <f t="shared" si="42"/>
        <v>25.323336863584501</v>
      </c>
      <c r="AY109" s="61">
        <f t="shared" si="42"/>
        <v>40.057857748740552</v>
      </c>
    </row>
    <row r="110" spans="1:52" ht="13.5" customHeight="1" x14ac:dyDescent="0.2">
      <c r="A110" s="40">
        <v>45748</v>
      </c>
      <c r="B110" s="41">
        <v>5715</v>
      </c>
      <c r="C110" s="41">
        <v>1635</v>
      </c>
      <c r="D110" s="41">
        <v>134</v>
      </c>
      <c r="E110" s="41">
        <v>198</v>
      </c>
      <c r="F110" s="41">
        <v>104</v>
      </c>
      <c r="G110" s="41">
        <v>125</v>
      </c>
      <c r="H110" s="67">
        <v>8634</v>
      </c>
      <c r="I110" s="41">
        <v>889</v>
      </c>
      <c r="J110" s="41">
        <v>2382</v>
      </c>
      <c r="K110" s="41">
        <v>12011</v>
      </c>
      <c r="L110" s="41">
        <v>3548</v>
      </c>
      <c r="M110" s="41">
        <v>8638</v>
      </c>
      <c r="N110" s="41">
        <v>365</v>
      </c>
      <c r="O110" s="41">
        <v>8738</v>
      </c>
      <c r="P110" s="41">
        <v>418</v>
      </c>
      <c r="Q110" s="41">
        <v>7330</v>
      </c>
      <c r="R110" s="41">
        <v>2511</v>
      </c>
      <c r="S110" s="41">
        <v>10196</v>
      </c>
      <c r="T110" s="41">
        <v>0</v>
      </c>
      <c r="U110" s="41">
        <v>176.11439999999999</v>
      </c>
      <c r="V110" s="41">
        <v>868</v>
      </c>
      <c r="W110" s="41">
        <v>7824</v>
      </c>
      <c r="X110" s="41">
        <v>3663</v>
      </c>
      <c r="Y110" s="41"/>
      <c r="Z110" s="41">
        <v>3510</v>
      </c>
      <c r="AA110" s="41"/>
      <c r="AB110" s="41">
        <v>509.09090909090907</v>
      </c>
      <c r="AC110" s="41"/>
      <c r="AD110" s="41">
        <v>3854</v>
      </c>
      <c r="AE110" s="41">
        <v>160</v>
      </c>
      <c r="AF110" s="44">
        <v>8532</v>
      </c>
      <c r="AG110" s="41">
        <v>4060.63</v>
      </c>
      <c r="AH110" s="41">
        <v>25</v>
      </c>
      <c r="AI110" s="41">
        <v>6922.5284000000001</v>
      </c>
      <c r="AJ110" s="45">
        <v>0.41799999999999998</v>
      </c>
      <c r="AK110" s="45">
        <v>0.22500000000000001</v>
      </c>
      <c r="AL110" s="45">
        <v>202.96188000000001</v>
      </c>
      <c r="AM110" s="45">
        <v>0.41799999999999998</v>
      </c>
      <c r="AN110" s="47">
        <v>8.14</v>
      </c>
      <c r="AO110" s="45">
        <v>2.4900000000000002</v>
      </c>
      <c r="AP110" s="45">
        <v>7.51</v>
      </c>
      <c r="AQ110" s="45">
        <v>36</v>
      </c>
      <c r="AR110" s="45">
        <v>7.74</v>
      </c>
      <c r="AS110" s="45">
        <v>0.86</v>
      </c>
      <c r="AT110" s="47">
        <v>1.41E-2</v>
      </c>
      <c r="AU110" s="45">
        <v>4.9379999999999997</v>
      </c>
      <c r="AV110" s="45">
        <v>3.2490000000000001</v>
      </c>
      <c r="AW110" s="45">
        <v>13.172383100000001</v>
      </c>
      <c r="AX110" s="45">
        <v>0</v>
      </c>
      <c r="AY110" s="85">
        <v>0.30399999999999999</v>
      </c>
    </row>
    <row r="111" spans="1:52" ht="13.5" customHeight="1" x14ac:dyDescent="0.2">
      <c r="A111" s="40">
        <v>45749</v>
      </c>
      <c r="B111" s="41">
        <v>5788</v>
      </c>
      <c r="C111" s="41">
        <v>1635</v>
      </c>
      <c r="D111" s="41">
        <v>134</v>
      </c>
      <c r="E111" s="41">
        <v>198</v>
      </c>
      <c r="F111" s="41">
        <v>104</v>
      </c>
      <c r="G111" s="41">
        <v>125</v>
      </c>
      <c r="H111" s="67">
        <v>9257.7459999999992</v>
      </c>
      <c r="I111" s="41">
        <v>984.55899999999997</v>
      </c>
      <c r="J111" s="41">
        <v>2399</v>
      </c>
      <c r="K111" s="41">
        <v>11942</v>
      </c>
      <c r="L111" s="41">
        <v>3538.7995683600002</v>
      </c>
      <c r="M111" s="41">
        <v>8688</v>
      </c>
      <c r="N111" s="41">
        <v>357</v>
      </c>
      <c r="O111" s="41">
        <v>8893</v>
      </c>
      <c r="P111" s="41">
        <v>403</v>
      </c>
      <c r="Q111" s="41">
        <v>7206</v>
      </c>
      <c r="R111" s="41">
        <v>2505</v>
      </c>
      <c r="S111" s="41">
        <v>10383</v>
      </c>
      <c r="T111" s="41">
        <v>0</v>
      </c>
      <c r="U111" s="41">
        <v>176.11439999999999</v>
      </c>
      <c r="V111" s="41">
        <v>899</v>
      </c>
      <c r="W111" s="41">
        <v>7671</v>
      </c>
      <c r="X111" s="41">
        <v>3484</v>
      </c>
      <c r="Y111" s="41"/>
      <c r="Z111" s="41">
        <v>3505</v>
      </c>
      <c r="AA111" s="41"/>
      <c r="AB111" s="41">
        <v>487.27272727272725</v>
      </c>
      <c r="AC111" s="41"/>
      <c r="AD111" s="41">
        <v>3543</v>
      </c>
      <c r="AE111" s="41">
        <v>160</v>
      </c>
      <c r="AF111" s="44">
        <v>8627</v>
      </c>
      <c r="AG111" s="41">
        <v>4060.63</v>
      </c>
      <c r="AH111" s="41">
        <v>25</v>
      </c>
      <c r="AI111" s="41">
        <v>6673.8123999999998</v>
      </c>
      <c r="AJ111" s="45">
        <v>0.57699999999999996</v>
      </c>
      <c r="AK111" s="45">
        <v>1.845</v>
      </c>
      <c r="AL111" s="45">
        <v>201.83196000000001</v>
      </c>
      <c r="AM111" s="45">
        <v>0.13800000000000001</v>
      </c>
      <c r="AN111" s="47">
        <v>7.91</v>
      </c>
      <c r="AO111" s="45">
        <v>2.59</v>
      </c>
      <c r="AP111" s="45">
        <v>7.61</v>
      </c>
      <c r="AQ111" s="45">
        <v>43</v>
      </c>
      <c r="AR111" s="45">
        <v>7.8</v>
      </c>
      <c r="AS111" s="45">
        <v>0.96</v>
      </c>
      <c r="AT111" s="47">
        <v>1.41E-2</v>
      </c>
      <c r="AU111" s="45">
        <v>4.9509999999999996</v>
      </c>
      <c r="AV111" s="45">
        <v>2.2989999999999999</v>
      </c>
      <c r="AW111" s="45">
        <v>13.772733000000001</v>
      </c>
      <c r="AX111" s="45">
        <v>0</v>
      </c>
      <c r="AY111" s="85">
        <v>0.307</v>
      </c>
    </row>
    <row r="112" spans="1:52" ht="13.5" customHeight="1" x14ac:dyDescent="0.2">
      <c r="A112" s="40">
        <v>45750</v>
      </c>
      <c r="B112" s="41">
        <v>5673</v>
      </c>
      <c r="C112" s="41">
        <v>1635</v>
      </c>
      <c r="D112" s="41">
        <v>134</v>
      </c>
      <c r="E112" s="41">
        <v>198</v>
      </c>
      <c r="F112" s="41">
        <v>104</v>
      </c>
      <c r="G112" s="41">
        <v>125</v>
      </c>
      <c r="H112" s="67">
        <v>8831.8320000000003</v>
      </c>
      <c r="I112" s="41">
        <v>858.34299999999996</v>
      </c>
      <c r="J112" s="41">
        <v>2094.201</v>
      </c>
      <c r="K112" s="41">
        <v>12190</v>
      </c>
      <c r="L112" s="41">
        <v>3567.9607538400001</v>
      </c>
      <c r="M112" s="41">
        <v>8662</v>
      </c>
      <c r="N112" s="41">
        <v>358</v>
      </c>
      <c r="O112" s="41">
        <v>8916</v>
      </c>
      <c r="P112" s="41">
        <v>466</v>
      </c>
      <c r="Q112" s="41">
        <v>7242</v>
      </c>
      <c r="R112" s="41">
        <v>2319</v>
      </c>
      <c r="S112" s="41">
        <v>10369</v>
      </c>
      <c r="T112" s="41">
        <v>0</v>
      </c>
      <c r="U112" s="41">
        <v>176.11439999999999</v>
      </c>
      <c r="V112" s="41">
        <v>881</v>
      </c>
      <c r="W112" s="41">
        <v>7705</v>
      </c>
      <c r="X112" s="41">
        <v>3504</v>
      </c>
      <c r="Y112" s="41"/>
      <c r="Z112" s="41">
        <v>3115</v>
      </c>
      <c r="AA112" s="41"/>
      <c r="AB112" s="41">
        <v>499.99999999999994</v>
      </c>
      <c r="AC112" s="41"/>
      <c r="AD112" s="41">
        <v>4409</v>
      </c>
      <c r="AE112" s="41">
        <v>160</v>
      </c>
      <c r="AF112" s="41">
        <v>8665</v>
      </c>
      <c r="AG112" s="41">
        <v>4060.63</v>
      </c>
      <c r="AH112" s="41">
        <v>25</v>
      </c>
      <c r="AI112" s="41">
        <v>6739.0720000000001</v>
      </c>
      <c r="AJ112" s="45">
        <v>0.219</v>
      </c>
      <c r="AK112" s="45">
        <v>0.73099999999999998</v>
      </c>
      <c r="AL112" s="45">
        <v>206.03385</v>
      </c>
      <c r="AM112" s="45">
        <v>0.34499999999999997</v>
      </c>
      <c r="AN112" s="47">
        <v>7.45</v>
      </c>
      <c r="AO112" s="45">
        <v>2.34</v>
      </c>
      <c r="AP112" s="45">
        <v>7.51</v>
      </c>
      <c r="AQ112" s="45">
        <v>49</v>
      </c>
      <c r="AR112" s="45">
        <v>7.77</v>
      </c>
      <c r="AS112" s="45">
        <v>0.97</v>
      </c>
      <c r="AT112" s="47">
        <v>1.41E-2</v>
      </c>
      <c r="AU112" s="45">
        <v>4.952</v>
      </c>
      <c r="AV112" s="45">
        <v>3.2669999999999999</v>
      </c>
      <c r="AW112" s="45">
        <v>13.525530099999999</v>
      </c>
      <c r="AX112" s="45">
        <v>0</v>
      </c>
      <c r="AY112" s="85">
        <v>0.311</v>
      </c>
    </row>
    <row r="113" spans="1:51" ht="13.5" customHeight="1" x14ac:dyDescent="0.2">
      <c r="A113" s="40">
        <v>45751</v>
      </c>
      <c r="B113" s="41">
        <v>5803</v>
      </c>
      <c r="C113" s="41">
        <v>1635</v>
      </c>
      <c r="D113" s="41">
        <v>134</v>
      </c>
      <c r="E113" s="41">
        <v>198</v>
      </c>
      <c r="F113" s="41">
        <v>104</v>
      </c>
      <c r="G113" s="41">
        <v>125</v>
      </c>
      <c r="H113" s="67">
        <v>8741</v>
      </c>
      <c r="I113" s="41">
        <v>976</v>
      </c>
      <c r="J113" s="41">
        <v>2474</v>
      </c>
      <c r="K113" s="41">
        <v>12111</v>
      </c>
      <c r="L113" s="41">
        <v>3610</v>
      </c>
      <c r="M113" s="41">
        <v>8112</v>
      </c>
      <c r="N113" s="41">
        <v>388</v>
      </c>
      <c r="O113" s="41">
        <v>10132</v>
      </c>
      <c r="P113" s="41">
        <v>467</v>
      </c>
      <c r="Q113" s="41">
        <v>7277</v>
      </c>
      <c r="R113" s="41">
        <v>2571</v>
      </c>
      <c r="S113" s="41">
        <v>10267</v>
      </c>
      <c r="T113" s="41">
        <v>0</v>
      </c>
      <c r="U113" s="41">
        <v>182.4042</v>
      </c>
      <c r="V113" s="41">
        <v>891</v>
      </c>
      <c r="W113" s="41">
        <v>7603</v>
      </c>
      <c r="X113" s="41">
        <v>3624</v>
      </c>
      <c r="Y113" s="41"/>
      <c r="Z113" s="41">
        <v>2864</v>
      </c>
      <c r="AA113" s="41"/>
      <c r="AB113" s="41">
        <v>487.27272727272725</v>
      </c>
      <c r="AC113" s="41"/>
      <c r="AD113" s="41">
        <v>4409</v>
      </c>
      <c r="AE113" s="41">
        <v>160</v>
      </c>
      <c r="AF113" s="41">
        <v>8443</v>
      </c>
      <c r="AG113" s="41">
        <v>4060.63</v>
      </c>
      <c r="AH113" s="41">
        <v>25</v>
      </c>
      <c r="AI113" s="41">
        <v>7041.8176000000012</v>
      </c>
      <c r="AJ113" s="45">
        <v>0.4</v>
      </c>
      <c r="AK113" s="45">
        <v>1.363</v>
      </c>
      <c r="AL113" s="45">
        <v>204.55083000000002</v>
      </c>
      <c r="AM113" s="45">
        <v>0.40100000000000002</v>
      </c>
      <c r="AN113" s="47">
        <v>6.25</v>
      </c>
      <c r="AO113" s="45">
        <v>2.4</v>
      </c>
      <c r="AP113" s="45">
        <v>7.54</v>
      </c>
      <c r="AQ113" s="45">
        <v>49</v>
      </c>
      <c r="AR113" s="45">
        <v>7.6576103566666669</v>
      </c>
      <c r="AS113" s="45">
        <v>1.1100000000000001</v>
      </c>
      <c r="AT113" s="47">
        <v>1.41E-2</v>
      </c>
      <c r="AU113" s="45">
        <v>4.9550000000000001</v>
      </c>
      <c r="AV113" s="45">
        <v>3.2970000000000002</v>
      </c>
      <c r="AW113" s="45">
        <v>13.9493065</v>
      </c>
      <c r="AX113" s="45">
        <v>0</v>
      </c>
      <c r="AY113" s="85">
        <v>0.311</v>
      </c>
    </row>
    <row r="114" spans="1:51" ht="13.5" customHeight="1" x14ac:dyDescent="0.2">
      <c r="A114" s="40">
        <v>45752</v>
      </c>
      <c r="B114" s="41">
        <v>5774</v>
      </c>
      <c r="C114" s="41">
        <v>1635</v>
      </c>
      <c r="D114" s="41">
        <v>134</v>
      </c>
      <c r="E114" s="41">
        <v>198</v>
      </c>
      <c r="F114" s="41">
        <v>104</v>
      </c>
      <c r="G114" s="41">
        <v>125</v>
      </c>
      <c r="H114" s="67">
        <v>8913</v>
      </c>
      <c r="I114" s="41">
        <v>901</v>
      </c>
      <c r="J114" s="41">
        <v>2377</v>
      </c>
      <c r="K114" s="41">
        <v>12050</v>
      </c>
      <c r="L114" s="41">
        <v>3623</v>
      </c>
      <c r="M114" s="41">
        <v>8412</v>
      </c>
      <c r="N114" s="41">
        <v>355</v>
      </c>
      <c r="O114" s="41">
        <v>9197</v>
      </c>
      <c r="P114" s="41">
        <v>804</v>
      </c>
      <c r="Q114" s="41">
        <v>7429</v>
      </c>
      <c r="R114" s="41">
        <v>3124</v>
      </c>
      <c r="S114" s="41">
        <v>10295</v>
      </c>
      <c r="T114" s="41">
        <v>0</v>
      </c>
      <c r="U114" s="41">
        <v>176.11439999999999</v>
      </c>
      <c r="V114" s="41">
        <v>863</v>
      </c>
      <c r="W114" s="41">
        <v>7524</v>
      </c>
      <c r="X114" s="41">
        <v>3533</v>
      </c>
      <c r="Y114" s="41"/>
      <c r="Z114" s="41">
        <v>2857</v>
      </c>
      <c r="AA114" s="41"/>
      <c r="AB114" s="41">
        <v>290.90909090909088</v>
      </c>
      <c r="AC114" s="41"/>
      <c r="AD114" s="41">
        <v>4409</v>
      </c>
      <c r="AE114" s="41">
        <v>160</v>
      </c>
      <c r="AF114" s="41">
        <v>8661</v>
      </c>
      <c r="AG114" s="41">
        <v>4060.63</v>
      </c>
      <c r="AH114" s="41">
        <v>25</v>
      </c>
      <c r="AI114" s="41">
        <v>7190.8976000000002</v>
      </c>
      <c r="AJ114" s="45">
        <v>0.36099999999999999</v>
      </c>
      <c r="AK114" s="45">
        <v>1.202</v>
      </c>
      <c r="AL114" s="45">
        <v>202.57347000000001</v>
      </c>
      <c r="AM114" s="45">
        <v>0.13200000000000001</v>
      </c>
      <c r="AN114" s="47">
        <v>9.6199999999999992</v>
      </c>
      <c r="AO114" s="45">
        <v>2.48</v>
      </c>
      <c r="AP114" s="45">
        <v>7.49</v>
      </c>
      <c r="AQ114" s="45">
        <v>49</v>
      </c>
      <c r="AR114" s="45">
        <v>7.61</v>
      </c>
      <c r="AS114" s="45">
        <v>0.99</v>
      </c>
      <c r="AT114" s="47">
        <v>1.41E-2</v>
      </c>
      <c r="AU114" s="45">
        <v>4.9550000000000001</v>
      </c>
      <c r="AV114" s="45">
        <v>2.5979999999999999</v>
      </c>
      <c r="AW114" s="45">
        <v>14.973432800000001</v>
      </c>
      <c r="AX114" s="45">
        <v>0</v>
      </c>
      <c r="AY114" s="85">
        <v>0.311</v>
      </c>
    </row>
    <row r="115" spans="1:51" ht="13.5" customHeight="1" x14ac:dyDescent="0.2">
      <c r="A115" s="40">
        <v>45753</v>
      </c>
      <c r="B115" s="41">
        <v>5651</v>
      </c>
      <c r="C115" s="41">
        <v>1635</v>
      </c>
      <c r="D115" s="41">
        <v>134</v>
      </c>
      <c r="E115" s="41">
        <v>198</v>
      </c>
      <c r="F115" s="41">
        <v>104</v>
      </c>
      <c r="G115" s="41">
        <v>125</v>
      </c>
      <c r="H115" s="67">
        <v>8696</v>
      </c>
      <c r="I115" s="41">
        <v>943</v>
      </c>
      <c r="J115" s="41">
        <v>2496</v>
      </c>
      <c r="K115" s="41">
        <v>12029</v>
      </c>
      <c r="L115" s="41">
        <v>3647</v>
      </c>
      <c r="M115" s="41">
        <v>7835</v>
      </c>
      <c r="N115" s="41">
        <v>337</v>
      </c>
      <c r="O115" s="41">
        <v>9454</v>
      </c>
      <c r="P115" s="41">
        <v>415</v>
      </c>
      <c r="Q115" s="41">
        <v>7453</v>
      </c>
      <c r="R115" s="41">
        <v>3100</v>
      </c>
      <c r="S115" s="41">
        <v>10259</v>
      </c>
      <c r="T115" s="41">
        <v>0</v>
      </c>
      <c r="U115" s="41">
        <v>176.11439999999999</v>
      </c>
      <c r="V115" s="41">
        <v>861</v>
      </c>
      <c r="W115" s="41">
        <v>7193</v>
      </c>
      <c r="X115" s="41">
        <v>3781</v>
      </c>
      <c r="Y115" s="41"/>
      <c r="Z115" s="41">
        <v>2861</v>
      </c>
      <c r="AA115" s="41"/>
      <c r="AB115" s="41">
        <v>549.09090909090901</v>
      </c>
      <c r="AC115" s="41"/>
      <c r="AD115" s="41">
        <v>4539</v>
      </c>
      <c r="AE115" s="41">
        <v>160</v>
      </c>
      <c r="AF115" s="41">
        <v>8654</v>
      </c>
      <c r="AG115" s="41">
        <v>4060.63</v>
      </c>
      <c r="AH115" s="41">
        <v>25</v>
      </c>
      <c r="AI115" s="41">
        <v>7277.709600000001</v>
      </c>
      <c r="AJ115" s="45">
        <v>0.51500000000000001</v>
      </c>
      <c r="AK115" s="45">
        <v>1.784</v>
      </c>
      <c r="AL115" s="45">
        <v>193.95783000000003</v>
      </c>
      <c r="AM115" s="45">
        <v>0.13300000000000001</v>
      </c>
      <c r="AN115" s="47">
        <v>8.5399999999999991</v>
      </c>
      <c r="AO115" s="45">
        <v>2.44</v>
      </c>
      <c r="AP115" s="45">
        <v>7.64</v>
      </c>
      <c r="AQ115" s="45">
        <v>49</v>
      </c>
      <c r="AR115" s="45">
        <v>7.31</v>
      </c>
      <c r="AS115" s="45">
        <v>1.1100000000000001</v>
      </c>
      <c r="AT115" s="47">
        <v>1.41E-2</v>
      </c>
      <c r="AU115" s="45">
        <v>4.95</v>
      </c>
      <c r="AV115" s="45">
        <v>2.367</v>
      </c>
      <c r="AW115" s="45">
        <v>14.1965094</v>
      </c>
      <c r="AX115" s="45">
        <v>0</v>
      </c>
      <c r="AY115" s="85">
        <v>0.311</v>
      </c>
    </row>
    <row r="116" spans="1:51" ht="13.5" customHeight="1" x14ac:dyDescent="0.2">
      <c r="A116" s="40">
        <v>45754</v>
      </c>
      <c r="B116" s="41">
        <v>5722</v>
      </c>
      <c r="C116" s="41">
        <v>1635</v>
      </c>
      <c r="D116" s="41">
        <v>134</v>
      </c>
      <c r="E116" s="41">
        <v>198</v>
      </c>
      <c r="F116" s="41">
        <v>104</v>
      </c>
      <c r="G116" s="41">
        <v>125</v>
      </c>
      <c r="H116" s="67">
        <v>9474</v>
      </c>
      <c r="I116" s="41">
        <v>997</v>
      </c>
      <c r="J116" s="41">
        <v>2282</v>
      </c>
      <c r="K116" s="41">
        <v>12026</v>
      </c>
      <c r="L116" s="41">
        <v>3605</v>
      </c>
      <c r="M116" s="41">
        <v>8215</v>
      </c>
      <c r="N116" s="41">
        <v>355</v>
      </c>
      <c r="O116" s="41">
        <v>8990</v>
      </c>
      <c r="P116" s="41">
        <v>409</v>
      </c>
      <c r="Q116" s="41">
        <v>7442</v>
      </c>
      <c r="R116" s="41">
        <v>3075</v>
      </c>
      <c r="S116" s="41">
        <v>10282</v>
      </c>
      <c r="T116" s="41">
        <v>0</v>
      </c>
      <c r="U116" s="41">
        <v>213.85319999999999</v>
      </c>
      <c r="V116" s="41">
        <v>887</v>
      </c>
      <c r="W116" s="41">
        <v>6743</v>
      </c>
      <c r="X116" s="41">
        <v>3301</v>
      </c>
      <c r="Y116" s="41"/>
      <c r="Z116" s="41">
        <v>2854</v>
      </c>
      <c r="AA116" s="41"/>
      <c r="AB116" s="41">
        <v>512.72727272727263</v>
      </c>
      <c r="AC116" s="41"/>
      <c r="AD116" s="41">
        <v>3717</v>
      </c>
      <c r="AE116" s="41">
        <v>160</v>
      </c>
      <c r="AF116" s="41">
        <v>8710</v>
      </c>
      <c r="AG116" s="41">
        <v>4060.63</v>
      </c>
      <c r="AH116" s="41">
        <v>25</v>
      </c>
      <c r="AI116" s="41">
        <v>7525.0020000000004</v>
      </c>
      <c r="AJ116" s="45">
        <v>0.38100000000000001</v>
      </c>
      <c r="AK116" s="45">
        <v>1.179</v>
      </c>
      <c r="AL116" s="45">
        <v>202.92657</v>
      </c>
      <c r="AM116" s="45">
        <v>0.41799999999999998</v>
      </c>
      <c r="AN116" s="47">
        <v>6.95</v>
      </c>
      <c r="AO116" s="45">
        <v>2.42</v>
      </c>
      <c r="AP116" s="45">
        <v>7.69</v>
      </c>
      <c r="AQ116" s="45">
        <v>48</v>
      </c>
      <c r="AR116" s="45">
        <v>6.7</v>
      </c>
      <c r="AS116" s="45">
        <v>0.69</v>
      </c>
      <c r="AT116" s="47">
        <v>1.41E-2</v>
      </c>
      <c r="AU116" s="45">
        <v>4.9539999999999997</v>
      </c>
      <c r="AV116" s="45">
        <v>2.246</v>
      </c>
      <c r="AW116" s="45">
        <v>13.278327200000001</v>
      </c>
      <c r="AX116" s="45">
        <v>0</v>
      </c>
      <c r="AY116" s="85">
        <v>0.311</v>
      </c>
    </row>
    <row r="117" spans="1:51" ht="13.5" customHeight="1" x14ac:dyDescent="0.2">
      <c r="A117" s="40">
        <v>45755</v>
      </c>
      <c r="B117" s="41">
        <v>5787</v>
      </c>
      <c r="C117" s="41">
        <v>1635</v>
      </c>
      <c r="D117" s="41">
        <v>134</v>
      </c>
      <c r="E117" s="41">
        <v>198</v>
      </c>
      <c r="F117" s="41">
        <v>104</v>
      </c>
      <c r="G117" s="41">
        <v>125</v>
      </c>
      <c r="H117" s="67">
        <v>10984.395</v>
      </c>
      <c r="I117" s="41">
        <v>1132.6690000000001</v>
      </c>
      <c r="J117" s="41">
        <v>2340.9670000000001</v>
      </c>
      <c r="K117" s="41">
        <v>11999</v>
      </c>
      <c r="L117" s="41">
        <v>3637.1130576400001</v>
      </c>
      <c r="M117" s="41">
        <v>8123</v>
      </c>
      <c r="N117" s="41">
        <v>355</v>
      </c>
      <c r="O117" s="41">
        <v>8959</v>
      </c>
      <c r="P117" s="41">
        <v>417</v>
      </c>
      <c r="Q117" s="41">
        <v>7402</v>
      </c>
      <c r="R117" s="41">
        <v>3058</v>
      </c>
      <c r="S117" s="41">
        <v>10164</v>
      </c>
      <c r="T117" s="41">
        <v>0</v>
      </c>
      <c r="U117" s="41">
        <v>176.11439999999999</v>
      </c>
      <c r="V117" s="41">
        <v>876</v>
      </c>
      <c r="W117" s="41">
        <v>6081</v>
      </c>
      <c r="X117" s="41">
        <v>3520</v>
      </c>
      <c r="Y117" s="41"/>
      <c r="Z117" s="41">
        <v>2858</v>
      </c>
      <c r="AA117" s="41"/>
      <c r="AB117" s="41">
        <v>512.72727272727263</v>
      </c>
      <c r="AC117" s="41"/>
      <c r="AD117" s="41">
        <v>4717</v>
      </c>
      <c r="AE117" s="41">
        <v>160</v>
      </c>
      <c r="AF117" s="41">
        <v>8733</v>
      </c>
      <c r="AG117" s="41">
        <v>4060.63</v>
      </c>
      <c r="AH117" s="41">
        <v>25</v>
      </c>
      <c r="AI117" s="41">
        <v>7612</v>
      </c>
      <c r="AJ117" s="45">
        <v>0.46899999999999997</v>
      </c>
      <c r="AK117" s="45">
        <v>1.496</v>
      </c>
      <c r="AL117" s="45">
        <v>195.79395000000002</v>
      </c>
      <c r="AM117" s="45">
        <v>0.41799999999999998</v>
      </c>
      <c r="AN117" s="47">
        <v>6.74</v>
      </c>
      <c r="AO117" s="45">
        <v>2.39</v>
      </c>
      <c r="AP117" s="45">
        <v>7.7</v>
      </c>
      <c r="AQ117" s="45">
        <v>48</v>
      </c>
      <c r="AR117" s="45">
        <v>5.6</v>
      </c>
      <c r="AS117" s="45">
        <v>0.76</v>
      </c>
      <c r="AT117" s="47">
        <v>1.41E-2</v>
      </c>
      <c r="AU117" s="45">
        <v>4.9539999999999997</v>
      </c>
      <c r="AV117" s="45">
        <v>2.4620000000000002</v>
      </c>
      <c r="AW117" s="45">
        <v>13.666788900000002</v>
      </c>
      <c r="AX117" s="45">
        <v>0</v>
      </c>
      <c r="AY117" s="85">
        <v>0.309</v>
      </c>
    </row>
    <row r="118" spans="1:51" ht="13.5" customHeight="1" x14ac:dyDescent="0.2">
      <c r="A118" s="40">
        <v>45756</v>
      </c>
      <c r="B118" s="41">
        <v>5684</v>
      </c>
      <c r="C118" s="41">
        <v>1635</v>
      </c>
      <c r="D118" s="41">
        <v>134</v>
      </c>
      <c r="E118" s="41">
        <v>198</v>
      </c>
      <c r="F118" s="41">
        <v>104</v>
      </c>
      <c r="G118" s="41">
        <v>125</v>
      </c>
      <c r="H118" s="67">
        <v>10280.644</v>
      </c>
      <c r="I118" s="41">
        <v>1074.836</v>
      </c>
      <c r="J118" s="41">
        <v>2300.3420000000001</v>
      </c>
      <c r="K118" s="41">
        <v>12016</v>
      </c>
      <c r="L118" s="41">
        <v>3611.5933880799998</v>
      </c>
      <c r="M118" s="41">
        <v>8277</v>
      </c>
      <c r="N118" s="41">
        <v>350</v>
      </c>
      <c r="O118" s="41">
        <v>8345</v>
      </c>
      <c r="P118" s="41">
        <v>414</v>
      </c>
      <c r="Q118" s="41">
        <v>7419</v>
      </c>
      <c r="R118" s="41">
        <v>3015</v>
      </c>
      <c r="S118" s="41">
        <v>10227</v>
      </c>
      <c r="T118" s="41">
        <v>0</v>
      </c>
      <c r="U118" s="41">
        <v>440.28599999999994</v>
      </c>
      <c r="V118" s="41">
        <v>929</v>
      </c>
      <c r="W118" s="41">
        <v>6158</v>
      </c>
      <c r="X118" s="41">
        <v>3553</v>
      </c>
      <c r="Y118" s="41"/>
      <c r="Z118" s="41">
        <v>2851</v>
      </c>
      <c r="AA118" s="41"/>
      <c r="AB118" s="41">
        <v>512.72727272727263</v>
      </c>
      <c r="AC118" s="41"/>
      <c r="AD118" s="41">
        <v>4550</v>
      </c>
      <c r="AE118" s="41">
        <v>160</v>
      </c>
      <c r="AF118" s="41">
        <v>8789</v>
      </c>
      <c r="AG118" s="41">
        <v>4060.63</v>
      </c>
      <c r="AH118" s="41">
        <v>25</v>
      </c>
      <c r="AI118" s="41">
        <v>7385</v>
      </c>
      <c r="AJ118" s="45">
        <v>0.42</v>
      </c>
      <c r="AK118" s="45">
        <v>1.3320000000000001</v>
      </c>
      <c r="AL118" s="45">
        <v>197.20635000000001</v>
      </c>
      <c r="AM118" s="45">
        <v>0.49199999999999999</v>
      </c>
      <c r="AN118" s="47">
        <v>6.74</v>
      </c>
      <c r="AO118" s="45">
        <v>2.2200000000000002</v>
      </c>
      <c r="AP118" s="45">
        <v>7.7</v>
      </c>
      <c r="AQ118" s="45">
        <v>48</v>
      </c>
      <c r="AR118" s="45">
        <v>5.64</v>
      </c>
      <c r="AS118" s="45">
        <v>0.79</v>
      </c>
      <c r="AT118" s="47">
        <v>1.41E-2</v>
      </c>
      <c r="AU118" s="45">
        <v>4.9539999999999997</v>
      </c>
      <c r="AV118" s="45">
        <v>2.5019999999999998</v>
      </c>
      <c r="AW118" s="45">
        <v>14.0905653</v>
      </c>
      <c r="AX118" s="45">
        <v>0</v>
      </c>
      <c r="AY118" s="85">
        <v>0.309</v>
      </c>
    </row>
    <row r="119" spans="1:51" ht="13.5" customHeight="1" x14ac:dyDescent="0.2">
      <c r="A119" s="40">
        <v>45757</v>
      </c>
      <c r="B119" s="41">
        <v>5723</v>
      </c>
      <c r="C119" s="41">
        <v>1635</v>
      </c>
      <c r="D119" s="41">
        <v>134</v>
      </c>
      <c r="E119" s="41">
        <v>198</v>
      </c>
      <c r="F119" s="41">
        <v>104</v>
      </c>
      <c r="G119" s="41">
        <v>125</v>
      </c>
      <c r="H119" s="67">
        <v>10018.092000000001</v>
      </c>
      <c r="I119" s="41">
        <v>1041.44</v>
      </c>
      <c r="J119" s="41">
        <v>2363.3690000000001</v>
      </c>
      <c r="K119" s="41">
        <v>12004</v>
      </c>
      <c r="L119" s="41">
        <v>3574.63122084</v>
      </c>
      <c r="M119" s="41">
        <v>8443</v>
      </c>
      <c r="N119" s="41">
        <v>366</v>
      </c>
      <c r="O119" s="41">
        <v>9151</v>
      </c>
      <c r="P119" s="41">
        <v>472</v>
      </c>
      <c r="Q119" s="41">
        <v>7485</v>
      </c>
      <c r="R119" s="41">
        <v>2769</v>
      </c>
      <c r="S119" s="41">
        <v>10154</v>
      </c>
      <c r="T119" s="41">
        <v>0</v>
      </c>
      <c r="U119" s="41">
        <v>245.30219999999997</v>
      </c>
      <c r="V119" s="41">
        <v>873</v>
      </c>
      <c r="W119" s="41">
        <v>6740</v>
      </c>
      <c r="X119" s="41">
        <v>3554</v>
      </c>
      <c r="Y119" s="41"/>
      <c r="Z119" s="41">
        <v>2851</v>
      </c>
      <c r="AA119" s="41"/>
      <c r="AB119" s="41">
        <v>512.72727272727263</v>
      </c>
      <c r="AC119" s="41"/>
      <c r="AD119" s="41">
        <v>4504</v>
      </c>
      <c r="AE119" s="41">
        <v>160</v>
      </c>
      <c r="AF119" s="41">
        <v>8796</v>
      </c>
      <c r="AG119" s="41">
        <v>4060.63</v>
      </c>
      <c r="AH119" s="41">
        <v>25</v>
      </c>
      <c r="AI119" s="41">
        <v>7338</v>
      </c>
      <c r="AJ119" s="45">
        <v>0.42399999999999999</v>
      </c>
      <c r="AK119" s="45">
        <v>1.3640000000000001</v>
      </c>
      <c r="AL119" s="45">
        <v>198.01848000000001</v>
      </c>
      <c r="AM119" s="45">
        <v>0.13800000000000001</v>
      </c>
      <c r="AN119" s="47">
        <v>7.74</v>
      </c>
      <c r="AO119" s="47">
        <v>2.23</v>
      </c>
      <c r="AP119" s="45">
        <v>7.55</v>
      </c>
      <c r="AQ119" s="45">
        <v>48</v>
      </c>
      <c r="AR119" s="45">
        <v>5.78</v>
      </c>
      <c r="AS119" s="45">
        <v>0.92</v>
      </c>
      <c r="AT119" s="47">
        <v>1.41E-2</v>
      </c>
      <c r="AU119" s="45">
        <v>4.9539999999999997</v>
      </c>
      <c r="AV119" s="45">
        <v>3.9689999999999999</v>
      </c>
      <c r="AW119" s="45">
        <v>14.549656400000002</v>
      </c>
      <c r="AX119" s="45">
        <v>0</v>
      </c>
      <c r="AY119" s="85">
        <v>0.309</v>
      </c>
    </row>
    <row r="120" spans="1:51" ht="13.5" customHeight="1" x14ac:dyDescent="0.2">
      <c r="A120" s="40">
        <v>45758</v>
      </c>
      <c r="B120" s="41">
        <v>5693</v>
      </c>
      <c r="C120" s="41">
        <v>1635</v>
      </c>
      <c r="D120" s="41">
        <v>134</v>
      </c>
      <c r="E120" s="41">
        <v>198</v>
      </c>
      <c r="F120" s="41">
        <v>104</v>
      </c>
      <c r="G120" s="41">
        <v>125</v>
      </c>
      <c r="H120" s="67">
        <v>9767</v>
      </c>
      <c r="I120" s="41">
        <v>966</v>
      </c>
      <c r="J120" s="41">
        <v>2382</v>
      </c>
      <c r="K120" s="41">
        <v>12011</v>
      </c>
      <c r="L120" s="41">
        <v>3576</v>
      </c>
      <c r="M120" s="41">
        <v>8446</v>
      </c>
      <c r="N120" s="41">
        <v>371</v>
      </c>
      <c r="O120" s="41">
        <v>9180</v>
      </c>
      <c r="P120" s="41">
        <v>480</v>
      </c>
      <c r="Q120" s="41">
        <v>7506</v>
      </c>
      <c r="R120" s="41">
        <v>2901</v>
      </c>
      <c r="S120" s="41">
        <v>10229</v>
      </c>
      <c r="T120" s="41">
        <v>0</v>
      </c>
      <c r="U120" s="41">
        <v>150.95519999999999</v>
      </c>
      <c r="V120" s="41">
        <v>862</v>
      </c>
      <c r="W120" s="41">
        <v>6464</v>
      </c>
      <c r="X120" s="41">
        <v>3572</v>
      </c>
      <c r="Y120" s="41"/>
      <c r="Z120" s="41">
        <v>2847</v>
      </c>
      <c r="AA120" s="41"/>
      <c r="AB120" s="41">
        <v>476.36363636363632</v>
      </c>
      <c r="AC120" s="41"/>
      <c r="AD120" s="41">
        <v>4308</v>
      </c>
      <c r="AE120" s="41">
        <v>160</v>
      </c>
      <c r="AF120" s="41">
        <v>8761</v>
      </c>
      <c r="AG120" s="41">
        <v>4060.63</v>
      </c>
      <c r="AH120" s="41">
        <v>25</v>
      </c>
      <c r="AI120" s="41">
        <v>7291</v>
      </c>
      <c r="AJ120" s="45">
        <v>0.32400000000000001</v>
      </c>
      <c r="AK120" s="45">
        <v>1.089</v>
      </c>
      <c r="AL120" s="45">
        <v>199.21902000000003</v>
      </c>
      <c r="AM120" s="45">
        <v>0.439</v>
      </c>
      <c r="AN120" s="47">
        <v>8.7578999999999994</v>
      </c>
      <c r="AO120" s="47">
        <v>2.1800000000000002</v>
      </c>
      <c r="AP120" s="45">
        <v>7.69</v>
      </c>
      <c r="AQ120" s="45">
        <v>48</v>
      </c>
      <c r="AR120" s="45">
        <v>5.79</v>
      </c>
      <c r="AS120" s="45">
        <v>1.08</v>
      </c>
      <c r="AT120" s="47">
        <v>1.41E-2</v>
      </c>
      <c r="AU120" s="45">
        <v>4.9550000000000001</v>
      </c>
      <c r="AV120" s="45">
        <v>3.5790000000000002</v>
      </c>
      <c r="AW120" s="45">
        <v>13.772733000000001</v>
      </c>
      <c r="AX120" s="45">
        <v>0</v>
      </c>
      <c r="AY120" s="85">
        <v>0.309</v>
      </c>
    </row>
    <row r="121" spans="1:51" ht="13.5" customHeight="1" x14ac:dyDescent="0.2">
      <c r="A121" s="40">
        <v>45759</v>
      </c>
      <c r="B121" s="41">
        <v>5722</v>
      </c>
      <c r="C121" s="41">
        <v>1635</v>
      </c>
      <c r="D121" s="41">
        <v>134</v>
      </c>
      <c r="E121" s="41">
        <v>198</v>
      </c>
      <c r="F121" s="41">
        <v>104</v>
      </c>
      <c r="G121" s="41">
        <v>125</v>
      </c>
      <c r="H121" s="67">
        <v>9552</v>
      </c>
      <c r="I121" s="41">
        <v>969</v>
      </c>
      <c r="J121" s="41">
        <v>2509</v>
      </c>
      <c r="K121" s="41">
        <v>12006</v>
      </c>
      <c r="L121" s="41">
        <v>3176</v>
      </c>
      <c r="M121" s="41">
        <v>7864</v>
      </c>
      <c r="N121" s="41">
        <v>348</v>
      </c>
      <c r="O121" s="41">
        <v>9210</v>
      </c>
      <c r="P121" s="41">
        <v>467</v>
      </c>
      <c r="Q121" s="41">
        <v>7517</v>
      </c>
      <c r="R121" s="41">
        <v>2835</v>
      </c>
      <c r="S121" s="41">
        <v>9446</v>
      </c>
      <c r="T121" s="41">
        <v>0</v>
      </c>
      <c r="U121" s="41">
        <v>62.897999999999996</v>
      </c>
      <c r="V121" s="41">
        <v>832</v>
      </c>
      <c r="W121" s="41">
        <v>6467</v>
      </c>
      <c r="X121" s="41">
        <v>3974</v>
      </c>
      <c r="Y121" s="41"/>
      <c r="Z121" s="41">
        <v>2838</v>
      </c>
      <c r="AA121" s="41"/>
      <c r="AB121" s="41">
        <v>605.45454545454538</v>
      </c>
      <c r="AC121" s="41"/>
      <c r="AD121" s="41">
        <v>4471</v>
      </c>
      <c r="AE121" s="41">
        <v>160</v>
      </c>
      <c r="AF121" s="41">
        <v>7305</v>
      </c>
      <c r="AG121" s="41">
        <v>4060.63</v>
      </c>
      <c r="AH121" s="41">
        <v>25</v>
      </c>
      <c r="AI121" s="41">
        <v>7139</v>
      </c>
      <c r="AJ121" s="45">
        <v>0.17100000000000001</v>
      </c>
      <c r="AK121" s="45">
        <v>0.57399999999999995</v>
      </c>
      <c r="AL121" s="45">
        <v>201.76134000000002</v>
      </c>
      <c r="AM121" s="45">
        <v>0.38500000000000001</v>
      </c>
      <c r="AN121" s="47">
        <v>2.4342999999999999</v>
      </c>
      <c r="AO121" s="47">
        <v>1.98</v>
      </c>
      <c r="AP121" s="45">
        <v>3.84</v>
      </c>
      <c r="AQ121" s="45">
        <v>46</v>
      </c>
      <c r="AR121" s="45">
        <v>5.83</v>
      </c>
      <c r="AS121" s="45">
        <v>0.69</v>
      </c>
      <c r="AT121" s="47">
        <v>1.41E-2</v>
      </c>
      <c r="AU121" s="45">
        <v>4.0149999999999997</v>
      </c>
      <c r="AV121" s="45">
        <v>3.5289999999999999</v>
      </c>
      <c r="AW121" s="45">
        <v>13.419586000000001</v>
      </c>
      <c r="AX121" s="45">
        <v>0</v>
      </c>
      <c r="AY121" s="85">
        <v>0.309</v>
      </c>
    </row>
    <row r="122" spans="1:51" ht="13.5" customHeight="1" x14ac:dyDescent="0.2">
      <c r="A122" s="40">
        <v>45760</v>
      </c>
      <c r="B122" s="41">
        <f>7989-(C122+D122+E122+F122)</f>
        <v>5918</v>
      </c>
      <c r="C122" s="41">
        <v>1635</v>
      </c>
      <c r="D122" s="41">
        <v>134</v>
      </c>
      <c r="E122" s="41">
        <v>198</v>
      </c>
      <c r="F122" s="41">
        <v>104</v>
      </c>
      <c r="G122" s="41">
        <v>125</v>
      </c>
      <c r="H122" s="67">
        <v>9309</v>
      </c>
      <c r="I122" s="41">
        <v>1104</v>
      </c>
      <c r="J122" s="41">
        <v>2800</v>
      </c>
      <c r="K122" s="41">
        <v>10927</v>
      </c>
      <c r="L122" s="41">
        <v>3577</v>
      </c>
      <c r="M122" s="41">
        <v>7831</v>
      </c>
      <c r="N122" s="41">
        <v>369</v>
      </c>
      <c r="O122" s="41">
        <v>9214</v>
      </c>
      <c r="P122" s="41">
        <v>468</v>
      </c>
      <c r="Q122" s="41">
        <v>7529</v>
      </c>
      <c r="R122" s="41">
        <v>2799</v>
      </c>
      <c r="S122" s="41">
        <v>10084</v>
      </c>
      <c r="T122" s="41">
        <v>0</v>
      </c>
      <c r="U122" s="41">
        <v>245.30219999999997</v>
      </c>
      <c r="V122" s="41">
        <v>871</v>
      </c>
      <c r="W122" s="41">
        <v>6245</v>
      </c>
      <c r="X122" s="41">
        <v>3552</v>
      </c>
      <c r="Y122" s="41"/>
      <c r="Z122" s="41">
        <v>2841</v>
      </c>
      <c r="AA122" s="41"/>
      <c r="AB122" s="41">
        <v>267.27272727272725</v>
      </c>
      <c r="AC122" s="41"/>
      <c r="AD122" s="41">
        <v>4366</v>
      </c>
      <c r="AE122" s="41">
        <v>160</v>
      </c>
      <c r="AF122" s="41">
        <v>7220</v>
      </c>
      <c r="AG122" s="41">
        <v>4060.63</v>
      </c>
      <c r="AH122" s="41">
        <v>25</v>
      </c>
      <c r="AI122" s="41">
        <v>6980</v>
      </c>
      <c r="AJ122" s="45">
        <v>0.36199999999999999</v>
      </c>
      <c r="AK122" s="45">
        <v>1.198</v>
      </c>
      <c r="AL122" s="45">
        <v>199.92522</v>
      </c>
      <c r="AM122" s="45">
        <v>0</v>
      </c>
      <c r="AN122" s="47">
        <v>0</v>
      </c>
      <c r="AO122" s="47">
        <v>2.19</v>
      </c>
      <c r="AP122" s="45">
        <v>7.58</v>
      </c>
      <c r="AQ122" s="45">
        <v>46</v>
      </c>
      <c r="AR122" s="45">
        <v>10.4</v>
      </c>
      <c r="AS122" s="45">
        <v>1.3</v>
      </c>
      <c r="AT122" s="47">
        <v>1.41E-2</v>
      </c>
      <c r="AU122" s="45">
        <v>3.9420000000000002</v>
      </c>
      <c r="AV122" s="45">
        <v>3.66</v>
      </c>
      <c r="AW122" s="45">
        <v>12.642662600000001</v>
      </c>
      <c r="AX122" s="45">
        <v>0</v>
      </c>
      <c r="AY122" s="85">
        <v>0.309</v>
      </c>
    </row>
    <row r="123" spans="1:51" ht="13.5" customHeight="1" x14ac:dyDescent="0.2">
      <c r="A123" s="40">
        <v>45761</v>
      </c>
      <c r="B123" s="41">
        <v>5737</v>
      </c>
      <c r="C123" s="41">
        <v>1635</v>
      </c>
      <c r="D123" s="41">
        <v>134</v>
      </c>
      <c r="E123" s="41">
        <v>198</v>
      </c>
      <c r="F123" s="41">
        <v>104</v>
      </c>
      <c r="G123" s="41">
        <v>125</v>
      </c>
      <c r="H123" s="67">
        <v>9141</v>
      </c>
      <c r="I123" s="41">
        <v>905</v>
      </c>
      <c r="J123" s="41">
        <v>2264</v>
      </c>
      <c r="K123" s="41">
        <v>12176</v>
      </c>
      <c r="L123" s="41">
        <v>3788</v>
      </c>
      <c r="M123" s="41">
        <v>8120</v>
      </c>
      <c r="N123" s="41">
        <v>332</v>
      </c>
      <c r="O123" s="41">
        <v>8975</v>
      </c>
      <c r="P123" s="41">
        <v>468</v>
      </c>
      <c r="Q123" s="41">
        <v>7521</v>
      </c>
      <c r="R123" s="41">
        <v>2618</v>
      </c>
      <c r="S123" s="41">
        <v>10124</v>
      </c>
      <c r="T123" s="41">
        <v>0</v>
      </c>
      <c r="U123" s="41">
        <v>245.30219999999997</v>
      </c>
      <c r="V123" s="41">
        <v>918</v>
      </c>
      <c r="W123" s="41">
        <v>7227</v>
      </c>
      <c r="X123" s="41">
        <v>3829</v>
      </c>
      <c r="Y123" s="41"/>
      <c r="Z123" s="41">
        <v>3098</v>
      </c>
      <c r="AA123" s="41"/>
      <c r="AB123" s="41">
        <v>0</v>
      </c>
      <c r="AC123" s="41"/>
      <c r="AD123" s="41">
        <v>4411</v>
      </c>
      <c r="AE123" s="41">
        <v>160</v>
      </c>
      <c r="AF123" s="41">
        <v>8812</v>
      </c>
      <c r="AG123" s="41">
        <v>4060.63</v>
      </c>
      <c r="AH123" s="41">
        <v>25</v>
      </c>
      <c r="AI123" s="41">
        <v>6842</v>
      </c>
      <c r="AJ123" s="45">
        <v>0.29199999999999998</v>
      </c>
      <c r="AK123" s="45">
        <v>0.96099999999999997</v>
      </c>
      <c r="AL123" s="45">
        <v>199.28964000000002</v>
      </c>
      <c r="AM123" s="45">
        <v>0.13600000000000001</v>
      </c>
      <c r="AN123" s="47">
        <v>5.37</v>
      </c>
      <c r="AO123" s="47">
        <v>2.12</v>
      </c>
      <c r="AP123" s="45">
        <v>7.8</v>
      </c>
      <c r="AQ123" s="45">
        <v>48</v>
      </c>
      <c r="AR123" s="45">
        <v>12.6</v>
      </c>
      <c r="AS123" s="45">
        <v>1.4</v>
      </c>
      <c r="AT123" s="47">
        <v>0</v>
      </c>
      <c r="AU123" s="45">
        <v>4.952</v>
      </c>
      <c r="AV123" s="45">
        <v>3.5870000000000002</v>
      </c>
      <c r="AW123" s="45">
        <v>11.724480400000001</v>
      </c>
      <c r="AX123" s="45">
        <v>0</v>
      </c>
      <c r="AY123" s="85">
        <v>0.309</v>
      </c>
    </row>
    <row r="124" spans="1:51" ht="13.5" customHeight="1" x14ac:dyDescent="0.2">
      <c r="A124" s="40">
        <v>45762</v>
      </c>
      <c r="B124" s="41">
        <v>5672</v>
      </c>
      <c r="C124" s="41">
        <v>1635</v>
      </c>
      <c r="D124" s="41">
        <v>134</v>
      </c>
      <c r="E124" s="41">
        <v>198</v>
      </c>
      <c r="F124" s="41">
        <v>104</v>
      </c>
      <c r="G124" s="41">
        <v>125</v>
      </c>
      <c r="H124" s="67">
        <v>9252</v>
      </c>
      <c r="I124" s="41">
        <v>942</v>
      </c>
      <c r="J124" s="41">
        <v>2321</v>
      </c>
      <c r="K124" s="41">
        <v>12091</v>
      </c>
      <c r="L124" s="41">
        <v>3721</v>
      </c>
      <c r="M124" s="41">
        <v>8107</v>
      </c>
      <c r="N124" s="41">
        <v>353</v>
      </c>
      <c r="O124" s="41">
        <v>8442</v>
      </c>
      <c r="P124" s="41">
        <v>468</v>
      </c>
      <c r="Q124" s="41">
        <v>7579</v>
      </c>
      <c r="R124" s="41">
        <v>2835</v>
      </c>
      <c r="S124" s="41">
        <v>9402</v>
      </c>
      <c r="T124" s="41">
        <v>0</v>
      </c>
      <c r="U124" s="41">
        <v>245.30219999999997</v>
      </c>
      <c r="V124" s="41">
        <v>842</v>
      </c>
      <c r="W124" s="41">
        <v>7972</v>
      </c>
      <c r="X124" s="41">
        <v>3882</v>
      </c>
      <c r="Y124" s="41"/>
      <c r="Z124" s="41">
        <v>3507</v>
      </c>
      <c r="AA124" s="41"/>
      <c r="AB124" s="41">
        <v>1.8181818181818181E-2</v>
      </c>
      <c r="AC124" s="41"/>
      <c r="AD124" s="41">
        <v>4370</v>
      </c>
      <c r="AE124" s="41">
        <v>160</v>
      </c>
      <c r="AF124" s="41">
        <v>8805</v>
      </c>
      <c r="AG124" s="41">
        <v>4060.63</v>
      </c>
      <c r="AH124" s="41">
        <v>25</v>
      </c>
      <c r="AI124" s="41">
        <v>6868</v>
      </c>
      <c r="AJ124" s="45">
        <v>0.35499999999999998</v>
      </c>
      <c r="AK124" s="45">
        <v>1.1579999999999999</v>
      </c>
      <c r="AL124" s="45">
        <v>194.76996000000003</v>
      </c>
      <c r="AM124" s="45">
        <v>0</v>
      </c>
      <c r="AN124" s="47">
        <v>3.51</v>
      </c>
      <c r="AO124" s="47">
        <v>2.14</v>
      </c>
      <c r="AP124" s="45">
        <v>3.34</v>
      </c>
      <c r="AQ124" s="45">
        <v>47</v>
      </c>
      <c r="AR124" s="45">
        <v>13.21</v>
      </c>
      <c r="AS124" s="45">
        <v>0.5</v>
      </c>
      <c r="AT124" s="47">
        <v>0</v>
      </c>
      <c r="AU124" s="45">
        <v>4.9539999999999997</v>
      </c>
      <c r="AV124" s="45">
        <v>3.6190000000000002</v>
      </c>
      <c r="AW124" s="45">
        <v>13.4549007</v>
      </c>
      <c r="AX124" s="45">
        <v>0</v>
      </c>
      <c r="AY124" s="85">
        <v>0.309</v>
      </c>
    </row>
    <row r="125" spans="1:51" ht="13.5" customHeight="1" x14ac:dyDescent="0.2">
      <c r="A125" s="40">
        <v>45763</v>
      </c>
      <c r="B125" s="41">
        <v>5609</v>
      </c>
      <c r="C125" s="41">
        <v>1635</v>
      </c>
      <c r="D125" s="41">
        <v>134</v>
      </c>
      <c r="E125" s="41">
        <v>198</v>
      </c>
      <c r="F125" s="41">
        <v>104</v>
      </c>
      <c r="G125" s="41">
        <v>122</v>
      </c>
      <c r="H125" s="67">
        <v>9257.3230000000003</v>
      </c>
      <c r="I125" s="41">
        <v>941.06799999999998</v>
      </c>
      <c r="J125" s="41">
        <v>2350.02</v>
      </c>
      <c r="K125" s="41">
        <v>12002</v>
      </c>
      <c r="L125" s="41">
        <v>3571.1456878399999</v>
      </c>
      <c r="M125" s="41">
        <v>8150</v>
      </c>
      <c r="N125" s="41">
        <v>352</v>
      </c>
      <c r="O125" s="41">
        <v>8442</v>
      </c>
      <c r="P125" s="41">
        <v>468</v>
      </c>
      <c r="Q125" s="41">
        <v>7562</v>
      </c>
      <c r="R125" s="41">
        <v>2853</v>
      </c>
      <c r="S125" s="41">
        <v>10061</v>
      </c>
      <c r="T125" s="41">
        <v>0</v>
      </c>
      <c r="U125" s="41">
        <v>239.01239999999999</v>
      </c>
      <c r="V125" s="41">
        <v>879</v>
      </c>
      <c r="W125" s="41">
        <v>7589</v>
      </c>
      <c r="X125" s="41">
        <v>3665</v>
      </c>
      <c r="Y125" s="41"/>
      <c r="Z125" s="41">
        <v>3482</v>
      </c>
      <c r="AA125" s="41"/>
      <c r="AB125" s="41">
        <v>1.8181818181818181E-2</v>
      </c>
      <c r="AC125" s="41"/>
      <c r="AD125" s="41">
        <v>4399</v>
      </c>
      <c r="AE125" s="41">
        <v>160</v>
      </c>
      <c r="AF125" s="41">
        <v>8786</v>
      </c>
      <c r="AG125" s="41">
        <v>4060.63</v>
      </c>
      <c r="AH125" s="41">
        <v>25</v>
      </c>
      <c r="AI125" s="41">
        <v>6950</v>
      </c>
      <c r="AJ125" s="45">
        <v>0.375</v>
      </c>
      <c r="AK125" s="45">
        <v>1.1890000000000001</v>
      </c>
      <c r="AL125" s="45">
        <v>196.35891000000001</v>
      </c>
      <c r="AM125" s="45">
        <v>0</v>
      </c>
      <c r="AN125" s="47">
        <v>2.09</v>
      </c>
      <c r="AO125" s="47">
        <v>2.17</v>
      </c>
      <c r="AP125" s="45">
        <v>7.57</v>
      </c>
      <c r="AQ125" s="45">
        <v>49</v>
      </c>
      <c r="AR125" s="45">
        <v>12.31</v>
      </c>
      <c r="AS125" s="45">
        <v>1.3</v>
      </c>
      <c r="AT125" s="47">
        <v>0</v>
      </c>
      <c r="AU125" s="45">
        <v>4.9530000000000003</v>
      </c>
      <c r="AV125" s="45">
        <v>3.69</v>
      </c>
      <c r="AW125" s="45">
        <v>12.819236099999999</v>
      </c>
      <c r="AX125" s="45">
        <v>0</v>
      </c>
      <c r="AY125" s="85">
        <v>0.309</v>
      </c>
    </row>
    <row r="126" spans="1:51" ht="13.5" customHeight="1" x14ac:dyDescent="0.2">
      <c r="A126" s="40">
        <v>45764</v>
      </c>
      <c r="B126" s="41">
        <f>7689-(C126+D126+E126+F126)</f>
        <v>5618</v>
      </c>
      <c r="C126" s="41">
        <v>1635</v>
      </c>
      <c r="D126" s="41">
        <v>134</v>
      </c>
      <c r="E126" s="41">
        <v>198</v>
      </c>
      <c r="F126" s="41">
        <v>104</v>
      </c>
      <c r="G126" s="41">
        <v>122</v>
      </c>
      <c r="H126" s="67">
        <v>9020.8320000000003</v>
      </c>
      <c r="I126" s="41">
        <v>961.73900000000003</v>
      </c>
      <c r="J126" s="41">
        <v>2517.1950000000002</v>
      </c>
      <c r="K126" s="41">
        <v>11978</v>
      </c>
      <c r="L126" s="41">
        <f>3264.99199604+289</f>
        <v>3553.9919960399998</v>
      </c>
      <c r="M126" s="41">
        <f>8701-N126</f>
        <v>8332</v>
      </c>
      <c r="N126" s="41">
        <v>369</v>
      </c>
      <c r="O126" s="41">
        <v>8975</v>
      </c>
      <c r="P126" s="41">
        <v>468</v>
      </c>
      <c r="Q126" s="41">
        <v>7528</v>
      </c>
      <c r="R126" s="41">
        <v>2576</v>
      </c>
      <c r="S126" s="41">
        <v>10154</v>
      </c>
      <c r="T126" s="41">
        <v>0</v>
      </c>
      <c r="U126" s="41">
        <f>29*6.2898</f>
        <v>182.4042</v>
      </c>
      <c r="V126" s="41">
        <v>858</v>
      </c>
      <c r="W126" s="41">
        <v>6740</v>
      </c>
      <c r="X126" s="41">
        <v>2949</v>
      </c>
      <c r="Y126" s="41"/>
      <c r="Z126" s="41">
        <v>3468</v>
      </c>
      <c r="AA126" s="41"/>
      <c r="AB126" s="41">
        <f>8/0.55</f>
        <v>14.545454545454545</v>
      </c>
      <c r="AC126" s="41"/>
      <c r="AD126" s="41">
        <v>4325</v>
      </c>
      <c r="AE126" s="41">
        <v>160</v>
      </c>
      <c r="AF126" s="41">
        <v>8795</v>
      </c>
      <c r="AG126" s="41">
        <v>4060.63</v>
      </c>
      <c r="AH126" s="41">
        <v>25</v>
      </c>
      <c r="AI126" s="41">
        <v>6829</v>
      </c>
      <c r="AJ126" s="45">
        <v>0.35899999999999999</v>
      </c>
      <c r="AK126" s="45">
        <v>1.155</v>
      </c>
      <c r="AL126" s="45">
        <f>5608*35.31/1000</f>
        <v>198.01848000000001</v>
      </c>
      <c r="AM126" s="45">
        <v>0</v>
      </c>
      <c r="AN126" s="47">
        <v>9.4700000000000006</v>
      </c>
      <c r="AO126" s="47">
        <v>2.23</v>
      </c>
      <c r="AP126" s="45">
        <v>7.55</v>
      </c>
      <c r="AQ126" s="45">
        <v>48</v>
      </c>
      <c r="AR126" s="45">
        <v>5.78</v>
      </c>
      <c r="AS126" s="45">
        <v>0.87</v>
      </c>
      <c r="AT126" s="47">
        <v>1.41E-2</v>
      </c>
      <c r="AU126" s="45">
        <v>4.9530000000000003</v>
      </c>
      <c r="AV126" s="45">
        <v>3.59</v>
      </c>
      <c r="AW126" s="45">
        <f>382*35.3147/1000</f>
        <v>13.4902154</v>
      </c>
      <c r="AX126" s="45">
        <v>0</v>
      </c>
      <c r="AY126" s="85">
        <v>0.30599999999999999</v>
      </c>
    </row>
    <row r="127" spans="1:51" ht="13.5" customHeight="1" x14ac:dyDescent="0.2">
      <c r="A127" s="40">
        <v>45765</v>
      </c>
      <c r="B127" s="41">
        <f>7641-(C127+D127+E127+F127)</f>
        <v>5570</v>
      </c>
      <c r="C127" s="41">
        <v>1635</v>
      </c>
      <c r="D127" s="41">
        <v>134</v>
      </c>
      <c r="E127" s="41">
        <v>198</v>
      </c>
      <c r="F127" s="41">
        <v>104</v>
      </c>
      <c r="G127" s="41">
        <v>122</v>
      </c>
      <c r="H127" s="67">
        <v>8842.6939999999995</v>
      </c>
      <c r="I127" s="41">
        <v>756.40200000000004</v>
      </c>
      <c r="J127" s="41">
        <v>2307.1149999999998</v>
      </c>
      <c r="K127" s="41">
        <v>12169</v>
      </c>
      <c r="L127" s="41">
        <f>3268.96923984+290</f>
        <v>3558.9692398399998</v>
      </c>
      <c r="M127" s="41">
        <f>8765-N127</f>
        <v>8395</v>
      </c>
      <c r="N127" s="41">
        <v>370</v>
      </c>
      <c r="O127" s="41">
        <v>9057</v>
      </c>
      <c r="P127" s="41">
        <v>410</v>
      </c>
      <c r="Q127" s="41">
        <v>7569</v>
      </c>
      <c r="R127" s="41">
        <v>2631</v>
      </c>
      <c r="S127" s="41">
        <v>10091</v>
      </c>
      <c r="T127" s="41">
        <v>0</v>
      </c>
      <c r="U127" s="41">
        <f>19*6.2898</f>
        <v>119.50619999999999</v>
      </c>
      <c r="V127" s="41">
        <v>854</v>
      </c>
      <c r="W127" s="41">
        <v>5457</v>
      </c>
      <c r="X127" s="41">
        <v>3191</v>
      </c>
      <c r="Y127" s="41"/>
      <c r="Z127" s="41">
        <v>3471</v>
      </c>
      <c r="AA127" s="41"/>
      <c r="AB127" s="41">
        <f>332/0.55</f>
        <v>603.63636363636363</v>
      </c>
      <c r="AC127" s="41"/>
      <c r="AD127" s="41">
        <v>4428</v>
      </c>
      <c r="AE127" s="41">
        <v>160</v>
      </c>
      <c r="AF127" s="41">
        <v>8735</v>
      </c>
      <c r="AG127" s="41">
        <v>4060.63</v>
      </c>
      <c r="AH127" s="41">
        <v>25</v>
      </c>
      <c r="AI127" s="41">
        <v>6838</v>
      </c>
      <c r="AJ127" s="45">
        <v>0.371</v>
      </c>
      <c r="AK127" s="45">
        <v>1.155</v>
      </c>
      <c r="AL127" s="45">
        <f>5381*35.31/1000</f>
        <v>190.00311000000002</v>
      </c>
      <c r="AM127" s="45">
        <v>0.13700000000000001</v>
      </c>
      <c r="AN127" s="47">
        <v>8.5500000000000007</v>
      </c>
      <c r="AO127" s="47">
        <v>2.21</v>
      </c>
      <c r="AP127" s="45">
        <v>7.72</v>
      </c>
      <c r="AQ127" s="45">
        <v>45</v>
      </c>
      <c r="AR127" s="45">
        <v>6.47</v>
      </c>
      <c r="AS127" s="45">
        <v>1.32</v>
      </c>
      <c r="AT127" s="47">
        <v>1.41E-2</v>
      </c>
      <c r="AU127" s="45">
        <v>4.9530000000000003</v>
      </c>
      <c r="AV127" s="45">
        <v>3.6539999999999999</v>
      </c>
      <c r="AW127" s="45">
        <f>412*35.3147/1000</f>
        <v>14.549656400000002</v>
      </c>
      <c r="AX127" s="45">
        <v>0</v>
      </c>
      <c r="AY127" s="85">
        <v>0.30599999999999999</v>
      </c>
    </row>
    <row r="128" spans="1:51" ht="13.5" customHeight="1" x14ac:dyDescent="0.2">
      <c r="A128" s="40">
        <v>45766</v>
      </c>
      <c r="B128" s="41">
        <f>7773-(C128+D128+E128+F128)</f>
        <v>5702</v>
      </c>
      <c r="C128" s="41">
        <v>1635</v>
      </c>
      <c r="D128" s="41">
        <v>134</v>
      </c>
      <c r="E128" s="41">
        <v>198</v>
      </c>
      <c r="F128" s="41">
        <v>104</v>
      </c>
      <c r="G128" s="41">
        <v>122</v>
      </c>
      <c r="H128" s="67">
        <v>8827.3179999999993</v>
      </c>
      <c r="I128" s="41">
        <v>728.28200000000004</v>
      </c>
      <c r="J128" s="41">
        <v>2200.8789999999999</v>
      </c>
      <c r="K128" s="41">
        <v>12295</v>
      </c>
      <c r="L128" s="41">
        <f>3228.83657156+291</f>
        <v>3519.8365715599998</v>
      </c>
      <c r="M128" s="41">
        <f>9306-N128</f>
        <v>8935</v>
      </c>
      <c r="N128" s="41">
        <v>371</v>
      </c>
      <c r="O128" s="41">
        <v>8777</v>
      </c>
      <c r="P128" s="41">
        <v>416</v>
      </c>
      <c r="Q128" s="41">
        <v>7535</v>
      </c>
      <c r="R128" s="41">
        <v>2679</v>
      </c>
      <c r="S128" s="41">
        <v>10061</v>
      </c>
      <c r="T128" s="41">
        <v>0</v>
      </c>
      <c r="U128" s="41">
        <f>19*6.2898</f>
        <v>119.50619999999999</v>
      </c>
      <c r="V128" s="41">
        <v>699</v>
      </c>
      <c r="W128" s="41">
        <v>8012</v>
      </c>
      <c r="X128" s="41">
        <v>3570</v>
      </c>
      <c r="Y128" s="41"/>
      <c r="Z128" s="41">
        <v>3469</v>
      </c>
      <c r="AA128" s="41"/>
      <c r="AB128" s="41">
        <f>271/0.55</f>
        <v>492.72727272727269</v>
      </c>
      <c r="AC128" s="41"/>
      <c r="AD128" s="41">
        <v>4272</v>
      </c>
      <c r="AE128" s="41">
        <v>160</v>
      </c>
      <c r="AF128" s="41">
        <v>8729</v>
      </c>
      <c r="AG128" s="41">
        <v>4060.63</v>
      </c>
      <c r="AH128" s="41">
        <v>25</v>
      </c>
      <c r="AI128" s="41">
        <v>6828</v>
      </c>
      <c r="AJ128" s="45">
        <v>0.126</v>
      </c>
      <c r="AK128" s="45">
        <v>1.1479999999999999</v>
      </c>
      <c r="AL128" s="45">
        <f>5502*35.31/1000</f>
        <v>194.27562000000003</v>
      </c>
      <c r="AM128" s="45">
        <v>0</v>
      </c>
      <c r="AN128" s="47">
        <v>14.73</v>
      </c>
      <c r="AO128" s="47">
        <v>2.2599999999999998</v>
      </c>
      <c r="AP128" s="45">
        <v>7.52</v>
      </c>
      <c r="AQ128" s="45">
        <v>45</v>
      </c>
      <c r="AR128" s="45">
        <v>9.6300000000000008</v>
      </c>
      <c r="AS128" s="45">
        <v>1.76</v>
      </c>
      <c r="AT128" s="47">
        <v>1.41E-2</v>
      </c>
      <c r="AU128" s="45">
        <v>4.9530000000000003</v>
      </c>
      <c r="AV128" s="45">
        <v>3.306</v>
      </c>
      <c r="AW128" s="45">
        <f>401*35.3147/1000</f>
        <v>14.161194699999999</v>
      </c>
      <c r="AX128" s="45">
        <v>0</v>
      </c>
      <c r="AY128" s="85">
        <v>0.30599999999999999</v>
      </c>
    </row>
    <row r="129" spans="1:51" ht="13.5" customHeight="1" x14ac:dyDescent="0.2">
      <c r="A129" s="40">
        <v>45767</v>
      </c>
      <c r="B129" s="41">
        <f>7829-(C129+D129+E129+F129)</f>
        <v>5758</v>
      </c>
      <c r="C129" s="41">
        <v>1635</v>
      </c>
      <c r="D129" s="41">
        <v>134</v>
      </c>
      <c r="E129" s="41">
        <v>198</v>
      </c>
      <c r="F129" s="41">
        <v>104</v>
      </c>
      <c r="G129" s="41">
        <v>122</v>
      </c>
      <c r="H129" s="67">
        <v>8923.7279999999992</v>
      </c>
      <c r="I129" s="41">
        <v>718.245</v>
      </c>
      <c r="J129" s="41">
        <v>2184.2959999999998</v>
      </c>
      <c r="K129" s="41">
        <v>12309</v>
      </c>
      <c r="L129" s="41">
        <f>3242.42315952+290</f>
        <v>3532.4231595199999</v>
      </c>
      <c r="M129" s="41">
        <f>9105-N129</f>
        <v>8732</v>
      </c>
      <c r="N129" s="41">
        <v>373</v>
      </c>
      <c r="O129" s="41">
        <v>8955</v>
      </c>
      <c r="P129" s="41">
        <v>410</v>
      </c>
      <c r="Q129" s="41">
        <v>7524</v>
      </c>
      <c r="R129" s="41">
        <v>3142</v>
      </c>
      <c r="S129" s="41">
        <v>10048</v>
      </c>
      <c r="T129" s="41">
        <v>0</v>
      </c>
      <c r="U129" s="41">
        <f>19*6.2898</f>
        <v>119.50619999999999</v>
      </c>
      <c r="V129" s="41">
        <v>828</v>
      </c>
      <c r="W129" s="41">
        <v>7279</v>
      </c>
      <c r="X129" s="41">
        <v>4054</v>
      </c>
      <c r="Y129" s="41"/>
      <c r="Z129" s="41">
        <v>3441</v>
      </c>
      <c r="AA129" s="41"/>
      <c r="AB129" s="41">
        <f>221/0.55</f>
        <v>401.81818181818181</v>
      </c>
      <c r="AC129" s="41"/>
      <c r="AD129" s="41">
        <v>4353</v>
      </c>
      <c r="AE129" s="41">
        <v>160</v>
      </c>
      <c r="AF129" s="41">
        <v>8750</v>
      </c>
      <c r="AG129" s="41">
        <v>4060.63</v>
      </c>
      <c r="AH129" s="41">
        <v>25</v>
      </c>
      <c r="AI129" s="41">
        <v>6844</v>
      </c>
      <c r="AJ129" s="45">
        <v>0</v>
      </c>
      <c r="AK129" s="45">
        <v>0.38400000000000001</v>
      </c>
      <c r="AL129" s="45">
        <f>4972*35.31/1000</f>
        <v>175.56131999999999</v>
      </c>
      <c r="AM129" s="45">
        <v>0</v>
      </c>
      <c r="AN129" s="47">
        <v>15.11</v>
      </c>
      <c r="AO129" s="47">
        <v>14.99</v>
      </c>
      <c r="AP129" s="45">
        <v>7.49</v>
      </c>
      <c r="AQ129" s="45">
        <v>44</v>
      </c>
      <c r="AR129" s="45">
        <v>8.6</v>
      </c>
      <c r="AS129" s="45">
        <v>2.0499999999999998</v>
      </c>
      <c r="AT129" s="47">
        <v>1.41E-2</v>
      </c>
      <c r="AU129" s="45">
        <v>4.9530000000000003</v>
      </c>
      <c r="AV129" s="45">
        <v>3.1869999999999998</v>
      </c>
      <c r="AW129" s="45">
        <f>382*35.3147/1000</f>
        <v>13.4902154</v>
      </c>
      <c r="AX129" s="45">
        <v>0</v>
      </c>
      <c r="AY129" s="85">
        <v>0.30599999999999999</v>
      </c>
    </row>
    <row r="130" spans="1:51" ht="13.5" customHeight="1" x14ac:dyDescent="0.2">
      <c r="A130" s="40">
        <v>45768</v>
      </c>
      <c r="B130" s="41">
        <f>7703-(C130+D130+E130+F130)</f>
        <v>5632</v>
      </c>
      <c r="C130" s="41">
        <v>1635</v>
      </c>
      <c r="D130" s="41">
        <v>134</v>
      </c>
      <c r="E130" s="41">
        <v>198</v>
      </c>
      <c r="F130" s="41">
        <v>104</v>
      </c>
      <c r="G130" s="41">
        <v>122</v>
      </c>
      <c r="H130" s="67">
        <v>10138</v>
      </c>
      <c r="I130" s="41">
        <v>638</v>
      </c>
      <c r="J130" s="41">
        <v>1920</v>
      </c>
      <c r="K130" s="41">
        <v>12353</v>
      </c>
      <c r="L130" s="41">
        <v>3497</v>
      </c>
      <c r="M130" s="41">
        <v>9198</v>
      </c>
      <c r="N130" s="41">
        <v>517</v>
      </c>
      <c r="O130" s="41">
        <v>8604</v>
      </c>
      <c r="P130" s="41">
        <v>410</v>
      </c>
      <c r="Q130" s="41">
        <v>7539</v>
      </c>
      <c r="R130" s="41">
        <v>3045</v>
      </c>
      <c r="S130" s="41">
        <v>9856</v>
      </c>
      <c r="T130" s="41">
        <v>0</v>
      </c>
      <c r="U130" s="41">
        <f>39*6.2898</f>
        <v>245.30219999999997</v>
      </c>
      <c r="V130" s="41">
        <v>875</v>
      </c>
      <c r="W130" s="41">
        <v>8103</v>
      </c>
      <c r="X130" s="41">
        <v>4106</v>
      </c>
      <c r="Y130" s="41"/>
      <c r="Z130" s="41">
        <v>3216</v>
      </c>
      <c r="AA130" s="41"/>
      <c r="AB130" s="41">
        <f>302/0.55</f>
        <v>549.09090909090901</v>
      </c>
      <c r="AC130" s="41"/>
      <c r="AD130" s="41">
        <v>4281</v>
      </c>
      <c r="AE130" s="41">
        <v>160</v>
      </c>
      <c r="AF130" s="41">
        <v>8286</v>
      </c>
      <c r="AG130" s="41">
        <v>4060.63</v>
      </c>
      <c r="AH130" s="41">
        <v>25</v>
      </c>
      <c r="AI130" s="41">
        <v>6868</v>
      </c>
      <c r="AJ130" s="45">
        <v>0.50700000000000001</v>
      </c>
      <c r="AK130" s="45">
        <v>1.4950000000000001</v>
      </c>
      <c r="AL130" s="45">
        <f>5521*35.31/1000</f>
        <v>194.94651000000002</v>
      </c>
      <c r="AM130" s="45">
        <v>0.372</v>
      </c>
      <c r="AN130" s="47">
        <v>15.56</v>
      </c>
      <c r="AO130" s="47">
        <v>16.05</v>
      </c>
      <c r="AP130" s="45">
        <v>6.62</v>
      </c>
      <c r="AQ130" s="45">
        <v>43</v>
      </c>
      <c r="AR130" s="45">
        <v>11.39</v>
      </c>
      <c r="AS130" s="45">
        <v>1.8</v>
      </c>
      <c r="AT130" s="47">
        <v>1.41E-2</v>
      </c>
      <c r="AU130" s="45">
        <v>4.9550000000000001</v>
      </c>
      <c r="AV130" s="45">
        <v>3.1869999999999998</v>
      </c>
      <c r="AW130" s="45">
        <f>393*35.3147/1000</f>
        <v>13.878677100000001</v>
      </c>
      <c r="AX130" s="45">
        <v>0</v>
      </c>
      <c r="AY130" s="85">
        <v>0.30599999999999999</v>
      </c>
    </row>
    <row r="131" spans="1:51" ht="13.5" customHeight="1" x14ac:dyDescent="0.2">
      <c r="A131" s="40">
        <v>45769</v>
      </c>
      <c r="B131" s="41">
        <f>7884-(C131+D131+E131+F131)</f>
        <v>5813</v>
      </c>
      <c r="C131" s="41">
        <v>1635</v>
      </c>
      <c r="D131" s="41">
        <v>134</v>
      </c>
      <c r="E131" s="41">
        <v>198</v>
      </c>
      <c r="F131" s="41">
        <v>104</v>
      </c>
      <c r="G131" s="41">
        <v>122</v>
      </c>
      <c r="H131" s="67">
        <v>8904</v>
      </c>
      <c r="I131" s="41">
        <v>705</v>
      </c>
      <c r="J131" s="41">
        <v>2065</v>
      </c>
      <c r="K131" s="41">
        <v>12427</v>
      </c>
      <c r="L131" s="41">
        <v>3528</v>
      </c>
      <c r="M131" s="41">
        <v>8909</v>
      </c>
      <c r="N131" s="41">
        <v>541</v>
      </c>
      <c r="O131" s="41">
        <v>8755</v>
      </c>
      <c r="P131" s="41">
        <v>410</v>
      </c>
      <c r="Q131" s="41">
        <v>7519</v>
      </c>
      <c r="R131" s="41">
        <v>3177</v>
      </c>
      <c r="S131" s="41">
        <v>10038</v>
      </c>
      <c r="T131" s="41">
        <v>0</v>
      </c>
      <c r="U131" s="41">
        <f>29*6.2898</f>
        <v>182.4042</v>
      </c>
      <c r="V131" s="41">
        <v>858</v>
      </c>
      <c r="W131" s="41">
        <v>7976</v>
      </c>
      <c r="X131" s="41">
        <v>4026</v>
      </c>
      <c r="Y131" s="41"/>
      <c r="Z131" s="41">
        <v>3435</v>
      </c>
      <c r="AA131" s="41"/>
      <c r="AB131" s="41">
        <f>292/0.55</f>
        <v>530.90909090909088</v>
      </c>
      <c r="AC131" s="41"/>
      <c r="AD131" s="41">
        <v>4289</v>
      </c>
      <c r="AE131" s="41">
        <v>160</v>
      </c>
      <c r="AF131" s="41">
        <v>8911</v>
      </c>
      <c r="AG131" s="41">
        <v>4060.63</v>
      </c>
      <c r="AH131" s="41">
        <v>25</v>
      </c>
      <c r="AI131" s="41">
        <v>6711</v>
      </c>
      <c r="AJ131" s="45">
        <v>0.45800000000000002</v>
      </c>
      <c r="AK131" s="45">
        <v>1.37</v>
      </c>
      <c r="AL131" s="45">
        <f>5470*35.31/1000</f>
        <v>193.14570000000001</v>
      </c>
      <c r="AM131" s="45">
        <v>0.13600000000000001</v>
      </c>
      <c r="AN131" s="47">
        <v>10.97</v>
      </c>
      <c r="AO131" s="47">
        <v>14.53</v>
      </c>
      <c r="AP131" s="45">
        <v>7.42</v>
      </c>
      <c r="AQ131" s="45">
        <v>43</v>
      </c>
      <c r="AR131" s="45">
        <v>11.88</v>
      </c>
      <c r="AS131" s="45">
        <v>2</v>
      </c>
      <c r="AT131" s="47">
        <v>1.41E-2</v>
      </c>
      <c r="AU131" s="45">
        <v>4.9550000000000001</v>
      </c>
      <c r="AV131" s="45">
        <v>3.7050000000000001</v>
      </c>
      <c r="AW131" s="45">
        <f>390*35.3147/1000</f>
        <v>13.772733000000001</v>
      </c>
      <c r="AX131" s="45">
        <v>0</v>
      </c>
      <c r="AY131" s="85">
        <v>0.30599999999999999</v>
      </c>
    </row>
    <row r="132" spans="1:51" ht="13.5" customHeight="1" x14ac:dyDescent="0.2">
      <c r="A132" s="40">
        <v>45770</v>
      </c>
      <c r="B132" s="41">
        <f>7763-(C132+D132+E132+F132)</f>
        <v>5692</v>
      </c>
      <c r="C132" s="41">
        <v>1635</v>
      </c>
      <c r="D132" s="41">
        <v>134</v>
      </c>
      <c r="E132" s="41">
        <v>198</v>
      </c>
      <c r="F132" s="41">
        <v>104</v>
      </c>
      <c r="G132" s="41">
        <v>122</v>
      </c>
      <c r="H132" s="67">
        <v>8740.6479999999992</v>
      </c>
      <c r="I132" s="41">
        <v>682.02</v>
      </c>
      <c r="J132" s="41">
        <v>2072.2959999999998</v>
      </c>
      <c r="K132" s="41">
        <v>12503</v>
      </c>
      <c r="L132" s="41">
        <f>3295.95223332+298</f>
        <v>3593.9522333199998</v>
      </c>
      <c r="M132" s="41">
        <f>9406-N132</f>
        <v>8924</v>
      </c>
      <c r="N132" s="41">
        <v>482</v>
      </c>
      <c r="O132" s="41">
        <v>8886</v>
      </c>
      <c r="P132" s="41">
        <v>414</v>
      </c>
      <c r="Q132" s="41">
        <v>7325</v>
      </c>
      <c r="R132" s="41">
        <v>3232</v>
      </c>
      <c r="S132" s="41">
        <v>10069</v>
      </c>
      <c r="T132" s="41">
        <v>0</v>
      </c>
      <c r="U132" s="41">
        <f>38*6.2898</f>
        <v>239.01239999999999</v>
      </c>
      <c r="V132" s="41">
        <v>880</v>
      </c>
      <c r="W132" s="41">
        <v>7918</v>
      </c>
      <c r="X132" s="41">
        <v>3913</v>
      </c>
      <c r="Y132" s="41"/>
      <c r="Z132" s="41">
        <v>3426</v>
      </c>
      <c r="AA132" s="41"/>
      <c r="AB132" s="41">
        <f>172/0.55</f>
        <v>312.72727272727269</v>
      </c>
      <c r="AC132" s="41"/>
      <c r="AD132" s="41">
        <v>4006</v>
      </c>
      <c r="AE132" s="41">
        <v>160</v>
      </c>
      <c r="AF132" s="41">
        <v>8854</v>
      </c>
      <c r="AG132" s="41">
        <v>4060.63</v>
      </c>
      <c r="AH132" s="41">
        <v>25</v>
      </c>
      <c r="AI132" s="41">
        <v>6922</v>
      </c>
      <c r="AJ132" s="45">
        <v>0.41899999999999998</v>
      </c>
      <c r="AK132" s="45">
        <v>1.2569999999999999</v>
      </c>
      <c r="AL132" s="45">
        <f>5300*35.31/1000</f>
        <v>187.143</v>
      </c>
      <c r="AM132" s="45">
        <v>0.42399999999999999</v>
      </c>
      <c r="AN132" s="47">
        <v>10.94</v>
      </c>
      <c r="AO132" s="47">
        <v>13.61</v>
      </c>
      <c r="AP132" s="45">
        <v>7.18</v>
      </c>
      <c r="AQ132" s="45">
        <v>41</v>
      </c>
      <c r="AR132" s="45">
        <v>11.47</v>
      </c>
      <c r="AS132" s="45">
        <v>1.71</v>
      </c>
      <c r="AT132" s="47">
        <v>1.41E-2</v>
      </c>
      <c r="AU132" s="45">
        <v>4.9550000000000001</v>
      </c>
      <c r="AV132" s="45">
        <v>3.5840000000000001</v>
      </c>
      <c r="AW132" s="45">
        <f>414*35.3147/1000</f>
        <v>14.620285800000001</v>
      </c>
      <c r="AX132" s="45">
        <v>0</v>
      </c>
      <c r="AY132" s="85">
        <v>0.30599999999999999</v>
      </c>
    </row>
    <row r="133" spans="1:51" ht="13.5" customHeight="1" x14ac:dyDescent="0.2">
      <c r="A133" s="40">
        <v>45771</v>
      </c>
      <c r="B133" s="41">
        <f>7768-(C133+D133+E133+F133)</f>
        <v>5697</v>
      </c>
      <c r="C133" s="41">
        <v>1635</v>
      </c>
      <c r="D133" s="41">
        <v>134</v>
      </c>
      <c r="E133" s="41">
        <v>198</v>
      </c>
      <c r="F133" s="41">
        <v>104</v>
      </c>
      <c r="G133" s="41">
        <v>122</v>
      </c>
      <c r="H133" s="67">
        <v>8523.0370000000003</v>
      </c>
      <c r="I133" s="41">
        <v>740.66300000000001</v>
      </c>
      <c r="J133" s="41">
        <v>1857.2739999999999</v>
      </c>
      <c r="K133" s="41">
        <v>12487</v>
      </c>
      <c r="L133" s="41">
        <f>3314.27986172+301</f>
        <v>3615.2798617200001</v>
      </c>
      <c r="M133" s="41">
        <f>9308-N133</f>
        <v>8825</v>
      </c>
      <c r="N133" s="41">
        <v>483</v>
      </c>
      <c r="O133" s="41">
        <v>9031</v>
      </c>
      <c r="P133" s="41">
        <v>449</v>
      </c>
      <c r="Q133" s="41">
        <v>7518</v>
      </c>
      <c r="R133" s="41">
        <v>3100</v>
      </c>
      <c r="S133" s="41">
        <v>10019</v>
      </c>
      <c r="T133" s="41">
        <v>0</v>
      </c>
      <c r="U133" s="41">
        <f>29*6.2898</f>
        <v>182.4042</v>
      </c>
      <c r="V133" s="41">
        <v>864</v>
      </c>
      <c r="W133" s="41">
        <v>7940</v>
      </c>
      <c r="X133" s="41">
        <v>3965</v>
      </c>
      <c r="Y133" s="41"/>
      <c r="Z133" s="41">
        <v>3412</v>
      </c>
      <c r="AA133" s="41"/>
      <c r="AB133" s="41">
        <f>283/0.55</f>
        <v>514.5454545454545</v>
      </c>
      <c r="AC133" s="41"/>
      <c r="AD133" s="41">
        <v>4287</v>
      </c>
      <c r="AE133" s="41">
        <v>160</v>
      </c>
      <c r="AF133" s="41">
        <v>8809</v>
      </c>
      <c r="AG133" s="41">
        <v>4060.63</v>
      </c>
      <c r="AH133" s="41">
        <v>25</v>
      </c>
      <c r="AI133" s="41">
        <v>6715</v>
      </c>
      <c r="AJ133" s="45">
        <v>0.222</v>
      </c>
      <c r="AK133" s="45">
        <v>0.73099999999999998</v>
      </c>
      <c r="AL133" s="45">
        <f>5225*35.31/1000</f>
        <v>184.49475000000001</v>
      </c>
      <c r="AM133" s="45">
        <v>0.45500000000000002</v>
      </c>
      <c r="AN133" s="47">
        <v>10.1</v>
      </c>
      <c r="AO133" s="47">
        <v>13.22</v>
      </c>
      <c r="AP133" s="47">
        <v>7.15</v>
      </c>
      <c r="AQ133" s="45">
        <v>41</v>
      </c>
      <c r="AR133" s="45">
        <v>11.29</v>
      </c>
      <c r="AS133" s="45">
        <v>1.71</v>
      </c>
      <c r="AT133" s="47">
        <v>0.01</v>
      </c>
      <c r="AU133" s="45">
        <v>4.9550000000000001</v>
      </c>
      <c r="AV133" s="45">
        <v>3.4079999999999999</v>
      </c>
      <c r="AW133" s="45">
        <f>428*35.3147/1000</f>
        <v>15.1146916</v>
      </c>
      <c r="AX133" s="45">
        <v>0</v>
      </c>
      <c r="AY133" s="85">
        <v>0.30599999999999999</v>
      </c>
    </row>
    <row r="134" spans="1:51" ht="13.5" customHeight="1" x14ac:dyDescent="0.2">
      <c r="A134" s="40">
        <v>45772</v>
      </c>
      <c r="B134" s="41">
        <f>7783-(C134+D134+E134+F134)</f>
        <v>5712</v>
      </c>
      <c r="C134" s="41">
        <v>1635</v>
      </c>
      <c r="D134" s="41">
        <v>134</v>
      </c>
      <c r="E134" s="41">
        <v>198</v>
      </c>
      <c r="F134" s="41">
        <v>104</v>
      </c>
      <c r="G134" s="41">
        <v>122</v>
      </c>
      <c r="H134" s="67">
        <v>8725</v>
      </c>
      <c r="I134" s="41">
        <v>711</v>
      </c>
      <c r="J134" s="41">
        <v>1782</v>
      </c>
      <c r="K134" s="41">
        <v>12466</v>
      </c>
      <c r="L134" s="41">
        <v>3770</v>
      </c>
      <c r="M134" s="41">
        <v>8910</v>
      </c>
      <c r="N134" s="41">
        <v>399</v>
      </c>
      <c r="O134" s="41">
        <v>7212</v>
      </c>
      <c r="P134" s="41">
        <v>449</v>
      </c>
      <c r="Q134" s="41">
        <v>7452</v>
      </c>
      <c r="R134" s="41">
        <v>2823</v>
      </c>
      <c r="S134" s="41">
        <v>10047</v>
      </c>
      <c r="T134" s="41">
        <v>0</v>
      </c>
      <c r="U134" s="41">
        <f>25*6.2898</f>
        <v>157.245</v>
      </c>
      <c r="V134" s="41">
        <v>850</v>
      </c>
      <c r="W134" s="41">
        <v>7904</v>
      </c>
      <c r="X134" s="41">
        <v>4006</v>
      </c>
      <c r="Y134" s="41"/>
      <c r="Z134" s="41">
        <v>3409</v>
      </c>
      <c r="AA134" s="41"/>
      <c r="AB134" s="41">
        <f>260/0.55</f>
        <v>472.72727272727269</v>
      </c>
      <c r="AC134" s="41"/>
      <c r="AD134" s="41">
        <v>4332</v>
      </c>
      <c r="AE134" s="41">
        <v>160</v>
      </c>
      <c r="AF134" s="41">
        <v>8694</v>
      </c>
      <c r="AG134" s="41">
        <v>4060.63</v>
      </c>
      <c r="AH134" s="41">
        <v>25</v>
      </c>
      <c r="AI134" s="41">
        <v>6770</v>
      </c>
      <c r="AJ134" s="45">
        <v>0.34300000000000003</v>
      </c>
      <c r="AK134" s="45">
        <v>1.0569999999999999</v>
      </c>
      <c r="AL134" s="45">
        <f>2885*35.31/1000</f>
        <v>101.86935000000001</v>
      </c>
      <c r="AM134" s="45">
        <v>0.41199999999999998</v>
      </c>
      <c r="AN134" s="47">
        <v>9</v>
      </c>
      <c r="AO134" s="47">
        <v>12.46</v>
      </c>
      <c r="AP134" s="45">
        <v>7.41</v>
      </c>
      <c r="AQ134" s="45">
        <v>40</v>
      </c>
      <c r="AR134" s="45">
        <v>11.86</v>
      </c>
      <c r="AS134" s="45">
        <v>2.2000000000000002</v>
      </c>
      <c r="AT134" s="47">
        <v>0.01</v>
      </c>
      <c r="AU134" s="45">
        <v>4.952</v>
      </c>
      <c r="AV134" s="45">
        <v>3.5</v>
      </c>
      <c r="AW134" s="45">
        <f>399*35.3147/1000</f>
        <v>14.0905653</v>
      </c>
      <c r="AX134" s="45">
        <v>0</v>
      </c>
      <c r="AY134" s="85">
        <v>0.30599999999999999</v>
      </c>
    </row>
    <row r="135" spans="1:51" ht="13.5" customHeight="1" x14ac:dyDescent="0.2">
      <c r="A135" s="40">
        <v>45773</v>
      </c>
      <c r="B135" s="41">
        <f>7772-(C135+D135+E135+F135)</f>
        <v>5701</v>
      </c>
      <c r="C135" s="41">
        <v>1635</v>
      </c>
      <c r="D135" s="41">
        <v>134</v>
      </c>
      <c r="E135" s="41">
        <v>198</v>
      </c>
      <c r="F135" s="41">
        <v>104</v>
      </c>
      <c r="G135" s="41">
        <v>122</v>
      </c>
      <c r="H135" s="67">
        <v>8437.7150000000001</v>
      </c>
      <c r="I135" s="41">
        <v>648.46900000000005</v>
      </c>
      <c r="J135" s="41">
        <v>1506.4849999999999</v>
      </c>
      <c r="K135" s="41">
        <v>12470</v>
      </c>
      <c r="L135" s="41">
        <f>3616.38969216+334</f>
        <v>3950.3896921599999</v>
      </c>
      <c r="M135" s="41">
        <f>9163-N135</f>
        <v>8774</v>
      </c>
      <c r="N135" s="41">
        <v>389</v>
      </c>
      <c r="O135" s="41">
        <v>7526</v>
      </c>
      <c r="P135" s="41">
        <v>305</v>
      </c>
      <c r="Q135" s="41">
        <v>7559</v>
      </c>
      <c r="R135" s="41">
        <v>2883</v>
      </c>
      <c r="S135" s="41">
        <v>9968</v>
      </c>
      <c r="T135" s="41">
        <v>0</v>
      </c>
      <c r="U135" s="41">
        <f>29*6.2898</f>
        <v>182.4042</v>
      </c>
      <c r="V135" s="41">
        <v>856</v>
      </c>
      <c r="W135" s="41">
        <v>7916</v>
      </c>
      <c r="X135" s="41">
        <v>4220</v>
      </c>
      <c r="Y135" s="41"/>
      <c r="Z135" s="41">
        <v>3305</v>
      </c>
      <c r="AA135" s="41"/>
      <c r="AB135" s="41">
        <f>261/0.55</f>
        <v>474.5454545454545</v>
      </c>
      <c r="AC135" s="41"/>
      <c r="AD135" s="41">
        <v>4366</v>
      </c>
      <c r="AE135" s="41">
        <v>160</v>
      </c>
      <c r="AF135" s="41">
        <v>8608</v>
      </c>
      <c r="AG135" s="41">
        <v>4060.63</v>
      </c>
      <c r="AH135" s="41">
        <v>25</v>
      </c>
      <c r="AI135" s="41">
        <v>6776</v>
      </c>
      <c r="AJ135" s="45">
        <v>0.32500000000000001</v>
      </c>
      <c r="AK135" s="45">
        <v>1.02</v>
      </c>
      <c r="AL135" s="45">
        <f>1822*35.31/1000</f>
        <v>64.334820000000008</v>
      </c>
      <c r="AM135" s="45">
        <v>0.13300000000000001</v>
      </c>
      <c r="AN135" s="47">
        <v>10</v>
      </c>
      <c r="AO135" s="47">
        <v>11.98</v>
      </c>
      <c r="AP135" s="45">
        <v>7.33</v>
      </c>
      <c r="AQ135" s="45">
        <v>41</v>
      </c>
      <c r="AR135" s="45">
        <v>10.97</v>
      </c>
      <c r="AS135" s="45">
        <v>2.6</v>
      </c>
      <c r="AT135" s="47">
        <v>0.01</v>
      </c>
      <c r="AU135" s="45">
        <v>4.9539999999999997</v>
      </c>
      <c r="AV135" s="45">
        <v>3.5</v>
      </c>
      <c r="AW135" s="45">
        <f>398*35.3147/1000</f>
        <v>14.055250600000001</v>
      </c>
      <c r="AX135" s="45">
        <v>0</v>
      </c>
      <c r="AY135" s="85">
        <v>0.30599999999999999</v>
      </c>
    </row>
    <row r="136" spans="1:51" ht="13.5" customHeight="1" x14ac:dyDescent="0.2">
      <c r="A136" s="40">
        <v>45774</v>
      </c>
      <c r="B136" s="41">
        <f>7768-(C136+D136+E136+F136)</f>
        <v>5697</v>
      </c>
      <c r="C136" s="41">
        <v>1635</v>
      </c>
      <c r="D136" s="41">
        <v>134</v>
      </c>
      <c r="E136" s="41">
        <v>198</v>
      </c>
      <c r="F136" s="41">
        <v>104</v>
      </c>
      <c r="G136" s="41">
        <v>122</v>
      </c>
      <c r="H136" s="67">
        <v>8627.5220000000008</v>
      </c>
      <c r="I136" s="41">
        <v>580.86699999999996</v>
      </c>
      <c r="J136" s="41">
        <v>1653.2339999999999</v>
      </c>
      <c r="K136" s="41">
        <v>12436</v>
      </c>
      <c r="L136" s="41">
        <f>3589.11216268+328</f>
        <v>3917.11216268</v>
      </c>
      <c r="M136" s="41">
        <f>9028-N136</f>
        <v>8661</v>
      </c>
      <c r="N136" s="41">
        <v>367</v>
      </c>
      <c r="O136" s="41">
        <v>6445</v>
      </c>
      <c r="P136" s="41">
        <v>249</v>
      </c>
      <c r="Q136" s="41">
        <v>7452</v>
      </c>
      <c r="R136" s="41">
        <v>2967</v>
      </c>
      <c r="S136" s="41">
        <v>9957</v>
      </c>
      <c r="T136" s="41">
        <v>0</v>
      </c>
      <c r="U136" s="41">
        <f>19*6.2898</f>
        <v>119.50619999999999</v>
      </c>
      <c r="V136" s="41">
        <v>843</v>
      </c>
      <c r="W136" s="41">
        <v>7746</v>
      </c>
      <c r="X136" s="41">
        <v>3867</v>
      </c>
      <c r="Y136" s="41"/>
      <c r="Z136" s="41">
        <v>3311</v>
      </c>
      <c r="AA136" s="41"/>
      <c r="AB136" s="41">
        <f>256/0.55</f>
        <v>465.45454545454544</v>
      </c>
      <c r="AC136" s="41"/>
      <c r="AD136" s="41">
        <v>4382</v>
      </c>
      <c r="AE136" s="41">
        <v>160</v>
      </c>
      <c r="AF136" s="41">
        <v>8728</v>
      </c>
      <c r="AG136" s="41">
        <v>4060.63</v>
      </c>
      <c r="AH136" s="41">
        <v>25</v>
      </c>
      <c r="AI136" s="41">
        <v>6869</v>
      </c>
      <c r="AJ136" s="45">
        <v>0.28599999999999998</v>
      </c>
      <c r="AK136" s="45">
        <v>0.98399999999999999</v>
      </c>
      <c r="AL136" s="45">
        <f>1722*35.31/1000</f>
        <v>60.803820000000009</v>
      </c>
      <c r="AM136" s="45">
        <v>0.40799999999999997</v>
      </c>
      <c r="AN136" s="47">
        <v>11.6</v>
      </c>
      <c r="AO136" s="47">
        <v>11.6</v>
      </c>
      <c r="AP136" s="45">
        <v>6.86</v>
      </c>
      <c r="AQ136" s="45">
        <v>42</v>
      </c>
      <c r="AR136" s="45">
        <v>10.97</v>
      </c>
      <c r="AS136" s="45">
        <v>2.4</v>
      </c>
      <c r="AT136" s="47">
        <v>0.01</v>
      </c>
      <c r="AU136" s="45">
        <v>4.9589999999999996</v>
      </c>
      <c r="AV136" s="45">
        <v>3.4660000000000002</v>
      </c>
      <c r="AW136" s="45">
        <f>367*35.3147/1000</f>
        <v>12.960494900000002</v>
      </c>
      <c r="AX136" s="45">
        <v>0</v>
      </c>
      <c r="AY136" s="85">
        <v>0.30599999999999999</v>
      </c>
    </row>
    <row r="137" spans="1:51" ht="13.5" customHeight="1" x14ac:dyDescent="0.2">
      <c r="A137" s="40">
        <v>45775</v>
      </c>
      <c r="B137" s="41">
        <f>7744-(C137+D137+E137+F137)</f>
        <v>5673</v>
      </c>
      <c r="C137" s="41">
        <v>1635</v>
      </c>
      <c r="D137" s="41">
        <v>134</v>
      </c>
      <c r="E137" s="41">
        <v>198</v>
      </c>
      <c r="F137" s="41">
        <v>104</v>
      </c>
      <c r="G137" s="41">
        <v>122</v>
      </c>
      <c r="H137" s="67">
        <v>8469</v>
      </c>
      <c r="I137" s="41">
        <v>616</v>
      </c>
      <c r="J137" s="41">
        <v>1776</v>
      </c>
      <c r="K137" s="41">
        <v>12454</v>
      </c>
      <c r="L137" s="41">
        <v>3791</v>
      </c>
      <c r="M137" s="41">
        <v>8756</v>
      </c>
      <c r="N137" s="41">
        <v>356</v>
      </c>
      <c r="O137" s="41">
        <v>6467</v>
      </c>
      <c r="P137" s="41">
        <v>270</v>
      </c>
      <c r="Q137" s="41">
        <v>7505</v>
      </c>
      <c r="R137" s="41">
        <v>2919</v>
      </c>
      <c r="S137" s="41">
        <v>9859</v>
      </c>
      <c r="T137" s="41">
        <v>0</v>
      </c>
      <c r="U137" s="41">
        <f>19*6.2898</f>
        <v>119.50619999999999</v>
      </c>
      <c r="V137" s="41">
        <v>868</v>
      </c>
      <c r="W137" s="41">
        <v>7748</v>
      </c>
      <c r="X137" s="41">
        <v>3938</v>
      </c>
      <c r="Y137" s="41"/>
      <c r="Z137" s="41">
        <v>3316</v>
      </c>
      <c r="AA137" s="41"/>
      <c r="AB137" s="41">
        <f>259/0.55</f>
        <v>470.90909090909088</v>
      </c>
      <c r="AC137" s="41"/>
      <c r="AD137" s="41">
        <v>4266</v>
      </c>
      <c r="AE137" s="41">
        <v>160</v>
      </c>
      <c r="AF137" s="41">
        <v>8748</v>
      </c>
      <c r="AG137" s="41">
        <v>4060.63</v>
      </c>
      <c r="AH137" s="41">
        <v>25</v>
      </c>
      <c r="AI137" s="41">
        <v>6634</v>
      </c>
      <c r="AJ137" s="45">
        <v>0.36599999999999999</v>
      </c>
      <c r="AK137" s="45">
        <v>1.0980000000000001</v>
      </c>
      <c r="AL137" s="45">
        <f>1672*35.31/1000</f>
        <v>59.038320000000006</v>
      </c>
      <c r="AM137" s="45">
        <v>0.39400000000000002</v>
      </c>
      <c r="AN137" s="47">
        <v>10.01</v>
      </c>
      <c r="AO137" s="47">
        <v>10.95</v>
      </c>
      <c r="AP137" s="45">
        <v>6.51</v>
      </c>
      <c r="AQ137" s="45">
        <v>40</v>
      </c>
      <c r="AR137" s="45">
        <v>10.97</v>
      </c>
      <c r="AS137" s="45">
        <v>2.4</v>
      </c>
      <c r="AT137" s="47">
        <v>0.01</v>
      </c>
      <c r="AU137" s="45">
        <v>4.9589999999999996</v>
      </c>
      <c r="AV137" s="45">
        <v>3.5529999999999999</v>
      </c>
      <c r="AW137" s="45">
        <f>348*35.3147/1000</f>
        <v>12.289515600000001</v>
      </c>
      <c r="AX137" s="45">
        <v>0</v>
      </c>
      <c r="AY137" s="85">
        <v>0.30599999999999999</v>
      </c>
    </row>
    <row r="138" spans="1:51" ht="14.65" customHeight="1" x14ac:dyDescent="0.2">
      <c r="A138" s="40">
        <v>45776</v>
      </c>
      <c r="B138" s="41">
        <f>7787-(C138+D138+E138+F138)</f>
        <v>5716</v>
      </c>
      <c r="C138" s="41">
        <v>1635</v>
      </c>
      <c r="D138" s="41">
        <v>134</v>
      </c>
      <c r="E138" s="41">
        <v>198</v>
      </c>
      <c r="F138" s="41">
        <v>104</v>
      </c>
      <c r="G138" s="41">
        <v>122</v>
      </c>
      <c r="H138" s="67">
        <v>8629</v>
      </c>
      <c r="I138" s="41">
        <v>552</v>
      </c>
      <c r="J138" s="41">
        <v>1655</v>
      </c>
      <c r="K138" s="41">
        <v>12439</v>
      </c>
      <c r="L138" s="41">
        <v>3731</v>
      </c>
      <c r="M138" s="41">
        <v>8781</v>
      </c>
      <c r="N138" s="41">
        <v>325</v>
      </c>
      <c r="O138" s="41">
        <v>7320</v>
      </c>
      <c r="P138" s="41">
        <v>262</v>
      </c>
      <c r="Q138" s="41">
        <v>7532</v>
      </c>
      <c r="R138" s="41">
        <v>2847</v>
      </c>
      <c r="S138" s="41">
        <v>9942</v>
      </c>
      <c r="T138" s="41">
        <v>0</v>
      </c>
      <c r="U138" s="41">
        <f>19*6.2898</f>
        <v>119.50619999999999</v>
      </c>
      <c r="V138" s="41">
        <v>848</v>
      </c>
      <c r="W138" s="41">
        <v>7931</v>
      </c>
      <c r="X138" s="41">
        <v>4035</v>
      </c>
      <c r="Y138" s="41"/>
      <c r="Z138" s="41">
        <v>3310</v>
      </c>
      <c r="AA138" s="41"/>
      <c r="AB138" s="41">
        <f>259/0.55</f>
        <v>470.90909090909088</v>
      </c>
      <c r="AC138" s="41"/>
      <c r="AD138" s="41">
        <v>4175</v>
      </c>
      <c r="AE138" s="41">
        <v>160</v>
      </c>
      <c r="AF138" s="41">
        <v>8729</v>
      </c>
      <c r="AG138" s="41">
        <f>8310*0.49</f>
        <v>4071.9</v>
      </c>
      <c r="AH138" s="41">
        <v>25</v>
      </c>
      <c r="AI138" s="41">
        <v>6852</v>
      </c>
      <c r="AJ138" s="45">
        <v>0.39900000000000002</v>
      </c>
      <c r="AK138" s="45">
        <v>1.228</v>
      </c>
      <c r="AL138" s="45">
        <f>4502*35.31/1000</f>
        <v>158.96562000000003</v>
      </c>
      <c r="AM138" s="45">
        <v>0.371</v>
      </c>
      <c r="AN138" s="47">
        <v>11.15</v>
      </c>
      <c r="AO138" s="47">
        <v>10.54</v>
      </c>
      <c r="AP138" s="45">
        <v>6.31</v>
      </c>
      <c r="AQ138" s="45">
        <v>40</v>
      </c>
      <c r="AR138" s="45">
        <v>10.97</v>
      </c>
      <c r="AS138" s="45">
        <v>2.6</v>
      </c>
      <c r="AT138" s="47">
        <v>0.01</v>
      </c>
      <c r="AU138" s="45">
        <v>4.9550000000000001</v>
      </c>
      <c r="AV138" s="45">
        <v>3.5579999999999998</v>
      </c>
      <c r="AW138" s="45">
        <f>377*35.3147/1000</f>
        <v>13.3136419</v>
      </c>
      <c r="AX138" s="45">
        <v>0</v>
      </c>
      <c r="AY138" s="85">
        <v>0.29699999999999999</v>
      </c>
    </row>
    <row r="139" spans="1:51" ht="13.5" customHeight="1" x14ac:dyDescent="0.2">
      <c r="A139" s="40">
        <v>45777</v>
      </c>
      <c r="B139" s="41">
        <f>7724-(C139+D139+E139+F139)</f>
        <v>5653</v>
      </c>
      <c r="C139" s="41">
        <v>1635</v>
      </c>
      <c r="D139" s="41">
        <v>134</v>
      </c>
      <c r="E139" s="41">
        <v>198</v>
      </c>
      <c r="F139" s="41">
        <v>104</v>
      </c>
      <c r="G139" s="41">
        <v>122</v>
      </c>
      <c r="H139" s="67">
        <v>8524</v>
      </c>
      <c r="I139" s="41">
        <v>571</v>
      </c>
      <c r="J139" s="41">
        <v>1796</v>
      </c>
      <c r="K139" s="41">
        <v>12447</v>
      </c>
      <c r="L139" s="41">
        <v>3679</v>
      </c>
      <c r="M139" s="41">
        <v>8756</v>
      </c>
      <c r="N139" s="41">
        <v>248</v>
      </c>
      <c r="O139" s="41">
        <v>8205</v>
      </c>
      <c r="P139" s="41">
        <v>323</v>
      </c>
      <c r="Q139" s="41">
        <v>7540</v>
      </c>
      <c r="R139" s="41">
        <v>2901</v>
      </c>
      <c r="S139" s="41">
        <v>9779</v>
      </c>
      <c r="T139" s="41">
        <v>7433</v>
      </c>
      <c r="U139" s="41">
        <f>19*6.2898</f>
        <v>119.50619999999999</v>
      </c>
      <c r="V139" s="41">
        <v>838</v>
      </c>
      <c r="W139" s="41">
        <v>7880</v>
      </c>
      <c r="X139" s="41">
        <v>3653</v>
      </c>
      <c r="Y139" s="41"/>
      <c r="Z139" s="41">
        <v>3310</v>
      </c>
      <c r="AA139" s="41"/>
      <c r="AB139" s="41">
        <f>260/0.55</f>
        <v>472.72727272727269</v>
      </c>
      <c r="AC139" s="41"/>
      <c r="AD139" s="41">
        <v>4175</v>
      </c>
      <c r="AE139" s="41">
        <v>160</v>
      </c>
      <c r="AF139" s="41">
        <v>8824</v>
      </c>
      <c r="AG139" s="41">
        <f>8198*0.49</f>
        <v>4017.02</v>
      </c>
      <c r="AH139" s="41">
        <v>25</v>
      </c>
      <c r="AI139" s="41">
        <v>6634</v>
      </c>
      <c r="AJ139" s="45">
        <v>0.23699999999999999</v>
      </c>
      <c r="AK139" s="45">
        <v>0.68600000000000005</v>
      </c>
      <c r="AL139" s="45">
        <f>5243*35.31/1000</f>
        <v>185.13033000000001</v>
      </c>
      <c r="AM139" s="45">
        <v>0.13600000000000001</v>
      </c>
      <c r="AN139" s="47">
        <v>11.29</v>
      </c>
      <c r="AO139" s="47">
        <v>10.050000000000001</v>
      </c>
      <c r="AP139" s="45">
        <v>6.58</v>
      </c>
      <c r="AQ139" s="45">
        <v>41</v>
      </c>
      <c r="AR139" s="45">
        <v>10.97</v>
      </c>
      <c r="AS139" s="45">
        <v>2.4</v>
      </c>
      <c r="AT139" s="47">
        <v>0.01</v>
      </c>
      <c r="AU139" s="45">
        <v>4.9580000000000002</v>
      </c>
      <c r="AV139" s="45">
        <v>2.1859999999999999</v>
      </c>
      <c r="AW139" s="45">
        <f>354*35.3147/1000</f>
        <v>12.5014038</v>
      </c>
      <c r="AX139" s="45">
        <v>6.6000000000000003E-2</v>
      </c>
      <c r="AY139" s="85">
        <v>0.29199999999999998</v>
      </c>
    </row>
    <row r="140" spans="1:51" ht="16.899999999999999" customHeight="1" x14ac:dyDescent="0.2">
      <c r="A140" s="50" t="s">
        <v>52</v>
      </c>
      <c r="B140" s="51">
        <f t="shared" ref="B140:G140" si="43">SUM(B110:B139)*B$2</f>
        <v>1286500.55</v>
      </c>
      <c r="C140" s="51">
        <f t="shared" si="43"/>
        <v>357084</v>
      </c>
      <c r="D140" s="51">
        <f t="shared" si="43"/>
        <v>29265.600000000002</v>
      </c>
      <c r="E140" s="51">
        <f t="shared" si="43"/>
        <v>44609.4</v>
      </c>
      <c r="F140" s="51">
        <f t="shared" si="43"/>
        <v>22888.32</v>
      </c>
      <c r="G140" s="51">
        <f t="shared" si="43"/>
        <v>27179.88</v>
      </c>
      <c r="H140" s="86">
        <f>SUM(H110:H139)</f>
        <v>273441.52599999995</v>
      </c>
      <c r="I140" s="51">
        <f>SUM(I110:I139)</f>
        <v>25234.601999999995</v>
      </c>
      <c r="J140" s="51">
        <f>SUM(J110:J139)</f>
        <v>65427.672999999995</v>
      </c>
      <c r="K140" s="51">
        <f>SUM(K110:K139)</f>
        <v>364824</v>
      </c>
      <c r="L140" s="51">
        <f>SUM(L110:L139)</f>
        <v>108610.19859343999</v>
      </c>
      <c r="M140" s="51">
        <f t="shared" ref="M140:AA140" si="44">SUM(M110:M139)</f>
        <v>254811</v>
      </c>
      <c r="N140" s="51">
        <f t="shared" si="44"/>
        <v>11301</v>
      </c>
      <c r="O140" s="51">
        <f t="shared" si="44"/>
        <v>258453</v>
      </c>
      <c r="P140" s="51">
        <f t="shared" si="44"/>
        <v>12749</v>
      </c>
      <c r="Q140" s="51">
        <f t="shared" si="44"/>
        <v>223996</v>
      </c>
      <c r="R140" s="51">
        <f t="shared" si="44"/>
        <v>85810</v>
      </c>
      <c r="S140" s="51">
        <f t="shared" si="44"/>
        <v>301830</v>
      </c>
      <c r="T140" s="51">
        <f t="shared" si="44"/>
        <v>7433</v>
      </c>
      <c r="U140" s="51">
        <f t="shared" si="44"/>
        <v>5535.0239999999976</v>
      </c>
      <c r="V140" s="51">
        <f t="shared" si="44"/>
        <v>25851</v>
      </c>
      <c r="W140" s="51">
        <f t="shared" si="44"/>
        <v>219756</v>
      </c>
      <c r="X140" s="51">
        <f t="shared" si="44"/>
        <v>111484</v>
      </c>
      <c r="Y140" s="51">
        <f t="shared" si="44"/>
        <v>0</v>
      </c>
      <c r="Z140" s="51">
        <f t="shared" si="44"/>
        <v>96038</v>
      </c>
      <c r="AA140" s="51">
        <f t="shared" si="44"/>
        <v>0</v>
      </c>
      <c r="AB140" s="51">
        <f>SUM(AB110:AB139)*AB$2</f>
        <v>90788.482909090875</v>
      </c>
      <c r="AC140" s="51">
        <f>SUM(AC110:AC139)</f>
        <v>0</v>
      </c>
      <c r="AD140" s="51">
        <f>SUM(AD110:AD139)</f>
        <v>128913</v>
      </c>
      <c r="AE140" s="51">
        <f>SUM(AE110:AE139)*AE$2</f>
        <v>40464</v>
      </c>
      <c r="AF140" s="51">
        <f>SUM(AF110:AF139)</f>
        <v>258499</v>
      </c>
      <c r="AG140" s="51">
        <f>SUM(AG110:AG139)*AG$2</f>
        <v>879298.96320000023</v>
      </c>
      <c r="AH140" s="51">
        <f>SUM(AH110:AH139)*$AH$2</f>
        <v>6289.8110002500007</v>
      </c>
      <c r="AI140" s="51">
        <f>SUM(AI110:AI139)</f>
        <v>208865.83960000001</v>
      </c>
      <c r="AJ140" s="57">
        <f>SUM(AJ110:AJ139)*$AK$2</f>
        <v>370.13302190280086</v>
      </c>
      <c r="AK140" s="57">
        <f>SUM(AK110:AK139)*$AK$2</f>
        <v>1181.5581191512183</v>
      </c>
      <c r="AL140" s="57">
        <f>SUM(AL110:AL139)</f>
        <v>5344.9100099999996</v>
      </c>
      <c r="AM140" s="57">
        <f>SUM(AM110:AM139)*AM2</f>
        <v>260.30440840049107</v>
      </c>
      <c r="AN140" s="57">
        <f>SUM(AN110:AN139)</f>
        <v>256.72219999999999</v>
      </c>
      <c r="AO140" s="57">
        <f t="shared" ref="AO140:AR140" si="45">SUM(AO110:AO139)</f>
        <v>183.45999999999998</v>
      </c>
      <c r="AP140" s="57">
        <f>SUM(AP110:AP139)</f>
        <v>213.41000000000005</v>
      </c>
      <c r="AQ140" s="57">
        <f t="shared" si="45"/>
        <v>1345</v>
      </c>
      <c r="AR140" s="57">
        <f t="shared" si="45"/>
        <v>272.96761035666668</v>
      </c>
      <c r="AS140" s="57">
        <f>SUM(AS110:AS139)</f>
        <v>43.250000000000007</v>
      </c>
      <c r="AT140" s="58">
        <f>SUM(AT110:AT139)*AT$2</f>
        <v>12.430774400000002</v>
      </c>
      <c r="AU140" s="58">
        <f>SUM(AU110:AU139)*AU$2</f>
        <v>5179.1479579000006</v>
      </c>
      <c r="AV140" s="57">
        <f>SUM(AV110:AV139)*AV$2</f>
        <v>3436.2615688000001</v>
      </c>
      <c r="AW140" s="57">
        <f>SUM(AW110:AW139)</f>
        <v>409.29737300000005</v>
      </c>
      <c r="AX140" s="57">
        <f>SUM(AX110:AX139)*AX2</f>
        <v>2.3307702000000003</v>
      </c>
      <c r="AY140" s="57">
        <f>SUM(AY110:AY139)*AY2</f>
        <v>325.17775760000001</v>
      </c>
    </row>
    <row r="141" spans="1:51" ht="16.899999999999999" customHeight="1" x14ac:dyDescent="0.2">
      <c r="A141" s="50" t="s">
        <v>53</v>
      </c>
      <c r="B141" s="52">
        <f t="shared" ref="B141:H141" si="46">B140/B$2</f>
        <v>171305</v>
      </c>
      <c r="C141" s="52">
        <f t="shared" si="46"/>
        <v>49050</v>
      </c>
      <c r="D141" s="52">
        <f t="shared" si="46"/>
        <v>4020</v>
      </c>
      <c r="E141" s="52">
        <f t="shared" si="46"/>
        <v>5940</v>
      </c>
      <c r="F141" s="52">
        <f t="shared" si="46"/>
        <v>3120</v>
      </c>
      <c r="G141" s="52">
        <f t="shared" si="46"/>
        <v>3705</v>
      </c>
      <c r="H141" s="53">
        <f t="shared" si="46"/>
        <v>36990.005727847398</v>
      </c>
      <c r="I141" s="52">
        <f>I140/I$2</f>
        <v>3379.1388520702531</v>
      </c>
      <c r="J141" s="52">
        <f>J140/J$2</f>
        <v>8796.9466129286066</v>
      </c>
      <c r="K141" s="52">
        <f>K140/K$2</f>
        <v>45726.979186629549</v>
      </c>
      <c r="L141" s="52">
        <f>L140/L$2</f>
        <v>14264.836853791649</v>
      </c>
      <c r="M141" s="52">
        <f t="shared" ref="M141:AE141" si="47">M140/M$2</f>
        <v>33616.22691292876</v>
      </c>
      <c r="N141" s="52">
        <f t="shared" si="47"/>
        <v>1445.1406649616367</v>
      </c>
      <c r="O141" s="52">
        <f t="shared" si="47"/>
        <v>34460.400000000001</v>
      </c>
      <c r="P141" s="52">
        <f t="shared" si="47"/>
        <v>1699.8666666666666</v>
      </c>
      <c r="Q141" s="52">
        <f t="shared" si="47"/>
        <v>30106.989247311827</v>
      </c>
      <c r="R141" s="52">
        <f t="shared" si="47"/>
        <v>11001.282051282051</v>
      </c>
      <c r="S141" s="52">
        <f t="shared" si="47"/>
        <v>40595.830531271014</v>
      </c>
      <c r="T141" s="52">
        <f t="shared" si="47"/>
        <v>999.73100201748491</v>
      </c>
      <c r="U141" s="52">
        <f t="shared" si="47"/>
        <v>642.90489911556335</v>
      </c>
      <c r="V141" s="52">
        <f t="shared" si="47"/>
        <v>3280.5837563451778</v>
      </c>
      <c r="W141" s="52">
        <f t="shared" si="47"/>
        <v>28726.274509803919</v>
      </c>
      <c r="X141" s="52">
        <f t="shared" si="47"/>
        <v>14707.651715039578</v>
      </c>
      <c r="Y141" s="52">
        <f t="shared" si="47"/>
        <v>0</v>
      </c>
      <c r="Z141" s="52">
        <f t="shared" si="47"/>
        <v>13175.943113423305</v>
      </c>
      <c r="AA141" s="52">
        <f t="shared" si="47"/>
        <v>0</v>
      </c>
      <c r="AB141" s="52">
        <f t="shared" si="47"/>
        <v>12470.94545454545</v>
      </c>
      <c r="AC141" s="52">
        <f t="shared" si="47"/>
        <v>0</v>
      </c>
      <c r="AD141" s="52">
        <f t="shared" si="47"/>
        <v>17033.958773784358</v>
      </c>
      <c r="AE141" s="52">
        <f t="shared" si="47"/>
        <v>4800</v>
      </c>
      <c r="AF141" s="52">
        <f>AF140/AF$2</f>
        <v>31889.834690352825</v>
      </c>
      <c r="AG141" s="52">
        <f>AG140/AG$2</f>
        <v>121786.56000000004</v>
      </c>
      <c r="AH141" s="52">
        <f>AH140/$AH$2</f>
        <v>750</v>
      </c>
      <c r="AI141" s="52">
        <f>AI140/AI$2</f>
        <v>26777.671743589744</v>
      </c>
      <c r="AJ141" s="57">
        <f>AJ140/$AJ$2</f>
        <v>10.480999999999996</v>
      </c>
      <c r="AK141" s="57">
        <f>AK140/$AJ$2</f>
        <v>33.458000000000006</v>
      </c>
      <c r="AL141" s="57">
        <f>AL140/$AJ$2</f>
        <v>151.35099680330916</v>
      </c>
      <c r="AM141" s="57">
        <f>AM140/$AJ$2</f>
        <v>7.3710000000000013</v>
      </c>
      <c r="AN141" s="57">
        <f>AN140/$AJ$2</f>
        <v>7.2695631542613182</v>
      </c>
      <c r="AO141" s="57">
        <f>AO140/$AJ$2</f>
        <v>5.1950086758401941</v>
      </c>
      <c r="AP141" s="57">
        <f>AP140/$AJ$2</f>
        <v>6.0430982312823298</v>
      </c>
      <c r="AQ141" s="57">
        <f>AQ140/$AJ$2</f>
        <v>38.086158666766934</v>
      </c>
      <c r="AR141" s="57">
        <f>AR140/$AJ$2</f>
        <v>7.7295819471615017</v>
      </c>
      <c r="AS141" s="57">
        <f>AS140/$AJ$2</f>
        <v>1.2247036151209443</v>
      </c>
      <c r="AT141" s="58">
        <f>AT140/$AJ$2</f>
        <v>0.35200033170943096</v>
      </c>
      <c r="AU141" s="58">
        <f>AU140/$AJ$2</f>
        <v>146.65713820315344</v>
      </c>
      <c r="AV141" s="57">
        <f>AV140/$AJ$2</f>
        <v>97.30409169504108</v>
      </c>
      <c r="AW141" s="57">
        <f>AW140/$AJ$2</f>
        <v>11.590010921909956</v>
      </c>
      <c r="AX141" s="57">
        <f>AX140/$AJ$2</f>
        <v>6.6000062195518294E-2</v>
      </c>
      <c r="AY141" s="57">
        <f>AY140/$AJ$2</f>
        <v>9.2080086772171583</v>
      </c>
    </row>
    <row r="142" spans="1:51" ht="16.899999999999999" customHeight="1" x14ac:dyDescent="0.2">
      <c r="A142" s="50" t="s">
        <v>54</v>
      </c>
      <c r="B142" s="87">
        <f>B140</f>
        <v>1286500.55</v>
      </c>
      <c r="C142" s="87">
        <f t="shared" ref="C142:L143" si="48">C140</f>
        <v>357084</v>
      </c>
      <c r="D142" s="87">
        <f t="shared" si="48"/>
        <v>29265.600000000002</v>
      </c>
      <c r="E142" s="87">
        <f t="shared" si="48"/>
        <v>44609.4</v>
      </c>
      <c r="F142" s="87">
        <f t="shared" si="48"/>
        <v>22888.32</v>
      </c>
      <c r="G142" s="87">
        <f t="shared" si="48"/>
        <v>27179.88</v>
      </c>
      <c r="H142" s="88">
        <f t="shared" si="48"/>
        <v>273441.52599999995</v>
      </c>
      <c r="I142" s="87">
        <f t="shared" si="48"/>
        <v>25234.601999999995</v>
      </c>
      <c r="J142" s="87">
        <f t="shared" si="48"/>
        <v>65427.672999999995</v>
      </c>
      <c r="K142" s="87">
        <f t="shared" si="48"/>
        <v>364824</v>
      </c>
      <c r="L142" s="87">
        <f t="shared" si="48"/>
        <v>108610.19859343999</v>
      </c>
      <c r="M142" s="87">
        <f t="shared" ref="M142:AA143" si="49">M140</f>
        <v>254811</v>
      </c>
      <c r="N142" s="87">
        <f t="shared" si="49"/>
        <v>11301</v>
      </c>
      <c r="O142" s="87">
        <f t="shared" si="49"/>
        <v>258453</v>
      </c>
      <c r="P142" s="87">
        <f t="shared" si="49"/>
        <v>12749</v>
      </c>
      <c r="Q142" s="87">
        <f t="shared" si="49"/>
        <v>223996</v>
      </c>
      <c r="R142" s="87">
        <f t="shared" si="49"/>
        <v>85810</v>
      </c>
      <c r="S142" s="87">
        <f t="shared" si="49"/>
        <v>301830</v>
      </c>
      <c r="T142" s="87">
        <f t="shared" si="49"/>
        <v>7433</v>
      </c>
      <c r="U142" s="87">
        <f t="shared" si="49"/>
        <v>5535.0239999999976</v>
      </c>
      <c r="V142" s="87">
        <f t="shared" si="49"/>
        <v>25851</v>
      </c>
      <c r="W142" s="87">
        <f t="shared" si="49"/>
        <v>219756</v>
      </c>
      <c r="X142" s="87">
        <f t="shared" si="49"/>
        <v>111484</v>
      </c>
      <c r="Y142" s="87">
        <f t="shared" si="49"/>
        <v>0</v>
      </c>
      <c r="Z142" s="87">
        <f t="shared" si="49"/>
        <v>96038</v>
      </c>
      <c r="AA142" s="87">
        <f t="shared" si="49"/>
        <v>0</v>
      </c>
      <c r="AB142" s="87">
        <f>AB140</f>
        <v>90788.482909090875</v>
      </c>
      <c r="AC142" s="87">
        <f t="shared" ref="AC142:AG143" si="50">AC140</f>
        <v>0</v>
      </c>
      <c r="AD142" s="87">
        <f t="shared" si="50"/>
        <v>128913</v>
      </c>
      <c r="AE142" s="87">
        <f t="shared" si="50"/>
        <v>40464</v>
      </c>
      <c r="AF142" s="87">
        <f>AF140</f>
        <v>258499</v>
      </c>
      <c r="AG142" s="87">
        <f t="shared" si="50"/>
        <v>879298.96320000023</v>
      </c>
      <c r="AH142" s="87">
        <f>AH140</f>
        <v>6289.8110002500007</v>
      </c>
      <c r="AI142" s="87">
        <f>AI140</f>
        <v>208865.83960000001</v>
      </c>
      <c r="AJ142" s="89">
        <f>AJ140</f>
        <v>370.13302190280086</v>
      </c>
      <c r="AK142" s="89">
        <f t="shared" ref="AK142:AX143" si="51">AK140</f>
        <v>1181.5581191512183</v>
      </c>
      <c r="AL142" s="89">
        <f t="shared" si="51"/>
        <v>5344.9100099999996</v>
      </c>
      <c r="AM142" s="89">
        <f t="shared" si="51"/>
        <v>260.30440840049107</v>
      </c>
      <c r="AN142" s="89">
        <f t="shared" si="51"/>
        <v>256.72219999999999</v>
      </c>
      <c r="AO142" s="89">
        <f t="shared" si="51"/>
        <v>183.45999999999998</v>
      </c>
      <c r="AP142" s="89">
        <f t="shared" si="51"/>
        <v>213.41000000000005</v>
      </c>
      <c r="AQ142" s="89">
        <f t="shared" si="51"/>
        <v>1345</v>
      </c>
      <c r="AR142" s="89">
        <f t="shared" si="51"/>
        <v>272.96761035666668</v>
      </c>
      <c r="AS142" s="89">
        <f t="shared" si="51"/>
        <v>43.250000000000007</v>
      </c>
      <c r="AT142" s="90">
        <f t="shared" si="51"/>
        <v>12.430774400000002</v>
      </c>
      <c r="AU142" s="89">
        <f t="shared" si="51"/>
        <v>5179.1479579000006</v>
      </c>
      <c r="AV142" s="89">
        <f t="shared" si="51"/>
        <v>3436.2615688000001</v>
      </c>
      <c r="AW142" s="89">
        <f t="shared" si="51"/>
        <v>409.29737300000005</v>
      </c>
      <c r="AX142" s="89">
        <f t="shared" si="51"/>
        <v>2.3307702000000003</v>
      </c>
      <c r="AY142" s="89">
        <f>AY140</f>
        <v>325.17775760000001</v>
      </c>
    </row>
    <row r="143" spans="1:51" ht="16.899999999999999" customHeight="1" x14ac:dyDescent="0.2">
      <c r="A143" s="50" t="s">
        <v>55</v>
      </c>
      <c r="B143" s="91">
        <f>B141</f>
        <v>171305</v>
      </c>
      <c r="C143" s="91">
        <f>C141</f>
        <v>49050</v>
      </c>
      <c r="D143" s="91">
        <f>D141</f>
        <v>4020</v>
      </c>
      <c r="E143" s="91">
        <f>E141</f>
        <v>5940</v>
      </c>
      <c r="F143" s="91">
        <f>F141</f>
        <v>3120</v>
      </c>
      <c r="G143" s="87">
        <f>G141</f>
        <v>3705</v>
      </c>
      <c r="H143" s="92">
        <f t="shared" si="48"/>
        <v>36990.005727847398</v>
      </c>
      <c r="I143" s="91">
        <f t="shared" si="48"/>
        <v>3379.1388520702531</v>
      </c>
      <c r="J143" s="91">
        <f t="shared" si="48"/>
        <v>8796.9466129286066</v>
      </c>
      <c r="K143" s="91">
        <f t="shared" si="48"/>
        <v>45726.979186629549</v>
      </c>
      <c r="L143" s="91">
        <f t="shared" si="48"/>
        <v>14264.836853791649</v>
      </c>
      <c r="M143" s="91">
        <f t="shared" si="49"/>
        <v>33616.22691292876</v>
      </c>
      <c r="N143" s="91">
        <f t="shared" si="49"/>
        <v>1445.1406649616367</v>
      </c>
      <c r="O143" s="91">
        <f t="shared" si="49"/>
        <v>34460.400000000001</v>
      </c>
      <c r="P143" s="91">
        <f t="shared" si="49"/>
        <v>1699.8666666666666</v>
      </c>
      <c r="Q143" s="91">
        <f t="shared" si="49"/>
        <v>30106.989247311827</v>
      </c>
      <c r="R143" s="91">
        <f t="shared" si="49"/>
        <v>11001.282051282051</v>
      </c>
      <c r="S143" s="91">
        <f t="shared" si="49"/>
        <v>40595.830531271014</v>
      </c>
      <c r="T143" s="91">
        <f t="shared" si="49"/>
        <v>999.73100201748491</v>
      </c>
      <c r="U143" s="91">
        <f t="shared" si="49"/>
        <v>642.90489911556335</v>
      </c>
      <c r="V143" s="91">
        <f t="shared" si="49"/>
        <v>3280.5837563451778</v>
      </c>
      <c r="W143" s="91">
        <f t="shared" si="49"/>
        <v>28726.274509803919</v>
      </c>
      <c r="X143" s="91">
        <f t="shared" si="49"/>
        <v>14707.651715039578</v>
      </c>
      <c r="Y143" s="91">
        <f t="shared" si="49"/>
        <v>0</v>
      </c>
      <c r="Z143" s="91">
        <f t="shared" si="49"/>
        <v>13175.943113423305</v>
      </c>
      <c r="AA143" s="91">
        <f t="shared" si="49"/>
        <v>0</v>
      </c>
      <c r="AB143" s="91">
        <f>AB141</f>
        <v>12470.94545454545</v>
      </c>
      <c r="AC143" s="91">
        <f t="shared" si="50"/>
        <v>0</v>
      </c>
      <c r="AD143" s="91">
        <f t="shared" si="50"/>
        <v>17033.958773784358</v>
      </c>
      <c r="AE143" s="91">
        <f t="shared" si="50"/>
        <v>4800</v>
      </c>
      <c r="AF143" s="91">
        <f>AF141</f>
        <v>31889.834690352825</v>
      </c>
      <c r="AG143" s="91">
        <f t="shared" si="50"/>
        <v>121786.56000000004</v>
      </c>
      <c r="AH143" s="87">
        <f>AH141</f>
        <v>750</v>
      </c>
      <c r="AI143" s="91">
        <f>AI141</f>
        <v>26777.671743589744</v>
      </c>
      <c r="AJ143" s="89">
        <f>AJ141</f>
        <v>10.480999999999996</v>
      </c>
      <c r="AK143" s="89">
        <f t="shared" si="51"/>
        <v>33.458000000000006</v>
      </c>
      <c r="AL143" s="89">
        <f t="shared" si="51"/>
        <v>151.35099680330916</v>
      </c>
      <c r="AM143" s="89">
        <f t="shared" si="51"/>
        <v>7.3710000000000013</v>
      </c>
      <c r="AN143" s="89">
        <f t="shared" si="51"/>
        <v>7.2695631542613182</v>
      </c>
      <c r="AO143" s="89">
        <f t="shared" si="51"/>
        <v>5.1950086758401941</v>
      </c>
      <c r="AP143" s="89">
        <f t="shared" si="51"/>
        <v>6.0430982312823298</v>
      </c>
      <c r="AQ143" s="89">
        <f t="shared" si="51"/>
        <v>38.086158666766934</v>
      </c>
      <c r="AR143" s="89">
        <f t="shared" si="51"/>
        <v>7.7295819471615017</v>
      </c>
      <c r="AS143" s="89">
        <f t="shared" si="51"/>
        <v>1.2247036151209443</v>
      </c>
      <c r="AT143" s="90">
        <f t="shared" si="51"/>
        <v>0.35200033170943096</v>
      </c>
      <c r="AU143" s="89">
        <f t="shared" si="51"/>
        <v>146.65713820315344</v>
      </c>
      <c r="AV143" s="89">
        <f t="shared" si="51"/>
        <v>97.30409169504108</v>
      </c>
      <c r="AW143" s="89">
        <f t="shared" si="51"/>
        <v>11.590010921909956</v>
      </c>
      <c r="AX143" s="89">
        <f t="shared" si="51"/>
        <v>6.6000062195518294E-2</v>
      </c>
      <c r="AY143" s="89">
        <f>AY141</f>
        <v>9.2080086772171583</v>
      </c>
    </row>
    <row r="144" spans="1:51" s="66" customFormat="1" ht="16.899999999999999" customHeight="1" x14ac:dyDescent="0.2">
      <c r="A144" s="50" t="s">
        <v>56</v>
      </c>
      <c r="B144" s="65">
        <f t="shared" ref="B144:AI144" si="52">B143+B109</f>
        <v>694406</v>
      </c>
      <c r="C144" s="65">
        <f t="shared" si="52"/>
        <v>178488</v>
      </c>
      <c r="D144" s="65">
        <f t="shared" si="52"/>
        <v>15345</v>
      </c>
      <c r="E144" s="65">
        <f t="shared" si="52"/>
        <v>26631</v>
      </c>
      <c r="F144" s="65">
        <f t="shared" si="52"/>
        <v>13051</v>
      </c>
      <c r="G144" s="65">
        <f t="shared" si="52"/>
        <v>14545</v>
      </c>
      <c r="H144" s="93">
        <f>H143+H109</f>
        <v>143081.16145381855</v>
      </c>
      <c r="I144" s="65">
        <f>I143+I109</f>
        <v>12918.359659657448</v>
      </c>
      <c r="J144" s="65">
        <f>J143+J109</f>
        <v>31062.150205379912</v>
      </c>
      <c r="K144" s="65">
        <f>K143+K109</f>
        <v>176130.29062395552</v>
      </c>
      <c r="L144" s="65">
        <f>L143+L109</f>
        <v>57608.741734723924</v>
      </c>
      <c r="M144" s="65">
        <f t="shared" si="52"/>
        <v>134970.31662269129</v>
      </c>
      <c r="N144" s="65">
        <f t="shared" si="52"/>
        <v>5689.8976982097183</v>
      </c>
      <c r="O144" s="65">
        <f t="shared" si="52"/>
        <v>141375.86666666667</v>
      </c>
      <c r="P144" s="65">
        <f t="shared" si="52"/>
        <v>5873.4666666666672</v>
      </c>
      <c r="Q144" s="65">
        <f t="shared" si="52"/>
        <v>121215.45698924731</v>
      </c>
      <c r="R144" s="65">
        <f t="shared" si="52"/>
        <v>43502.948717948719</v>
      </c>
      <c r="S144" s="65">
        <f t="shared" si="52"/>
        <v>164101.14324142569</v>
      </c>
      <c r="T144" s="65">
        <f t="shared" si="52"/>
        <v>89264.694014794906</v>
      </c>
      <c r="U144" s="65">
        <f t="shared" si="52"/>
        <v>1738.8751086703505</v>
      </c>
      <c r="V144" s="65">
        <f t="shared" si="52"/>
        <v>12481.472081218275</v>
      </c>
      <c r="W144" s="65">
        <f t="shared" si="52"/>
        <v>125983.26797385619</v>
      </c>
      <c r="X144" s="65">
        <f t="shared" si="52"/>
        <v>59386.807387862791</v>
      </c>
      <c r="Y144" s="65">
        <f t="shared" si="52"/>
        <v>0</v>
      </c>
      <c r="Z144" s="65">
        <f t="shared" si="52"/>
        <v>53439.275390354363</v>
      </c>
      <c r="AA144" s="65">
        <f t="shared" si="52"/>
        <v>0</v>
      </c>
      <c r="AB144" s="65">
        <f t="shared" si="52"/>
        <v>50796.036363636362</v>
      </c>
      <c r="AC144" s="65">
        <f t="shared" si="52"/>
        <v>0</v>
      </c>
      <c r="AD144" s="65">
        <f t="shared" si="52"/>
        <v>63243.261099365758</v>
      </c>
      <c r="AE144" s="65">
        <f>AE143+AE109</f>
        <v>19525</v>
      </c>
      <c r="AF144" s="65">
        <f>AF143+AF109</f>
        <v>112073.27905255367</v>
      </c>
      <c r="AG144" s="65">
        <f t="shared" si="52"/>
        <v>479515.38000000006</v>
      </c>
      <c r="AH144" s="65">
        <f t="shared" si="52"/>
        <v>4055.5025000000005</v>
      </c>
      <c r="AI144" s="65">
        <f t="shared" si="52"/>
        <v>104762.15892307693</v>
      </c>
      <c r="AJ144" s="94">
        <f>AJ143+AJ109</f>
        <v>41.289881999999999</v>
      </c>
      <c r="AK144" s="94">
        <f t="shared" ref="AK144:AX144" si="53">AK143+AK109</f>
        <v>118.52347</v>
      </c>
      <c r="AL144" s="94">
        <f t="shared" si="53"/>
        <v>621.19487735776102</v>
      </c>
      <c r="AM144" s="94">
        <f t="shared" si="53"/>
        <v>38.897999999999996</v>
      </c>
      <c r="AN144" s="94">
        <f t="shared" si="53"/>
        <v>21.591572873221452</v>
      </c>
      <c r="AO144" s="94">
        <f t="shared" si="53"/>
        <v>18.430869110055955</v>
      </c>
      <c r="AP144" s="94">
        <f t="shared" si="53"/>
        <v>21.263120106226982</v>
      </c>
      <c r="AQ144" s="94">
        <f t="shared" si="53"/>
        <v>107.88350432695565</v>
      </c>
      <c r="AR144" s="94">
        <f t="shared" si="53"/>
        <v>28.767916938956709</v>
      </c>
      <c r="AS144" s="94">
        <f t="shared" si="53"/>
        <v>3.6851544155338658</v>
      </c>
      <c r="AT144" s="95">
        <f>AT143+AT109</f>
        <v>1.4231013410673046</v>
      </c>
      <c r="AU144" s="95">
        <f>AU143+AU109</f>
        <v>510.11481465947554</v>
      </c>
      <c r="AV144" s="94">
        <f t="shared" si="53"/>
        <v>327.08234822783334</v>
      </c>
      <c r="AW144" s="94">
        <f t="shared" si="53"/>
        <v>40.44016122714126</v>
      </c>
      <c r="AX144" s="94">
        <f t="shared" si="53"/>
        <v>25.389336925780018</v>
      </c>
      <c r="AY144" s="94">
        <f>AY143+AY109</f>
        <v>49.265866425957711</v>
      </c>
    </row>
    <row r="145" spans="1:52" ht="13.5" customHeight="1" x14ac:dyDescent="0.2">
      <c r="A145" s="40">
        <v>45413</v>
      </c>
      <c r="B145" s="96">
        <v>5494</v>
      </c>
      <c r="C145" s="96">
        <v>1635</v>
      </c>
      <c r="D145" s="97">
        <v>134</v>
      </c>
      <c r="E145" s="97">
        <v>198</v>
      </c>
      <c r="F145" s="97">
        <v>104</v>
      </c>
      <c r="G145" s="97">
        <v>115</v>
      </c>
      <c r="H145" s="67">
        <v>8392</v>
      </c>
      <c r="I145" s="41">
        <v>528</v>
      </c>
      <c r="J145" s="41">
        <v>1828</v>
      </c>
      <c r="K145" s="41">
        <v>12142</v>
      </c>
      <c r="L145" s="41">
        <v>3611</v>
      </c>
      <c r="M145" s="98">
        <v>8849</v>
      </c>
      <c r="N145" s="98">
        <v>265</v>
      </c>
      <c r="O145" s="98">
        <v>8001</v>
      </c>
      <c r="P145" s="98">
        <v>323</v>
      </c>
      <c r="Q145" s="98">
        <v>7568</v>
      </c>
      <c r="R145" s="98">
        <v>2853</v>
      </c>
      <c r="S145" s="98">
        <v>9761</v>
      </c>
      <c r="T145" s="98">
        <v>8831</v>
      </c>
      <c r="U145" s="41">
        <v>119.50619999999999</v>
      </c>
      <c r="V145" s="98">
        <v>835</v>
      </c>
      <c r="W145" s="98">
        <v>7764</v>
      </c>
      <c r="X145" s="98">
        <v>4125</v>
      </c>
      <c r="Y145" s="99"/>
      <c r="Z145" s="98">
        <v>2744</v>
      </c>
      <c r="AA145" s="99"/>
      <c r="AB145" s="98">
        <v>463</v>
      </c>
      <c r="AC145" s="96"/>
      <c r="AD145" s="99">
        <v>5000</v>
      </c>
      <c r="AE145" s="41">
        <v>164</v>
      </c>
      <c r="AF145" s="41">
        <v>8998</v>
      </c>
      <c r="AG145" s="41">
        <v>4025.84</v>
      </c>
      <c r="AH145" s="41">
        <v>19</v>
      </c>
      <c r="AI145" s="41">
        <v>6657</v>
      </c>
      <c r="AJ145" s="100">
        <v>7.5999999999999998E-2</v>
      </c>
      <c r="AK145" s="101">
        <v>0.25600000000000001</v>
      </c>
      <c r="AL145" s="101">
        <v>187.80339762227803</v>
      </c>
      <c r="AM145" s="102">
        <v>0.219</v>
      </c>
      <c r="AN145" s="101">
        <v>11.19</v>
      </c>
      <c r="AO145" s="103">
        <v>9.4600000000000009</v>
      </c>
      <c r="AP145" s="103">
        <v>6.95</v>
      </c>
      <c r="AQ145" s="104">
        <v>26</v>
      </c>
      <c r="AR145" s="104">
        <v>9.99</v>
      </c>
      <c r="AS145" s="104">
        <v>2.6</v>
      </c>
      <c r="AT145" s="104">
        <v>0.01</v>
      </c>
      <c r="AU145" s="100">
        <v>4.9539999999999997</v>
      </c>
      <c r="AV145" s="105">
        <v>1.7969999999999999</v>
      </c>
      <c r="AW145" s="106">
        <v>12.5014038</v>
      </c>
      <c r="AX145" s="100">
        <v>0.20499999999999999</v>
      </c>
      <c r="AY145" s="100">
        <v>0.49399999999999999</v>
      </c>
    </row>
    <row r="146" spans="1:52" ht="13.5" customHeight="1" x14ac:dyDescent="0.2">
      <c r="A146" s="40">
        <v>45414</v>
      </c>
      <c r="B146" s="96">
        <v>5778</v>
      </c>
      <c r="C146" s="96">
        <v>1635</v>
      </c>
      <c r="D146" s="97">
        <v>134</v>
      </c>
      <c r="E146" s="97">
        <v>198</v>
      </c>
      <c r="F146" s="97">
        <v>104</v>
      </c>
      <c r="G146" s="97">
        <v>115</v>
      </c>
      <c r="H146" s="67">
        <v>8348</v>
      </c>
      <c r="I146" s="41">
        <v>500</v>
      </c>
      <c r="J146" s="41">
        <v>1888</v>
      </c>
      <c r="K146" s="41">
        <v>12172</v>
      </c>
      <c r="L146" s="41">
        <v>3598</v>
      </c>
      <c r="M146" s="98">
        <v>8906</v>
      </c>
      <c r="N146" s="98">
        <v>194</v>
      </c>
      <c r="O146" s="98">
        <v>8131</v>
      </c>
      <c r="P146" s="98">
        <v>374</v>
      </c>
      <c r="Q146" s="98">
        <v>7587</v>
      </c>
      <c r="R146" s="98">
        <v>2830</v>
      </c>
      <c r="S146" s="98">
        <v>9704</v>
      </c>
      <c r="T146" s="98">
        <v>8296</v>
      </c>
      <c r="U146" s="41">
        <v>119.50619999999999</v>
      </c>
      <c r="V146" s="98">
        <v>813</v>
      </c>
      <c r="W146" s="98">
        <v>7782</v>
      </c>
      <c r="X146" s="98">
        <v>3792</v>
      </c>
      <c r="Y146" s="99"/>
      <c r="Z146" s="98">
        <v>2725</v>
      </c>
      <c r="AA146" s="99"/>
      <c r="AB146" s="98">
        <v>463</v>
      </c>
      <c r="AC146" s="96"/>
      <c r="AD146" s="99">
        <v>5259</v>
      </c>
      <c r="AE146" s="41">
        <v>164</v>
      </c>
      <c r="AF146" s="41">
        <v>10332</v>
      </c>
      <c r="AG146" s="41">
        <v>4051.3199999999997</v>
      </c>
      <c r="AH146" s="41">
        <v>28.5</v>
      </c>
      <c r="AI146" s="41">
        <v>6879</v>
      </c>
      <c r="AJ146" s="100">
        <v>0.26800000000000002</v>
      </c>
      <c r="AK146" s="101">
        <v>0.80600000000000005</v>
      </c>
      <c r="AL146" s="101">
        <v>189.392557624723</v>
      </c>
      <c r="AM146" s="102">
        <v>0.23699999999999999</v>
      </c>
      <c r="AN146" s="101">
        <v>9.67</v>
      </c>
      <c r="AO146" s="103">
        <v>9.1199999999999992</v>
      </c>
      <c r="AP146" s="103">
        <v>6.97</v>
      </c>
      <c r="AQ146" s="104">
        <v>17</v>
      </c>
      <c r="AR146" s="104">
        <v>9.7100000000000009</v>
      </c>
      <c r="AS146" s="104">
        <v>2.6</v>
      </c>
      <c r="AT146" s="104">
        <v>0.01</v>
      </c>
      <c r="AU146" s="100">
        <v>4.9550000000000001</v>
      </c>
      <c r="AV146" s="105">
        <v>1.899</v>
      </c>
      <c r="AW146" s="106">
        <v>12.5014038</v>
      </c>
      <c r="AX146" s="100">
        <v>0.34899999999999998</v>
      </c>
      <c r="AY146" s="100">
        <v>0.33600000000000002</v>
      </c>
    </row>
    <row r="147" spans="1:52" ht="13.5" customHeight="1" x14ac:dyDescent="0.2">
      <c r="A147" s="40">
        <v>45415</v>
      </c>
      <c r="B147" s="96">
        <v>5719</v>
      </c>
      <c r="C147" s="96">
        <v>1635</v>
      </c>
      <c r="D147" s="97">
        <v>134</v>
      </c>
      <c r="E147" s="97">
        <v>198</v>
      </c>
      <c r="F147" s="97">
        <v>104</v>
      </c>
      <c r="G147" s="97">
        <v>115</v>
      </c>
      <c r="H147" s="67">
        <v>8630</v>
      </c>
      <c r="I147" s="41">
        <v>605</v>
      </c>
      <c r="J147" s="41">
        <v>1850</v>
      </c>
      <c r="K147" s="41">
        <v>12441</v>
      </c>
      <c r="L147" s="41">
        <v>3719</v>
      </c>
      <c r="M147" s="98">
        <v>8674</v>
      </c>
      <c r="N147" s="98">
        <v>451</v>
      </c>
      <c r="O147" s="98">
        <v>8237</v>
      </c>
      <c r="P147" s="98">
        <v>394</v>
      </c>
      <c r="Q147" s="98">
        <v>7592</v>
      </c>
      <c r="R147" s="98">
        <v>2799</v>
      </c>
      <c r="S147" s="98">
        <v>9778</v>
      </c>
      <c r="T147" s="98">
        <v>7989</v>
      </c>
      <c r="U147" s="41">
        <v>119.50619999999999</v>
      </c>
      <c r="V147" s="98">
        <v>748</v>
      </c>
      <c r="W147" s="98">
        <v>7753</v>
      </c>
      <c r="X147" s="98">
        <v>4085</v>
      </c>
      <c r="Y147" s="99"/>
      <c r="Z147" s="98">
        <v>2685</v>
      </c>
      <c r="AA147" s="99"/>
      <c r="AB147" s="98">
        <v>463</v>
      </c>
      <c r="AC147" s="96"/>
      <c r="AD147" s="99">
        <v>4141</v>
      </c>
      <c r="AE147" s="41">
        <v>164</v>
      </c>
      <c r="AF147" s="41">
        <v>9684</v>
      </c>
      <c r="AG147" s="41">
        <v>4051.81</v>
      </c>
      <c r="AH147" s="41">
        <v>28.5</v>
      </c>
      <c r="AI147" s="41">
        <v>6878</v>
      </c>
      <c r="AJ147" s="100">
        <v>0.70399999999999996</v>
      </c>
      <c r="AK147" s="101">
        <v>1.9730000000000001</v>
      </c>
      <c r="AL147" s="101">
        <v>189.03941095751298</v>
      </c>
      <c r="AM147" s="102">
        <v>0.32300000000000001</v>
      </c>
      <c r="AN147" s="101">
        <v>9.73</v>
      </c>
      <c r="AO147" s="103">
        <v>8.75</v>
      </c>
      <c r="AP147" s="103">
        <v>7.13</v>
      </c>
      <c r="AQ147" s="104">
        <v>49</v>
      </c>
      <c r="AR147" s="104">
        <v>9.52</v>
      </c>
      <c r="AS147" s="104">
        <v>2.9</v>
      </c>
      <c r="AT147" s="104">
        <v>0.01</v>
      </c>
      <c r="AU147" s="100">
        <v>4.9550000000000001</v>
      </c>
      <c r="AV147" s="105">
        <v>2.597</v>
      </c>
      <c r="AW147" s="106">
        <v>14.408397600000001</v>
      </c>
      <c r="AX147" s="100">
        <v>0.33800000000000002</v>
      </c>
      <c r="AY147" s="100">
        <v>0.42899999999999999</v>
      </c>
    </row>
    <row r="148" spans="1:52" ht="13.5" customHeight="1" x14ac:dyDescent="0.2">
      <c r="A148" s="40">
        <v>45416</v>
      </c>
      <c r="B148" s="96">
        <v>5778</v>
      </c>
      <c r="C148" s="96">
        <v>1635</v>
      </c>
      <c r="D148" s="97">
        <v>134</v>
      </c>
      <c r="E148" s="97">
        <v>198</v>
      </c>
      <c r="F148" s="97">
        <v>104</v>
      </c>
      <c r="G148" s="97">
        <v>115</v>
      </c>
      <c r="H148" s="67">
        <v>8568</v>
      </c>
      <c r="I148" s="41">
        <v>1797</v>
      </c>
      <c r="J148" s="41">
        <v>2165</v>
      </c>
      <c r="K148" s="41">
        <v>12435</v>
      </c>
      <c r="L148" s="41">
        <v>3499</v>
      </c>
      <c r="M148" s="98">
        <v>8760</v>
      </c>
      <c r="N148" s="98">
        <v>470</v>
      </c>
      <c r="O148" s="98">
        <v>8161</v>
      </c>
      <c r="P148" s="98">
        <v>491</v>
      </c>
      <c r="Q148" s="98">
        <v>7584</v>
      </c>
      <c r="R148" s="98">
        <v>2775</v>
      </c>
      <c r="S148" s="98">
        <v>9666</v>
      </c>
      <c r="T148" s="98">
        <v>7844</v>
      </c>
      <c r="U148" s="41">
        <v>100.63679999999999</v>
      </c>
      <c r="V148" s="98">
        <v>769</v>
      </c>
      <c r="W148" s="98">
        <v>7763</v>
      </c>
      <c r="X148" s="98">
        <v>4050</v>
      </c>
      <c r="Y148" s="99"/>
      <c r="Z148" s="98">
        <v>2690</v>
      </c>
      <c r="AA148" s="99"/>
      <c r="AB148" s="98">
        <v>463</v>
      </c>
      <c r="AC148" s="96"/>
      <c r="AD148" s="99">
        <v>4205</v>
      </c>
      <c r="AE148" s="41">
        <v>164</v>
      </c>
      <c r="AF148" s="41">
        <v>9962</v>
      </c>
      <c r="AG148" s="41">
        <v>4047.89</v>
      </c>
      <c r="AH148" s="41">
        <v>28.5</v>
      </c>
      <c r="AI148" s="41">
        <v>6902</v>
      </c>
      <c r="AJ148" s="100">
        <v>0.34499999999999997</v>
      </c>
      <c r="AK148" s="101">
        <v>1.1100000000000001</v>
      </c>
      <c r="AL148" s="101">
        <v>175.86704027058002</v>
      </c>
      <c r="AM148" s="102">
        <v>0.13</v>
      </c>
      <c r="AN148" s="101">
        <v>11.89</v>
      </c>
      <c r="AO148" s="103">
        <v>8.26</v>
      </c>
      <c r="AP148" s="103">
        <v>7.14</v>
      </c>
      <c r="AQ148" s="104">
        <v>47</v>
      </c>
      <c r="AR148" s="104">
        <v>9.51</v>
      </c>
      <c r="AS148" s="104">
        <v>2.9</v>
      </c>
      <c r="AT148" s="104">
        <v>0.01</v>
      </c>
      <c r="AU148" s="100">
        <v>4.9530000000000003</v>
      </c>
      <c r="AV148" s="105">
        <v>3.0960000000000001</v>
      </c>
      <c r="AW148" s="106">
        <v>14.0199359</v>
      </c>
      <c r="AX148" s="100">
        <v>0.33600000000000002</v>
      </c>
      <c r="AY148" s="100">
        <v>0.45200000000000001</v>
      </c>
    </row>
    <row r="149" spans="1:52" ht="13.5" customHeight="1" x14ac:dyDescent="0.2">
      <c r="A149" s="40">
        <v>45417</v>
      </c>
      <c r="B149" s="96">
        <v>5789</v>
      </c>
      <c r="C149" s="96">
        <v>1635</v>
      </c>
      <c r="D149" s="97">
        <v>134</v>
      </c>
      <c r="E149" s="97">
        <v>198</v>
      </c>
      <c r="F149" s="97">
        <v>104</v>
      </c>
      <c r="G149" s="97">
        <v>115</v>
      </c>
      <c r="H149" s="67">
        <v>8502</v>
      </c>
      <c r="I149" s="41">
        <v>1522</v>
      </c>
      <c r="J149" s="41">
        <v>2073</v>
      </c>
      <c r="K149" s="41">
        <v>12421</v>
      </c>
      <c r="L149" s="41">
        <v>3500</v>
      </c>
      <c r="M149" s="98">
        <v>7906</v>
      </c>
      <c r="N149" s="98">
        <v>604</v>
      </c>
      <c r="O149" s="98">
        <v>7086</v>
      </c>
      <c r="P149" s="98">
        <v>396</v>
      </c>
      <c r="Q149" s="98">
        <v>7550</v>
      </c>
      <c r="R149" s="98">
        <v>2739</v>
      </c>
      <c r="S149" s="98">
        <v>9658</v>
      </c>
      <c r="T149" s="98">
        <v>7813</v>
      </c>
      <c r="U149" s="41">
        <v>100.63679999999999</v>
      </c>
      <c r="V149" s="98">
        <v>833</v>
      </c>
      <c r="W149" s="98">
        <v>7750</v>
      </c>
      <c r="X149" s="98">
        <v>4071</v>
      </c>
      <c r="Y149" s="99"/>
      <c r="Z149" s="98">
        <v>2693</v>
      </c>
      <c r="AA149" s="99"/>
      <c r="AB149" s="98">
        <v>463</v>
      </c>
      <c r="AC149" s="96"/>
      <c r="AD149" s="99">
        <v>4311</v>
      </c>
      <c r="AE149" s="41">
        <v>164</v>
      </c>
      <c r="AF149" s="41">
        <v>9676</v>
      </c>
      <c r="AG149" s="41">
        <v>3955.2799999999997</v>
      </c>
      <c r="AH149" s="41">
        <v>28.5</v>
      </c>
      <c r="AI149" s="41">
        <v>6876</v>
      </c>
      <c r="AJ149" s="100">
        <v>0.29699999999999999</v>
      </c>
      <c r="AK149" s="101">
        <v>0.96199999999999997</v>
      </c>
      <c r="AL149" s="101">
        <v>185.01353895131899</v>
      </c>
      <c r="AM149" s="102">
        <v>0.40600000000000003</v>
      </c>
      <c r="AN149" s="107">
        <v>9.85</v>
      </c>
      <c r="AO149" s="103">
        <v>8.0399999999999991</v>
      </c>
      <c r="AP149" s="103">
        <v>7.08</v>
      </c>
      <c r="AQ149" s="104">
        <v>44</v>
      </c>
      <c r="AR149" s="104">
        <v>9.5</v>
      </c>
      <c r="AS149" s="104">
        <v>3.1</v>
      </c>
      <c r="AT149" s="104">
        <v>0.01</v>
      </c>
      <c r="AU149" s="100">
        <v>4.9539999999999997</v>
      </c>
      <c r="AV149" s="105">
        <v>3.552</v>
      </c>
      <c r="AW149" s="106">
        <v>14.761544600000001</v>
      </c>
      <c r="AX149" s="100">
        <v>0.33200000000000002</v>
      </c>
      <c r="AY149" s="100">
        <v>0.45200000000000001</v>
      </c>
    </row>
    <row r="150" spans="1:52" ht="13.5" customHeight="1" x14ac:dyDescent="0.2">
      <c r="A150" s="40">
        <v>45418</v>
      </c>
      <c r="B150" s="96">
        <v>5784</v>
      </c>
      <c r="C150" s="96">
        <v>1635</v>
      </c>
      <c r="D150" s="97">
        <v>134</v>
      </c>
      <c r="E150" s="97">
        <v>198</v>
      </c>
      <c r="F150" s="97">
        <v>104</v>
      </c>
      <c r="G150" s="97">
        <v>115</v>
      </c>
      <c r="H150" s="67">
        <v>8604.7960000000003</v>
      </c>
      <c r="I150" s="41">
        <v>1302.7860000000001</v>
      </c>
      <c r="J150" s="41">
        <v>2497.63</v>
      </c>
      <c r="K150" s="41">
        <v>12403</v>
      </c>
      <c r="L150" s="41">
        <v>3930.3470912799999</v>
      </c>
      <c r="M150" s="98">
        <v>8922</v>
      </c>
      <c r="N150" s="41">
        <v>478</v>
      </c>
      <c r="O150" s="98">
        <v>8295</v>
      </c>
      <c r="P150" s="98">
        <v>396</v>
      </c>
      <c r="Q150" s="98">
        <v>7535</v>
      </c>
      <c r="R150" s="41">
        <v>2991</v>
      </c>
      <c r="S150" s="41">
        <v>9733</v>
      </c>
      <c r="T150" s="41">
        <v>7751</v>
      </c>
      <c r="U150" s="41">
        <v>69.187799999999996</v>
      </c>
      <c r="V150" s="98">
        <v>833</v>
      </c>
      <c r="W150" s="98">
        <v>7770</v>
      </c>
      <c r="X150" s="41">
        <v>3845</v>
      </c>
      <c r="Y150" s="41"/>
      <c r="Z150" s="98">
        <v>2744</v>
      </c>
      <c r="AA150" s="41"/>
      <c r="AB150" s="98">
        <v>463</v>
      </c>
      <c r="AC150" s="96"/>
      <c r="AD150" s="99">
        <v>4321</v>
      </c>
      <c r="AE150" s="41">
        <v>164</v>
      </c>
      <c r="AF150" s="41">
        <v>9621</v>
      </c>
      <c r="AG150" s="41">
        <v>4045.44</v>
      </c>
      <c r="AH150" s="41">
        <v>28.5</v>
      </c>
      <c r="AI150" s="41">
        <v>6830</v>
      </c>
      <c r="AJ150" s="100">
        <v>0.32200000000000001</v>
      </c>
      <c r="AK150" s="101">
        <v>1.0269999999999999</v>
      </c>
      <c r="AL150" s="101">
        <v>187.83871228899901</v>
      </c>
      <c r="AM150" s="102">
        <v>0.435</v>
      </c>
      <c r="AN150" s="107">
        <v>9.77</v>
      </c>
      <c r="AO150" s="103">
        <v>11.93</v>
      </c>
      <c r="AP150" s="103">
        <v>7.32</v>
      </c>
      <c r="AQ150" s="104">
        <v>44</v>
      </c>
      <c r="AR150" s="104">
        <v>9.5</v>
      </c>
      <c r="AS150" s="104">
        <v>3.11</v>
      </c>
      <c r="AT150" s="104">
        <v>0.01</v>
      </c>
      <c r="AU150" s="100">
        <v>4.9509999999999996</v>
      </c>
      <c r="AV150" s="105">
        <v>3.625</v>
      </c>
      <c r="AW150" s="106">
        <v>16.315391399999999</v>
      </c>
      <c r="AX150" s="100">
        <v>0.31900000000000001</v>
      </c>
      <c r="AY150" s="100">
        <v>0.438</v>
      </c>
    </row>
    <row r="151" spans="1:52" ht="13.5" customHeight="1" x14ac:dyDescent="0.2">
      <c r="A151" s="40">
        <v>45419</v>
      </c>
      <c r="B151" s="96">
        <v>5719</v>
      </c>
      <c r="C151" s="96">
        <v>1635</v>
      </c>
      <c r="D151" s="97">
        <v>134</v>
      </c>
      <c r="E151" s="97">
        <v>198</v>
      </c>
      <c r="F151" s="97">
        <v>104</v>
      </c>
      <c r="G151" s="97">
        <v>115</v>
      </c>
      <c r="H151" s="67">
        <v>8610.0689999999995</v>
      </c>
      <c r="I151" s="41">
        <v>1177.6389999999999</v>
      </c>
      <c r="J151" s="41">
        <v>2488.335</v>
      </c>
      <c r="K151" s="41">
        <v>12409</v>
      </c>
      <c r="L151" s="41">
        <v>3821.4470553199999</v>
      </c>
      <c r="M151" s="98">
        <v>8906</v>
      </c>
      <c r="N151" s="41">
        <v>406</v>
      </c>
      <c r="O151" s="98">
        <v>8039</v>
      </c>
      <c r="P151" s="98">
        <v>359</v>
      </c>
      <c r="Q151" s="98">
        <v>7580</v>
      </c>
      <c r="R151" s="41">
        <v>2925</v>
      </c>
      <c r="S151" s="41">
        <v>9796</v>
      </c>
      <c r="T151" s="41">
        <v>7725</v>
      </c>
      <c r="U151" s="41">
        <v>157.245</v>
      </c>
      <c r="V151" s="98">
        <v>833</v>
      </c>
      <c r="W151" s="41">
        <v>7747</v>
      </c>
      <c r="X151" s="41">
        <v>4181</v>
      </c>
      <c r="Y151" s="41"/>
      <c r="Z151" s="98">
        <v>2756</v>
      </c>
      <c r="AA151" s="41"/>
      <c r="AB151" s="98">
        <v>463</v>
      </c>
      <c r="AC151" s="41"/>
      <c r="AD151" s="99">
        <v>4326</v>
      </c>
      <c r="AE151" s="41">
        <v>164</v>
      </c>
      <c r="AF151" s="41">
        <v>9545</v>
      </c>
      <c r="AG151" s="41">
        <v>3916.08</v>
      </c>
      <c r="AH151" s="41">
        <v>28.5</v>
      </c>
      <c r="AI151" s="41">
        <v>6811</v>
      </c>
      <c r="AJ151" s="47">
        <v>0.29499999999999998</v>
      </c>
      <c r="AK151" s="47">
        <v>0.89400000000000002</v>
      </c>
      <c r="AL151" s="101">
        <v>185.29605628508702</v>
      </c>
      <c r="AM151" s="102">
        <v>0.41499999999999998</v>
      </c>
      <c r="AN151" s="107">
        <v>9.25</v>
      </c>
      <c r="AO151" s="103">
        <v>12.57</v>
      </c>
      <c r="AP151" s="103">
        <v>7.5</v>
      </c>
      <c r="AQ151" s="104">
        <v>43</v>
      </c>
      <c r="AR151" s="104">
        <v>9.5</v>
      </c>
      <c r="AS151" s="104">
        <v>3.56</v>
      </c>
      <c r="AT151" s="104">
        <v>0.01</v>
      </c>
      <c r="AU151" s="100">
        <v>4.9550000000000001</v>
      </c>
      <c r="AV151" s="47">
        <v>3.665</v>
      </c>
      <c r="AW151" s="106">
        <v>16.456650199999999</v>
      </c>
      <c r="AX151" s="100">
        <v>0</v>
      </c>
      <c r="AY151" s="47">
        <v>0.29299999999999998</v>
      </c>
    </row>
    <row r="152" spans="1:52" ht="13.5" customHeight="1" x14ac:dyDescent="0.2">
      <c r="A152" s="40">
        <v>45420</v>
      </c>
      <c r="B152" s="96">
        <v>5737</v>
      </c>
      <c r="C152" s="96">
        <v>1635</v>
      </c>
      <c r="D152" s="97">
        <v>134</v>
      </c>
      <c r="E152" s="97">
        <v>198</v>
      </c>
      <c r="F152" s="97">
        <v>104</v>
      </c>
      <c r="G152" s="97">
        <v>115</v>
      </c>
      <c r="H152" s="108">
        <v>8589.3310000000001</v>
      </c>
      <c r="I152" s="44">
        <v>1145.28</v>
      </c>
      <c r="J152" s="41">
        <v>2518.848</v>
      </c>
      <c r="K152" s="41">
        <v>12420</v>
      </c>
      <c r="L152" s="41">
        <v>3821.9569807600001</v>
      </c>
      <c r="M152" s="98">
        <v>8949</v>
      </c>
      <c r="N152" s="41">
        <v>401</v>
      </c>
      <c r="O152" s="98">
        <v>8390</v>
      </c>
      <c r="P152" s="98">
        <v>381</v>
      </c>
      <c r="Q152" s="98">
        <v>7529</v>
      </c>
      <c r="R152" s="41">
        <v>2883</v>
      </c>
      <c r="S152" s="41">
        <v>9702</v>
      </c>
      <c r="T152" s="41">
        <v>10776</v>
      </c>
      <c r="U152" s="41">
        <v>157.245</v>
      </c>
      <c r="V152" s="98">
        <v>833</v>
      </c>
      <c r="W152" s="41">
        <v>7517</v>
      </c>
      <c r="X152" s="41">
        <v>3779</v>
      </c>
      <c r="Y152" s="41"/>
      <c r="Z152" s="98">
        <v>2752</v>
      </c>
      <c r="AA152" s="41"/>
      <c r="AB152" s="98">
        <v>463</v>
      </c>
      <c r="AC152" s="41"/>
      <c r="AD152" s="99">
        <v>4343</v>
      </c>
      <c r="AE152" s="41">
        <v>164</v>
      </c>
      <c r="AF152" s="41">
        <v>9525</v>
      </c>
      <c r="AG152" s="41">
        <v>4042.5</v>
      </c>
      <c r="AH152" s="41">
        <v>28.5</v>
      </c>
      <c r="AI152" s="41">
        <v>6588</v>
      </c>
      <c r="AJ152" s="100">
        <v>0.373</v>
      </c>
      <c r="AK152" s="100">
        <v>1.1859999999999999</v>
      </c>
      <c r="AL152" s="101">
        <v>189.251298957839</v>
      </c>
      <c r="AM152" s="102">
        <v>0.127</v>
      </c>
      <c r="AN152" s="107">
        <v>9.25</v>
      </c>
      <c r="AO152" s="103">
        <v>12.17</v>
      </c>
      <c r="AP152" s="103">
        <v>7.46</v>
      </c>
      <c r="AQ152" s="104">
        <v>45</v>
      </c>
      <c r="AR152" s="104">
        <v>9.1349999999999998</v>
      </c>
      <c r="AS152" s="104">
        <v>3.6930000000000001</v>
      </c>
      <c r="AT152" s="104">
        <v>0.01</v>
      </c>
      <c r="AU152" s="100">
        <v>4.9530000000000003</v>
      </c>
      <c r="AV152" s="105">
        <v>3.6930000000000001</v>
      </c>
      <c r="AW152" s="106">
        <v>15.679726800000001</v>
      </c>
      <c r="AX152" s="100">
        <v>0</v>
      </c>
      <c r="AY152" s="100">
        <v>0.29599999999999999</v>
      </c>
    </row>
    <row r="153" spans="1:52" ht="13.5" customHeight="1" x14ac:dyDescent="0.2">
      <c r="A153" s="40">
        <v>45421</v>
      </c>
      <c r="B153" s="96">
        <v>5729</v>
      </c>
      <c r="C153" s="96">
        <v>1635</v>
      </c>
      <c r="D153" s="97">
        <v>134</v>
      </c>
      <c r="E153" s="97">
        <v>198</v>
      </c>
      <c r="F153" s="97">
        <v>104</v>
      </c>
      <c r="G153" s="97">
        <v>115</v>
      </c>
      <c r="H153" s="108">
        <v>8484</v>
      </c>
      <c r="I153" s="44">
        <v>1074</v>
      </c>
      <c r="J153" s="41">
        <v>2453</v>
      </c>
      <c r="K153" s="41">
        <v>12376</v>
      </c>
      <c r="L153" s="41">
        <v>3751</v>
      </c>
      <c r="M153" s="98">
        <v>9151</v>
      </c>
      <c r="N153" s="41">
        <v>374</v>
      </c>
      <c r="O153" s="98">
        <v>8326</v>
      </c>
      <c r="P153" s="98">
        <v>392</v>
      </c>
      <c r="Q153" s="98">
        <v>7529</v>
      </c>
      <c r="R153" s="41">
        <v>2956</v>
      </c>
      <c r="S153" s="41">
        <v>9714</v>
      </c>
      <c r="T153" s="41">
        <v>11541</v>
      </c>
      <c r="U153" s="41">
        <v>157.245</v>
      </c>
      <c r="V153" s="98">
        <v>833</v>
      </c>
      <c r="W153" s="41">
        <v>7213</v>
      </c>
      <c r="X153" s="41">
        <v>4065</v>
      </c>
      <c r="Y153" s="41"/>
      <c r="Z153" s="98">
        <v>2757</v>
      </c>
      <c r="AA153" s="41"/>
      <c r="AB153" s="98">
        <v>463</v>
      </c>
      <c r="AC153" s="41"/>
      <c r="AD153" s="99">
        <v>4266</v>
      </c>
      <c r="AE153" s="41">
        <v>164</v>
      </c>
      <c r="AF153" s="44">
        <v>9432</v>
      </c>
      <c r="AG153" s="41">
        <v>4041.0299999999997</v>
      </c>
      <c r="AH153" s="41">
        <v>28.5</v>
      </c>
      <c r="AI153" s="41">
        <v>6609</v>
      </c>
      <c r="AJ153" s="100">
        <v>0.33</v>
      </c>
      <c r="AK153" s="100">
        <v>1.0669999999999999</v>
      </c>
      <c r="AL153" s="101">
        <v>187.87402695572001</v>
      </c>
      <c r="AM153" s="102">
        <v>0.41199999999999998</v>
      </c>
      <c r="AN153" s="107">
        <v>11.83</v>
      </c>
      <c r="AO153" s="103">
        <v>11.74</v>
      </c>
      <c r="AP153" s="103">
        <v>7.4</v>
      </c>
      <c r="AQ153" s="104">
        <v>43</v>
      </c>
      <c r="AR153" s="104">
        <v>8.5299999999999994</v>
      </c>
      <c r="AS153" s="104">
        <v>4.18</v>
      </c>
      <c r="AT153" s="104">
        <v>0.01</v>
      </c>
      <c r="AU153" s="100">
        <v>4.952</v>
      </c>
      <c r="AV153" s="105">
        <v>3.6059999999999999</v>
      </c>
      <c r="AW153" s="106">
        <v>15.2912651</v>
      </c>
      <c r="AX153" s="100">
        <v>0</v>
      </c>
      <c r="AY153" s="100">
        <v>0.29499999999999998</v>
      </c>
    </row>
    <row r="154" spans="1:52" ht="13.5" customHeight="1" x14ac:dyDescent="0.2">
      <c r="A154" s="40">
        <v>45422</v>
      </c>
      <c r="B154" s="96">
        <v>5781</v>
      </c>
      <c r="C154" s="96">
        <v>1635</v>
      </c>
      <c r="D154" s="97">
        <v>134</v>
      </c>
      <c r="E154" s="97">
        <v>198</v>
      </c>
      <c r="F154" s="97">
        <v>104</v>
      </c>
      <c r="G154" s="97">
        <v>115</v>
      </c>
      <c r="H154" s="108">
        <v>8392</v>
      </c>
      <c r="I154" s="44">
        <v>1134</v>
      </c>
      <c r="J154" s="41">
        <v>2472</v>
      </c>
      <c r="K154" s="41">
        <v>12338</v>
      </c>
      <c r="L154" s="41">
        <v>3688</v>
      </c>
      <c r="M154" s="98">
        <v>9009</v>
      </c>
      <c r="N154" s="41">
        <v>364</v>
      </c>
      <c r="O154" s="98">
        <v>8227</v>
      </c>
      <c r="P154" s="98">
        <v>392</v>
      </c>
      <c r="Q154" s="98">
        <v>7529</v>
      </c>
      <c r="R154" s="41">
        <v>2931</v>
      </c>
      <c r="S154" s="41">
        <v>9687</v>
      </c>
      <c r="T154" s="41">
        <v>11692</v>
      </c>
      <c r="U154" s="41">
        <v>157.245</v>
      </c>
      <c r="V154" s="98">
        <v>833</v>
      </c>
      <c r="W154" s="41">
        <v>7324</v>
      </c>
      <c r="X154" s="41">
        <v>4226</v>
      </c>
      <c r="Y154" s="41"/>
      <c r="Z154" s="98">
        <v>2751</v>
      </c>
      <c r="AA154" s="41"/>
      <c r="AB154" s="98">
        <v>463</v>
      </c>
      <c r="AC154" s="41"/>
      <c r="AD154" s="99">
        <v>4381</v>
      </c>
      <c r="AE154" s="41">
        <v>164</v>
      </c>
      <c r="AF154" s="44">
        <v>9618</v>
      </c>
      <c r="AG154" s="41">
        <v>4042.99</v>
      </c>
      <c r="AH154" s="41">
        <v>28.5</v>
      </c>
      <c r="AI154" s="41">
        <v>6777</v>
      </c>
      <c r="AJ154" s="100">
        <v>0.32700000000000001</v>
      </c>
      <c r="AK154" s="100">
        <v>1.0820000000000001</v>
      </c>
      <c r="AL154" s="101">
        <v>186.49675495360103</v>
      </c>
      <c r="AM154" s="102">
        <v>0.129</v>
      </c>
      <c r="AN154" s="107">
        <v>11.45</v>
      </c>
      <c r="AO154" s="103">
        <v>11.3</v>
      </c>
      <c r="AP154" s="103">
        <v>7.48</v>
      </c>
      <c r="AQ154" s="104">
        <v>44</v>
      </c>
      <c r="AR154" s="104">
        <v>8.5</v>
      </c>
      <c r="AS154" s="100">
        <v>4.45</v>
      </c>
      <c r="AT154" s="104">
        <v>0.01</v>
      </c>
      <c r="AU154" s="100">
        <v>4.9509999999999996</v>
      </c>
      <c r="AV154" s="105">
        <v>3.5659999999999998</v>
      </c>
      <c r="AW154" s="106">
        <v>14.867488700000001</v>
      </c>
      <c r="AX154" s="100">
        <v>0</v>
      </c>
      <c r="AY154" s="100">
        <v>0.29499999999999998</v>
      </c>
    </row>
    <row r="155" spans="1:52" s="109" customFormat="1" ht="13.5" customHeight="1" x14ac:dyDescent="0.2">
      <c r="A155" s="40">
        <v>45423</v>
      </c>
      <c r="B155" s="96">
        <v>5719</v>
      </c>
      <c r="C155" s="96">
        <v>1635</v>
      </c>
      <c r="D155" s="97">
        <v>134</v>
      </c>
      <c r="E155" s="97">
        <v>198</v>
      </c>
      <c r="F155" s="97">
        <v>104</v>
      </c>
      <c r="G155" s="97">
        <v>115</v>
      </c>
      <c r="H155" s="108">
        <v>8248.7720000000008</v>
      </c>
      <c r="I155" s="44">
        <v>1089.242</v>
      </c>
      <c r="J155" s="41">
        <v>2358.2510000000002</v>
      </c>
      <c r="K155" s="41">
        <v>12320</v>
      </c>
      <c r="L155" s="41">
        <v>3713.8072815199998</v>
      </c>
      <c r="M155" s="98">
        <v>8853</v>
      </c>
      <c r="N155" s="41">
        <v>363</v>
      </c>
      <c r="O155" s="98">
        <v>8078</v>
      </c>
      <c r="P155" s="98">
        <v>379</v>
      </c>
      <c r="Q155" s="98">
        <v>7519</v>
      </c>
      <c r="R155" s="41">
        <v>2907</v>
      </c>
      <c r="S155" s="41">
        <v>9602</v>
      </c>
      <c r="T155" s="41">
        <v>12538</v>
      </c>
      <c r="U155" s="41">
        <v>157.245</v>
      </c>
      <c r="V155" s="98">
        <v>833</v>
      </c>
      <c r="W155" s="41">
        <v>7273</v>
      </c>
      <c r="X155" s="41">
        <v>4206</v>
      </c>
      <c r="Y155" s="41"/>
      <c r="Z155" s="98">
        <v>2744</v>
      </c>
      <c r="AA155" s="41"/>
      <c r="AB155" s="98">
        <v>463</v>
      </c>
      <c r="AC155" s="41"/>
      <c r="AD155" s="99">
        <v>4318</v>
      </c>
      <c r="AE155" s="41">
        <v>164</v>
      </c>
      <c r="AF155" s="44">
        <v>9404</v>
      </c>
      <c r="AG155" s="41">
        <v>4043.48</v>
      </c>
      <c r="AH155" s="41">
        <v>28.5</v>
      </c>
      <c r="AI155" s="41">
        <v>6742</v>
      </c>
      <c r="AJ155" s="100">
        <v>0.32400000000000001</v>
      </c>
      <c r="AK155" s="100">
        <v>0.97399999999999998</v>
      </c>
      <c r="AL155" s="101">
        <v>187.62682428867299</v>
      </c>
      <c r="AM155" s="102">
        <v>0.36099999999999999</v>
      </c>
      <c r="AN155" s="107">
        <v>10.23</v>
      </c>
      <c r="AO155" s="103">
        <v>11.04</v>
      </c>
      <c r="AP155" s="103">
        <v>7.47</v>
      </c>
      <c r="AQ155" s="104">
        <v>43</v>
      </c>
      <c r="AR155" s="104">
        <v>8.64</v>
      </c>
      <c r="AS155" s="100">
        <v>4.41</v>
      </c>
      <c r="AT155" s="104">
        <v>0.01</v>
      </c>
      <c r="AU155" s="100">
        <v>4.9539999999999997</v>
      </c>
      <c r="AV155" s="105">
        <v>3.5249999999999999</v>
      </c>
      <c r="AW155" s="106">
        <v>14.9028034</v>
      </c>
      <c r="AX155" s="100">
        <v>0</v>
      </c>
      <c r="AY155" s="100">
        <v>0.29499999999999998</v>
      </c>
      <c r="AZ155" s="6"/>
    </row>
    <row r="156" spans="1:52" ht="13.5" customHeight="1" x14ac:dyDescent="0.2">
      <c r="A156" s="40">
        <v>45424</v>
      </c>
      <c r="B156" s="96">
        <v>5797</v>
      </c>
      <c r="C156" s="96">
        <v>1635</v>
      </c>
      <c r="D156" s="97">
        <v>134</v>
      </c>
      <c r="E156" s="97">
        <v>198</v>
      </c>
      <c r="F156" s="97">
        <v>104</v>
      </c>
      <c r="G156" s="97">
        <v>115</v>
      </c>
      <c r="H156" s="67">
        <v>9331.2639999999992</v>
      </c>
      <c r="I156" s="41">
        <v>1016.901</v>
      </c>
      <c r="J156" s="41">
        <v>2723.9659999999999</v>
      </c>
      <c r="K156" s="41">
        <v>11382</v>
      </c>
      <c r="L156" s="41">
        <v>3725.4022049599998</v>
      </c>
      <c r="M156" s="98">
        <v>8947</v>
      </c>
      <c r="N156" s="41">
        <v>341</v>
      </c>
      <c r="O156" s="98">
        <v>8202</v>
      </c>
      <c r="P156" s="98">
        <v>379</v>
      </c>
      <c r="Q156" s="98">
        <v>7515</v>
      </c>
      <c r="R156" s="41">
        <v>2877</v>
      </c>
      <c r="S156" s="41">
        <v>9716</v>
      </c>
      <c r="T156" s="41">
        <v>12934</v>
      </c>
      <c r="U156" s="41">
        <v>119.50619999999999</v>
      </c>
      <c r="V156" s="98">
        <v>833</v>
      </c>
      <c r="W156" s="41">
        <v>7025</v>
      </c>
      <c r="X156" s="41">
        <v>4081</v>
      </c>
      <c r="Y156" s="41"/>
      <c r="Z156" s="98">
        <v>2950</v>
      </c>
      <c r="AA156" s="41"/>
      <c r="AB156" s="98">
        <v>463</v>
      </c>
      <c r="AC156" s="41"/>
      <c r="AD156" s="99">
        <v>4260</v>
      </c>
      <c r="AE156" s="41">
        <v>164</v>
      </c>
      <c r="AF156" s="44">
        <v>9294</v>
      </c>
      <c r="AG156" s="41">
        <v>4045.44</v>
      </c>
      <c r="AH156" s="41">
        <v>28.5</v>
      </c>
      <c r="AI156" s="41">
        <v>6683</v>
      </c>
      <c r="AJ156" s="100">
        <v>0.24</v>
      </c>
      <c r="AK156" s="100">
        <v>0.77200000000000002</v>
      </c>
      <c r="AL156" s="101">
        <v>194.40724029910501</v>
      </c>
      <c r="AM156" s="102">
        <v>0.127</v>
      </c>
      <c r="AN156" s="107">
        <v>10.199999999999999</v>
      </c>
      <c r="AO156" s="103">
        <v>10.7</v>
      </c>
      <c r="AP156" s="103">
        <v>7.73</v>
      </c>
      <c r="AQ156" s="100">
        <v>44</v>
      </c>
      <c r="AR156" s="104">
        <v>8.5</v>
      </c>
      <c r="AS156" s="100">
        <v>4.47</v>
      </c>
      <c r="AT156" s="104">
        <v>0.01</v>
      </c>
      <c r="AU156" s="100">
        <v>4.9550000000000001</v>
      </c>
      <c r="AV156" s="105">
        <v>3.51</v>
      </c>
      <c r="AW156" s="106">
        <v>15.008747500000002</v>
      </c>
      <c r="AX156" s="100">
        <v>0</v>
      </c>
      <c r="AY156" s="100">
        <v>0.29399999999999998</v>
      </c>
    </row>
    <row r="157" spans="1:52" ht="13.5" customHeight="1" x14ac:dyDescent="0.2">
      <c r="A157" s="40">
        <v>45425</v>
      </c>
      <c r="B157" s="96">
        <v>5685</v>
      </c>
      <c r="C157" s="96">
        <v>1635</v>
      </c>
      <c r="D157" s="97">
        <v>134</v>
      </c>
      <c r="E157" s="97">
        <v>198</v>
      </c>
      <c r="F157" s="97">
        <v>104</v>
      </c>
      <c r="G157" s="97">
        <v>115</v>
      </c>
      <c r="H157" s="67">
        <v>8875</v>
      </c>
      <c r="I157" s="41">
        <v>1079</v>
      </c>
      <c r="J157" s="41">
        <v>2779</v>
      </c>
      <c r="K157" s="41">
        <v>11359</v>
      </c>
      <c r="L157" s="41">
        <v>3675</v>
      </c>
      <c r="M157" s="98">
        <v>9004</v>
      </c>
      <c r="N157" s="41">
        <v>305</v>
      </c>
      <c r="O157" s="41">
        <v>8040</v>
      </c>
      <c r="P157" s="41">
        <v>381</v>
      </c>
      <c r="Q157" s="98">
        <v>7475</v>
      </c>
      <c r="R157" s="41">
        <v>2841</v>
      </c>
      <c r="S157" s="41">
        <v>9734</v>
      </c>
      <c r="T157" s="41">
        <v>12914</v>
      </c>
      <c r="U157" s="41">
        <v>157.245</v>
      </c>
      <c r="V157" s="98">
        <v>846</v>
      </c>
      <c r="W157" s="41">
        <v>6734</v>
      </c>
      <c r="X157" s="41">
        <v>4653</v>
      </c>
      <c r="Y157" s="41"/>
      <c r="Z157" s="98">
        <v>2950</v>
      </c>
      <c r="AA157" s="41"/>
      <c r="AB157" s="98">
        <v>463</v>
      </c>
      <c r="AC157" s="41"/>
      <c r="AD157" s="99">
        <v>4261</v>
      </c>
      <c r="AE157" s="41">
        <v>164</v>
      </c>
      <c r="AF157" s="44">
        <v>9295</v>
      </c>
      <c r="AG157" s="41">
        <v>4047.4</v>
      </c>
      <c r="AH157" s="41">
        <v>28.5</v>
      </c>
      <c r="AI157" s="41">
        <v>6775</v>
      </c>
      <c r="AJ157" s="100">
        <v>0.27</v>
      </c>
      <c r="AK157" s="100">
        <v>0.85599999999999998</v>
      </c>
      <c r="AL157" s="101">
        <v>196.17297363515502</v>
      </c>
      <c r="AM157" s="100">
        <v>0.433</v>
      </c>
      <c r="AN157" s="107">
        <v>10.220000000000001</v>
      </c>
      <c r="AO157" s="103">
        <v>10</v>
      </c>
      <c r="AP157" s="100">
        <v>7.57</v>
      </c>
      <c r="AQ157" s="100">
        <v>46</v>
      </c>
      <c r="AR157" s="104">
        <v>6.14</v>
      </c>
      <c r="AS157" s="100">
        <v>5</v>
      </c>
      <c r="AT157" s="104">
        <v>0.01</v>
      </c>
      <c r="AU157" s="100">
        <v>4.9569999999999999</v>
      </c>
      <c r="AV157" s="105">
        <v>3.5579999999999998</v>
      </c>
      <c r="AW157" s="106">
        <v>14.055250600000001</v>
      </c>
      <c r="AX157" s="100">
        <v>0</v>
      </c>
      <c r="AY157" s="100">
        <v>0.29399999999999998</v>
      </c>
    </row>
    <row r="158" spans="1:52" ht="13.5" customHeight="1" x14ac:dyDescent="0.2">
      <c r="A158" s="40">
        <v>45426</v>
      </c>
      <c r="B158" s="96">
        <v>5734</v>
      </c>
      <c r="C158" s="96">
        <v>1635</v>
      </c>
      <c r="D158" s="97">
        <v>134</v>
      </c>
      <c r="E158" s="97">
        <v>198</v>
      </c>
      <c r="F158" s="97">
        <v>104</v>
      </c>
      <c r="G158" s="97">
        <v>115</v>
      </c>
      <c r="H158" s="67">
        <v>8580</v>
      </c>
      <c r="I158" s="41">
        <v>972</v>
      </c>
      <c r="J158" s="41">
        <v>2786</v>
      </c>
      <c r="K158" s="41">
        <v>11303</v>
      </c>
      <c r="L158" s="41">
        <v>3464</v>
      </c>
      <c r="M158" s="98">
        <v>9145</v>
      </c>
      <c r="N158" s="41">
        <v>218</v>
      </c>
      <c r="O158" s="41">
        <v>8038</v>
      </c>
      <c r="P158" s="41">
        <v>381</v>
      </c>
      <c r="Q158" s="98">
        <v>7489</v>
      </c>
      <c r="R158" s="41">
        <v>2914</v>
      </c>
      <c r="S158" s="41">
        <v>9765</v>
      </c>
      <c r="T158" s="41">
        <v>12904</v>
      </c>
      <c r="U158" s="41">
        <v>163.53479999999999</v>
      </c>
      <c r="V158" s="98">
        <v>844</v>
      </c>
      <c r="W158" s="41">
        <v>7192</v>
      </c>
      <c r="X158" s="41">
        <v>3982</v>
      </c>
      <c r="Y158" s="41"/>
      <c r="Z158" s="98">
        <v>3406</v>
      </c>
      <c r="AA158" s="41"/>
      <c r="AB158" s="98">
        <v>463</v>
      </c>
      <c r="AC158" s="41"/>
      <c r="AD158" s="99">
        <v>4433</v>
      </c>
      <c r="AE158" s="41">
        <v>164</v>
      </c>
      <c r="AF158" s="44">
        <v>9087</v>
      </c>
      <c r="AG158" s="41">
        <v>4047.4</v>
      </c>
      <c r="AH158" s="41">
        <v>28.5</v>
      </c>
      <c r="AI158" s="41">
        <v>6560</v>
      </c>
      <c r="AJ158" s="100">
        <v>0.26400000000000001</v>
      </c>
      <c r="AK158" s="100">
        <v>0.82799999999999996</v>
      </c>
      <c r="AL158" s="101">
        <v>184.23661628345701</v>
      </c>
      <c r="AM158" s="100">
        <v>0.435</v>
      </c>
      <c r="AN158" s="107">
        <v>10.220000000000001</v>
      </c>
      <c r="AO158" s="103">
        <v>9.5399999999999991</v>
      </c>
      <c r="AP158" s="100">
        <v>7.68</v>
      </c>
      <c r="AQ158" s="100">
        <v>47</v>
      </c>
      <c r="AR158" s="100">
        <v>6.9</v>
      </c>
      <c r="AS158" s="106">
        <v>4.7</v>
      </c>
      <c r="AT158" s="104">
        <v>0.01</v>
      </c>
      <c r="AU158" s="100">
        <v>4.952</v>
      </c>
      <c r="AV158" s="105">
        <v>3.5630000000000002</v>
      </c>
      <c r="AW158" s="106">
        <v>14.6556005</v>
      </c>
      <c r="AX158" s="100">
        <v>0</v>
      </c>
      <c r="AY158" s="100">
        <v>0.29399999999999998</v>
      </c>
    </row>
    <row r="159" spans="1:52" ht="13.5" customHeight="1" x14ac:dyDescent="0.2">
      <c r="A159" s="40">
        <v>45427</v>
      </c>
      <c r="B159" s="96">
        <v>5684</v>
      </c>
      <c r="C159" s="96">
        <v>1635</v>
      </c>
      <c r="D159" s="97">
        <v>134</v>
      </c>
      <c r="E159" s="97">
        <v>198</v>
      </c>
      <c r="F159" s="97">
        <v>104</v>
      </c>
      <c r="G159" s="97">
        <v>115</v>
      </c>
      <c r="H159" s="67">
        <v>8673</v>
      </c>
      <c r="I159" s="41">
        <v>1049</v>
      </c>
      <c r="J159" s="41">
        <v>3022</v>
      </c>
      <c r="K159" s="41">
        <v>11417</v>
      </c>
      <c r="L159" s="41">
        <v>3478</v>
      </c>
      <c r="M159" s="98">
        <v>9045</v>
      </c>
      <c r="N159" s="41">
        <v>475</v>
      </c>
      <c r="O159" s="41">
        <v>8496</v>
      </c>
      <c r="P159" s="41">
        <v>379</v>
      </c>
      <c r="Q159" s="98">
        <v>7479</v>
      </c>
      <c r="R159" s="41">
        <v>2853</v>
      </c>
      <c r="S159" s="41">
        <v>9742</v>
      </c>
      <c r="T159" s="41">
        <v>13510</v>
      </c>
      <c r="U159" s="41">
        <v>157.245</v>
      </c>
      <c r="V159" s="98">
        <v>850</v>
      </c>
      <c r="W159" s="41">
        <v>7192</v>
      </c>
      <c r="X159" s="41">
        <v>4276</v>
      </c>
      <c r="Y159" s="41"/>
      <c r="Z159" s="98">
        <v>3377</v>
      </c>
      <c r="AA159" s="41"/>
      <c r="AB159" s="98">
        <v>463</v>
      </c>
      <c r="AC159" s="41"/>
      <c r="AD159" s="99">
        <v>4398</v>
      </c>
      <c r="AE159" s="41">
        <v>164</v>
      </c>
      <c r="AF159" s="44">
        <v>9252</v>
      </c>
      <c r="AG159" s="41">
        <v>4055.24</v>
      </c>
      <c r="AH159" s="41">
        <v>28.5</v>
      </c>
      <c r="AI159" s="41">
        <v>6703</v>
      </c>
      <c r="AJ159" s="111">
        <v>0.28799999999999998</v>
      </c>
      <c r="AK159" s="106">
        <v>0.93700000000000006</v>
      </c>
      <c r="AL159" s="101">
        <v>191.08766162733102</v>
      </c>
      <c r="AM159" s="100">
        <v>0.432</v>
      </c>
      <c r="AN159" s="107">
        <v>12.41</v>
      </c>
      <c r="AO159" s="103">
        <v>9.08</v>
      </c>
      <c r="AP159" s="100">
        <v>7.57</v>
      </c>
      <c r="AQ159" s="100">
        <v>47</v>
      </c>
      <c r="AR159" s="100">
        <v>8.19</v>
      </c>
      <c r="AS159" s="106">
        <v>4.9000000000000004</v>
      </c>
      <c r="AT159" s="104">
        <v>0.01</v>
      </c>
      <c r="AU159" s="110">
        <v>4.9550000000000001</v>
      </c>
      <c r="AV159" s="112">
        <v>3.55</v>
      </c>
      <c r="AW159" s="106">
        <v>14.938118100000002</v>
      </c>
      <c r="AX159" s="100">
        <v>0</v>
      </c>
      <c r="AY159" s="100">
        <v>0.29399999999999998</v>
      </c>
    </row>
    <row r="160" spans="1:52" ht="13.5" customHeight="1" x14ac:dyDescent="0.2">
      <c r="A160" s="40">
        <v>45428</v>
      </c>
      <c r="B160" s="96">
        <v>5641</v>
      </c>
      <c r="C160" s="96">
        <v>1635</v>
      </c>
      <c r="D160" s="97">
        <v>134</v>
      </c>
      <c r="E160" s="97">
        <v>198</v>
      </c>
      <c r="F160" s="97">
        <v>104</v>
      </c>
      <c r="G160" s="97">
        <v>115</v>
      </c>
      <c r="H160" s="67">
        <v>9185</v>
      </c>
      <c r="I160" s="41">
        <v>1034</v>
      </c>
      <c r="J160" s="41">
        <v>2920</v>
      </c>
      <c r="K160" s="41">
        <v>11334</v>
      </c>
      <c r="L160" s="41">
        <v>3473</v>
      </c>
      <c r="M160" s="98">
        <v>8641</v>
      </c>
      <c r="N160" s="41">
        <v>560</v>
      </c>
      <c r="O160" s="41">
        <v>8323</v>
      </c>
      <c r="P160" s="41">
        <v>394</v>
      </c>
      <c r="Q160" s="98">
        <v>7486</v>
      </c>
      <c r="R160" s="41">
        <v>2763</v>
      </c>
      <c r="S160" s="41">
        <v>9603</v>
      </c>
      <c r="T160" s="41">
        <v>13216</v>
      </c>
      <c r="U160" s="41">
        <v>207.5634</v>
      </c>
      <c r="V160" s="98">
        <v>871</v>
      </c>
      <c r="W160" s="41">
        <v>7273</v>
      </c>
      <c r="X160" s="41">
        <v>4302</v>
      </c>
      <c r="Y160" s="41"/>
      <c r="Z160" s="98">
        <v>3383</v>
      </c>
      <c r="AA160" s="113"/>
      <c r="AB160" s="98">
        <v>638.18181818181813</v>
      </c>
      <c r="AC160" s="113"/>
      <c r="AD160" s="99">
        <v>4404</v>
      </c>
      <c r="AE160" s="41">
        <v>164</v>
      </c>
      <c r="AF160" s="44">
        <v>9343</v>
      </c>
      <c r="AG160" s="41">
        <v>4054.75</v>
      </c>
      <c r="AH160" s="41">
        <v>28.5</v>
      </c>
      <c r="AI160" s="41">
        <v>6812</v>
      </c>
      <c r="AJ160" s="114">
        <v>0.28799999999999998</v>
      </c>
      <c r="AK160" s="106">
        <v>0.93899999999999995</v>
      </c>
      <c r="AL160" s="101">
        <v>195.18416296696699</v>
      </c>
      <c r="AM160" s="100">
        <v>0.126</v>
      </c>
      <c r="AN160" s="107">
        <v>10.57</v>
      </c>
      <c r="AO160" s="103">
        <v>8.85</v>
      </c>
      <c r="AP160" s="100">
        <v>7.55</v>
      </c>
      <c r="AQ160" s="100">
        <v>44</v>
      </c>
      <c r="AR160" s="100">
        <v>8.3000000000000007</v>
      </c>
      <c r="AS160" s="106">
        <v>4.8</v>
      </c>
      <c r="AT160" s="104">
        <v>0.01</v>
      </c>
      <c r="AU160" s="110">
        <v>4.952</v>
      </c>
      <c r="AV160" s="115">
        <v>3.7749999999999999</v>
      </c>
      <c r="AW160" s="106">
        <v>14.231824100000001</v>
      </c>
      <c r="AX160" s="100">
        <v>0</v>
      </c>
      <c r="AY160" s="100">
        <v>0.29399999999999998</v>
      </c>
    </row>
    <row r="161" spans="1:51" ht="13.5" customHeight="1" x14ac:dyDescent="0.2">
      <c r="A161" s="40">
        <v>45429</v>
      </c>
      <c r="B161" s="96">
        <v>5733</v>
      </c>
      <c r="C161" s="96">
        <v>1635</v>
      </c>
      <c r="D161" s="97">
        <v>134</v>
      </c>
      <c r="E161" s="97">
        <v>198</v>
      </c>
      <c r="F161" s="97">
        <v>104</v>
      </c>
      <c r="G161" s="97">
        <v>115</v>
      </c>
      <c r="H161" s="67">
        <v>8921</v>
      </c>
      <c r="I161" s="41">
        <v>953</v>
      </c>
      <c r="J161" s="41">
        <v>2691</v>
      </c>
      <c r="K161" s="41">
        <v>12672</v>
      </c>
      <c r="L161" s="41">
        <v>3493</v>
      </c>
      <c r="M161" s="98">
        <v>8811</v>
      </c>
      <c r="N161" s="41">
        <v>495</v>
      </c>
      <c r="O161" s="41">
        <v>8193</v>
      </c>
      <c r="P161" s="41">
        <v>411</v>
      </c>
      <c r="Q161" s="98">
        <v>7482</v>
      </c>
      <c r="R161" s="41">
        <v>2865</v>
      </c>
      <c r="S161" s="41">
        <v>9721</v>
      </c>
      <c r="T161" s="41">
        <v>12070</v>
      </c>
      <c r="U161" s="41">
        <v>163.53479999999999</v>
      </c>
      <c r="V161" s="98">
        <v>859</v>
      </c>
      <c r="W161" s="41">
        <v>7302</v>
      </c>
      <c r="X161" s="41">
        <v>4315</v>
      </c>
      <c r="Y161" s="41"/>
      <c r="Z161" s="98">
        <v>3367</v>
      </c>
      <c r="AA161" s="113"/>
      <c r="AB161" s="98">
        <v>569.09090909090901</v>
      </c>
      <c r="AC161" s="113"/>
      <c r="AD161" s="99">
        <v>4352</v>
      </c>
      <c r="AE161" s="41">
        <v>164</v>
      </c>
      <c r="AF161" s="44">
        <v>8928</v>
      </c>
      <c r="AG161" s="41">
        <v>4053.77</v>
      </c>
      <c r="AH161" s="41">
        <v>28.5</v>
      </c>
      <c r="AI161" s="41">
        <v>6847</v>
      </c>
      <c r="AJ161" s="114">
        <v>0.40799999999999997</v>
      </c>
      <c r="AK161" s="106">
        <v>1.08</v>
      </c>
      <c r="AL161" s="101">
        <v>196.31423230203902</v>
      </c>
      <c r="AM161" s="100">
        <v>0.373</v>
      </c>
      <c r="AN161" s="107">
        <v>10.74</v>
      </c>
      <c r="AO161" s="103">
        <v>8.68</v>
      </c>
      <c r="AP161" s="100">
        <v>7.4</v>
      </c>
      <c r="AQ161" s="100">
        <v>46</v>
      </c>
      <c r="AR161" s="100">
        <v>8.1</v>
      </c>
      <c r="AS161" s="106">
        <v>5.8</v>
      </c>
      <c r="AT161" s="104">
        <v>0.01</v>
      </c>
      <c r="AU161" s="110">
        <v>4.9530000000000003</v>
      </c>
      <c r="AV161" s="115">
        <v>3.4980000000000002</v>
      </c>
      <c r="AW161" s="106">
        <v>14.584971100000001</v>
      </c>
      <c r="AX161" s="100">
        <v>0</v>
      </c>
      <c r="AY161" s="100">
        <v>0.27800000000000002</v>
      </c>
    </row>
    <row r="162" spans="1:51" ht="13.5" customHeight="1" x14ac:dyDescent="0.2">
      <c r="A162" s="40">
        <v>45430</v>
      </c>
      <c r="B162" s="96">
        <v>5769</v>
      </c>
      <c r="C162" s="96">
        <v>1635</v>
      </c>
      <c r="D162" s="97">
        <v>134</v>
      </c>
      <c r="E162" s="97">
        <v>198</v>
      </c>
      <c r="F162" s="97">
        <v>104</v>
      </c>
      <c r="G162" s="97">
        <v>115</v>
      </c>
      <c r="H162" s="67">
        <v>8803</v>
      </c>
      <c r="I162" s="41">
        <v>895</v>
      </c>
      <c r="J162" s="41">
        <v>2654</v>
      </c>
      <c r="K162" s="41">
        <v>12387</v>
      </c>
      <c r="L162" s="41">
        <v>3549</v>
      </c>
      <c r="M162" s="98">
        <v>8897</v>
      </c>
      <c r="N162" s="41">
        <v>461</v>
      </c>
      <c r="O162" s="41">
        <v>8407</v>
      </c>
      <c r="P162" s="41">
        <v>394</v>
      </c>
      <c r="Q162" s="98">
        <v>7506</v>
      </c>
      <c r="R162" s="41">
        <v>3058</v>
      </c>
      <c r="S162" s="41">
        <v>9466</v>
      </c>
      <c r="T162" s="41">
        <v>12642</v>
      </c>
      <c r="U162" s="41">
        <v>100.63679999999999</v>
      </c>
      <c r="V162" s="98">
        <v>839</v>
      </c>
      <c r="W162" s="41">
        <v>7372</v>
      </c>
      <c r="X162" s="96">
        <v>4467</v>
      </c>
      <c r="Y162" s="113"/>
      <c r="Z162" s="98">
        <v>3378</v>
      </c>
      <c r="AA162" s="113"/>
      <c r="AB162" s="98">
        <v>561.81818181818176</v>
      </c>
      <c r="AC162" s="113"/>
      <c r="AD162" s="99">
        <v>4376</v>
      </c>
      <c r="AE162" s="41">
        <v>164</v>
      </c>
      <c r="AF162" s="44">
        <v>8962</v>
      </c>
      <c r="AG162" s="41">
        <v>4053.2799999999997</v>
      </c>
      <c r="AH162" s="41">
        <v>28.5</v>
      </c>
      <c r="AI162" s="41">
        <v>6873</v>
      </c>
      <c r="AJ162" s="114">
        <v>0.26200000000000001</v>
      </c>
      <c r="AK162" s="116">
        <v>0</v>
      </c>
      <c r="AL162" s="101">
        <v>195.501994967456</v>
      </c>
      <c r="AM162" s="100">
        <v>0.38200000000000001</v>
      </c>
      <c r="AN162" s="107">
        <v>10.48</v>
      </c>
      <c r="AO162" s="103">
        <v>8.51</v>
      </c>
      <c r="AP162" s="100">
        <v>7.37</v>
      </c>
      <c r="AQ162" s="100">
        <v>44</v>
      </c>
      <c r="AR162" s="100">
        <v>8.1</v>
      </c>
      <c r="AS162" s="106">
        <v>5.8</v>
      </c>
      <c r="AT162" s="104">
        <v>0.01</v>
      </c>
      <c r="AU162" s="110">
        <v>4.9550000000000001</v>
      </c>
      <c r="AV162" s="116">
        <v>2.8839999999999999</v>
      </c>
      <c r="AW162" s="106">
        <v>13.8433624</v>
      </c>
      <c r="AX162" s="100">
        <v>0</v>
      </c>
      <c r="AY162" s="100">
        <v>0.2853</v>
      </c>
    </row>
    <row r="163" spans="1:51" ht="13.5" customHeight="1" x14ac:dyDescent="0.2">
      <c r="A163" s="40">
        <v>45431</v>
      </c>
      <c r="B163" s="96">
        <v>5689</v>
      </c>
      <c r="C163" s="96">
        <v>1635</v>
      </c>
      <c r="D163" s="97">
        <v>134</v>
      </c>
      <c r="E163" s="97">
        <v>198</v>
      </c>
      <c r="F163" s="97">
        <v>104</v>
      </c>
      <c r="G163" s="97">
        <v>115</v>
      </c>
      <c r="H163" s="67">
        <v>8600.6</v>
      </c>
      <c r="I163" s="41">
        <v>843.62599999999998</v>
      </c>
      <c r="J163" s="41">
        <v>2439.94</v>
      </c>
      <c r="K163" s="41">
        <v>12413</v>
      </c>
      <c r="L163" s="41">
        <v>3530.8339999999998</v>
      </c>
      <c r="M163" s="98">
        <v>8984.3462500000005</v>
      </c>
      <c r="N163" s="41">
        <v>394.65375</v>
      </c>
      <c r="O163" s="41">
        <v>8249.5</v>
      </c>
      <c r="P163" s="41">
        <v>398</v>
      </c>
      <c r="Q163" s="98">
        <v>7506</v>
      </c>
      <c r="R163" s="41">
        <v>3058</v>
      </c>
      <c r="S163" s="41">
        <v>9466</v>
      </c>
      <c r="T163" s="41">
        <v>13539</v>
      </c>
      <c r="U163" s="41">
        <v>100.63679999999999</v>
      </c>
      <c r="V163" s="98">
        <v>801</v>
      </c>
      <c r="W163" s="41">
        <v>7413</v>
      </c>
      <c r="X163" s="96">
        <v>4290.3999999999996</v>
      </c>
      <c r="Y163" s="113"/>
      <c r="Z163" s="98">
        <v>3377</v>
      </c>
      <c r="AA163" s="113"/>
      <c r="AB163" s="98">
        <v>512.72727272727263</v>
      </c>
      <c r="AC163" s="113"/>
      <c r="AD163" s="99">
        <v>3296</v>
      </c>
      <c r="AE163" s="41">
        <v>164</v>
      </c>
      <c r="AF163" s="44">
        <v>8775</v>
      </c>
      <c r="AG163" s="41">
        <v>4047.4</v>
      </c>
      <c r="AH163" s="41">
        <v>28.5</v>
      </c>
      <c r="AI163" s="41">
        <v>6829</v>
      </c>
      <c r="AJ163" s="114">
        <v>0.27400000000000002</v>
      </c>
      <c r="AK163" s="116">
        <v>0.90500000000000003</v>
      </c>
      <c r="AL163" s="101">
        <v>193.94814963173201</v>
      </c>
      <c r="AM163" s="100">
        <v>0.35099999999999998</v>
      </c>
      <c r="AN163" s="107">
        <v>9.9717000000000002</v>
      </c>
      <c r="AO163" s="107">
        <v>4.46</v>
      </c>
      <c r="AP163" s="107">
        <v>7.39</v>
      </c>
      <c r="AQ163" s="107">
        <v>44.954999999999998</v>
      </c>
      <c r="AR163" s="100">
        <v>8.1</v>
      </c>
      <c r="AS163" s="106">
        <v>5.8</v>
      </c>
      <c r="AT163" s="104">
        <v>0.01</v>
      </c>
      <c r="AU163" s="110">
        <v>4.9550000000000001</v>
      </c>
      <c r="AV163" s="116">
        <v>2.5150000000000001</v>
      </c>
      <c r="AW163" s="106">
        <v>13.8433624</v>
      </c>
      <c r="AX163" s="100">
        <v>0</v>
      </c>
      <c r="AY163" s="100">
        <v>0.28499999999999998</v>
      </c>
    </row>
    <row r="164" spans="1:51" ht="12.6" customHeight="1" x14ac:dyDescent="0.2">
      <c r="A164" s="40">
        <v>45432</v>
      </c>
      <c r="B164" s="96">
        <v>5727</v>
      </c>
      <c r="C164" s="96">
        <v>1635</v>
      </c>
      <c r="D164" s="97">
        <v>134</v>
      </c>
      <c r="E164" s="97">
        <v>198</v>
      </c>
      <c r="F164" s="97">
        <v>104</v>
      </c>
      <c r="G164" s="97">
        <v>115</v>
      </c>
      <c r="H164" s="67">
        <v>8434.0840000000007</v>
      </c>
      <c r="I164" s="41">
        <v>773.28700000000003</v>
      </c>
      <c r="J164" s="41">
        <v>2292.65</v>
      </c>
      <c r="K164" s="41">
        <v>12493</v>
      </c>
      <c r="L164" s="41">
        <v>3535.9790000000003</v>
      </c>
      <c r="M164" s="98">
        <v>8937.4375</v>
      </c>
      <c r="N164" s="41">
        <v>342.5625</v>
      </c>
      <c r="O164" s="41">
        <v>8294</v>
      </c>
      <c r="P164" s="41">
        <v>350</v>
      </c>
      <c r="Q164" s="98">
        <v>7506</v>
      </c>
      <c r="R164" s="41">
        <v>2568</v>
      </c>
      <c r="S164" s="41">
        <v>9538</v>
      </c>
      <c r="T164" s="41">
        <v>13053</v>
      </c>
      <c r="U164" s="41">
        <v>100.63679999999999</v>
      </c>
      <c r="V164" s="98">
        <v>802</v>
      </c>
      <c r="W164" s="41">
        <v>7377</v>
      </c>
      <c r="X164" s="96">
        <v>4264.7</v>
      </c>
      <c r="Y164" s="113"/>
      <c r="Z164" s="98">
        <v>3354</v>
      </c>
      <c r="AA164" s="113"/>
      <c r="AB164" s="98">
        <v>312.72727272727269</v>
      </c>
      <c r="AC164" s="113"/>
      <c r="AD164" s="99">
        <v>2901</v>
      </c>
      <c r="AE164" s="41">
        <v>164</v>
      </c>
      <c r="AF164" s="44">
        <v>9160</v>
      </c>
      <c r="AG164" s="41">
        <v>4050.34</v>
      </c>
      <c r="AH164" s="41">
        <v>28.5</v>
      </c>
      <c r="AI164" s="41">
        <v>6847</v>
      </c>
      <c r="AJ164" s="114">
        <v>0.14099999999999999</v>
      </c>
      <c r="AK164" s="116">
        <v>0.47199999999999998</v>
      </c>
      <c r="AL164" s="101">
        <v>195.961085634829</v>
      </c>
      <c r="AM164" s="100">
        <v>0.126</v>
      </c>
      <c r="AN164" s="107">
        <v>11.3979</v>
      </c>
      <c r="AO164" s="107">
        <v>1.83</v>
      </c>
      <c r="AP164" s="107">
        <v>7.41</v>
      </c>
      <c r="AQ164" s="107">
        <v>44.567</v>
      </c>
      <c r="AR164" s="100">
        <v>8.1</v>
      </c>
      <c r="AS164" s="106">
        <v>5.8</v>
      </c>
      <c r="AT164" s="104">
        <v>0.01</v>
      </c>
      <c r="AU164" s="110">
        <v>4.9550000000000001</v>
      </c>
      <c r="AV164" s="116">
        <v>3.395</v>
      </c>
      <c r="AW164" s="106">
        <v>14.690915200000001</v>
      </c>
      <c r="AX164" s="100">
        <v>0</v>
      </c>
      <c r="AY164" s="100">
        <v>0.29299999999999998</v>
      </c>
    </row>
    <row r="165" spans="1:51" ht="13.5" customHeight="1" x14ac:dyDescent="0.2">
      <c r="A165" s="40">
        <v>45433</v>
      </c>
      <c r="B165" s="96">
        <v>5640</v>
      </c>
      <c r="C165" s="96">
        <v>1635</v>
      </c>
      <c r="D165" s="97">
        <v>134</v>
      </c>
      <c r="E165" s="97">
        <v>198</v>
      </c>
      <c r="F165" s="97">
        <v>104</v>
      </c>
      <c r="G165" s="97">
        <v>115</v>
      </c>
      <c r="H165" s="67">
        <v>8655</v>
      </c>
      <c r="I165" s="41">
        <v>772</v>
      </c>
      <c r="J165" s="41">
        <v>2359</v>
      </c>
      <c r="K165" s="41">
        <v>12616</v>
      </c>
      <c r="L165" s="41">
        <v>3814.9789999999998</v>
      </c>
      <c r="M165" s="98">
        <v>6667</v>
      </c>
      <c r="N165" s="41">
        <v>267</v>
      </c>
      <c r="O165" s="41">
        <v>7344</v>
      </c>
      <c r="P165" s="41">
        <v>390</v>
      </c>
      <c r="Q165" s="98">
        <v>7406</v>
      </c>
      <c r="R165" s="96">
        <v>2757</v>
      </c>
      <c r="S165" s="96">
        <v>9738</v>
      </c>
      <c r="T165" s="41">
        <v>12458</v>
      </c>
      <c r="U165" s="41">
        <v>100.63679999999999</v>
      </c>
      <c r="V165" s="98">
        <v>802</v>
      </c>
      <c r="W165" s="41">
        <v>7427</v>
      </c>
      <c r="X165" s="96">
        <v>4242</v>
      </c>
      <c r="Y165" s="113"/>
      <c r="Z165" s="41">
        <v>3358</v>
      </c>
      <c r="AA165" s="113"/>
      <c r="AB165" s="98">
        <v>649.09090909090901</v>
      </c>
      <c r="AC165" s="113"/>
      <c r="AD165" s="99">
        <v>2876</v>
      </c>
      <c r="AE165" s="41">
        <v>164</v>
      </c>
      <c r="AF165" s="44">
        <v>9544</v>
      </c>
      <c r="AG165" s="41">
        <v>4058.18</v>
      </c>
      <c r="AH165" s="41">
        <v>28.5</v>
      </c>
      <c r="AI165" s="41">
        <v>6835</v>
      </c>
      <c r="AJ165" s="114">
        <v>0.17699999999999999</v>
      </c>
      <c r="AK165" s="116">
        <v>0.58899999999999997</v>
      </c>
      <c r="AL165" s="101">
        <v>195.961085634829</v>
      </c>
      <c r="AM165" s="116">
        <v>0.42499999999999999</v>
      </c>
      <c r="AN165" s="107">
        <v>7.2571000000000003</v>
      </c>
      <c r="AO165" s="107">
        <v>1.99</v>
      </c>
      <c r="AP165" s="107">
        <v>7.3</v>
      </c>
      <c r="AQ165" s="116">
        <v>43</v>
      </c>
      <c r="AR165" s="100">
        <v>7.8</v>
      </c>
      <c r="AS165" s="106">
        <v>5.79</v>
      </c>
      <c r="AT165" s="104">
        <v>0.01</v>
      </c>
      <c r="AU165" s="110">
        <v>4.95</v>
      </c>
      <c r="AV165" s="116">
        <v>3.1640000000000001</v>
      </c>
      <c r="AW165" s="106">
        <v>16.244762000000001</v>
      </c>
      <c r="AX165" s="100">
        <v>6.0000000000000001E-3</v>
      </c>
      <c r="AY165" s="100">
        <v>0.28399999999999997</v>
      </c>
    </row>
    <row r="166" spans="1:51" ht="13.5" customHeight="1" x14ac:dyDescent="0.2">
      <c r="A166" s="40">
        <v>45434</v>
      </c>
      <c r="B166" s="96">
        <v>5747</v>
      </c>
      <c r="C166" s="96">
        <v>1635</v>
      </c>
      <c r="D166" s="97">
        <v>134</v>
      </c>
      <c r="E166" s="97">
        <v>198</v>
      </c>
      <c r="F166" s="97">
        <v>104</v>
      </c>
      <c r="G166" s="97">
        <v>115</v>
      </c>
      <c r="H166" s="117">
        <v>8620.3430000000008</v>
      </c>
      <c r="I166" s="96">
        <v>580.65499999999997</v>
      </c>
      <c r="J166" s="96">
        <v>1761.367</v>
      </c>
      <c r="K166" s="96">
        <v>10789</v>
      </c>
      <c r="L166" s="96">
        <v>3533.6349999999998</v>
      </c>
      <c r="M166" s="98">
        <v>4162</v>
      </c>
      <c r="N166" s="41">
        <v>162</v>
      </c>
      <c r="O166" s="41">
        <v>8404.5</v>
      </c>
      <c r="P166" s="41">
        <v>350</v>
      </c>
      <c r="Q166" s="98">
        <v>7406</v>
      </c>
      <c r="R166" s="96">
        <v>3093</v>
      </c>
      <c r="S166" s="96">
        <v>9733</v>
      </c>
      <c r="T166" s="96">
        <v>12869</v>
      </c>
      <c r="U166" s="41">
        <v>106.92659999999999</v>
      </c>
      <c r="V166" s="98">
        <v>802</v>
      </c>
      <c r="W166" s="41">
        <v>7407</v>
      </c>
      <c r="X166" s="96">
        <v>4573</v>
      </c>
      <c r="Y166" s="113"/>
      <c r="Z166" s="41">
        <v>3350</v>
      </c>
      <c r="AA166" s="113"/>
      <c r="AB166" s="98">
        <v>578.18181818181813</v>
      </c>
      <c r="AC166" s="113"/>
      <c r="AD166" s="99">
        <v>2992</v>
      </c>
      <c r="AE166" s="41">
        <v>164</v>
      </c>
      <c r="AF166" s="44">
        <v>9275</v>
      </c>
      <c r="AG166" s="41">
        <v>4045.44</v>
      </c>
      <c r="AH166" s="41">
        <v>28.5</v>
      </c>
      <c r="AI166" s="41">
        <v>6866</v>
      </c>
      <c r="AJ166" s="114">
        <v>0.28999999999999998</v>
      </c>
      <c r="AK166" s="116">
        <v>0.96399999999999997</v>
      </c>
      <c r="AL166" s="101">
        <v>135.92615220912901</v>
      </c>
      <c r="AM166" s="116">
        <v>0.441</v>
      </c>
      <c r="AN166" s="107">
        <v>3.4996999999999998</v>
      </c>
      <c r="AO166" s="107">
        <v>2.37</v>
      </c>
      <c r="AP166" s="107">
        <v>7.79</v>
      </c>
      <c r="AQ166" s="116">
        <v>43</v>
      </c>
      <c r="AR166" s="100">
        <v>7.8</v>
      </c>
      <c r="AS166" s="106">
        <v>5.79</v>
      </c>
      <c r="AT166" s="104">
        <v>0.01</v>
      </c>
      <c r="AU166" s="110">
        <v>4.9539999999999997</v>
      </c>
      <c r="AV166" s="116">
        <v>1.85</v>
      </c>
      <c r="AW166" s="106">
        <v>15.9975591</v>
      </c>
      <c r="AX166" s="100">
        <v>0.373</v>
      </c>
      <c r="AY166" s="100">
        <v>0.30099999999999999</v>
      </c>
    </row>
    <row r="167" spans="1:51" ht="13.5" customHeight="1" x14ac:dyDescent="0.2">
      <c r="A167" s="40">
        <v>45435</v>
      </c>
      <c r="B167" s="96">
        <v>5707</v>
      </c>
      <c r="C167" s="96">
        <v>1635</v>
      </c>
      <c r="D167" s="97">
        <v>134</v>
      </c>
      <c r="E167" s="97">
        <v>198</v>
      </c>
      <c r="F167" s="97">
        <v>104</v>
      </c>
      <c r="G167" s="97">
        <v>115</v>
      </c>
      <c r="H167" s="117">
        <v>8627.9189999999999</v>
      </c>
      <c r="I167" s="96">
        <v>669.71699999999998</v>
      </c>
      <c r="J167" s="96">
        <v>2119.4009999999998</v>
      </c>
      <c r="K167" s="96">
        <v>12636</v>
      </c>
      <c r="L167" s="96">
        <v>3706.9630000000002</v>
      </c>
      <c r="M167" s="98">
        <v>4316.4737500000001</v>
      </c>
      <c r="N167" s="41">
        <v>139.52625</v>
      </c>
      <c r="O167" s="41">
        <v>8259.5</v>
      </c>
      <c r="P167" s="41">
        <v>366</v>
      </c>
      <c r="Q167" s="98">
        <v>7484</v>
      </c>
      <c r="R167" s="96">
        <v>2655</v>
      </c>
      <c r="S167" s="96">
        <v>9689</v>
      </c>
      <c r="T167" s="96">
        <v>12955</v>
      </c>
      <c r="U167" s="41">
        <v>52.456931999999995</v>
      </c>
      <c r="V167" s="98">
        <v>802</v>
      </c>
      <c r="W167" s="41">
        <v>7426</v>
      </c>
      <c r="X167" s="96">
        <v>3889</v>
      </c>
      <c r="Y167" s="113"/>
      <c r="Z167" s="41">
        <v>3355</v>
      </c>
      <c r="AA167" s="113"/>
      <c r="AB167" s="98">
        <v>582</v>
      </c>
      <c r="AC167" s="113"/>
      <c r="AD167" s="99">
        <v>2995</v>
      </c>
      <c r="AE167" s="41">
        <v>164</v>
      </c>
      <c r="AF167" s="44">
        <v>9199</v>
      </c>
      <c r="AG167" s="41">
        <v>4046.91</v>
      </c>
      <c r="AH167" s="41">
        <v>28.5</v>
      </c>
      <c r="AI167" s="41">
        <v>6837</v>
      </c>
      <c r="AJ167" s="114">
        <v>0.20899999999999999</v>
      </c>
      <c r="AK167" s="116">
        <v>0.69699999999999995</v>
      </c>
      <c r="AL167" s="101">
        <v>195.360736300572</v>
      </c>
      <c r="AM167" s="116">
        <v>0.40699999999999997</v>
      </c>
      <c r="AN167" s="107">
        <v>3.5918000000000001</v>
      </c>
      <c r="AO167" s="103">
        <v>1.79</v>
      </c>
      <c r="AP167" s="100">
        <v>8.31</v>
      </c>
      <c r="AQ167" s="116">
        <v>31.5</v>
      </c>
      <c r="AR167" s="100">
        <v>7.94</v>
      </c>
      <c r="AS167" s="106">
        <v>5.09</v>
      </c>
      <c r="AT167" s="104">
        <v>0.01</v>
      </c>
      <c r="AU167" s="116">
        <v>4.95</v>
      </c>
      <c r="AV167" s="116">
        <v>2.1</v>
      </c>
      <c r="AW167" s="106">
        <v>14.33</v>
      </c>
      <c r="AX167" s="100">
        <v>0.54100000000000004</v>
      </c>
      <c r="AY167" s="100">
        <v>0.41299999999999998</v>
      </c>
    </row>
    <row r="168" spans="1:51" ht="13.5" customHeight="1" x14ac:dyDescent="0.2">
      <c r="A168" s="40">
        <v>45436</v>
      </c>
      <c r="B168" s="96">
        <v>5680</v>
      </c>
      <c r="C168" s="96">
        <v>1635</v>
      </c>
      <c r="D168" s="97">
        <v>134</v>
      </c>
      <c r="E168" s="97">
        <v>198</v>
      </c>
      <c r="F168" s="97">
        <v>104</v>
      </c>
      <c r="G168" s="97">
        <v>115</v>
      </c>
      <c r="H168" s="117">
        <v>8645.4750000000004</v>
      </c>
      <c r="I168" s="96">
        <v>689.50300000000004</v>
      </c>
      <c r="J168" s="96">
        <v>2111.6280000000002</v>
      </c>
      <c r="K168" s="96">
        <v>12681</v>
      </c>
      <c r="L168" s="96">
        <v>3658.3939999999998</v>
      </c>
      <c r="M168" s="98">
        <v>8259.3024999999998</v>
      </c>
      <c r="N168" s="41">
        <v>90.697500000000005</v>
      </c>
      <c r="O168" s="41">
        <v>8896.5</v>
      </c>
      <c r="P168" s="41">
        <v>405</v>
      </c>
      <c r="Q168" s="98">
        <v>7492</v>
      </c>
      <c r="R168" s="96">
        <v>2295</v>
      </c>
      <c r="S168" s="96">
        <v>8876</v>
      </c>
      <c r="T168" s="96">
        <v>12188</v>
      </c>
      <c r="U168" s="41">
        <v>52.456931999999995</v>
      </c>
      <c r="V168" s="98">
        <v>802</v>
      </c>
      <c r="W168" s="41">
        <v>7461</v>
      </c>
      <c r="X168" s="96">
        <v>4419</v>
      </c>
      <c r="Y168" s="113"/>
      <c r="Z168" s="41">
        <v>3348</v>
      </c>
      <c r="AA168" s="113"/>
      <c r="AB168" s="98">
        <v>572</v>
      </c>
      <c r="AC168" s="113"/>
      <c r="AD168" s="99">
        <v>3516</v>
      </c>
      <c r="AE168" s="41">
        <v>164</v>
      </c>
      <c r="AF168" s="44">
        <v>9054</v>
      </c>
      <c r="AG168" s="41">
        <v>4049.36</v>
      </c>
      <c r="AH168" s="41">
        <v>28.5</v>
      </c>
      <c r="AI168" s="41">
        <v>7040</v>
      </c>
      <c r="AJ168" s="114">
        <v>0.251</v>
      </c>
      <c r="AK168" s="116">
        <v>0.83599999999999997</v>
      </c>
      <c r="AL168" s="101">
        <v>192.25304562912402</v>
      </c>
      <c r="AM168" s="116">
        <v>0.126</v>
      </c>
      <c r="AN168" s="107">
        <v>8.4168000000000003</v>
      </c>
      <c r="AO168" s="103">
        <v>1.08</v>
      </c>
      <c r="AP168" s="100">
        <v>3.69</v>
      </c>
      <c r="AQ168" s="116">
        <v>9.9</v>
      </c>
      <c r="AR168" s="100">
        <v>8.09</v>
      </c>
      <c r="AS168" s="106">
        <v>2.72</v>
      </c>
      <c r="AT168" s="104">
        <v>0.01</v>
      </c>
      <c r="AU168" s="116">
        <v>4.95</v>
      </c>
      <c r="AV168" s="116">
        <v>1.794</v>
      </c>
      <c r="AW168" s="106">
        <v>13.85</v>
      </c>
      <c r="AX168" s="100">
        <v>0.53800000000000003</v>
      </c>
      <c r="AY168" s="100">
        <v>0.45</v>
      </c>
    </row>
    <row r="169" spans="1:51" ht="13.5" customHeight="1" x14ac:dyDescent="0.2">
      <c r="A169" s="40">
        <v>45437</v>
      </c>
      <c r="B169" s="96">
        <v>5717</v>
      </c>
      <c r="C169" s="96">
        <v>1635</v>
      </c>
      <c r="D169" s="97">
        <v>134</v>
      </c>
      <c r="E169" s="97">
        <v>198</v>
      </c>
      <c r="F169" s="97">
        <v>104</v>
      </c>
      <c r="G169" s="97">
        <v>115</v>
      </c>
      <c r="H169" s="117">
        <v>8461.8439999999991</v>
      </c>
      <c r="I169" s="96">
        <v>650.46500000000003</v>
      </c>
      <c r="J169" s="96">
        <v>2132.8879999999999</v>
      </c>
      <c r="K169" s="96">
        <v>12627</v>
      </c>
      <c r="L169" s="96">
        <v>3626.8029999999999</v>
      </c>
      <c r="M169" s="98">
        <v>8632.3125</v>
      </c>
      <c r="N169" s="41">
        <v>679.6875</v>
      </c>
      <c r="O169" s="41">
        <v>8217</v>
      </c>
      <c r="P169" s="41">
        <v>409</v>
      </c>
      <c r="Q169" s="98">
        <v>7453</v>
      </c>
      <c r="R169" s="96">
        <v>3250</v>
      </c>
      <c r="S169" s="96">
        <v>9488</v>
      </c>
      <c r="T169" s="96">
        <v>13356</v>
      </c>
      <c r="U169" s="41">
        <v>104.850966</v>
      </c>
      <c r="V169" s="98">
        <v>802</v>
      </c>
      <c r="W169" s="41">
        <v>6418</v>
      </c>
      <c r="X169" s="96">
        <v>4321</v>
      </c>
      <c r="Y169" s="113"/>
      <c r="Z169" s="41">
        <v>3351</v>
      </c>
      <c r="AA169" s="113"/>
      <c r="AB169" s="98">
        <v>587</v>
      </c>
      <c r="AC169" s="113"/>
      <c r="AD169" s="99">
        <v>2909</v>
      </c>
      <c r="AE169" s="41">
        <v>164</v>
      </c>
      <c r="AF169" s="44">
        <v>8791</v>
      </c>
      <c r="AG169" s="41">
        <v>4044.46</v>
      </c>
      <c r="AH169" s="41">
        <v>28.5</v>
      </c>
      <c r="AI169" s="41">
        <v>7145</v>
      </c>
      <c r="AJ169" s="114">
        <v>0.26400000000000001</v>
      </c>
      <c r="AK169" s="116">
        <v>0.86299999999999999</v>
      </c>
      <c r="AL169" s="101">
        <v>190.48731229307401</v>
      </c>
      <c r="AM169" s="116">
        <v>0.34899999999999998</v>
      </c>
      <c r="AN169" s="107">
        <v>9.9421999999999997</v>
      </c>
      <c r="AO169" s="103">
        <v>2.52</v>
      </c>
      <c r="AP169" s="100">
        <v>8.0299999999999994</v>
      </c>
      <c r="AQ169" s="116">
        <v>9.6</v>
      </c>
      <c r="AR169" s="100">
        <v>5.83</v>
      </c>
      <c r="AS169" s="106">
        <v>5.35</v>
      </c>
      <c r="AT169" s="104">
        <v>0.01</v>
      </c>
      <c r="AU169" s="116">
        <v>4.95</v>
      </c>
      <c r="AV169" s="116">
        <v>1.804</v>
      </c>
      <c r="AW169" s="106">
        <v>14.64</v>
      </c>
      <c r="AX169" s="100">
        <v>0.56699999999999995</v>
      </c>
      <c r="AY169" s="100">
        <v>0.45400000000000001</v>
      </c>
    </row>
    <row r="170" spans="1:51" ht="13.5" customHeight="1" x14ac:dyDescent="0.2">
      <c r="A170" s="40">
        <v>45438</v>
      </c>
      <c r="B170" s="96">
        <v>5606</v>
      </c>
      <c r="C170" s="96">
        <v>1635</v>
      </c>
      <c r="D170" s="97">
        <v>134</v>
      </c>
      <c r="E170" s="97">
        <v>198</v>
      </c>
      <c r="F170" s="97">
        <v>104</v>
      </c>
      <c r="G170" s="97">
        <v>115</v>
      </c>
      <c r="H170" s="117">
        <v>8380.5759999999991</v>
      </c>
      <c r="I170" s="96">
        <v>633.68399999999997</v>
      </c>
      <c r="J170" s="96">
        <v>2020.615</v>
      </c>
      <c r="K170" s="96">
        <v>12578</v>
      </c>
      <c r="L170" s="96">
        <v>3607.125</v>
      </c>
      <c r="M170" s="98">
        <v>8867.0849999999991</v>
      </c>
      <c r="N170" s="41">
        <v>612.91499999999996</v>
      </c>
      <c r="O170" s="41">
        <v>8317</v>
      </c>
      <c r="P170" s="41">
        <v>405</v>
      </c>
      <c r="Q170" s="98">
        <v>7459</v>
      </c>
      <c r="R170" s="96">
        <v>3153</v>
      </c>
      <c r="S170" s="96">
        <v>9635</v>
      </c>
      <c r="T170" s="96">
        <v>14442</v>
      </c>
      <c r="U170" s="41">
        <v>104.850966</v>
      </c>
      <c r="V170" s="98">
        <v>802</v>
      </c>
      <c r="W170" s="41">
        <v>7581</v>
      </c>
      <c r="X170" s="96">
        <v>4059</v>
      </c>
      <c r="Y170" s="113"/>
      <c r="Z170" s="41">
        <v>3352</v>
      </c>
      <c r="AA170" s="113"/>
      <c r="AB170" s="98">
        <v>587.27272727272725</v>
      </c>
      <c r="AC170" s="113"/>
      <c r="AD170" s="99">
        <v>2843</v>
      </c>
      <c r="AE170" s="41">
        <v>164</v>
      </c>
      <c r="AF170" s="44">
        <v>8815</v>
      </c>
      <c r="AG170" s="41">
        <v>4040.54</v>
      </c>
      <c r="AH170" s="41">
        <v>28.5</v>
      </c>
      <c r="AI170" s="41">
        <v>7056</v>
      </c>
      <c r="AJ170" s="114">
        <v>0.26</v>
      </c>
      <c r="AK170" s="116">
        <v>0.84099999999999997</v>
      </c>
      <c r="AL170" s="101">
        <v>195.60793896761899</v>
      </c>
      <c r="AM170" s="116">
        <v>0.35499999999999998</v>
      </c>
      <c r="AN170" s="107">
        <v>16.206399999999999</v>
      </c>
      <c r="AO170" s="103">
        <v>2.44</v>
      </c>
      <c r="AP170" s="100">
        <v>8.19</v>
      </c>
      <c r="AQ170" s="116">
        <v>9.9700000000000006</v>
      </c>
      <c r="AR170" s="100">
        <v>7.2</v>
      </c>
      <c r="AS170" s="106">
        <v>5.1100000000000003</v>
      </c>
      <c r="AT170" s="104">
        <v>0.01</v>
      </c>
      <c r="AU170" s="116">
        <v>4.9539999999999997</v>
      </c>
      <c r="AV170" s="116">
        <v>1.8169999999999999</v>
      </c>
      <c r="AW170" s="106">
        <v>13.96</v>
      </c>
      <c r="AX170" s="100">
        <v>0.59</v>
      </c>
      <c r="AY170" s="100">
        <v>0.46100000000000002</v>
      </c>
    </row>
    <row r="171" spans="1:51" ht="13.5" customHeight="1" x14ac:dyDescent="0.2">
      <c r="A171" s="40">
        <v>45439</v>
      </c>
      <c r="B171" s="96">
        <v>5707</v>
      </c>
      <c r="C171" s="96">
        <v>1635</v>
      </c>
      <c r="D171" s="97">
        <v>134</v>
      </c>
      <c r="E171" s="97">
        <v>198</v>
      </c>
      <c r="F171" s="97">
        <v>104</v>
      </c>
      <c r="G171" s="97">
        <v>115</v>
      </c>
      <c r="H171" s="117">
        <v>8459.6180000000004</v>
      </c>
      <c r="I171" s="96">
        <v>669.90200000000004</v>
      </c>
      <c r="J171" s="96">
        <v>1745.7429999999999</v>
      </c>
      <c r="K171" s="96">
        <v>12558</v>
      </c>
      <c r="L171" s="96">
        <v>3604.7370000000001</v>
      </c>
      <c r="M171" s="98">
        <v>8747.5912499999995</v>
      </c>
      <c r="N171" s="97">
        <v>600</v>
      </c>
      <c r="O171" s="41">
        <v>7892</v>
      </c>
      <c r="P171" s="41">
        <v>395</v>
      </c>
      <c r="Q171" s="98">
        <v>7496</v>
      </c>
      <c r="R171" s="96">
        <v>3087</v>
      </c>
      <c r="S171" s="96">
        <v>9566</v>
      </c>
      <c r="T171" s="96">
        <v>14759</v>
      </c>
      <c r="U171" s="41">
        <v>104.850966</v>
      </c>
      <c r="V171" s="98">
        <v>802</v>
      </c>
      <c r="W171" s="41">
        <v>7461</v>
      </c>
      <c r="X171" s="96">
        <v>4360</v>
      </c>
      <c r="Y171" s="113"/>
      <c r="Z171" s="41">
        <v>3346</v>
      </c>
      <c r="AA171" s="113"/>
      <c r="AB171" s="98">
        <v>576.36363636363626</v>
      </c>
      <c r="AC171" s="113"/>
      <c r="AD171" s="99">
        <v>2495</v>
      </c>
      <c r="AE171" s="41">
        <v>164</v>
      </c>
      <c r="AF171" s="44">
        <v>8824</v>
      </c>
      <c r="AG171" s="41">
        <v>4043.97</v>
      </c>
      <c r="AH171" s="41">
        <v>28.5</v>
      </c>
      <c r="AI171" s="41">
        <v>7166</v>
      </c>
      <c r="AJ171" s="114">
        <v>0.39</v>
      </c>
      <c r="AK171" s="116">
        <v>1.26</v>
      </c>
      <c r="AL171" s="101">
        <v>199.06877630627702</v>
      </c>
      <c r="AM171" s="116">
        <v>0.35499999999999998</v>
      </c>
      <c r="AN171" s="107">
        <v>17.056899999999999</v>
      </c>
      <c r="AO171" s="103">
        <v>2.31</v>
      </c>
      <c r="AP171" s="100">
        <v>8.19</v>
      </c>
      <c r="AQ171" s="116">
        <v>9.9700000000000006</v>
      </c>
      <c r="AR171" s="100">
        <v>7.69</v>
      </c>
      <c r="AS171" s="106">
        <v>5.1100000000000003</v>
      </c>
      <c r="AT171" s="104">
        <v>0.01</v>
      </c>
      <c r="AU171" s="116">
        <v>4.9539999999999997</v>
      </c>
      <c r="AV171" s="116">
        <v>1.8360000000000001</v>
      </c>
      <c r="AW171" s="106">
        <v>13.96</v>
      </c>
      <c r="AX171" s="100">
        <v>0.41799999999999998</v>
      </c>
      <c r="AY171" s="100">
        <v>0.442</v>
      </c>
    </row>
    <row r="172" spans="1:51" ht="13.5" customHeight="1" x14ac:dyDescent="0.2">
      <c r="A172" s="40">
        <v>45440</v>
      </c>
      <c r="B172" s="96">
        <v>5680</v>
      </c>
      <c r="C172" s="96">
        <v>1635</v>
      </c>
      <c r="D172" s="97">
        <v>134</v>
      </c>
      <c r="E172" s="97">
        <v>198</v>
      </c>
      <c r="F172" s="97">
        <v>104</v>
      </c>
      <c r="G172" s="97">
        <v>115</v>
      </c>
      <c r="H172" s="117">
        <v>8385</v>
      </c>
      <c r="I172" s="96">
        <v>616</v>
      </c>
      <c r="J172" s="96">
        <v>1856</v>
      </c>
      <c r="K172" s="96">
        <v>12599</v>
      </c>
      <c r="L172" s="96">
        <v>3594</v>
      </c>
      <c r="M172" s="98">
        <v>8824</v>
      </c>
      <c r="N172" s="97">
        <v>516</v>
      </c>
      <c r="O172" s="41">
        <v>8809</v>
      </c>
      <c r="P172" s="41">
        <v>400</v>
      </c>
      <c r="Q172" s="98">
        <v>7459</v>
      </c>
      <c r="R172" s="96">
        <v>2985</v>
      </c>
      <c r="S172" s="96">
        <v>9635</v>
      </c>
      <c r="T172" s="96">
        <v>14620</v>
      </c>
      <c r="U172" s="41">
        <v>104.850966</v>
      </c>
      <c r="V172" s="98">
        <v>803</v>
      </c>
      <c r="W172" s="41">
        <v>7513</v>
      </c>
      <c r="X172" s="96">
        <v>4175</v>
      </c>
      <c r="Y172" s="113"/>
      <c r="Z172" s="41">
        <v>3341</v>
      </c>
      <c r="AA172" s="113"/>
      <c r="AB172" s="98">
        <v>576.36363636363626</v>
      </c>
      <c r="AC172" s="113"/>
      <c r="AD172" s="99">
        <v>2834</v>
      </c>
      <c r="AE172" s="41">
        <v>164</v>
      </c>
      <c r="AF172" s="44">
        <v>8796</v>
      </c>
      <c r="AG172" s="41">
        <v>4042.99</v>
      </c>
      <c r="AH172" s="41">
        <v>28.5</v>
      </c>
      <c r="AI172" s="41">
        <v>7315</v>
      </c>
      <c r="AJ172" s="114">
        <v>0.36099999999999999</v>
      </c>
      <c r="AK172" s="116">
        <v>1.1719999999999999</v>
      </c>
      <c r="AL172" s="101">
        <v>199.95164297430199</v>
      </c>
      <c r="AM172" s="116">
        <v>0.35499999999999998</v>
      </c>
      <c r="AN172" s="107">
        <v>16.03</v>
      </c>
      <c r="AO172" s="103">
        <v>2.21</v>
      </c>
      <c r="AP172" s="100">
        <v>7.45</v>
      </c>
      <c r="AQ172" s="116">
        <v>10</v>
      </c>
      <c r="AR172" s="100">
        <v>7.69</v>
      </c>
      <c r="AS172" s="106">
        <v>5.7</v>
      </c>
      <c r="AT172" s="104">
        <v>0.01</v>
      </c>
      <c r="AU172" s="116">
        <v>4.9550000000000001</v>
      </c>
      <c r="AV172" s="116">
        <v>1.8340000000000001</v>
      </c>
      <c r="AW172" s="106">
        <v>13.243012500000001</v>
      </c>
      <c r="AX172" s="100">
        <v>0.375</v>
      </c>
      <c r="AY172" s="100">
        <v>0.45</v>
      </c>
    </row>
    <row r="173" spans="1:51" ht="13.5" customHeight="1" x14ac:dyDescent="0.2">
      <c r="A173" s="40">
        <v>45441</v>
      </c>
      <c r="B173" s="96">
        <v>5604</v>
      </c>
      <c r="C173" s="96">
        <v>1635</v>
      </c>
      <c r="D173" s="97">
        <v>134</v>
      </c>
      <c r="E173" s="97">
        <v>198</v>
      </c>
      <c r="F173" s="97">
        <v>104</v>
      </c>
      <c r="G173" s="97">
        <v>115</v>
      </c>
      <c r="H173" s="117">
        <v>8530.7870000000003</v>
      </c>
      <c r="I173" s="96">
        <v>491.702</v>
      </c>
      <c r="J173" s="96">
        <v>1687.098</v>
      </c>
      <c r="K173" s="96">
        <v>12672</v>
      </c>
      <c r="L173" s="96">
        <v>3636.413</v>
      </c>
      <c r="M173" s="98">
        <v>8896.0212499999961</v>
      </c>
      <c r="N173" s="97">
        <v>404</v>
      </c>
      <c r="O173" s="41">
        <v>8278</v>
      </c>
      <c r="P173" s="41">
        <v>400</v>
      </c>
      <c r="Q173" s="98">
        <v>7476</v>
      </c>
      <c r="R173" s="96">
        <v>2973</v>
      </c>
      <c r="S173" s="96">
        <v>9581</v>
      </c>
      <c r="T173" s="96">
        <v>14680</v>
      </c>
      <c r="U173" s="41">
        <v>104.850966</v>
      </c>
      <c r="V173" s="98">
        <v>803</v>
      </c>
      <c r="W173" s="41">
        <v>7265</v>
      </c>
      <c r="X173" s="96">
        <v>4275</v>
      </c>
      <c r="Y173" s="113"/>
      <c r="Z173" s="41">
        <v>2968</v>
      </c>
      <c r="AA173" s="113"/>
      <c r="AB173" s="98">
        <v>550.90909090909088</v>
      </c>
      <c r="AC173" s="113"/>
      <c r="AD173" s="99">
        <v>3015</v>
      </c>
      <c r="AE173" s="41">
        <v>164</v>
      </c>
      <c r="AF173" s="44">
        <v>8758</v>
      </c>
      <c r="AG173" s="41">
        <v>4042.99</v>
      </c>
      <c r="AH173" s="41">
        <v>28.5</v>
      </c>
      <c r="AI173" s="41">
        <v>7315</v>
      </c>
      <c r="AJ173" s="114">
        <v>0.35299999999999998</v>
      </c>
      <c r="AK173" s="116">
        <v>1.159</v>
      </c>
      <c r="AL173" s="101">
        <v>195.360736300572</v>
      </c>
      <c r="AM173" s="116">
        <v>0.32</v>
      </c>
      <c r="AN173" s="107">
        <v>13.94</v>
      </c>
      <c r="AO173" s="103">
        <v>2.39</v>
      </c>
      <c r="AP173" s="100">
        <v>8.02</v>
      </c>
      <c r="AQ173" s="116">
        <v>10</v>
      </c>
      <c r="AR173" s="100">
        <v>7.69</v>
      </c>
      <c r="AS173" s="106">
        <v>5.9</v>
      </c>
      <c r="AT173" s="104">
        <v>0.01</v>
      </c>
      <c r="AU173" s="116">
        <v>4.9569999999999999</v>
      </c>
      <c r="AV173" s="116">
        <v>1.8280000000000001</v>
      </c>
      <c r="AW173" s="106">
        <v>3.9199317000000002</v>
      </c>
      <c r="AX173" s="100">
        <v>0.41299999999999998</v>
      </c>
      <c r="AY173" s="100">
        <v>0.45800000000000002</v>
      </c>
    </row>
    <row r="174" spans="1:51" ht="13.5" customHeight="1" x14ac:dyDescent="0.2">
      <c r="A174" s="40">
        <v>45442</v>
      </c>
      <c r="B174" s="96">
        <v>5614</v>
      </c>
      <c r="C174" s="96">
        <v>1635</v>
      </c>
      <c r="D174" s="97">
        <v>134</v>
      </c>
      <c r="E174" s="97">
        <v>198</v>
      </c>
      <c r="F174" s="97">
        <v>104</v>
      </c>
      <c r="G174" s="97">
        <v>115</v>
      </c>
      <c r="H174" s="117">
        <v>8521.8719999999994</v>
      </c>
      <c r="I174" s="96">
        <v>531.29700000000003</v>
      </c>
      <c r="J174" s="96">
        <v>1799.9680000000001</v>
      </c>
      <c r="K174" s="96">
        <v>12668</v>
      </c>
      <c r="L174" s="96">
        <v>3720.6654447199999</v>
      </c>
      <c r="M174" s="98">
        <v>8959</v>
      </c>
      <c r="N174" s="97">
        <v>387</v>
      </c>
      <c r="O174" s="41">
        <v>8555</v>
      </c>
      <c r="P174" s="41">
        <v>388</v>
      </c>
      <c r="Q174" s="98">
        <v>7508</v>
      </c>
      <c r="R174" s="96">
        <v>2961</v>
      </c>
      <c r="S174" s="96">
        <v>9509</v>
      </c>
      <c r="T174" s="96">
        <v>14499</v>
      </c>
      <c r="U174" s="41">
        <v>113.21639999999999</v>
      </c>
      <c r="V174" s="41">
        <v>803</v>
      </c>
      <c r="W174" s="41">
        <v>7523</v>
      </c>
      <c r="X174" s="96">
        <v>4499</v>
      </c>
      <c r="Y174" s="113"/>
      <c r="Z174" s="41">
        <v>2705</v>
      </c>
      <c r="AA174" s="113"/>
      <c r="AB174" s="98">
        <v>556.36363636363637</v>
      </c>
      <c r="AC174" s="113"/>
      <c r="AD174" s="99">
        <v>2957</v>
      </c>
      <c r="AE174" s="41">
        <v>164</v>
      </c>
      <c r="AF174" s="44">
        <v>9484</v>
      </c>
      <c r="AG174" s="41">
        <v>4040.0499999999997</v>
      </c>
      <c r="AH174" s="41">
        <v>28.5</v>
      </c>
      <c r="AI174" s="41">
        <v>7470</v>
      </c>
      <c r="AJ174" s="114">
        <v>0.34549999999999997</v>
      </c>
      <c r="AK174" s="116">
        <v>1.115</v>
      </c>
      <c r="AL174" s="101">
        <v>190.34605362618998</v>
      </c>
      <c r="AM174" s="116">
        <v>0.33700000000000002</v>
      </c>
      <c r="AN174" s="107">
        <v>13.94</v>
      </c>
      <c r="AO174" s="103">
        <v>2.39</v>
      </c>
      <c r="AP174" s="100">
        <v>8.02</v>
      </c>
      <c r="AQ174" s="116">
        <v>10</v>
      </c>
      <c r="AR174" s="100">
        <v>7.69</v>
      </c>
      <c r="AS174" s="106">
        <v>5.9</v>
      </c>
      <c r="AT174" s="104">
        <v>0.01</v>
      </c>
      <c r="AU174" s="116">
        <v>4.9569999999999999</v>
      </c>
      <c r="AV174" s="116">
        <v>1.8</v>
      </c>
      <c r="AW174" s="106">
        <v>9.9587453999999997</v>
      </c>
      <c r="AX174" s="100">
        <v>0.45</v>
      </c>
      <c r="AY174" s="100">
        <v>0.45800000000000002</v>
      </c>
    </row>
    <row r="175" spans="1:51" ht="13.5" customHeight="1" x14ac:dyDescent="0.2">
      <c r="A175" s="40">
        <v>45443</v>
      </c>
      <c r="B175" s="96">
        <v>5669</v>
      </c>
      <c r="C175" s="96">
        <v>1635</v>
      </c>
      <c r="D175" s="97">
        <v>134</v>
      </c>
      <c r="E175" s="97">
        <v>198</v>
      </c>
      <c r="F175" s="97">
        <v>104</v>
      </c>
      <c r="G175" s="97">
        <v>115</v>
      </c>
      <c r="H175" s="117">
        <v>8549.9969999999994</v>
      </c>
      <c r="I175" s="96">
        <v>561.822</v>
      </c>
      <c r="J175" s="96">
        <v>1964.123</v>
      </c>
      <c r="K175" s="96">
        <v>12674</v>
      </c>
      <c r="L175" s="96">
        <v>3761.63527092</v>
      </c>
      <c r="M175" s="98">
        <v>9035</v>
      </c>
      <c r="N175" s="97">
        <v>367</v>
      </c>
      <c r="O175" s="41">
        <v>7056</v>
      </c>
      <c r="P175" s="41">
        <v>289</v>
      </c>
      <c r="Q175" s="98">
        <v>7478</v>
      </c>
      <c r="R175" s="96">
        <v>2937</v>
      </c>
      <c r="S175" s="96">
        <v>9530</v>
      </c>
      <c r="T175" s="96">
        <v>13836</v>
      </c>
      <c r="U175" s="41">
        <v>50.318399999999997</v>
      </c>
      <c r="V175" s="41">
        <v>803</v>
      </c>
      <c r="W175" s="41">
        <v>7442</v>
      </c>
      <c r="X175" s="96">
        <v>4114</v>
      </c>
      <c r="Y175" s="113"/>
      <c r="Z175" s="41">
        <v>2712</v>
      </c>
      <c r="AA175" s="113"/>
      <c r="AB175" s="98">
        <v>560</v>
      </c>
      <c r="AC175" s="113"/>
      <c r="AD175" s="99">
        <v>3103</v>
      </c>
      <c r="AE175" s="41">
        <v>164</v>
      </c>
      <c r="AF175" s="44">
        <v>9805</v>
      </c>
      <c r="AG175" s="41">
        <v>4038.09</v>
      </c>
      <c r="AH175" s="41">
        <v>20</v>
      </c>
      <c r="AI175" s="41">
        <v>7230</v>
      </c>
      <c r="AJ175" s="114">
        <v>0.21</v>
      </c>
      <c r="AK175" s="116">
        <v>0.7</v>
      </c>
      <c r="AL175" s="101">
        <v>177.59745893990902</v>
      </c>
      <c r="AM175" s="116">
        <v>0.34799999999999998</v>
      </c>
      <c r="AN175" s="107">
        <v>13.94</v>
      </c>
      <c r="AO175" s="103">
        <v>2.3199999999999998</v>
      </c>
      <c r="AP175" s="100">
        <v>7.93</v>
      </c>
      <c r="AQ175" s="116">
        <v>10</v>
      </c>
      <c r="AR175" s="100">
        <v>7.69</v>
      </c>
      <c r="AS175" s="106">
        <v>5.9</v>
      </c>
      <c r="AT175" s="104">
        <v>0.01</v>
      </c>
      <c r="AU175" s="116">
        <v>4.9569999999999999</v>
      </c>
      <c r="AV175" s="116">
        <v>1.86</v>
      </c>
      <c r="AW175" s="106">
        <v>11.653851000000001</v>
      </c>
      <c r="AX175" s="100">
        <v>0.442</v>
      </c>
      <c r="AY175" s="100">
        <v>0.45800000000000002</v>
      </c>
    </row>
    <row r="176" spans="1:51" ht="16.899999999999999" customHeight="1" x14ac:dyDescent="0.2">
      <c r="A176" s="50" t="s">
        <v>52</v>
      </c>
      <c r="B176" s="118">
        <f t="shared" ref="B176:G176" si="54">SUM(B145:B175)*B$2</f>
        <v>1328196.07</v>
      </c>
      <c r="C176" s="118">
        <f t="shared" si="54"/>
        <v>368986.8</v>
      </c>
      <c r="D176" s="118">
        <f t="shared" si="54"/>
        <v>30241.120000000003</v>
      </c>
      <c r="E176" s="118">
        <f t="shared" si="54"/>
        <v>46096.38</v>
      </c>
      <c r="F176" s="118">
        <f t="shared" si="54"/>
        <v>23651.263999999999</v>
      </c>
      <c r="G176" s="118">
        <f t="shared" si="54"/>
        <v>26152.84</v>
      </c>
      <c r="H176" s="119">
        <f>SUM(H145:H175)</f>
        <v>266610.34700000001</v>
      </c>
      <c r="I176" s="119">
        <f>SUM(I145:I175)</f>
        <v>27357.507999999998</v>
      </c>
      <c r="J176" s="119">
        <f>SUM(J145:J175)</f>
        <v>70458.451000000001</v>
      </c>
      <c r="K176" s="119">
        <f>SUM(K145:K175)</f>
        <v>379735</v>
      </c>
      <c r="L176" s="119">
        <f>SUM(L145:L175)</f>
        <v>112843.12332948</v>
      </c>
      <c r="M176" s="118">
        <f>SUM(M145:M175)</f>
        <v>262662.56999999995</v>
      </c>
      <c r="N176" s="118">
        <f>SUM(N145:N175)</f>
        <v>12188.042500000003</v>
      </c>
      <c r="O176" s="118">
        <f>SUM(O145:O175)</f>
        <v>253242</v>
      </c>
      <c r="P176" s="118">
        <f>SUM(P145:P175)</f>
        <v>11941</v>
      </c>
      <c r="Q176" s="118">
        <f>SUM(Q145:Q175)</f>
        <v>232663</v>
      </c>
      <c r="R176" s="118">
        <f t="shared" ref="R176:V176" si="55">SUM(R145:R175)</f>
        <v>89532</v>
      </c>
      <c r="S176" s="118">
        <f t="shared" si="55"/>
        <v>298532</v>
      </c>
      <c r="T176" s="118">
        <f t="shared" si="55"/>
        <v>370240</v>
      </c>
      <c r="U176" s="118">
        <f t="shared" si="55"/>
        <v>3686.0114939999999</v>
      </c>
      <c r="V176" s="118">
        <f t="shared" si="55"/>
        <v>25367</v>
      </c>
      <c r="W176" s="118">
        <f>SUM(W145:W175)</f>
        <v>229460</v>
      </c>
      <c r="X176" s="118">
        <f>SUM(X145:X175)</f>
        <v>129982.09999999999</v>
      </c>
      <c r="Y176" s="118"/>
      <c r="Z176" s="118">
        <f>SUM(Z145:Z175)</f>
        <v>94769</v>
      </c>
      <c r="AA176" s="118"/>
      <c r="AB176" s="118">
        <f>SUM(AB145:AB175)*AB$2</f>
        <v>115861.86181818179</v>
      </c>
      <c r="AC176" s="118"/>
      <c r="AD176" s="118">
        <f>SUM(AD145:AD175)</f>
        <v>118087</v>
      </c>
      <c r="AE176" s="118">
        <f>SUM(AE145:AE175)*AE$2</f>
        <v>42858.119999999995</v>
      </c>
      <c r="AF176" s="118">
        <f>SUM(AF145:AF175)</f>
        <v>288238</v>
      </c>
      <c r="AG176" s="118">
        <f>SUM(AG145:AG175)*AG$2</f>
        <v>904028.18519999995</v>
      </c>
      <c r="AH176" s="118">
        <f>SUM(AH145:AH175)*$AH$2</f>
        <v>7258.4418942885004</v>
      </c>
      <c r="AI176" s="118">
        <f>SUM(AI145:AI175)</f>
        <v>213753</v>
      </c>
      <c r="AJ176" s="121">
        <f>SUM(AJ145:AJ175)*AJ$2</f>
        <v>325.12447916688654</v>
      </c>
      <c r="AK176" s="121">
        <f>SUM(AK145:AK175)*AK$2</f>
        <v>1000.181990872162</v>
      </c>
      <c r="AL176" s="122">
        <f>SUM(AL145:AL175)</f>
        <v>5862.2346756860006</v>
      </c>
      <c r="AM176" s="122">
        <f>SUM(AM145:AM175)*AM$2</f>
        <v>345.97778986563708</v>
      </c>
      <c r="AN176" s="122">
        <f>SUM(AN145:AN175)</f>
        <v>334.14049999999992</v>
      </c>
      <c r="AO176" s="122">
        <f t="shared" ref="AO176:AP176" si="56">SUM(AO145:AO175)</f>
        <v>209.84</v>
      </c>
      <c r="AP176" s="122">
        <f t="shared" si="56"/>
        <v>230.49</v>
      </c>
      <c r="AQ176" s="122">
        <f>SUM(AQ145:AQ175)</f>
        <v>1049.462</v>
      </c>
      <c r="AR176" s="122">
        <f>SUM(AR145:AR175)</f>
        <v>255.57500000000002</v>
      </c>
      <c r="AS176" s="122">
        <f>SUM(AS145:AS175)</f>
        <v>142.93300000000002</v>
      </c>
      <c r="AT176" s="122">
        <f>SUM(AT145:AT175)*AT$2</f>
        <v>10.947557000000005</v>
      </c>
      <c r="AU176" s="122">
        <f>SUM(AU145:AU175)*AU$2</f>
        <v>5423.0665908000001</v>
      </c>
      <c r="AV176" s="122">
        <f>SUM(AV145:AV175)*AV$2</f>
        <v>3056.6991731999997</v>
      </c>
      <c r="AW176" s="122">
        <f>SUM(AW145:AW175)</f>
        <v>433.31602489999989</v>
      </c>
      <c r="AX176" s="122">
        <f>SUM(AX145:AX175)*AX2</f>
        <v>232.79450240000003</v>
      </c>
      <c r="AY176" s="122">
        <f>SUM(AY145:AY175)*AY$2</f>
        <v>399.59642491000005</v>
      </c>
    </row>
    <row r="177" spans="1:51" ht="16.899999999999999" customHeight="1" x14ac:dyDescent="0.2">
      <c r="A177" s="50" t="s">
        <v>53</v>
      </c>
      <c r="B177" s="120">
        <f t="shared" ref="B177:W177" si="57">B176/B$2</f>
        <v>176857</v>
      </c>
      <c r="C177" s="120">
        <f t="shared" si="57"/>
        <v>50685</v>
      </c>
      <c r="D177" s="120">
        <f t="shared" si="57"/>
        <v>4154</v>
      </c>
      <c r="E177" s="120">
        <f t="shared" si="57"/>
        <v>6138</v>
      </c>
      <c r="F177" s="120">
        <f t="shared" si="57"/>
        <v>3223.9999999999995</v>
      </c>
      <c r="G177" s="120">
        <f t="shared" si="57"/>
        <v>3565</v>
      </c>
      <c r="H177" s="123">
        <f>H176/H$2</f>
        <v>36065.912909780149</v>
      </c>
      <c r="I177" s="123">
        <f>I176/I$2</f>
        <v>3663.4149481978266</v>
      </c>
      <c r="J177" s="123">
        <f>J176/J$2</f>
        <v>9473.3497839155352</v>
      </c>
      <c r="K177" s="123">
        <f>K176/K$2</f>
        <v>47595.921434540411</v>
      </c>
      <c r="L177" s="123">
        <f>L176/L$2</f>
        <v>14820.7881507782</v>
      </c>
      <c r="M177" s="120">
        <f t="shared" si="57"/>
        <v>34652.054089709753</v>
      </c>
      <c r="N177" s="120">
        <f t="shared" si="57"/>
        <v>1558.5732097186703</v>
      </c>
      <c r="O177" s="120">
        <f t="shared" si="57"/>
        <v>33765.599999999999</v>
      </c>
      <c r="P177" s="120">
        <f t="shared" si="57"/>
        <v>1592.1333333333334</v>
      </c>
      <c r="Q177" s="120">
        <f t="shared" si="57"/>
        <v>31271.908602150535</v>
      </c>
      <c r="R177" s="120">
        <f t="shared" si="57"/>
        <v>11478.461538461539</v>
      </c>
      <c r="S177" s="120">
        <f t="shared" si="57"/>
        <v>40152.252858103566</v>
      </c>
      <c r="T177" s="120">
        <f t="shared" si="57"/>
        <v>49796.906523201076</v>
      </c>
      <c r="U177" s="120">
        <f t="shared" si="57"/>
        <v>428.13813412351561</v>
      </c>
      <c r="V177" s="120">
        <f t="shared" si="57"/>
        <v>3219.1624365482235</v>
      </c>
      <c r="W177" s="120">
        <f t="shared" si="57"/>
        <v>29994.771241830065</v>
      </c>
      <c r="X177" s="120">
        <f>X176/X$2</f>
        <v>17148.034300791554</v>
      </c>
      <c r="Y177" s="120"/>
      <c r="Z177" s="120">
        <f>Z176/Z$2</f>
        <v>13001.84253020693</v>
      </c>
      <c r="AA177" s="120"/>
      <c r="AB177" s="120">
        <f>AB176/AB$2</f>
        <v>15915.090909090904</v>
      </c>
      <c r="AC177" s="120"/>
      <c r="AD177" s="120">
        <f t="shared" ref="AD177:AH177" si="58">AD176/AD$2</f>
        <v>15603.461945031713</v>
      </c>
      <c r="AE177" s="120">
        <f t="shared" si="58"/>
        <v>5084</v>
      </c>
      <c r="AF177" s="120">
        <f>AF176/AF$2</f>
        <v>35558.598568961264</v>
      </c>
      <c r="AG177" s="120">
        <f t="shared" si="58"/>
        <v>125211.66</v>
      </c>
      <c r="AH177" s="120">
        <f t="shared" si="58"/>
        <v>865.5</v>
      </c>
      <c r="AI177" s="120">
        <f>AI176/AI$2</f>
        <v>27404.23076923077</v>
      </c>
      <c r="AJ177" s="124">
        <f>AJ176/$AJ$2</f>
        <v>9.2065000000000001</v>
      </c>
      <c r="AK177" s="124">
        <f>AK176/$AJ$2</f>
        <v>28.321999999999999</v>
      </c>
      <c r="AL177" s="57">
        <f>AL176/$AJ$2</f>
        <v>166</v>
      </c>
      <c r="AM177" s="57">
        <f>AM176/$AJ$2</f>
        <v>9.7970000000000024</v>
      </c>
      <c r="AN177" s="57">
        <f>AN176/$AJ$2</f>
        <v>9.4618052788050804</v>
      </c>
      <c r="AO177" s="57">
        <f>AO176/$AJ$2</f>
        <v>5.9420070889474896</v>
      </c>
      <c r="AP177" s="57">
        <f>AP176/$AJ$2</f>
        <v>6.5267499710803794</v>
      </c>
      <c r="AQ177" s="57">
        <f>AQ176/$AJ$2</f>
        <v>29.717454458544655</v>
      </c>
      <c r="AR177" s="57">
        <f>AR176/$AJ$2</f>
        <v>7.2370780678505273</v>
      </c>
      <c r="AS177" s="57">
        <f>AS176/$AJ$2</f>
        <v>4.047411833990334</v>
      </c>
      <c r="AT177" s="57">
        <f>AT176/$AJ$2</f>
        <v>0.31000029213046482</v>
      </c>
      <c r="AU177" s="57">
        <f>AU176/$AJ$2</f>
        <v>153.56414471200864</v>
      </c>
      <c r="AV177" s="57">
        <f>AV176/$AJ$2</f>
        <v>86.556081566595154</v>
      </c>
      <c r="AW177" s="57">
        <f>AW176/$AJ$2</f>
        <v>12.270143403118309</v>
      </c>
      <c r="AX177" s="57">
        <f>AX176/$AJ$2</f>
        <v>6.5920062120129792</v>
      </c>
      <c r="AY177" s="57">
        <f>AY176/$AJ$2</f>
        <v>11.31531066304467</v>
      </c>
    </row>
    <row r="178" spans="1:51" ht="16.899999999999999" customHeight="1" x14ac:dyDescent="0.2">
      <c r="A178" s="50" t="s">
        <v>54</v>
      </c>
      <c r="B178" s="59">
        <f>B176</f>
        <v>1328196.07</v>
      </c>
      <c r="C178" s="59">
        <f t="shared" ref="C178:AH179" si="59">C176</f>
        <v>368986.8</v>
      </c>
      <c r="D178" s="59">
        <f t="shared" si="59"/>
        <v>30241.120000000003</v>
      </c>
      <c r="E178" s="59">
        <f t="shared" si="59"/>
        <v>46096.38</v>
      </c>
      <c r="F178" s="59">
        <f t="shared" si="59"/>
        <v>23651.263999999999</v>
      </c>
      <c r="G178" s="59">
        <f t="shared" si="59"/>
        <v>26152.84</v>
      </c>
      <c r="H178" s="60">
        <f t="shared" si="59"/>
        <v>266610.34700000001</v>
      </c>
      <c r="I178" s="60">
        <f t="shared" si="59"/>
        <v>27357.507999999998</v>
      </c>
      <c r="J178" s="60">
        <f t="shared" si="59"/>
        <v>70458.451000000001</v>
      </c>
      <c r="K178" s="60">
        <f t="shared" si="59"/>
        <v>379735</v>
      </c>
      <c r="L178" s="60">
        <f t="shared" si="59"/>
        <v>112843.12332948</v>
      </c>
      <c r="M178" s="59">
        <f t="shared" si="59"/>
        <v>262662.56999999995</v>
      </c>
      <c r="N178" s="59">
        <f t="shared" si="59"/>
        <v>12188.042500000003</v>
      </c>
      <c r="O178" s="59">
        <f t="shared" si="59"/>
        <v>253242</v>
      </c>
      <c r="P178" s="59">
        <f t="shared" si="59"/>
        <v>11941</v>
      </c>
      <c r="Q178" s="59">
        <f t="shared" si="59"/>
        <v>232663</v>
      </c>
      <c r="R178" s="59">
        <f t="shared" si="59"/>
        <v>89532</v>
      </c>
      <c r="S178" s="59">
        <f t="shared" si="59"/>
        <v>298532</v>
      </c>
      <c r="T178" s="59">
        <f t="shared" si="59"/>
        <v>370240</v>
      </c>
      <c r="U178" s="59">
        <f t="shared" si="59"/>
        <v>3686.0114939999999</v>
      </c>
      <c r="V178" s="59">
        <f t="shared" si="59"/>
        <v>25367</v>
      </c>
      <c r="W178" s="59">
        <f t="shared" si="59"/>
        <v>229460</v>
      </c>
      <c r="X178" s="59">
        <f t="shared" si="59"/>
        <v>129982.09999999999</v>
      </c>
      <c r="Y178" s="59">
        <f t="shared" si="59"/>
        <v>0</v>
      </c>
      <c r="Z178" s="59">
        <f t="shared" si="59"/>
        <v>94769</v>
      </c>
      <c r="AA178" s="59">
        <f t="shared" si="59"/>
        <v>0</v>
      </c>
      <c r="AB178" s="59">
        <f>AB176</f>
        <v>115861.86181818179</v>
      </c>
      <c r="AC178" s="59">
        <f t="shared" si="59"/>
        <v>0</v>
      </c>
      <c r="AD178" s="59">
        <f t="shared" si="59"/>
        <v>118087</v>
      </c>
      <c r="AE178" s="59">
        <f t="shared" si="59"/>
        <v>42858.119999999995</v>
      </c>
      <c r="AF178" s="59">
        <f>AF176</f>
        <v>288238</v>
      </c>
      <c r="AG178" s="59">
        <f t="shared" si="59"/>
        <v>904028.18519999995</v>
      </c>
      <c r="AH178" s="59">
        <f t="shared" si="59"/>
        <v>7258.4418942885004</v>
      </c>
      <c r="AI178" s="59">
        <f>AI176</f>
        <v>213753</v>
      </c>
      <c r="AJ178" s="61">
        <f t="shared" ref="AJ178:AY179" si="60">AJ176</f>
        <v>325.12447916688654</v>
      </c>
      <c r="AK178" s="61">
        <f t="shared" si="60"/>
        <v>1000.181990872162</v>
      </c>
      <c r="AL178" s="62">
        <f t="shared" si="60"/>
        <v>5862.2346756860006</v>
      </c>
      <c r="AM178" s="62">
        <f t="shared" si="60"/>
        <v>345.97778986563708</v>
      </c>
      <c r="AN178" s="62">
        <f t="shared" si="60"/>
        <v>334.14049999999992</v>
      </c>
      <c r="AO178" s="62">
        <f t="shared" si="60"/>
        <v>209.84</v>
      </c>
      <c r="AP178" s="62">
        <f t="shared" si="60"/>
        <v>230.49</v>
      </c>
      <c r="AQ178" s="62">
        <f t="shared" si="60"/>
        <v>1049.462</v>
      </c>
      <c r="AR178" s="62">
        <f t="shared" si="60"/>
        <v>255.57500000000002</v>
      </c>
      <c r="AS178" s="62">
        <f t="shared" si="60"/>
        <v>142.93300000000002</v>
      </c>
      <c r="AT178" s="62">
        <f t="shared" si="60"/>
        <v>10.947557000000005</v>
      </c>
      <c r="AU178" s="62">
        <f t="shared" si="60"/>
        <v>5423.0665908000001</v>
      </c>
      <c r="AV178" s="62">
        <f t="shared" si="60"/>
        <v>3056.6991731999997</v>
      </c>
      <c r="AW178" s="62">
        <f>AW176</f>
        <v>433.31602489999989</v>
      </c>
      <c r="AX178" s="62">
        <f t="shared" si="60"/>
        <v>232.79450240000003</v>
      </c>
      <c r="AY178" s="62">
        <f t="shared" si="60"/>
        <v>399.59642491000005</v>
      </c>
    </row>
    <row r="179" spans="1:51" ht="16.899999999999999" customHeight="1" x14ac:dyDescent="0.2">
      <c r="A179" s="50" t="s">
        <v>55</v>
      </c>
      <c r="B179" s="125">
        <f>B177</f>
        <v>176857</v>
      </c>
      <c r="C179" s="125">
        <f t="shared" si="59"/>
        <v>50685</v>
      </c>
      <c r="D179" s="125">
        <f t="shared" si="59"/>
        <v>4154</v>
      </c>
      <c r="E179" s="125">
        <f t="shared" si="59"/>
        <v>6138</v>
      </c>
      <c r="F179" s="125">
        <f t="shared" si="59"/>
        <v>3223.9999999999995</v>
      </c>
      <c r="G179" s="125">
        <f t="shared" si="59"/>
        <v>3565</v>
      </c>
      <c r="H179" s="126">
        <f t="shared" si="59"/>
        <v>36065.912909780149</v>
      </c>
      <c r="I179" s="126">
        <f t="shared" si="59"/>
        <v>3663.4149481978266</v>
      </c>
      <c r="J179" s="126">
        <f t="shared" si="59"/>
        <v>9473.3497839155352</v>
      </c>
      <c r="K179" s="126">
        <f t="shared" si="59"/>
        <v>47595.921434540411</v>
      </c>
      <c r="L179" s="126">
        <f t="shared" si="59"/>
        <v>14820.7881507782</v>
      </c>
      <c r="M179" s="125">
        <f t="shared" si="59"/>
        <v>34652.054089709753</v>
      </c>
      <c r="N179" s="125">
        <f t="shared" si="59"/>
        <v>1558.5732097186703</v>
      </c>
      <c r="O179" s="125">
        <f t="shared" si="59"/>
        <v>33765.599999999999</v>
      </c>
      <c r="P179" s="125">
        <f t="shared" si="59"/>
        <v>1592.1333333333334</v>
      </c>
      <c r="Q179" s="125">
        <f t="shared" si="59"/>
        <v>31271.908602150535</v>
      </c>
      <c r="R179" s="125">
        <f t="shared" si="59"/>
        <v>11478.461538461539</v>
      </c>
      <c r="S179" s="125">
        <f t="shared" si="59"/>
        <v>40152.252858103566</v>
      </c>
      <c r="T179" s="125">
        <f t="shared" si="59"/>
        <v>49796.906523201076</v>
      </c>
      <c r="U179" s="125">
        <f t="shared" si="59"/>
        <v>428.13813412351561</v>
      </c>
      <c r="V179" s="125">
        <f t="shared" si="59"/>
        <v>3219.1624365482235</v>
      </c>
      <c r="W179" s="125">
        <f t="shared" si="59"/>
        <v>29994.771241830065</v>
      </c>
      <c r="X179" s="125">
        <f t="shared" si="59"/>
        <v>17148.034300791554</v>
      </c>
      <c r="Y179" s="125">
        <f t="shared" si="59"/>
        <v>0</v>
      </c>
      <c r="Z179" s="125">
        <f t="shared" si="59"/>
        <v>13001.84253020693</v>
      </c>
      <c r="AA179" s="125">
        <f t="shared" si="59"/>
        <v>0</v>
      </c>
      <c r="AB179" s="125">
        <f>AB177</f>
        <v>15915.090909090904</v>
      </c>
      <c r="AC179" s="125">
        <f t="shared" si="59"/>
        <v>0</v>
      </c>
      <c r="AD179" s="125">
        <f t="shared" si="59"/>
        <v>15603.461945031713</v>
      </c>
      <c r="AE179" s="125">
        <f t="shared" si="59"/>
        <v>5084</v>
      </c>
      <c r="AF179" s="125">
        <f>AF177</f>
        <v>35558.598568961264</v>
      </c>
      <c r="AG179" s="125">
        <f t="shared" si="59"/>
        <v>125211.66</v>
      </c>
      <c r="AH179" s="125">
        <f t="shared" si="59"/>
        <v>865.5</v>
      </c>
      <c r="AI179" s="125">
        <f>AI177</f>
        <v>27404.23076923077</v>
      </c>
      <c r="AJ179" s="61">
        <f t="shared" si="60"/>
        <v>9.2065000000000001</v>
      </c>
      <c r="AK179" s="61">
        <f t="shared" si="60"/>
        <v>28.321999999999999</v>
      </c>
      <c r="AL179" s="62">
        <f t="shared" si="60"/>
        <v>166</v>
      </c>
      <c r="AM179" s="62">
        <f t="shared" si="60"/>
        <v>9.7970000000000024</v>
      </c>
      <c r="AN179" s="62">
        <f t="shared" si="60"/>
        <v>9.4618052788050804</v>
      </c>
      <c r="AO179" s="62">
        <f t="shared" si="60"/>
        <v>5.9420070889474896</v>
      </c>
      <c r="AP179" s="62">
        <f t="shared" si="60"/>
        <v>6.5267499710803794</v>
      </c>
      <c r="AQ179" s="62">
        <f t="shared" si="60"/>
        <v>29.717454458544655</v>
      </c>
      <c r="AR179" s="62">
        <f t="shared" si="60"/>
        <v>7.2370780678505273</v>
      </c>
      <c r="AS179" s="62">
        <f t="shared" si="60"/>
        <v>4.047411833990334</v>
      </c>
      <c r="AT179" s="62">
        <f t="shared" si="60"/>
        <v>0.31000029213046482</v>
      </c>
      <c r="AU179" s="62">
        <f t="shared" si="60"/>
        <v>153.56414471200864</v>
      </c>
      <c r="AV179" s="62">
        <f t="shared" si="60"/>
        <v>86.556081566595154</v>
      </c>
      <c r="AW179" s="62">
        <f>AW177</f>
        <v>12.270143403118309</v>
      </c>
      <c r="AX179" s="62">
        <f t="shared" si="60"/>
        <v>6.5920062120129792</v>
      </c>
      <c r="AY179" s="62">
        <f t="shared" si="60"/>
        <v>11.31531066304467</v>
      </c>
    </row>
    <row r="180" spans="1:51" s="66" customFormat="1" ht="16.899999999999999" customHeight="1" x14ac:dyDescent="0.2">
      <c r="A180" s="50" t="s">
        <v>56</v>
      </c>
      <c r="B180" s="65">
        <f>B179+B144</f>
        <v>871263</v>
      </c>
      <c r="C180" s="65">
        <f t="shared" ref="C180:AI180" si="61">C179+C144</f>
        <v>229173</v>
      </c>
      <c r="D180" s="65">
        <f t="shared" si="61"/>
        <v>19499</v>
      </c>
      <c r="E180" s="65">
        <f t="shared" si="61"/>
        <v>32769</v>
      </c>
      <c r="F180" s="65">
        <f t="shared" si="61"/>
        <v>16275</v>
      </c>
      <c r="G180" s="65">
        <f t="shared" si="61"/>
        <v>18110</v>
      </c>
      <c r="H180" s="93">
        <f>H179+H144</f>
        <v>179147.07436359872</v>
      </c>
      <c r="I180" s="93">
        <f>I179+I144</f>
        <v>16581.774607855274</v>
      </c>
      <c r="J180" s="93">
        <f>J179+J144</f>
        <v>40535.499989295451</v>
      </c>
      <c r="K180" s="93">
        <f>K179+K144</f>
        <v>223726.21205849593</v>
      </c>
      <c r="L180" s="93">
        <f>L179+L144</f>
        <v>72429.529885502125</v>
      </c>
      <c r="M180" s="65">
        <f t="shared" si="61"/>
        <v>169622.37071240105</v>
      </c>
      <c r="N180" s="65">
        <f t="shared" si="61"/>
        <v>7248.4709079283884</v>
      </c>
      <c r="O180" s="65">
        <f t="shared" si="61"/>
        <v>175141.46666666667</v>
      </c>
      <c r="P180" s="65">
        <f t="shared" si="61"/>
        <v>7465.6</v>
      </c>
      <c r="Q180" s="65">
        <f t="shared" si="61"/>
        <v>152487.36559139786</v>
      </c>
      <c r="R180" s="65">
        <f t="shared" si="61"/>
        <v>54981.410256410258</v>
      </c>
      <c r="S180" s="65">
        <f t="shared" si="61"/>
        <v>204253.39609952926</v>
      </c>
      <c r="T180" s="65">
        <f t="shared" si="61"/>
        <v>139061.60053799598</v>
      </c>
      <c r="U180" s="65">
        <f t="shared" si="61"/>
        <v>2167.0132427938661</v>
      </c>
      <c r="V180" s="65">
        <f t="shared" si="61"/>
        <v>15700.634517766499</v>
      </c>
      <c r="W180" s="65">
        <f t="shared" si="61"/>
        <v>155978.03921568627</v>
      </c>
      <c r="X180" s="65">
        <f t="shared" si="61"/>
        <v>76534.841688654342</v>
      </c>
      <c r="Y180" s="65">
        <f t="shared" si="61"/>
        <v>0</v>
      </c>
      <c r="Z180" s="65">
        <f t="shared" si="61"/>
        <v>66441.117920561286</v>
      </c>
      <c r="AA180" s="65">
        <f t="shared" si="61"/>
        <v>0</v>
      </c>
      <c r="AB180" s="65">
        <f>AB179+AB144</f>
        <v>66711.127272727259</v>
      </c>
      <c r="AC180" s="65">
        <f t="shared" si="61"/>
        <v>0</v>
      </c>
      <c r="AD180" s="65">
        <f t="shared" si="61"/>
        <v>78846.723044397469</v>
      </c>
      <c r="AE180" s="65">
        <f t="shared" si="61"/>
        <v>24609</v>
      </c>
      <c r="AF180" s="65">
        <f>AF179+AF144</f>
        <v>147631.87762151493</v>
      </c>
      <c r="AG180" s="65">
        <f t="shared" si="61"/>
        <v>604727.04000000004</v>
      </c>
      <c r="AH180" s="65">
        <f t="shared" si="61"/>
        <v>4921.0025000000005</v>
      </c>
      <c r="AI180" s="65">
        <f t="shared" si="61"/>
        <v>132166.38969230771</v>
      </c>
      <c r="AJ180" s="127">
        <f>AJ179+AJ144</f>
        <v>50.496381999999997</v>
      </c>
      <c r="AK180" s="127">
        <f>AK179+AK144</f>
        <v>146.84547000000001</v>
      </c>
      <c r="AL180" s="94">
        <f t="shared" ref="AL180:AR180" si="62">AL179+AL144</f>
        <v>787.19487735776102</v>
      </c>
      <c r="AM180" s="94">
        <f t="shared" si="62"/>
        <v>48.695</v>
      </c>
      <c r="AN180" s="94">
        <f t="shared" si="62"/>
        <v>31.053378152026532</v>
      </c>
      <c r="AO180" s="94">
        <f t="shared" si="62"/>
        <v>24.372876199003443</v>
      </c>
      <c r="AP180" s="94">
        <f t="shared" si="62"/>
        <v>27.789870077307363</v>
      </c>
      <c r="AQ180" s="94">
        <f t="shared" si="62"/>
        <v>137.6009587855003</v>
      </c>
      <c r="AR180" s="94">
        <f t="shared" si="62"/>
        <v>36.004995006807235</v>
      </c>
      <c r="AS180" s="94">
        <f>AS179+AS144</f>
        <v>7.7325662495241998</v>
      </c>
      <c r="AT180" s="94">
        <f t="shared" ref="AT180:AY180" si="63">AT179+AT144</f>
        <v>1.7331016331977693</v>
      </c>
      <c r="AU180" s="94">
        <f t="shared" si="63"/>
        <v>663.67895937148421</v>
      </c>
      <c r="AV180" s="94">
        <f t="shared" si="63"/>
        <v>413.63842979442848</v>
      </c>
      <c r="AW180" s="94">
        <f t="shared" si="63"/>
        <v>52.710304630259571</v>
      </c>
      <c r="AX180" s="94">
        <f t="shared" si="63"/>
        <v>31.981343137792997</v>
      </c>
      <c r="AY180" s="94">
        <f t="shared" si="63"/>
        <v>60.581177089002381</v>
      </c>
    </row>
    <row r="181" spans="1:51" ht="15.75" customHeight="1" x14ac:dyDescent="0.2">
      <c r="A181" s="40">
        <v>45444</v>
      </c>
      <c r="B181" s="96">
        <f>7700-(C181+D181+E181+F181)</f>
        <v>5634</v>
      </c>
      <c r="C181" s="96">
        <v>1635</v>
      </c>
      <c r="D181" s="97">
        <v>134</v>
      </c>
      <c r="E181" s="97">
        <v>198</v>
      </c>
      <c r="F181" s="97">
        <v>99</v>
      </c>
      <c r="G181" s="97">
        <v>105</v>
      </c>
      <c r="H181" s="67">
        <v>8549.9969999999994</v>
      </c>
      <c r="I181" s="41">
        <v>561.822</v>
      </c>
      <c r="J181" s="41">
        <v>1964.123</v>
      </c>
      <c r="K181" s="41">
        <v>12674</v>
      </c>
      <c r="L181" s="41">
        <f>3456.63527092+305</f>
        <v>3761.63527092</v>
      </c>
      <c r="M181" s="41">
        <f>9329-N181</f>
        <v>8988</v>
      </c>
      <c r="N181" s="41">
        <v>341</v>
      </c>
      <c r="O181" s="41">
        <v>8510</v>
      </c>
      <c r="P181" s="41">
        <v>407</v>
      </c>
      <c r="Q181" s="41">
        <v>7506</v>
      </c>
      <c r="R181" s="41">
        <v>2895</v>
      </c>
      <c r="S181" s="41">
        <v>9582</v>
      </c>
      <c r="T181" s="41">
        <v>14173</v>
      </c>
      <c r="U181" s="41">
        <f>6*6.2898</f>
        <v>37.738799999999998</v>
      </c>
      <c r="V181" s="41">
        <v>838</v>
      </c>
      <c r="W181" s="41">
        <v>7515</v>
      </c>
      <c r="X181" s="41">
        <v>4285</v>
      </c>
      <c r="Y181" s="41"/>
      <c r="Z181" s="41">
        <v>2709</v>
      </c>
      <c r="AA181" s="41"/>
      <c r="AB181" s="41">
        <f>305/0.55</f>
        <v>554.5454545454545</v>
      </c>
      <c r="AC181" s="41"/>
      <c r="AD181" s="96">
        <v>4100</v>
      </c>
      <c r="AE181" s="41">
        <v>153</v>
      </c>
      <c r="AF181" s="96">
        <v>9478</v>
      </c>
      <c r="AG181" s="96">
        <f>8239*0.49</f>
        <v>4037.11</v>
      </c>
      <c r="AH181" s="41">
        <v>43</v>
      </c>
      <c r="AI181" s="41">
        <v>7358</v>
      </c>
      <c r="AJ181" s="100">
        <v>0.17399999999999999</v>
      </c>
      <c r="AK181" s="47">
        <v>0.57899999999999996</v>
      </c>
      <c r="AL181" s="100">
        <f>5498 *35.314666721/10^3</f>
        <v>194.16003763205799</v>
      </c>
      <c r="AM181" s="116">
        <v>0.34300000000000003</v>
      </c>
      <c r="AN181" s="47">
        <v>12</v>
      </c>
      <c r="AO181" s="100">
        <v>2.3199999999999998</v>
      </c>
      <c r="AP181" s="100">
        <v>7.93</v>
      </c>
      <c r="AQ181" s="100">
        <v>10</v>
      </c>
      <c r="AR181" s="47">
        <v>8.33</v>
      </c>
      <c r="AS181" s="47">
        <v>5.98</v>
      </c>
      <c r="AT181" s="47">
        <v>0.01</v>
      </c>
      <c r="AU181" s="116">
        <v>4.9569999999999999</v>
      </c>
      <c r="AV181" s="116">
        <v>1.802</v>
      </c>
      <c r="AW181" s="100">
        <f>313*35.3147/1000</f>
        <v>11.053501100000002</v>
      </c>
      <c r="AX181" s="100">
        <v>0.442</v>
      </c>
      <c r="AY181" s="100">
        <v>0.45800000000000002</v>
      </c>
    </row>
    <row r="182" spans="1:51" ht="13.5" customHeight="1" x14ac:dyDescent="0.2">
      <c r="A182" s="40">
        <v>45445</v>
      </c>
      <c r="B182" s="96">
        <f>7892-(C182+D182+E182+F182)</f>
        <v>5826</v>
      </c>
      <c r="C182" s="96">
        <v>1635</v>
      </c>
      <c r="D182" s="97">
        <v>134</v>
      </c>
      <c r="E182" s="97">
        <v>198</v>
      </c>
      <c r="F182" s="97">
        <v>99</v>
      </c>
      <c r="G182" s="97">
        <v>105</v>
      </c>
      <c r="H182" s="108">
        <v>8469.9349999999995</v>
      </c>
      <c r="I182" s="41">
        <v>501.38200000000001</v>
      </c>
      <c r="J182" s="41">
        <v>1771.693</v>
      </c>
      <c r="K182" s="41">
        <v>12657</v>
      </c>
      <c r="L182" s="41">
        <f>3304.64605604+283</f>
        <v>3587.6460560400001</v>
      </c>
      <c r="M182" s="41">
        <f>9543-N182</f>
        <v>9191</v>
      </c>
      <c r="N182" s="41">
        <v>352</v>
      </c>
      <c r="O182" s="41">
        <v>8164</v>
      </c>
      <c r="P182" s="41">
        <v>400</v>
      </c>
      <c r="Q182" s="41">
        <v>7479</v>
      </c>
      <c r="R182" s="41">
        <v>2835</v>
      </c>
      <c r="S182" s="41">
        <v>9487</v>
      </c>
      <c r="T182" s="41">
        <v>14012</v>
      </c>
      <c r="U182" s="41">
        <f>16*6.2898</f>
        <v>100.63679999999999</v>
      </c>
      <c r="V182" s="41">
        <v>865</v>
      </c>
      <c r="W182" s="41">
        <v>6614</v>
      </c>
      <c r="X182" s="41">
        <v>4592</v>
      </c>
      <c r="Y182" s="41"/>
      <c r="Z182" s="41">
        <v>2709</v>
      </c>
      <c r="AA182" s="41"/>
      <c r="AB182" s="41">
        <f>294/0.55</f>
        <v>534.5454545454545</v>
      </c>
      <c r="AC182" s="41"/>
      <c r="AD182" s="96">
        <v>3577</v>
      </c>
      <c r="AE182" s="41">
        <v>153</v>
      </c>
      <c r="AF182" s="96">
        <v>9334</v>
      </c>
      <c r="AG182" s="96">
        <f>8217*0.49</f>
        <v>4026.33</v>
      </c>
      <c r="AH182" s="41">
        <v>35.5</v>
      </c>
      <c r="AI182" s="41">
        <v>7537</v>
      </c>
      <c r="AJ182" s="100">
        <v>0.69799999999999995</v>
      </c>
      <c r="AK182" s="47">
        <v>2.1110000000000002</v>
      </c>
      <c r="AL182" s="100">
        <f>5438 *35.314666721/10^3</f>
        <v>192.041157628798</v>
      </c>
      <c r="AM182" s="116">
        <v>0.34300000000000003</v>
      </c>
      <c r="AN182" s="47">
        <v>10.81</v>
      </c>
      <c r="AO182" s="100">
        <v>2.27</v>
      </c>
      <c r="AP182" s="100">
        <v>8.11</v>
      </c>
      <c r="AQ182" s="100">
        <v>10</v>
      </c>
      <c r="AR182" s="47">
        <v>6.6</v>
      </c>
      <c r="AS182" s="47">
        <v>6.05</v>
      </c>
      <c r="AT182" s="47">
        <v>0.01</v>
      </c>
      <c r="AU182" s="116">
        <v>4.9550000000000001</v>
      </c>
      <c r="AV182" s="116">
        <v>2.2949999999999999</v>
      </c>
      <c r="AW182" s="100">
        <f>348*35.3147/1000</f>
        <v>12.289515600000001</v>
      </c>
      <c r="AX182" s="100">
        <v>0.502</v>
      </c>
      <c r="AY182" s="100">
        <v>0.46800000000000003</v>
      </c>
    </row>
    <row r="183" spans="1:51" ht="13.5" customHeight="1" x14ac:dyDescent="0.2">
      <c r="A183" s="40">
        <v>45446</v>
      </c>
      <c r="B183" s="96">
        <f>7920-(C183+D183+E183+F183)</f>
        <v>5854</v>
      </c>
      <c r="C183" s="96">
        <v>1635</v>
      </c>
      <c r="D183" s="97">
        <v>134</v>
      </c>
      <c r="E183" s="97">
        <v>198</v>
      </c>
      <c r="F183" s="97">
        <v>99</v>
      </c>
      <c r="G183" s="97">
        <v>105</v>
      </c>
      <c r="H183" s="108">
        <v>8495.48</v>
      </c>
      <c r="I183" s="41">
        <v>601.11800000000005</v>
      </c>
      <c r="J183" s="41">
        <v>2086.7739999999999</v>
      </c>
      <c r="K183" s="41">
        <v>12637</v>
      </c>
      <c r="L183" s="41">
        <f>3228.4817996+283</f>
        <v>3511.4817996000002</v>
      </c>
      <c r="M183" s="41">
        <f>9700-N183</f>
        <v>9356</v>
      </c>
      <c r="N183" s="41">
        <v>344</v>
      </c>
      <c r="O183" s="41">
        <v>8033</v>
      </c>
      <c r="P183" s="41">
        <v>395</v>
      </c>
      <c r="Q183" s="41">
        <v>7504</v>
      </c>
      <c r="R183" s="41">
        <v>2763</v>
      </c>
      <c r="S183" s="41">
        <v>9420</v>
      </c>
      <c r="T183" s="41">
        <v>14114</v>
      </c>
      <c r="U183" s="41">
        <f>12*6.2898</f>
        <v>75.477599999999995</v>
      </c>
      <c r="V183" s="41">
        <v>819</v>
      </c>
      <c r="W183" s="41">
        <v>3262</v>
      </c>
      <c r="X183" s="41">
        <v>4065</v>
      </c>
      <c r="Y183" s="41"/>
      <c r="Z183" s="41">
        <v>2699</v>
      </c>
      <c r="AA183" s="41"/>
      <c r="AB183" s="41">
        <f>190/0.55</f>
        <v>345.45454545454544</v>
      </c>
      <c r="AC183" s="41"/>
      <c r="AD183" s="96">
        <v>3220</v>
      </c>
      <c r="AE183" s="41">
        <v>153</v>
      </c>
      <c r="AF183" s="96">
        <v>9260</v>
      </c>
      <c r="AG183" s="96">
        <f>8263*0.49</f>
        <v>4048.87</v>
      </c>
      <c r="AH183" s="41">
        <v>35.5</v>
      </c>
      <c r="AI183" s="41">
        <v>7442</v>
      </c>
      <c r="AJ183" s="100">
        <v>0.46100000000000002</v>
      </c>
      <c r="AK183" s="47">
        <v>1.4530000000000001</v>
      </c>
      <c r="AL183" s="100">
        <f>5210 *35.314666721/10^3</f>
        <v>183.98941361641002</v>
      </c>
      <c r="AM183" s="116">
        <v>0.29199999999999998</v>
      </c>
      <c r="AN183" s="47">
        <v>9.94</v>
      </c>
      <c r="AO183" s="100">
        <v>2.2000000000000002</v>
      </c>
      <c r="AP183" s="100">
        <v>8.0500000000000007</v>
      </c>
      <c r="AQ183" s="100">
        <v>10</v>
      </c>
      <c r="AR183" s="47">
        <v>0.4</v>
      </c>
      <c r="AS183" s="47">
        <v>6.12</v>
      </c>
      <c r="AT183" s="47">
        <v>0.01</v>
      </c>
      <c r="AU183" s="116">
        <v>4.95</v>
      </c>
      <c r="AV183" s="116">
        <v>2.2959999999999998</v>
      </c>
      <c r="AW183" s="100">
        <f>358*35.3147/1000</f>
        <v>12.642662600000001</v>
      </c>
      <c r="AX183" s="100">
        <v>0.377</v>
      </c>
      <c r="AY183" s="100">
        <v>0.374</v>
      </c>
    </row>
    <row r="184" spans="1:51" ht="13.5" customHeight="1" x14ac:dyDescent="0.2">
      <c r="A184" s="40">
        <v>45447</v>
      </c>
      <c r="B184" s="96">
        <f>8006-(C184+D184+E184+F184)</f>
        <v>5940</v>
      </c>
      <c r="C184" s="96">
        <v>1635</v>
      </c>
      <c r="D184" s="97">
        <v>134</v>
      </c>
      <c r="E184" s="97">
        <v>198</v>
      </c>
      <c r="F184" s="97">
        <v>99</v>
      </c>
      <c r="G184" s="97">
        <v>105</v>
      </c>
      <c r="H184" s="67">
        <v>8503.0879999999997</v>
      </c>
      <c r="I184" s="41">
        <v>676.88</v>
      </c>
      <c r="J184" s="41">
        <v>2173.7750000000001</v>
      </c>
      <c r="K184" s="41">
        <v>12621</v>
      </c>
      <c r="L184" s="41">
        <f>3244.74789724+286</f>
        <v>3530.7478972399999</v>
      </c>
      <c r="M184" s="41">
        <f>9543-N184</f>
        <v>9202</v>
      </c>
      <c r="N184" s="41">
        <v>341</v>
      </c>
      <c r="O184" s="41">
        <v>8637</v>
      </c>
      <c r="P184" s="41">
        <v>412</v>
      </c>
      <c r="Q184" s="41">
        <v>7495</v>
      </c>
      <c r="R184" s="41">
        <v>2830</v>
      </c>
      <c r="S184" s="41">
        <v>9518</v>
      </c>
      <c r="T184" s="41">
        <v>14072</v>
      </c>
      <c r="U184" s="41">
        <f>6*6.2898</f>
        <v>37.738799999999998</v>
      </c>
      <c r="V184" s="41">
        <v>748</v>
      </c>
      <c r="W184" s="41">
        <v>0</v>
      </c>
      <c r="X184" s="41">
        <v>4372</v>
      </c>
      <c r="Y184" s="41"/>
      <c r="Z184" s="41">
        <v>2687</v>
      </c>
      <c r="AA184" s="41"/>
      <c r="AB184" s="41">
        <f>303/0.55</f>
        <v>550.90909090909088</v>
      </c>
      <c r="AC184" s="41"/>
      <c r="AD184" s="96">
        <v>3265</v>
      </c>
      <c r="AE184" s="41">
        <v>153</v>
      </c>
      <c r="AF184" s="96">
        <v>9220</v>
      </c>
      <c r="AG184" s="96">
        <f>8263*0.49</f>
        <v>4048.87</v>
      </c>
      <c r="AH184" s="41">
        <v>35.5</v>
      </c>
      <c r="AI184" s="41">
        <v>7267</v>
      </c>
      <c r="AJ184" s="100">
        <v>0.13200000000000001</v>
      </c>
      <c r="AK184" s="47">
        <v>0.439</v>
      </c>
      <c r="AL184" s="100">
        <f>5380 *35.314666721/10^3</f>
        <v>189.99290695898003</v>
      </c>
      <c r="AM184" s="116">
        <v>0.79</v>
      </c>
      <c r="AN184" s="47">
        <v>6.79</v>
      </c>
      <c r="AO184" s="100">
        <v>2.11</v>
      </c>
      <c r="AP184" s="100">
        <v>8.0299999999999994</v>
      </c>
      <c r="AQ184" s="100">
        <v>10</v>
      </c>
      <c r="AR184" s="47">
        <v>0</v>
      </c>
      <c r="AS184" s="47">
        <v>6.27</v>
      </c>
      <c r="AT184" s="47">
        <v>0.01</v>
      </c>
      <c r="AU184" s="116">
        <v>4.9550000000000001</v>
      </c>
      <c r="AV184" s="116">
        <v>1.798</v>
      </c>
      <c r="AW184" s="100">
        <f>387*35.3147/1000</f>
        <v>13.666788900000002</v>
      </c>
      <c r="AX184" s="100">
        <v>0.56999999999999995</v>
      </c>
      <c r="AY184" s="100">
        <v>0.40400000000000003</v>
      </c>
    </row>
    <row r="185" spans="1:51" ht="13.5" customHeight="1" x14ac:dyDescent="0.2">
      <c r="A185" s="40">
        <v>45448</v>
      </c>
      <c r="B185" s="96">
        <f>7977-(C185+D185+E185+F185)</f>
        <v>5911</v>
      </c>
      <c r="C185" s="96">
        <v>1635</v>
      </c>
      <c r="D185" s="97">
        <v>134</v>
      </c>
      <c r="E185" s="97">
        <v>198</v>
      </c>
      <c r="F185" s="97">
        <v>99</v>
      </c>
      <c r="G185" s="97">
        <v>105</v>
      </c>
      <c r="H185" s="67">
        <v>8395.19</v>
      </c>
      <c r="I185" s="41">
        <v>625.68600000000004</v>
      </c>
      <c r="J185" s="41">
        <v>1867.0419999999999</v>
      </c>
      <c r="K185" s="41">
        <v>12609</v>
      </c>
      <c r="L185" s="41">
        <f>3335.40373424+299</f>
        <v>3634.4037342400002</v>
      </c>
      <c r="M185" s="41">
        <f>9120-N185</f>
        <v>8779</v>
      </c>
      <c r="N185" s="41">
        <v>341</v>
      </c>
      <c r="O185" s="41">
        <v>8299</v>
      </c>
      <c r="P185" s="41">
        <v>398</v>
      </c>
      <c r="Q185" s="41">
        <v>7451</v>
      </c>
      <c r="R185" s="41">
        <v>2841</v>
      </c>
      <c r="S185" s="41">
        <v>9525</v>
      </c>
      <c r="T185" s="41">
        <v>14270</v>
      </c>
      <c r="U185" s="41">
        <f>6*6.2898</f>
        <v>37.738799999999998</v>
      </c>
      <c r="V185" s="41">
        <v>779</v>
      </c>
      <c r="W185" s="128">
        <v>0</v>
      </c>
      <c r="X185" s="41">
        <v>4275</v>
      </c>
      <c r="Y185" s="41"/>
      <c r="Z185" s="41">
        <v>2685</v>
      </c>
      <c r="AA185" s="41"/>
      <c r="AB185" s="41">
        <f>304/0.55</f>
        <v>552.72727272727263</v>
      </c>
      <c r="AC185" s="41"/>
      <c r="AD185" s="96">
        <v>3226</v>
      </c>
      <c r="AE185" s="41">
        <v>153</v>
      </c>
      <c r="AF185" s="96">
        <v>9216</v>
      </c>
      <c r="AG185" s="96">
        <f>8260*0.49</f>
        <v>4047.4</v>
      </c>
      <c r="AH185" s="41">
        <v>35.5</v>
      </c>
      <c r="AI185" s="41">
        <v>7339</v>
      </c>
      <c r="AJ185" s="100">
        <v>0.29599999999999999</v>
      </c>
      <c r="AK185" s="47">
        <v>0.68700000000000006</v>
      </c>
      <c r="AL185" s="100">
        <f>5345 *35.314666721/10^3</f>
        <v>188.75689362374501</v>
      </c>
      <c r="AM185" s="116">
        <v>0.77600000000000002</v>
      </c>
      <c r="AN185" s="47">
        <v>5.26</v>
      </c>
      <c r="AO185" s="100">
        <v>2.0699999999999998</v>
      </c>
      <c r="AP185" s="100">
        <v>8</v>
      </c>
      <c r="AQ185" s="100">
        <v>10</v>
      </c>
      <c r="AR185" s="47">
        <v>0</v>
      </c>
      <c r="AS185" s="47">
        <v>6.27</v>
      </c>
      <c r="AT185" s="47">
        <v>0.01</v>
      </c>
      <c r="AU185" s="116">
        <v>4.9550000000000001</v>
      </c>
      <c r="AV185" s="116">
        <v>1.7949999999999999</v>
      </c>
      <c r="AW185" s="100">
        <f>410*35.3147/1000</f>
        <v>14.479027</v>
      </c>
      <c r="AX185" s="100">
        <v>0.59599999999999997</v>
      </c>
      <c r="AY185" s="100">
        <v>0.46400000000000002</v>
      </c>
    </row>
    <row r="186" spans="1:51" ht="13.5" customHeight="1" x14ac:dyDescent="0.2">
      <c r="A186" s="40">
        <v>45449</v>
      </c>
      <c r="B186" s="96">
        <f>7983-(C186+D186+E186+F186)</f>
        <v>5917</v>
      </c>
      <c r="C186" s="96">
        <v>1635</v>
      </c>
      <c r="D186" s="97">
        <v>134</v>
      </c>
      <c r="E186" s="97">
        <v>198</v>
      </c>
      <c r="F186" s="97">
        <v>99</v>
      </c>
      <c r="G186" s="97">
        <v>105</v>
      </c>
      <c r="H186" s="67">
        <v>8521</v>
      </c>
      <c r="I186" s="41">
        <v>671</v>
      </c>
      <c r="J186" s="41">
        <v>1919</v>
      </c>
      <c r="K186" s="41">
        <v>12602</v>
      </c>
      <c r="L186" s="41">
        <v>3704</v>
      </c>
      <c r="M186" s="41">
        <v>8915</v>
      </c>
      <c r="N186" s="41">
        <v>324</v>
      </c>
      <c r="O186" s="41">
        <v>8712</v>
      </c>
      <c r="P186" s="41">
        <v>414</v>
      </c>
      <c r="Q186" s="41">
        <v>6606</v>
      </c>
      <c r="R186" s="41">
        <v>2799</v>
      </c>
      <c r="S186" s="41">
        <v>9457</v>
      </c>
      <c r="T186" s="41">
        <v>14022</v>
      </c>
      <c r="U186" s="41">
        <f>12*6.2898</f>
        <v>75.477599999999995</v>
      </c>
      <c r="V186" s="41">
        <v>825</v>
      </c>
      <c r="W186" s="128">
        <v>0</v>
      </c>
      <c r="X186" s="41">
        <v>4226</v>
      </c>
      <c r="Y186" s="41"/>
      <c r="Z186" s="41">
        <v>2689</v>
      </c>
      <c r="AA186" s="41"/>
      <c r="AB186" s="41">
        <f>310/0.55</f>
        <v>563.63636363636363</v>
      </c>
      <c r="AC186" s="41"/>
      <c r="AD186" s="96">
        <v>3285</v>
      </c>
      <c r="AE186" s="41">
        <v>153</v>
      </c>
      <c r="AF186" s="96">
        <v>9330</v>
      </c>
      <c r="AG186" s="96">
        <f>8278*0.49</f>
        <v>4056.22</v>
      </c>
      <c r="AH186" s="41">
        <v>35.5</v>
      </c>
      <c r="AI186" s="41">
        <v>7238</v>
      </c>
      <c r="AJ186" s="100">
        <v>0.318</v>
      </c>
      <c r="AK186" s="47">
        <v>1.054</v>
      </c>
      <c r="AL186" s="100">
        <f>5274 *35.314666721/10^3</f>
        <v>186.24955228655401</v>
      </c>
      <c r="AM186" s="116">
        <v>0.63200000000000001</v>
      </c>
      <c r="AN186" s="47">
        <v>6.48</v>
      </c>
      <c r="AO186" s="100">
        <v>2.12</v>
      </c>
      <c r="AP186" s="100">
        <v>7.78</v>
      </c>
      <c r="AQ186" s="100">
        <v>10</v>
      </c>
      <c r="AR186" s="47">
        <v>0</v>
      </c>
      <c r="AS186" s="47">
        <v>6.33</v>
      </c>
      <c r="AT186" s="47">
        <v>0.01</v>
      </c>
      <c r="AU186" s="116">
        <v>4.9550000000000001</v>
      </c>
      <c r="AV186" s="116">
        <v>1.8140000000000001</v>
      </c>
      <c r="AW186" s="100">
        <f>407*35.3147/1000</f>
        <v>14.373082900000002</v>
      </c>
      <c r="AX186" s="100">
        <v>0.59499999999999997</v>
      </c>
      <c r="AY186" s="100">
        <v>0.46400000000000002</v>
      </c>
    </row>
    <row r="187" spans="1:51" ht="13.5" customHeight="1" x14ac:dyDescent="0.2">
      <c r="A187" s="40">
        <v>45450</v>
      </c>
      <c r="B187" s="96">
        <f>7980-(C187+D187+E187+F187)</f>
        <v>5914</v>
      </c>
      <c r="C187" s="96">
        <v>1635</v>
      </c>
      <c r="D187" s="97">
        <v>134</v>
      </c>
      <c r="E187" s="97">
        <v>198</v>
      </c>
      <c r="F187" s="97">
        <v>99</v>
      </c>
      <c r="G187" s="97">
        <v>105</v>
      </c>
      <c r="H187" s="67">
        <v>8407</v>
      </c>
      <c r="I187" s="41">
        <v>670</v>
      </c>
      <c r="J187" s="41">
        <v>1862</v>
      </c>
      <c r="K187" s="41">
        <v>12607</v>
      </c>
      <c r="L187" s="41">
        <v>3688</v>
      </c>
      <c r="M187" s="41">
        <v>8904</v>
      </c>
      <c r="N187" s="41">
        <v>307</v>
      </c>
      <c r="O187" s="41">
        <v>8708</v>
      </c>
      <c r="P187" s="41">
        <v>410</v>
      </c>
      <c r="Q187" s="41">
        <v>6691</v>
      </c>
      <c r="R187" s="41">
        <v>2793</v>
      </c>
      <c r="S187" s="41">
        <v>9330</v>
      </c>
      <c r="T187" s="41">
        <v>14781</v>
      </c>
      <c r="U187" s="41">
        <f>12*6.2898</f>
        <v>75.477599999999995</v>
      </c>
      <c r="V187" s="41">
        <v>787</v>
      </c>
      <c r="W187" s="128">
        <v>0</v>
      </c>
      <c r="X187" s="41">
        <v>4283</v>
      </c>
      <c r="Y187" s="41"/>
      <c r="Z187" s="41">
        <v>2691</v>
      </c>
      <c r="AA187" s="96"/>
      <c r="AB187" s="41">
        <f>309/0.55</f>
        <v>561.81818181818176</v>
      </c>
      <c r="AC187" s="96"/>
      <c r="AD187" s="96">
        <v>3261</v>
      </c>
      <c r="AE187" s="41">
        <v>153</v>
      </c>
      <c r="AF187" s="96">
        <v>9162</v>
      </c>
      <c r="AG187" s="96">
        <f>8248*0.49</f>
        <v>4041.52</v>
      </c>
      <c r="AH187" s="41">
        <v>35.5</v>
      </c>
      <c r="AI187" s="41">
        <v>7133</v>
      </c>
      <c r="AJ187" s="100">
        <v>0.38700000000000001</v>
      </c>
      <c r="AK187" s="47">
        <v>1.224</v>
      </c>
      <c r="AL187" s="100">
        <f>5246 *35.314666721/10^3</f>
        <v>185.26074161836601</v>
      </c>
      <c r="AM187" s="100">
        <v>0.501</v>
      </c>
      <c r="AN187" s="47">
        <v>5.76</v>
      </c>
      <c r="AO187" s="100">
        <v>2.02</v>
      </c>
      <c r="AP187" s="100">
        <v>7.55</v>
      </c>
      <c r="AQ187" s="100">
        <v>10</v>
      </c>
      <c r="AR187" s="47">
        <v>0</v>
      </c>
      <c r="AS187" s="47">
        <v>6.37</v>
      </c>
      <c r="AT187" s="47">
        <v>0.01</v>
      </c>
      <c r="AU187" s="116">
        <v>4.9539999999999997</v>
      </c>
      <c r="AV187" s="116">
        <v>1.9490000000000001</v>
      </c>
      <c r="AW187" s="100">
        <f>386*35.3147/1000</f>
        <v>13.631474200000001</v>
      </c>
      <c r="AX187" s="100">
        <v>6.03</v>
      </c>
      <c r="AY187" s="100">
        <v>0.47099999999999997</v>
      </c>
    </row>
    <row r="188" spans="1:51" ht="13.5" customHeight="1" x14ac:dyDescent="0.2">
      <c r="A188" s="40">
        <v>45451</v>
      </c>
      <c r="B188" s="96">
        <f>7984-(C188+D188+E188+F188)</f>
        <v>5918</v>
      </c>
      <c r="C188" s="96">
        <v>1635</v>
      </c>
      <c r="D188" s="97">
        <v>134</v>
      </c>
      <c r="E188" s="97">
        <v>198</v>
      </c>
      <c r="F188" s="97">
        <v>99</v>
      </c>
      <c r="G188" s="97">
        <v>105</v>
      </c>
      <c r="H188" s="67">
        <v>8314</v>
      </c>
      <c r="I188" s="41">
        <v>694</v>
      </c>
      <c r="J188" s="41">
        <v>1780</v>
      </c>
      <c r="K188" s="41">
        <v>12600</v>
      </c>
      <c r="L188" s="41">
        <v>3633</v>
      </c>
      <c r="M188" s="41">
        <v>9009</v>
      </c>
      <c r="N188" s="41">
        <v>338</v>
      </c>
      <c r="O188" s="41">
        <v>9092</v>
      </c>
      <c r="P188" s="41">
        <v>440</v>
      </c>
      <c r="Q188" s="41">
        <v>6630</v>
      </c>
      <c r="R188" s="41">
        <v>2637</v>
      </c>
      <c r="S188" s="41">
        <v>9317</v>
      </c>
      <c r="T188" s="41">
        <v>14578</v>
      </c>
      <c r="U188" s="41">
        <f>18*6.2898</f>
        <v>113.21639999999999</v>
      </c>
      <c r="V188" s="41">
        <v>828</v>
      </c>
      <c r="W188" s="128">
        <v>0</v>
      </c>
      <c r="X188" s="41">
        <v>4261</v>
      </c>
      <c r="Y188" s="41"/>
      <c r="Z188" s="41">
        <v>2693</v>
      </c>
      <c r="AA188" s="41"/>
      <c r="AB188" s="41">
        <f>294/0.55</f>
        <v>534.5454545454545</v>
      </c>
      <c r="AC188" s="41"/>
      <c r="AD188" s="96">
        <v>3224</v>
      </c>
      <c r="AE188" s="41">
        <v>153</v>
      </c>
      <c r="AF188" s="96">
        <v>8808</v>
      </c>
      <c r="AG188" s="96">
        <f>8260*0.49</f>
        <v>4047.4</v>
      </c>
      <c r="AH188" s="41">
        <v>35.5</v>
      </c>
      <c r="AI188" s="41">
        <v>6945</v>
      </c>
      <c r="AJ188" s="100">
        <v>0.29899999999999999</v>
      </c>
      <c r="AK188" s="47">
        <v>1.3</v>
      </c>
      <c r="AL188" s="100">
        <f>5297 *35.314666721/10^3</f>
        <v>187.061789621137</v>
      </c>
      <c r="AM188" s="100">
        <v>0.498</v>
      </c>
      <c r="AN188" s="47">
        <v>5.66</v>
      </c>
      <c r="AO188" s="100">
        <v>2.2400000000000002</v>
      </c>
      <c r="AP188" s="100">
        <v>7.65</v>
      </c>
      <c r="AQ188" s="100">
        <v>10</v>
      </c>
      <c r="AR188" s="47">
        <v>0</v>
      </c>
      <c r="AS188" s="47">
        <v>6.51</v>
      </c>
      <c r="AT188" s="47">
        <v>0.01</v>
      </c>
      <c r="AU188" s="116">
        <v>4.9550000000000001</v>
      </c>
      <c r="AV188" s="116">
        <v>2.08</v>
      </c>
      <c r="AW188" s="100">
        <f>370*35.3147/1000</f>
        <v>13.066439000000001</v>
      </c>
      <c r="AX188" s="100">
        <v>0.58799999999999997</v>
      </c>
      <c r="AY188" s="100">
        <v>0.47199999999999998</v>
      </c>
    </row>
    <row r="189" spans="1:51" ht="13.5" customHeight="1" x14ac:dyDescent="0.2">
      <c r="A189" s="40">
        <v>45452</v>
      </c>
      <c r="B189" s="96">
        <f>7980-(C189+D189+E189+F189)</f>
        <v>5914</v>
      </c>
      <c r="C189" s="96">
        <v>1635</v>
      </c>
      <c r="D189" s="97">
        <v>134</v>
      </c>
      <c r="E189" s="97">
        <v>198</v>
      </c>
      <c r="F189" s="97">
        <v>99</v>
      </c>
      <c r="G189" s="97">
        <v>105</v>
      </c>
      <c r="H189" s="67">
        <v>8438.1929999999993</v>
      </c>
      <c r="I189" s="41">
        <v>710.71299999999997</v>
      </c>
      <c r="J189" s="41">
        <v>1959.165</v>
      </c>
      <c r="K189" s="41">
        <v>12592</v>
      </c>
      <c r="L189" s="41">
        <f>3259.30522076+288</f>
        <v>3547.3052207599999</v>
      </c>
      <c r="M189" s="41">
        <f>9107-N189</f>
        <v>8775</v>
      </c>
      <c r="N189" s="41">
        <v>332</v>
      </c>
      <c r="O189" s="41">
        <v>9274</v>
      </c>
      <c r="P189" s="41">
        <v>414</v>
      </c>
      <c r="Q189" s="41">
        <v>6679</v>
      </c>
      <c r="R189" s="44">
        <v>2727</v>
      </c>
      <c r="S189" s="41">
        <v>9343</v>
      </c>
      <c r="T189" s="41">
        <v>14513</v>
      </c>
      <c r="U189" s="41">
        <f>13*6.2898</f>
        <v>81.767399999999995</v>
      </c>
      <c r="V189" s="41">
        <v>828</v>
      </c>
      <c r="W189" s="128">
        <v>0</v>
      </c>
      <c r="X189" s="41">
        <v>4664</v>
      </c>
      <c r="Y189" s="41"/>
      <c r="Z189" s="41">
        <v>2695</v>
      </c>
      <c r="AA189" s="41"/>
      <c r="AB189" s="41">
        <f>305/0.55</f>
        <v>554.5454545454545</v>
      </c>
      <c r="AC189" s="41"/>
      <c r="AD189" s="96">
        <v>3659</v>
      </c>
      <c r="AE189" s="41">
        <v>153</v>
      </c>
      <c r="AF189" s="96">
        <v>9445</v>
      </c>
      <c r="AG189" s="96">
        <f>8194*0.49</f>
        <v>4015.06</v>
      </c>
      <c r="AH189" s="41">
        <v>35.5</v>
      </c>
      <c r="AI189" s="41">
        <v>6983</v>
      </c>
      <c r="AJ189" s="100">
        <v>0.39700000000000002</v>
      </c>
      <c r="AK189" s="47">
        <v>1.2</v>
      </c>
      <c r="AL189" s="100">
        <f>5082 *35.314666721/10^3</f>
        <v>179.46913627612201</v>
      </c>
      <c r="AM189" s="100">
        <v>0.45400000000000001</v>
      </c>
      <c r="AN189" s="47">
        <v>5.66</v>
      </c>
      <c r="AO189" s="100">
        <v>2.0699999999999998</v>
      </c>
      <c r="AP189" s="100">
        <v>7.74</v>
      </c>
      <c r="AQ189" s="100">
        <v>30</v>
      </c>
      <c r="AR189" s="47">
        <v>0</v>
      </c>
      <c r="AS189" s="47">
        <v>6.92</v>
      </c>
      <c r="AT189" s="47">
        <v>0.01</v>
      </c>
      <c r="AU189" s="116">
        <v>4.9580000000000002</v>
      </c>
      <c r="AV189" s="116">
        <v>2.0859999999999999</v>
      </c>
      <c r="AW189" s="100">
        <f>384*35.3147/1000</f>
        <v>13.5608448</v>
      </c>
      <c r="AX189" s="100">
        <v>0.56699999999999995</v>
      </c>
      <c r="AY189" s="100">
        <v>0.47199999999999998</v>
      </c>
    </row>
    <row r="190" spans="1:51" ht="13.5" customHeight="1" x14ac:dyDescent="0.2">
      <c r="A190" s="40">
        <v>45453</v>
      </c>
      <c r="B190" s="96">
        <f>7970-(C190+D190+E190+F190)</f>
        <v>5904</v>
      </c>
      <c r="C190" s="96">
        <v>1635</v>
      </c>
      <c r="D190" s="97">
        <v>134</v>
      </c>
      <c r="E190" s="97">
        <v>198</v>
      </c>
      <c r="F190" s="97">
        <v>99</v>
      </c>
      <c r="G190" s="97">
        <v>105</v>
      </c>
      <c r="H190" s="67">
        <v>8459</v>
      </c>
      <c r="I190" s="41">
        <v>695</v>
      </c>
      <c r="J190" s="41">
        <v>1955</v>
      </c>
      <c r="K190" s="41">
        <v>12575</v>
      </c>
      <c r="L190" s="41">
        <v>3524</v>
      </c>
      <c r="M190" s="41">
        <v>8796</v>
      </c>
      <c r="N190" s="41">
        <v>336</v>
      </c>
      <c r="O190" s="41">
        <v>9077</v>
      </c>
      <c r="P190" s="41">
        <v>402</v>
      </c>
      <c r="Q190" s="41">
        <v>7122</v>
      </c>
      <c r="R190" s="44">
        <v>2823</v>
      </c>
      <c r="S190" s="41">
        <v>10030</v>
      </c>
      <c r="T190" s="41">
        <v>13356</v>
      </c>
      <c r="U190" s="41">
        <f>10*6.2898</f>
        <v>62.897999999999996</v>
      </c>
      <c r="V190" s="41">
        <v>828</v>
      </c>
      <c r="W190" s="128">
        <v>0</v>
      </c>
      <c r="X190" s="41">
        <v>4136</v>
      </c>
      <c r="Y190" s="41"/>
      <c r="Z190" s="41">
        <v>2691</v>
      </c>
      <c r="AA190" s="41"/>
      <c r="AB190" s="41">
        <f>315/0.55</f>
        <v>572.72727272727263</v>
      </c>
      <c r="AC190" s="41"/>
      <c r="AD190" s="96">
        <v>4135</v>
      </c>
      <c r="AE190" s="41">
        <v>153</v>
      </c>
      <c r="AF190" s="96">
        <v>8920</v>
      </c>
      <c r="AG190" s="96">
        <f>8007*0.49</f>
        <v>3923.43</v>
      </c>
      <c r="AH190" s="41">
        <v>35.5</v>
      </c>
      <c r="AI190" s="41">
        <v>7009</v>
      </c>
      <c r="AJ190" s="100">
        <v>0.14699999999999999</v>
      </c>
      <c r="AK190" s="47">
        <v>0.48599999999999999</v>
      </c>
      <c r="AL190" s="100">
        <f>5250 *35.314666721/10^3</f>
        <v>185.40200028525001</v>
      </c>
      <c r="AM190" s="100">
        <v>0.495</v>
      </c>
      <c r="AN190" s="47">
        <v>3.84</v>
      </c>
      <c r="AO190" s="47">
        <v>2.19</v>
      </c>
      <c r="AP190" s="100">
        <v>8.2200000000000006</v>
      </c>
      <c r="AQ190" s="100">
        <v>41</v>
      </c>
      <c r="AR190" s="47">
        <v>0</v>
      </c>
      <c r="AS190" s="47">
        <v>6.5</v>
      </c>
      <c r="AT190" s="47">
        <v>0.01</v>
      </c>
      <c r="AU190" s="116">
        <v>4.9580000000000002</v>
      </c>
      <c r="AV190" s="116">
        <v>2.0859999999999999</v>
      </c>
      <c r="AW190" s="100">
        <f>379*35.3147/1000</f>
        <v>13.3842713</v>
      </c>
      <c r="AX190" s="100">
        <v>0.36899999999999999</v>
      </c>
      <c r="AY190" s="100">
        <v>0.3</v>
      </c>
    </row>
    <row r="191" spans="1:51" ht="13.5" customHeight="1" x14ac:dyDescent="0.2">
      <c r="A191" s="40">
        <v>45454</v>
      </c>
      <c r="B191" s="96">
        <f>7859-(C191+D191+E191+F191)</f>
        <v>5793</v>
      </c>
      <c r="C191" s="96">
        <v>1635</v>
      </c>
      <c r="D191" s="97">
        <v>134</v>
      </c>
      <c r="E191" s="97">
        <v>198</v>
      </c>
      <c r="F191" s="97">
        <v>99</v>
      </c>
      <c r="G191" s="97">
        <v>105</v>
      </c>
      <c r="H191" s="67">
        <v>9865.4169999999995</v>
      </c>
      <c r="I191" s="41">
        <v>660.37099999999998</v>
      </c>
      <c r="J191" s="41">
        <v>1851.42</v>
      </c>
      <c r="K191" s="41">
        <v>12605</v>
      </c>
      <c r="L191" s="41">
        <f>3234.3575382+278</f>
        <v>3512.3575381999999</v>
      </c>
      <c r="M191" s="41">
        <f>9303-N191</f>
        <v>8971</v>
      </c>
      <c r="N191" s="41">
        <v>332</v>
      </c>
      <c r="O191" s="41">
        <v>9536</v>
      </c>
      <c r="P191" s="41">
        <v>404</v>
      </c>
      <c r="Q191" s="41">
        <v>5226</v>
      </c>
      <c r="R191" s="44">
        <v>2721</v>
      </c>
      <c r="S191" s="41">
        <v>10026</v>
      </c>
      <c r="T191" s="41">
        <v>14614</v>
      </c>
      <c r="U191" s="41">
        <f>17*6.2898</f>
        <v>106.92659999999999</v>
      </c>
      <c r="V191" s="41">
        <v>828</v>
      </c>
      <c r="W191" s="128">
        <v>0</v>
      </c>
      <c r="X191" s="41">
        <v>4246</v>
      </c>
      <c r="Y191" s="41"/>
      <c r="Z191" s="41">
        <v>2689</v>
      </c>
      <c r="AA191" s="41"/>
      <c r="AB191" s="41">
        <f>309/0.55</f>
        <v>561.81818181818176</v>
      </c>
      <c r="AC191" s="41"/>
      <c r="AD191" s="96">
        <v>3312</v>
      </c>
      <c r="AE191" s="41">
        <v>153</v>
      </c>
      <c r="AF191" s="96">
        <v>9088</v>
      </c>
      <c r="AG191" s="96">
        <f>8248*0.49</f>
        <v>4041.52</v>
      </c>
      <c r="AH191" s="41">
        <v>35.5</v>
      </c>
      <c r="AI191" s="41">
        <v>7029</v>
      </c>
      <c r="AJ191" s="100">
        <v>0.14000000000000001</v>
      </c>
      <c r="AK191" s="47">
        <v>0.46600000000000003</v>
      </c>
      <c r="AL191" s="100">
        <f>5215 *35.314666721/10^3</f>
        <v>184.165986950015</v>
      </c>
      <c r="AM191" s="100">
        <v>0.40600000000000003</v>
      </c>
      <c r="AN191" s="47">
        <v>3.84</v>
      </c>
      <c r="AO191" s="47">
        <v>2.1800000000000002</v>
      </c>
      <c r="AP191" s="100">
        <v>8.4700000000000006</v>
      </c>
      <c r="AQ191" s="100">
        <v>42</v>
      </c>
      <c r="AR191" s="47">
        <v>0</v>
      </c>
      <c r="AS191" s="47">
        <v>6.7</v>
      </c>
      <c r="AT191" s="47">
        <v>0.01</v>
      </c>
      <c r="AU191" s="116">
        <v>4.9580000000000002</v>
      </c>
      <c r="AV191" s="116">
        <v>3.4039999999999999</v>
      </c>
      <c r="AW191" s="100">
        <f>411*35.3147/1000</f>
        <v>14.514341700000001</v>
      </c>
      <c r="AX191" s="100">
        <v>0.43</v>
      </c>
      <c r="AY191" s="100">
        <v>0.438</v>
      </c>
    </row>
    <row r="192" spans="1:51" ht="13.5" customHeight="1" x14ac:dyDescent="0.2">
      <c r="A192" s="40">
        <v>45455</v>
      </c>
      <c r="B192" s="96">
        <f>7879-(C192+D192+E192+F192)</f>
        <v>5813</v>
      </c>
      <c r="C192" s="96">
        <v>1635</v>
      </c>
      <c r="D192" s="97">
        <v>134</v>
      </c>
      <c r="E192" s="97">
        <v>198</v>
      </c>
      <c r="F192" s="97">
        <v>99</v>
      </c>
      <c r="G192" s="97">
        <v>105</v>
      </c>
      <c r="H192" s="67">
        <v>8379.741</v>
      </c>
      <c r="I192" s="41">
        <v>706.71600000000001</v>
      </c>
      <c r="J192" s="41">
        <v>1998.1969999999999</v>
      </c>
      <c r="K192" s="41">
        <v>12582</v>
      </c>
      <c r="L192" s="41">
        <f>3268.02134884+281</f>
        <v>3549.02134884</v>
      </c>
      <c r="M192" s="41">
        <f>9306-N192</f>
        <v>8955</v>
      </c>
      <c r="N192" s="41">
        <v>351</v>
      </c>
      <c r="O192" s="41">
        <v>8497</v>
      </c>
      <c r="P192" s="41">
        <v>396</v>
      </c>
      <c r="Q192" s="41">
        <v>5802</v>
      </c>
      <c r="R192" s="44">
        <v>2631</v>
      </c>
      <c r="S192" s="41">
        <v>10107</v>
      </c>
      <c r="T192" s="41">
        <v>14785</v>
      </c>
      <c r="U192" s="41">
        <v>0</v>
      </c>
      <c r="V192" s="41">
        <v>828</v>
      </c>
      <c r="W192" s="128">
        <v>0</v>
      </c>
      <c r="X192" s="41">
        <v>4283</v>
      </c>
      <c r="Y192" s="41"/>
      <c r="Z192" s="41">
        <v>2689</v>
      </c>
      <c r="AA192" s="41"/>
      <c r="AB192" s="41">
        <f>337/0.55</f>
        <v>612.72727272727263</v>
      </c>
      <c r="AC192" s="41"/>
      <c r="AD192" s="96">
        <v>3249</v>
      </c>
      <c r="AE192" s="41">
        <v>153</v>
      </c>
      <c r="AF192" s="96">
        <v>8882</v>
      </c>
      <c r="AG192" s="96">
        <f>8254*0.49</f>
        <v>4044.46</v>
      </c>
      <c r="AH192" s="41">
        <v>35.5</v>
      </c>
      <c r="AI192" s="41">
        <v>6786</v>
      </c>
      <c r="AJ192" s="100">
        <v>0.22</v>
      </c>
      <c r="AK192" s="47">
        <v>0.73399999999999999</v>
      </c>
      <c r="AL192" s="100">
        <f>4807 *35.314666721/10^3</f>
        <v>169.75760292784702</v>
      </c>
      <c r="AM192" s="100">
        <v>0.437</v>
      </c>
      <c r="AN192" s="47">
        <v>4.1100000000000003</v>
      </c>
      <c r="AO192" s="47">
        <v>2.1800000000000002</v>
      </c>
      <c r="AP192" s="100">
        <v>8.73</v>
      </c>
      <c r="AQ192" s="100">
        <v>45</v>
      </c>
      <c r="AR192" s="47">
        <v>0</v>
      </c>
      <c r="AS192" s="47">
        <v>6.6</v>
      </c>
      <c r="AT192" s="47">
        <v>0.01</v>
      </c>
      <c r="AU192" s="116">
        <v>4.9580000000000002</v>
      </c>
      <c r="AV192" s="116">
        <v>1.8120000000000001</v>
      </c>
      <c r="AW192" s="100">
        <f>392*35.3147/1000</f>
        <v>13.8433624</v>
      </c>
      <c r="AX192" s="100">
        <v>0.41899999999999998</v>
      </c>
      <c r="AY192" s="100">
        <v>0.442</v>
      </c>
    </row>
    <row r="193" spans="1:51" ht="13.5" customHeight="1" x14ac:dyDescent="0.2">
      <c r="A193" s="40">
        <v>45456</v>
      </c>
      <c r="B193" s="96">
        <f>7813-(C193+D193+E193+F193)</f>
        <v>5747</v>
      </c>
      <c r="C193" s="96">
        <v>1635</v>
      </c>
      <c r="D193" s="97">
        <v>134</v>
      </c>
      <c r="E193" s="97">
        <v>198</v>
      </c>
      <c r="F193" s="97">
        <v>99</v>
      </c>
      <c r="G193" s="97">
        <v>105</v>
      </c>
      <c r="H193" s="67">
        <v>8452</v>
      </c>
      <c r="I193" s="41">
        <v>696</v>
      </c>
      <c r="J193" s="41">
        <v>1990</v>
      </c>
      <c r="K193" s="41">
        <v>12589</v>
      </c>
      <c r="L193" s="41">
        <v>3540</v>
      </c>
      <c r="M193" s="41">
        <f>9302-N193</f>
        <v>8958</v>
      </c>
      <c r="N193" s="41">
        <v>344</v>
      </c>
      <c r="O193" s="41">
        <v>9068</v>
      </c>
      <c r="P193" s="41">
        <v>384</v>
      </c>
      <c r="Q193" s="41">
        <v>6686</v>
      </c>
      <c r="R193" s="44">
        <v>2529</v>
      </c>
      <c r="S193" s="41">
        <v>9777</v>
      </c>
      <c r="T193" s="41">
        <v>14444</v>
      </c>
      <c r="U193" s="41">
        <f>10*6.2898</f>
        <v>62.897999999999996</v>
      </c>
      <c r="V193" s="41">
        <v>828</v>
      </c>
      <c r="W193" s="128">
        <v>0</v>
      </c>
      <c r="X193" s="41">
        <v>4273</v>
      </c>
      <c r="Y193" s="41"/>
      <c r="Z193" s="41">
        <v>3012</v>
      </c>
      <c r="AA193" s="41"/>
      <c r="AB193" s="41">
        <f>249/0.55</f>
        <v>452.72727272727269</v>
      </c>
      <c r="AC193" s="41"/>
      <c r="AD193" s="96">
        <v>3254</v>
      </c>
      <c r="AE193" s="41">
        <v>153</v>
      </c>
      <c r="AF193" s="96">
        <v>8774</v>
      </c>
      <c r="AG193" s="96">
        <f>8255*0.49</f>
        <v>4044.95</v>
      </c>
      <c r="AH193" s="41">
        <v>35.5</v>
      </c>
      <c r="AI193" s="41">
        <v>7078</v>
      </c>
      <c r="AJ193" s="100">
        <v>0.313</v>
      </c>
      <c r="AK193" s="47">
        <v>0.86899999999999999</v>
      </c>
      <c r="AL193" s="100">
        <f>4462 *35.314666721/10^3</f>
        <v>157.57404290910202</v>
      </c>
      <c r="AM193" s="47">
        <v>0.40799999999999997</v>
      </c>
      <c r="AN193" s="47">
        <v>4.1100000000000003</v>
      </c>
      <c r="AO193" s="47">
        <v>2.13</v>
      </c>
      <c r="AP193" s="100">
        <v>8.17</v>
      </c>
      <c r="AQ193" s="100">
        <v>20</v>
      </c>
      <c r="AR193" s="47">
        <v>0</v>
      </c>
      <c r="AS193" s="47">
        <v>6.8</v>
      </c>
      <c r="AT193" s="47">
        <v>0.01</v>
      </c>
      <c r="AU193" s="116">
        <v>4.9539999999999997</v>
      </c>
      <c r="AV193" s="116">
        <v>1.9770000000000001</v>
      </c>
      <c r="AW193" s="100">
        <f>372*35.3147/1000</f>
        <v>13.1370684</v>
      </c>
      <c r="AX193" s="100">
        <v>0.41899999999999998</v>
      </c>
      <c r="AY193" s="100">
        <v>0.41599999999999998</v>
      </c>
    </row>
    <row r="194" spans="1:51" ht="13.5" customHeight="1" x14ac:dyDescent="0.2">
      <c r="A194" s="40">
        <v>45457</v>
      </c>
      <c r="B194" s="96">
        <f>7824-(C194+D194+E194+F194)</f>
        <v>5758</v>
      </c>
      <c r="C194" s="96">
        <v>1635</v>
      </c>
      <c r="D194" s="97">
        <v>134</v>
      </c>
      <c r="E194" s="97">
        <v>198</v>
      </c>
      <c r="F194" s="97">
        <v>99</v>
      </c>
      <c r="G194" s="97">
        <v>105</v>
      </c>
      <c r="H194" s="67">
        <v>8268</v>
      </c>
      <c r="I194" s="41">
        <v>671</v>
      </c>
      <c r="J194" s="41">
        <v>1920</v>
      </c>
      <c r="K194" s="41">
        <v>12607</v>
      </c>
      <c r="L194" s="41">
        <v>3535</v>
      </c>
      <c r="M194" s="41">
        <f>9306-N194</f>
        <v>8955</v>
      </c>
      <c r="N194" s="41">
        <v>351</v>
      </c>
      <c r="O194" s="41">
        <v>9214</v>
      </c>
      <c r="P194" s="41">
        <v>394</v>
      </c>
      <c r="Q194" s="96">
        <v>6746</v>
      </c>
      <c r="R194" s="44">
        <v>2553</v>
      </c>
      <c r="S194" s="41">
        <v>9410</v>
      </c>
      <c r="T194" s="41">
        <v>14557</v>
      </c>
      <c r="U194" s="41">
        <f>17*6.2898</f>
        <v>106.92659999999999</v>
      </c>
      <c r="V194" s="41">
        <v>828</v>
      </c>
      <c r="W194" s="128">
        <v>0</v>
      </c>
      <c r="X194" s="96">
        <v>4236</v>
      </c>
      <c r="Y194" s="96"/>
      <c r="Z194" s="41">
        <v>3224</v>
      </c>
      <c r="AA194" s="96"/>
      <c r="AB194" s="41">
        <f>315/0.55</f>
        <v>572.72727272727263</v>
      </c>
      <c r="AC194" s="96"/>
      <c r="AD194" s="96">
        <v>3301</v>
      </c>
      <c r="AE194" s="41">
        <v>153</v>
      </c>
      <c r="AF194" s="96">
        <v>8940</v>
      </c>
      <c r="AG194" s="96">
        <f>8256*0.49</f>
        <v>4045.44</v>
      </c>
      <c r="AH194" s="41">
        <v>35.5</v>
      </c>
      <c r="AI194" s="41">
        <v>7170</v>
      </c>
      <c r="AJ194" s="100">
        <v>0.59299999999999997</v>
      </c>
      <c r="AK194" s="100">
        <v>1.5069999999999999</v>
      </c>
      <c r="AL194" s="100">
        <f>4483 *35.314666721/10^3</f>
        <v>158.31565091024302</v>
      </c>
      <c r="AM194" s="47">
        <v>0.24299999999999999</v>
      </c>
      <c r="AN194" s="47">
        <v>5.16</v>
      </c>
      <c r="AO194" s="47">
        <v>2.1</v>
      </c>
      <c r="AP194" s="100">
        <v>7.92</v>
      </c>
      <c r="AQ194" s="100">
        <v>16</v>
      </c>
      <c r="AR194" s="47">
        <v>0</v>
      </c>
      <c r="AS194" s="47">
        <v>6.6</v>
      </c>
      <c r="AT194" s="47">
        <v>0.01</v>
      </c>
      <c r="AU194" s="116">
        <v>4.9550000000000001</v>
      </c>
      <c r="AV194" s="116">
        <v>2.4390000000000001</v>
      </c>
      <c r="AW194" s="100">
        <f>331*35.3147/1000</f>
        <v>11.689165700000002</v>
      </c>
      <c r="AX194" s="100">
        <v>0.28100000000000003</v>
      </c>
      <c r="AY194" s="100">
        <v>0.28299999999999997</v>
      </c>
    </row>
    <row r="195" spans="1:51" ht="13.5" customHeight="1" x14ac:dyDescent="0.2">
      <c r="A195" s="40">
        <v>45458</v>
      </c>
      <c r="B195" s="96">
        <f>7883-(C195+D195+E195+F195)</f>
        <v>5817</v>
      </c>
      <c r="C195" s="96">
        <v>1635</v>
      </c>
      <c r="D195" s="97">
        <v>134</v>
      </c>
      <c r="E195" s="97">
        <v>198</v>
      </c>
      <c r="F195" s="97">
        <v>99</v>
      </c>
      <c r="G195" s="97">
        <v>105</v>
      </c>
      <c r="H195" s="67">
        <v>8277.5339999999997</v>
      </c>
      <c r="I195" s="41">
        <v>705.53200000000004</v>
      </c>
      <c r="J195" s="41">
        <v>1893.1279999999999</v>
      </c>
      <c r="K195" s="41">
        <v>12596</v>
      </c>
      <c r="L195" s="41">
        <f>3255.32560244+279</f>
        <v>3534.3256024399998</v>
      </c>
      <c r="M195" s="41">
        <f>9475-N195</f>
        <v>9117</v>
      </c>
      <c r="N195" s="41">
        <v>358</v>
      </c>
      <c r="O195" s="41">
        <v>8424</v>
      </c>
      <c r="P195" s="41">
        <v>367</v>
      </c>
      <c r="Q195" s="41">
        <v>7239</v>
      </c>
      <c r="R195" s="44">
        <v>2529</v>
      </c>
      <c r="S195" s="41">
        <v>9727</v>
      </c>
      <c r="T195" s="41">
        <v>15030</v>
      </c>
      <c r="U195" s="41">
        <f>3.4*6.2898</f>
        <v>21.385319999999997</v>
      </c>
      <c r="V195" s="41">
        <v>828</v>
      </c>
      <c r="W195" s="128">
        <v>0</v>
      </c>
      <c r="X195" s="96">
        <v>4178</v>
      </c>
      <c r="Y195" s="41"/>
      <c r="Z195" s="41">
        <v>3401</v>
      </c>
      <c r="AA195" s="41"/>
      <c r="AB195" s="41">
        <f>305/0.55</f>
        <v>554.5454545454545</v>
      </c>
      <c r="AC195" s="41"/>
      <c r="AD195" s="96">
        <v>3315</v>
      </c>
      <c r="AE195" s="41">
        <v>153</v>
      </c>
      <c r="AF195" s="96">
        <v>9406</v>
      </c>
      <c r="AG195" s="96">
        <f>8266*0.49</f>
        <v>4050.34</v>
      </c>
      <c r="AH195" s="41">
        <v>35.5</v>
      </c>
      <c r="AI195" s="41">
        <v>7228.4624000000003</v>
      </c>
      <c r="AJ195" s="100">
        <v>0.19500000000000001</v>
      </c>
      <c r="AK195" s="47">
        <v>0.64700000000000002</v>
      </c>
      <c r="AL195" s="100">
        <f>3085 *35.314666721/10^3</f>
        <v>108.945746834285</v>
      </c>
      <c r="AM195" s="47">
        <v>0.432</v>
      </c>
      <c r="AN195" s="47">
        <v>5.47</v>
      </c>
      <c r="AO195" s="47">
        <v>2.23</v>
      </c>
      <c r="AP195" s="100">
        <v>8.15</v>
      </c>
      <c r="AQ195" s="100">
        <v>42</v>
      </c>
      <c r="AR195" s="47">
        <v>0</v>
      </c>
      <c r="AS195" s="47">
        <v>6.7</v>
      </c>
      <c r="AT195" s="47">
        <v>0.01</v>
      </c>
      <c r="AU195" s="116">
        <v>4.952</v>
      </c>
      <c r="AV195" s="116">
        <v>1.992</v>
      </c>
      <c r="AW195" s="100">
        <f>348*35.3147/1000</f>
        <v>12.289515600000001</v>
      </c>
      <c r="AX195" s="100">
        <v>0.45200000000000001</v>
      </c>
      <c r="AY195" s="100">
        <v>0.432</v>
      </c>
    </row>
    <row r="196" spans="1:51" ht="13.5" customHeight="1" x14ac:dyDescent="0.2">
      <c r="A196" s="40">
        <v>45459</v>
      </c>
      <c r="B196" s="96">
        <f>7861-(C196+D196+E196+F196)</f>
        <v>5795</v>
      </c>
      <c r="C196" s="96">
        <v>1635</v>
      </c>
      <c r="D196" s="97">
        <v>134</v>
      </c>
      <c r="E196" s="97">
        <v>198</v>
      </c>
      <c r="F196" s="97">
        <v>99</v>
      </c>
      <c r="G196" s="97">
        <v>105</v>
      </c>
      <c r="H196" s="67">
        <v>8220</v>
      </c>
      <c r="I196" s="41">
        <v>731</v>
      </c>
      <c r="J196" s="41">
        <v>1868</v>
      </c>
      <c r="K196" s="41">
        <v>12593</v>
      </c>
      <c r="L196" s="41">
        <v>3499</v>
      </c>
      <c r="M196" s="41">
        <v>8947</v>
      </c>
      <c r="N196" s="41">
        <v>363</v>
      </c>
      <c r="O196" s="41">
        <v>8089</v>
      </c>
      <c r="P196" s="41">
        <v>309</v>
      </c>
      <c r="Q196" s="41">
        <v>7402</v>
      </c>
      <c r="R196" s="44">
        <v>2589</v>
      </c>
      <c r="S196" s="41">
        <v>9591</v>
      </c>
      <c r="T196" s="41">
        <v>15155</v>
      </c>
      <c r="U196" s="41">
        <f>3.4*6.2898</f>
        <v>21.385319999999997</v>
      </c>
      <c r="V196" s="41">
        <v>828</v>
      </c>
      <c r="W196" s="128">
        <v>0</v>
      </c>
      <c r="X196" s="41">
        <v>4515</v>
      </c>
      <c r="Y196" s="41"/>
      <c r="Z196" s="41">
        <v>3382</v>
      </c>
      <c r="AA196" s="41"/>
      <c r="AB196" s="41">
        <f>293/0.55</f>
        <v>532.72727272727263</v>
      </c>
      <c r="AC196" s="41"/>
      <c r="AD196" s="96">
        <v>3283</v>
      </c>
      <c r="AE196" s="41">
        <v>153</v>
      </c>
      <c r="AF196" s="96">
        <v>9115</v>
      </c>
      <c r="AG196" s="96">
        <f>8253*0.49</f>
        <v>4043.97</v>
      </c>
      <c r="AH196" s="41">
        <v>35.5</v>
      </c>
      <c r="AI196" s="41">
        <v>7115.0115999999998</v>
      </c>
      <c r="AJ196" s="100">
        <v>0.16</v>
      </c>
      <c r="AK196" s="47">
        <v>0.439</v>
      </c>
      <c r="AL196" s="100">
        <f>4843 *35.314666721/10^3</f>
        <v>171.02893092980301</v>
      </c>
      <c r="AM196" s="100">
        <v>0.436</v>
      </c>
      <c r="AN196" s="47">
        <v>6.1</v>
      </c>
      <c r="AO196" s="47">
        <v>2.27</v>
      </c>
      <c r="AP196" s="100">
        <v>8.58</v>
      </c>
      <c r="AQ196" s="100">
        <v>41</v>
      </c>
      <c r="AR196" s="47">
        <v>0</v>
      </c>
      <c r="AS196" s="47">
        <v>6.7</v>
      </c>
      <c r="AT196" s="47">
        <v>0.01</v>
      </c>
      <c r="AU196" s="116">
        <v>4.9539999999999997</v>
      </c>
      <c r="AV196" s="116">
        <v>2.08</v>
      </c>
      <c r="AW196" s="100">
        <f>325*35.3147/1000</f>
        <v>11.4772775</v>
      </c>
      <c r="AX196" s="100">
        <v>0.44900000000000001</v>
      </c>
      <c r="AY196" s="100">
        <v>0.45500000000000002</v>
      </c>
    </row>
    <row r="197" spans="1:51" ht="13.5" customHeight="1" x14ac:dyDescent="0.2">
      <c r="A197" s="40">
        <v>45460</v>
      </c>
      <c r="B197" s="96">
        <f>7880-(C197+D197+E197+F197)</f>
        <v>5814</v>
      </c>
      <c r="C197" s="96">
        <v>1635</v>
      </c>
      <c r="D197" s="97">
        <v>134</v>
      </c>
      <c r="E197" s="97">
        <v>198</v>
      </c>
      <c r="F197" s="97">
        <v>99</v>
      </c>
      <c r="G197" s="97">
        <v>105</v>
      </c>
      <c r="H197" s="67">
        <v>8347</v>
      </c>
      <c r="I197" s="41">
        <v>714</v>
      </c>
      <c r="J197" s="41">
        <v>1761</v>
      </c>
      <c r="K197" s="41">
        <v>12589</v>
      </c>
      <c r="L197" s="41">
        <v>3492</v>
      </c>
      <c r="M197" s="41">
        <v>8968</v>
      </c>
      <c r="N197" s="41">
        <v>357</v>
      </c>
      <c r="O197" s="41">
        <v>8637</v>
      </c>
      <c r="P197" s="41">
        <v>396</v>
      </c>
      <c r="Q197" s="96">
        <v>7429</v>
      </c>
      <c r="R197" s="44">
        <v>2589</v>
      </c>
      <c r="S197" s="96">
        <v>9616</v>
      </c>
      <c r="T197" s="41">
        <v>15322</v>
      </c>
      <c r="U197" s="41">
        <f>11*6.2898</f>
        <v>69.187799999999996</v>
      </c>
      <c r="V197" s="41">
        <v>828</v>
      </c>
      <c r="W197" s="128">
        <v>0</v>
      </c>
      <c r="X197" s="96">
        <v>4082</v>
      </c>
      <c r="Y197" s="96"/>
      <c r="Z197" s="96">
        <v>3264</v>
      </c>
      <c r="AA197" s="96"/>
      <c r="AB197" s="41">
        <f>197/0.55</f>
        <v>358.18181818181813</v>
      </c>
      <c r="AC197" s="96"/>
      <c r="AD197" s="96">
        <v>3275</v>
      </c>
      <c r="AE197" s="41">
        <v>153</v>
      </c>
      <c r="AF197" s="96">
        <v>9285</v>
      </c>
      <c r="AG197" s="96">
        <f>8252*0.49</f>
        <v>4043.48</v>
      </c>
      <c r="AH197" s="41">
        <v>35.5</v>
      </c>
      <c r="AI197" s="41">
        <v>7122.4183999999996</v>
      </c>
      <c r="AJ197" s="100">
        <v>0.36899999999999999</v>
      </c>
      <c r="AK197" s="100">
        <v>1.1399999999999999</v>
      </c>
      <c r="AL197" s="100">
        <f>5230 *35.314666721/10^3</f>
        <v>184.69570695083002</v>
      </c>
      <c r="AM197" s="100">
        <v>0.436</v>
      </c>
      <c r="AN197" s="47">
        <v>4.8099999999999996</v>
      </c>
      <c r="AO197" s="47">
        <v>2.16</v>
      </c>
      <c r="AP197" s="100">
        <v>8.3699999999999992</v>
      </c>
      <c r="AQ197" s="100">
        <v>40</v>
      </c>
      <c r="AR197" s="47">
        <v>0</v>
      </c>
      <c r="AS197" s="47">
        <v>6.5</v>
      </c>
      <c r="AT197" s="47">
        <v>0.01</v>
      </c>
      <c r="AU197" s="116">
        <v>4.9560000000000004</v>
      </c>
      <c r="AV197" s="100">
        <v>2.0630000000000002</v>
      </c>
      <c r="AW197" s="100">
        <f>409*35.3147/1000</f>
        <v>14.443712300000001</v>
      </c>
      <c r="AX197" s="100">
        <v>0.32700000000000001</v>
      </c>
      <c r="AY197" s="100">
        <v>0.46300000000000002</v>
      </c>
    </row>
    <row r="198" spans="1:51" ht="13.5" customHeight="1" x14ac:dyDescent="0.2">
      <c r="A198" s="40">
        <v>45461</v>
      </c>
      <c r="B198" s="96">
        <f>7886-(C198+D198+E198+F198)</f>
        <v>5820</v>
      </c>
      <c r="C198" s="96">
        <v>1635</v>
      </c>
      <c r="D198" s="97">
        <v>134</v>
      </c>
      <c r="E198" s="97">
        <v>198</v>
      </c>
      <c r="F198" s="97">
        <v>99</v>
      </c>
      <c r="G198" s="97">
        <v>105</v>
      </c>
      <c r="H198" s="67">
        <v>8235.0720000000001</v>
      </c>
      <c r="I198" s="41">
        <v>686.94799999999998</v>
      </c>
      <c r="J198" s="41">
        <v>1685.3240000000001</v>
      </c>
      <c r="K198" s="41">
        <v>12571</v>
      </c>
      <c r="L198" s="41">
        <f>3240.6987912+283</f>
        <v>3523.6987912</v>
      </c>
      <c r="M198" s="41">
        <f>9307-N198</f>
        <v>8932</v>
      </c>
      <c r="N198" s="41">
        <v>375</v>
      </c>
      <c r="O198" s="41">
        <v>8797</v>
      </c>
      <c r="P198" s="41">
        <v>369</v>
      </c>
      <c r="Q198" s="41">
        <v>7412</v>
      </c>
      <c r="R198" s="44">
        <v>2534</v>
      </c>
      <c r="S198" s="41">
        <v>9720</v>
      </c>
      <c r="T198" s="41">
        <v>15163</v>
      </c>
      <c r="U198" s="41">
        <f>13*6.2898</f>
        <v>81.767399999999995</v>
      </c>
      <c r="V198" s="41">
        <v>828</v>
      </c>
      <c r="W198" s="128">
        <v>0</v>
      </c>
      <c r="X198" s="96">
        <v>4264</v>
      </c>
      <c r="Y198" s="96"/>
      <c r="Z198" s="96">
        <v>3202</v>
      </c>
      <c r="AA198" s="41"/>
      <c r="AB198" s="41">
        <f>294/0.55</f>
        <v>534.5454545454545</v>
      </c>
      <c r="AC198" s="41"/>
      <c r="AD198" s="96">
        <v>3310</v>
      </c>
      <c r="AE198" s="41">
        <v>153</v>
      </c>
      <c r="AF198" s="96">
        <v>9120</v>
      </c>
      <c r="AG198" s="96">
        <f>8254*0.49</f>
        <v>4044.46</v>
      </c>
      <c r="AH198" s="41">
        <v>35.5</v>
      </c>
      <c r="AI198" s="41">
        <v>7004.7596000000012</v>
      </c>
      <c r="AJ198" s="100">
        <v>0.20399999999999999</v>
      </c>
      <c r="AK198" s="47">
        <v>0.68</v>
      </c>
      <c r="AL198" s="100">
        <f>4232 *35.314666721/10^3</f>
        <v>149.45166956327202</v>
      </c>
      <c r="AM198" s="100">
        <v>0.439</v>
      </c>
      <c r="AN198" s="47">
        <v>4.68</v>
      </c>
      <c r="AO198" s="47">
        <v>2.09</v>
      </c>
      <c r="AP198" s="100">
        <v>8.51</v>
      </c>
      <c r="AQ198" s="100">
        <v>21</v>
      </c>
      <c r="AR198" s="47">
        <v>0</v>
      </c>
      <c r="AS198" s="47">
        <v>6.7</v>
      </c>
      <c r="AT198" s="47">
        <v>0.01</v>
      </c>
      <c r="AU198" s="116">
        <v>4.9539999999999997</v>
      </c>
      <c r="AV198" s="116">
        <v>1.9970000000000001</v>
      </c>
      <c r="AW198" s="100">
        <f>397*35.3147/1000</f>
        <v>14.0199359</v>
      </c>
      <c r="AX198" s="100">
        <v>0.32700000000000001</v>
      </c>
      <c r="AY198" s="100">
        <v>0.46100000000000002</v>
      </c>
    </row>
    <row r="199" spans="1:51" ht="13.5" customHeight="1" x14ac:dyDescent="0.2">
      <c r="A199" s="40">
        <v>45462</v>
      </c>
      <c r="B199" s="96">
        <f>7908-(C199+D199+E199+F199)</f>
        <v>5842</v>
      </c>
      <c r="C199" s="96">
        <v>1635</v>
      </c>
      <c r="D199" s="97">
        <v>134</v>
      </c>
      <c r="E199" s="97">
        <v>198</v>
      </c>
      <c r="F199" s="97">
        <v>99</v>
      </c>
      <c r="G199" s="97">
        <v>105</v>
      </c>
      <c r="H199" s="67">
        <v>8706.482</v>
      </c>
      <c r="I199" s="41">
        <v>658.08799999999997</v>
      </c>
      <c r="J199" s="41">
        <v>1609.808</v>
      </c>
      <c r="K199" s="41">
        <v>12568</v>
      </c>
      <c r="L199" s="41">
        <f>3189.15266376+275</f>
        <v>3464.15266376</v>
      </c>
      <c r="M199" s="41">
        <f>9300-N199</f>
        <v>8932</v>
      </c>
      <c r="N199" s="41">
        <v>368</v>
      </c>
      <c r="O199" s="41">
        <v>7832.5</v>
      </c>
      <c r="P199" s="41">
        <v>429</v>
      </c>
      <c r="Q199" s="41">
        <v>7410</v>
      </c>
      <c r="R199" s="44">
        <v>2505</v>
      </c>
      <c r="S199" s="41">
        <v>9659</v>
      </c>
      <c r="T199" s="41">
        <v>14198</v>
      </c>
      <c r="U199" s="41">
        <f>17*6.2898</f>
        <v>106.92659999999999</v>
      </c>
      <c r="V199" s="41">
        <v>828</v>
      </c>
      <c r="W199" s="128">
        <v>0</v>
      </c>
      <c r="X199" s="41">
        <v>4420</v>
      </c>
      <c r="Y199" s="41"/>
      <c r="Z199" s="96">
        <v>3219</v>
      </c>
      <c r="AA199" s="41"/>
      <c r="AB199" s="41">
        <f>309/0.55</f>
        <v>561.81818181818176</v>
      </c>
      <c r="AC199" s="41"/>
      <c r="AD199" s="96">
        <v>3282</v>
      </c>
      <c r="AE199" s="41">
        <v>153</v>
      </c>
      <c r="AF199" s="96">
        <v>8532</v>
      </c>
      <c r="AG199" s="96">
        <f>8255*0.49</f>
        <v>4044.95</v>
      </c>
      <c r="AH199" s="41">
        <v>35.5</v>
      </c>
      <c r="AI199" s="41">
        <v>7153.6107999999995</v>
      </c>
      <c r="AJ199" s="100">
        <v>0.29899999999999999</v>
      </c>
      <c r="AK199" s="47">
        <v>0.98499999999999999</v>
      </c>
      <c r="AL199" s="100">
        <f>2825 *35.314666721/10^3</f>
        <v>99.763933486824996</v>
      </c>
      <c r="AM199" s="100">
        <v>0.40799999999999997</v>
      </c>
      <c r="AN199" s="47">
        <v>4.9400000000000004</v>
      </c>
      <c r="AO199" s="47">
        <v>2.16</v>
      </c>
      <c r="AP199" s="100">
        <v>8.48</v>
      </c>
      <c r="AQ199" s="100">
        <v>20</v>
      </c>
      <c r="AR199" s="47">
        <v>0</v>
      </c>
      <c r="AS199" s="47">
        <v>7</v>
      </c>
      <c r="AT199" s="47">
        <v>0.01</v>
      </c>
      <c r="AU199" s="116">
        <v>4.9580000000000002</v>
      </c>
      <c r="AV199" s="116">
        <v>2</v>
      </c>
      <c r="AW199" s="100">
        <f>430*35.3147/1000</f>
        <v>15.185321000000002</v>
      </c>
      <c r="AX199" s="100">
        <v>0.53</v>
      </c>
      <c r="AY199" s="100">
        <v>0.46200000000000002</v>
      </c>
    </row>
    <row r="200" spans="1:51" ht="13.5" customHeight="1" x14ac:dyDescent="0.2">
      <c r="A200" s="40">
        <v>45463</v>
      </c>
      <c r="B200" s="96">
        <v>5810</v>
      </c>
      <c r="C200" s="96">
        <v>1635</v>
      </c>
      <c r="D200" s="97">
        <v>134</v>
      </c>
      <c r="E200" s="97">
        <v>198</v>
      </c>
      <c r="F200" s="97">
        <v>99</v>
      </c>
      <c r="G200" s="97">
        <v>105</v>
      </c>
      <c r="H200" s="67">
        <v>8511.2639999999992</v>
      </c>
      <c r="I200" s="41">
        <v>657</v>
      </c>
      <c r="J200" s="41">
        <v>1606</v>
      </c>
      <c r="K200" s="41">
        <v>12566</v>
      </c>
      <c r="L200" s="41">
        <v>3471.3410000000003</v>
      </c>
      <c r="M200" s="41">
        <v>8821.8075000000008</v>
      </c>
      <c r="N200" s="41">
        <v>385.1925</v>
      </c>
      <c r="O200" s="41">
        <v>7483.0000000000009</v>
      </c>
      <c r="P200" s="41">
        <v>393</v>
      </c>
      <c r="Q200" s="41">
        <v>7031</v>
      </c>
      <c r="R200" s="44">
        <v>2445</v>
      </c>
      <c r="S200" s="41">
        <v>9814</v>
      </c>
      <c r="T200" s="41">
        <v>14667</v>
      </c>
      <c r="U200" s="41">
        <f>14*6.2898</f>
        <v>88.057199999999995</v>
      </c>
      <c r="V200" s="41">
        <v>828</v>
      </c>
      <c r="W200" s="128">
        <v>557</v>
      </c>
      <c r="X200" s="41">
        <v>4076</v>
      </c>
      <c r="Y200" s="41"/>
      <c r="Z200" s="96">
        <v>3228</v>
      </c>
      <c r="AA200" s="41"/>
      <c r="AB200" s="41">
        <f>309/0.55</f>
        <v>561.81818181818176</v>
      </c>
      <c r="AC200" s="41"/>
      <c r="AD200" s="96">
        <v>4206</v>
      </c>
      <c r="AE200" s="41">
        <v>153</v>
      </c>
      <c r="AF200" s="96">
        <v>9012</v>
      </c>
      <c r="AG200" s="96">
        <f>8260*0.49</f>
        <v>4047.4</v>
      </c>
      <c r="AH200" s="41">
        <v>35.5</v>
      </c>
      <c r="AI200" s="41">
        <v>6979.6611999999996</v>
      </c>
      <c r="AJ200" s="100">
        <v>0.42599999999999999</v>
      </c>
      <c r="AK200" s="47">
        <v>1.1020000000000001</v>
      </c>
      <c r="AL200" s="100">
        <f>2915 *35.314666721/10^3</f>
        <v>102.94225349171501</v>
      </c>
      <c r="AM200" s="100">
        <v>0.44</v>
      </c>
      <c r="AN200" s="47">
        <v>4.9400000000000004</v>
      </c>
      <c r="AO200" s="47">
        <v>2.1</v>
      </c>
      <c r="AP200" s="100">
        <v>8.49</v>
      </c>
      <c r="AQ200" s="100">
        <v>17</v>
      </c>
      <c r="AR200" s="47">
        <v>0.3</v>
      </c>
      <c r="AS200" s="47">
        <v>7</v>
      </c>
      <c r="AT200" s="47">
        <v>0.01</v>
      </c>
      <c r="AU200" s="116">
        <v>4.952</v>
      </c>
      <c r="AV200" s="116">
        <v>2.16</v>
      </c>
      <c r="AW200" s="100">
        <f>423*35.3147/1000</f>
        <v>14.938118100000002</v>
      </c>
      <c r="AX200" s="100">
        <v>0.36699999999999999</v>
      </c>
      <c r="AY200" s="100">
        <v>0.46200000000000002</v>
      </c>
    </row>
    <row r="201" spans="1:51" ht="13.5" customHeight="1" x14ac:dyDescent="0.2">
      <c r="A201" s="40">
        <v>45464</v>
      </c>
      <c r="B201" s="96">
        <f>7899-(C201+D201+E201+F201)</f>
        <v>5833</v>
      </c>
      <c r="C201" s="96">
        <v>1635</v>
      </c>
      <c r="D201" s="97">
        <v>134</v>
      </c>
      <c r="E201" s="97">
        <v>198</v>
      </c>
      <c r="F201" s="97">
        <v>99</v>
      </c>
      <c r="G201" s="97">
        <v>105</v>
      </c>
      <c r="H201" s="67">
        <v>8615.1479999999992</v>
      </c>
      <c r="I201" s="41">
        <v>669.2</v>
      </c>
      <c r="J201" s="41">
        <v>1546.825</v>
      </c>
      <c r="K201" s="41">
        <v>12675</v>
      </c>
      <c r="L201" s="41">
        <v>3471.8270000000002</v>
      </c>
      <c r="M201" s="41">
        <v>8458.4004999999997</v>
      </c>
      <c r="N201" s="41">
        <v>351.26249999999999</v>
      </c>
      <c r="O201" s="41">
        <v>8044</v>
      </c>
      <c r="P201" s="41">
        <v>361</v>
      </c>
      <c r="Q201" s="41">
        <v>7205</v>
      </c>
      <c r="R201" s="44">
        <v>2492</v>
      </c>
      <c r="S201" s="41">
        <v>9787</v>
      </c>
      <c r="T201" s="41">
        <v>14667</v>
      </c>
      <c r="U201" s="41">
        <f>14*6.2898</f>
        <v>88.057199999999995</v>
      </c>
      <c r="V201" s="41">
        <v>828</v>
      </c>
      <c r="W201" s="128">
        <v>4831</v>
      </c>
      <c r="X201" s="41">
        <v>4256</v>
      </c>
      <c r="Y201" s="41"/>
      <c r="Z201" s="96">
        <v>3237</v>
      </c>
      <c r="AA201" s="41"/>
      <c r="AB201" s="41">
        <f>285/0.55</f>
        <v>518.18181818181813</v>
      </c>
      <c r="AC201" s="41"/>
      <c r="AD201" s="96">
        <v>4310</v>
      </c>
      <c r="AE201" s="41">
        <v>153</v>
      </c>
      <c r="AF201" s="96">
        <v>9362</v>
      </c>
      <c r="AG201" s="96">
        <f>8080*0.49</f>
        <v>3959.2</v>
      </c>
      <c r="AH201" s="41">
        <v>35.5</v>
      </c>
      <c r="AI201" s="41">
        <v>6935</v>
      </c>
      <c r="AJ201" s="100">
        <v>5.2999999999999999E-2</v>
      </c>
      <c r="AK201" s="47">
        <v>0.17899999999999999</v>
      </c>
      <c r="AL201" s="100">
        <f>3755 *35.314666721/10^3</f>
        <v>132.60657353735499</v>
      </c>
      <c r="AM201" s="100">
        <v>0.47</v>
      </c>
      <c r="AN201" s="47">
        <v>12</v>
      </c>
      <c r="AO201" s="47">
        <v>2.15</v>
      </c>
      <c r="AP201" s="100">
        <v>8.42</v>
      </c>
      <c r="AQ201" s="100">
        <v>10</v>
      </c>
      <c r="AR201" s="47">
        <v>0.6</v>
      </c>
      <c r="AS201" s="47">
        <v>7</v>
      </c>
      <c r="AT201" s="47">
        <v>0.01</v>
      </c>
      <c r="AU201" s="116">
        <v>4.9550000000000001</v>
      </c>
      <c r="AV201" s="116">
        <v>2.0059999999999998</v>
      </c>
      <c r="AW201" s="100">
        <f>423*35.3147/1000</f>
        <v>14.938118100000002</v>
      </c>
      <c r="AX201" s="100">
        <v>0.44</v>
      </c>
      <c r="AY201" s="100">
        <v>0.46200000000000002</v>
      </c>
    </row>
    <row r="202" spans="1:51" ht="13.5" customHeight="1" x14ac:dyDescent="0.2">
      <c r="A202" s="40">
        <v>45465</v>
      </c>
      <c r="B202" s="96">
        <f>7885-(C202+D202+E202+F202)</f>
        <v>5819</v>
      </c>
      <c r="C202" s="96">
        <v>1635</v>
      </c>
      <c r="D202" s="97">
        <v>134</v>
      </c>
      <c r="E202" s="97">
        <v>198</v>
      </c>
      <c r="F202" s="97">
        <v>99</v>
      </c>
      <c r="G202" s="97">
        <v>105</v>
      </c>
      <c r="H202" s="67">
        <v>8605.8629999999994</v>
      </c>
      <c r="I202" s="41">
        <v>638.35199999999998</v>
      </c>
      <c r="J202" s="41">
        <v>1400.258</v>
      </c>
      <c r="K202" s="41">
        <v>12623</v>
      </c>
      <c r="L202" s="41">
        <v>3441.5270000000005</v>
      </c>
      <c r="M202" s="41">
        <v>8868.74</v>
      </c>
      <c r="N202" s="41">
        <v>433.26</v>
      </c>
      <c r="O202" s="41">
        <v>8614.5</v>
      </c>
      <c r="P202" s="41">
        <v>369</v>
      </c>
      <c r="Q202" s="41">
        <v>7412</v>
      </c>
      <c r="R202" s="44">
        <v>2421</v>
      </c>
      <c r="S202" s="41">
        <v>9760</v>
      </c>
      <c r="T202" s="41">
        <v>14306</v>
      </c>
      <c r="U202" s="41">
        <f>0.18*6.2898</f>
        <v>1.1321639999999999</v>
      </c>
      <c r="V202" s="41">
        <v>828</v>
      </c>
      <c r="W202" s="128">
        <v>10091</v>
      </c>
      <c r="X202" s="41">
        <v>4267</v>
      </c>
      <c r="Y202" s="41"/>
      <c r="Z202" s="96">
        <v>3233</v>
      </c>
      <c r="AA202" s="41"/>
      <c r="AB202" s="41">
        <f>285/0.55</f>
        <v>518.18181818181813</v>
      </c>
      <c r="AC202" s="41"/>
      <c r="AD202" s="96">
        <v>3266</v>
      </c>
      <c r="AE202" s="41">
        <v>153</v>
      </c>
      <c r="AF202" s="96">
        <v>9393</v>
      </c>
      <c r="AG202" s="96">
        <f>8231*0.49</f>
        <v>4033.19</v>
      </c>
      <c r="AH202" s="41">
        <v>35.5</v>
      </c>
      <c r="AI202" s="41">
        <v>6860</v>
      </c>
      <c r="AJ202" s="100">
        <v>0</v>
      </c>
      <c r="AK202" s="47">
        <v>0</v>
      </c>
      <c r="AL202" s="100">
        <f>4442 *35.314666721/10^3</f>
        <v>156.86774957468199</v>
      </c>
      <c r="AM202" s="100">
        <v>0.378</v>
      </c>
      <c r="AN202" s="47">
        <v>15.24</v>
      </c>
      <c r="AO202" s="47">
        <v>2.02</v>
      </c>
      <c r="AP202" s="100">
        <v>8.25</v>
      </c>
      <c r="AQ202" s="100">
        <v>10</v>
      </c>
      <c r="AR202" s="47">
        <v>2.5</v>
      </c>
      <c r="AS202" s="47">
        <v>6.6</v>
      </c>
      <c r="AT202" s="47">
        <v>0.01</v>
      </c>
      <c r="AU202" s="116">
        <v>4.83</v>
      </c>
      <c r="AV202" s="116">
        <v>1.679</v>
      </c>
      <c r="AW202" s="100">
        <f>423*35.3147/1000</f>
        <v>14.938118100000002</v>
      </c>
      <c r="AX202" s="100">
        <v>0.437</v>
      </c>
      <c r="AY202" s="100">
        <v>0.46</v>
      </c>
    </row>
    <row r="203" spans="1:51" ht="13.5" customHeight="1" x14ac:dyDescent="0.2">
      <c r="A203" s="40">
        <v>45466</v>
      </c>
      <c r="B203" s="96">
        <f>7860-(C203+D203+E203+F203)</f>
        <v>5794</v>
      </c>
      <c r="C203" s="96">
        <v>1635</v>
      </c>
      <c r="D203" s="97">
        <v>134</v>
      </c>
      <c r="E203" s="97">
        <v>198</v>
      </c>
      <c r="F203" s="97">
        <v>99</v>
      </c>
      <c r="G203" s="97">
        <v>105</v>
      </c>
      <c r="H203" s="67">
        <v>8313</v>
      </c>
      <c r="I203" s="41">
        <v>638.35199999999998</v>
      </c>
      <c r="J203" s="41">
        <v>1473</v>
      </c>
      <c r="K203" s="41">
        <v>12648</v>
      </c>
      <c r="L203" s="41">
        <f>3251+279</f>
        <v>3530</v>
      </c>
      <c r="M203" s="41">
        <v>8868.74</v>
      </c>
      <c r="N203" s="41">
        <v>362</v>
      </c>
      <c r="O203" s="41">
        <v>8586</v>
      </c>
      <c r="P203" s="41">
        <v>385</v>
      </c>
      <c r="Q203" s="41">
        <v>7415</v>
      </c>
      <c r="R203" s="44">
        <v>2408</v>
      </c>
      <c r="S203" s="41">
        <v>9715</v>
      </c>
      <c r="T203" s="41">
        <v>14652</v>
      </c>
      <c r="U203" s="41">
        <f>0.18*6.2898</f>
        <v>1.1321639999999999</v>
      </c>
      <c r="V203" s="41">
        <v>828</v>
      </c>
      <c r="W203" s="128">
        <v>8108</v>
      </c>
      <c r="X203" s="41">
        <v>4050</v>
      </c>
      <c r="Y203" s="41"/>
      <c r="Z203" s="96">
        <v>3230</v>
      </c>
      <c r="AA203" s="41"/>
      <c r="AB203" s="41">
        <f>286/0.55</f>
        <v>520</v>
      </c>
      <c r="AC203" s="41"/>
      <c r="AD203" s="96">
        <v>3307</v>
      </c>
      <c r="AE203" s="41">
        <v>153</v>
      </c>
      <c r="AF203" s="96">
        <v>5495</v>
      </c>
      <c r="AG203" s="96">
        <f>8233*0.49</f>
        <v>4034.17</v>
      </c>
      <c r="AH203" s="41">
        <v>35.5</v>
      </c>
      <c r="AI203" s="41">
        <v>6907</v>
      </c>
      <c r="AJ203" s="100">
        <v>0.124</v>
      </c>
      <c r="AK203" s="47">
        <v>0.41499999999999998</v>
      </c>
      <c r="AL203" s="100">
        <f>4530 *35.314666721/10^3</f>
        <v>159.97544024613001</v>
      </c>
      <c r="AM203" s="100">
        <v>0.441</v>
      </c>
      <c r="AN203" s="47">
        <v>15.24</v>
      </c>
      <c r="AO203" s="47">
        <v>2.08</v>
      </c>
      <c r="AP203" s="100">
        <v>8.35</v>
      </c>
      <c r="AQ203" s="100">
        <v>10</v>
      </c>
      <c r="AR203" s="47">
        <v>8.31</v>
      </c>
      <c r="AS203" s="47">
        <v>6.2</v>
      </c>
      <c r="AT203" s="47">
        <v>0.01</v>
      </c>
      <c r="AU203" s="116">
        <v>2.9729999999999999</v>
      </c>
      <c r="AV203" s="116">
        <v>1.996</v>
      </c>
      <c r="AW203" s="100">
        <f>427*35.3147/1000</f>
        <v>15.079376900000002</v>
      </c>
      <c r="AX203" s="100">
        <v>0.40500000000000003</v>
      </c>
      <c r="AY203" s="100">
        <v>0.45800000000000002</v>
      </c>
    </row>
    <row r="204" spans="1:51" ht="13.5" customHeight="1" x14ac:dyDescent="0.2">
      <c r="A204" s="40">
        <v>45467</v>
      </c>
      <c r="B204" s="96">
        <f>7881-(C204+D204+E204+F204)</f>
        <v>5815</v>
      </c>
      <c r="C204" s="96">
        <v>1635</v>
      </c>
      <c r="D204" s="97">
        <v>134</v>
      </c>
      <c r="E204" s="97">
        <v>198</v>
      </c>
      <c r="F204" s="97">
        <v>99</v>
      </c>
      <c r="G204" s="97">
        <v>105</v>
      </c>
      <c r="H204" s="67">
        <v>8363</v>
      </c>
      <c r="I204" s="41">
        <v>659</v>
      </c>
      <c r="J204" s="41">
        <v>1455</v>
      </c>
      <c r="K204" s="41">
        <v>12641</v>
      </c>
      <c r="L204" s="41">
        <f>3210+273</f>
        <v>3483</v>
      </c>
      <c r="M204" s="41">
        <f>9315-N204</f>
        <v>8953</v>
      </c>
      <c r="N204" s="41">
        <v>362</v>
      </c>
      <c r="O204" s="41">
        <v>8958</v>
      </c>
      <c r="P204" s="41">
        <v>388</v>
      </c>
      <c r="Q204" s="41">
        <v>7407</v>
      </c>
      <c r="R204" s="44">
        <v>2264</v>
      </c>
      <c r="S204" s="41">
        <v>9440</v>
      </c>
      <c r="T204" s="41">
        <v>15349</v>
      </c>
      <c r="U204" s="41">
        <f>0.18*6.2898</f>
        <v>1.1321639999999999</v>
      </c>
      <c r="V204" s="41">
        <v>828</v>
      </c>
      <c r="W204" s="128">
        <v>8393</v>
      </c>
      <c r="X204" s="41">
        <v>4174</v>
      </c>
      <c r="Y204" s="41"/>
      <c r="Z204" s="96">
        <v>3224</v>
      </c>
      <c r="AA204" s="41"/>
      <c r="AB204" s="41">
        <f>285/0.55</f>
        <v>518.18181818181813</v>
      </c>
      <c r="AC204" s="41"/>
      <c r="AD204" s="96">
        <v>3307</v>
      </c>
      <c r="AE204" s="41">
        <v>153</v>
      </c>
      <c r="AF204" s="96">
        <v>6810</v>
      </c>
      <c r="AG204" s="96">
        <f>8233*0.49</f>
        <v>4034.17</v>
      </c>
      <c r="AH204" s="41">
        <v>35.5</v>
      </c>
      <c r="AI204" s="41">
        <v>6966</v>
      </c>
      <c r="AJ204" s="100">
        <v>0.32200000000000001</v>
      </c>
      <c r="AK204" s="47">
        <v>1.0409999999999999</v>
      </c>
      <c r="AL204" s="100">
        <f>4339 *35.314666721/10^3</f>
        <v>153.23033890241899</v>
      </c>
      <c r="AM204" s="100">
        <v>0.34100000000000003</v>
      </c>
      <c r="AN204" s="47">
        <v>17.28</v>
      </c>
      <c r="AO204" s="47">
        <v>2.08</v>
      </c>
      <c r="AP204" s="100">
        <v>8.35</v>
      </c>
      <c r="AQ204" s="100">
        <v>10</v>
      </c>
      <c r="AR204" s="47">
        <v>8.5</v>
      </c>
      <c r="AS204" s="47">
        <v>6.5</v>
      </c>
      <c r="AT204" s="47">
        <v>0.01</v>
      </c>
      <c r="AU204" s="116">
        <v>4.0640000000000001</v>
      </c>
      <c r="AV204" s="116">
        <v>2.0219999999999998</v>
      </c>
      <c r="AW204" s="100">
        <f>415*35.3147/1000</f>
        <v>14.6556005</v>
      </c>
      <c r="AX204" s="100">
        <v>0.41499999999999998</v>
      </c>
      <c r="AY204" s="100">
        <v>0.45800000000000002</v>
      </c>
    </row>
    <row r="205" spans="1:51" ht="13.15" customHeight="1" x14ac:dyDescent="0.2">
      <c r="A205" s="40">
        <v>45468</v>
      </c>
      <c r="B205" s="96">
        <f>7891-(C205+D205+E205+F205)</f>
        <v>5825</v>
      </c>
      <c r="C205" s="96">
        <v>1635</v>
      </c>
      <c r="D205" s="97">
        <v>134</v>
      </c>
      <c r="E205" s="97">
        <v>198</v>
      </c>
      <c r="F205" s="97">
        <v>99</v>
      </c>
      <c r="G205" s="97">
        <v>105</v>
      </c>
      <c r="H205" s="67">
        <v>8569.2250000000004</v>
      </c>
      <c r="I205" s="41">
        <v>616.84199999999998</v>
      </c>
      <c r="J205" s="41">
        <v>1439.6089999999999</v>
      </c>
      <c r="K205" s="41">
        <v>12646</v>
      </c>
      <c r="L205" s="41">
        <f>3220.57676388+275</f>
        <v>3495.5767638799998</v>
      </c>
      <c r="M205" s="41">
        <f>9112-N205</f>
        <v>8750</v>
      </c>
      <c r="N205" s="41">
        <v>362</v>
      </c>
      <c r="O205" s="41">
        <v>8445</v>
      </c>
      <c r="P205" s="41">
        <v>398</v>
      </c>
      <c r="Q205" s="41">
        <v>7412</v>
      </c>
      <c r="R205" s="44">
        <v>2547</v>
      </c>
      <c r="S205" s="41">
        <v>9463</v>
      </c>
      <c r="T205" s="41">
        <v>15321</v>
      </c>
      <c r="U205" s="41">
        <f>3.4*6.2898</f>
        <v>21.385319999999997</v>
      </c>
      <c r="V205" s="41">
        <v>828</v>
      </c>
      <c r="W205" s="128">
        <v>8160</v>
      </c>
      <c r="X205" s="41">
        <v>4489</v>
      </c>
      <c r="Y205" s="41"/>
      <c r="Z205" s="96">
        <v>3217</v>
      </c>
      <c r="AA205" s="41"/>
      <c r="AB205" s="41">
        <f>299/0.55</f>
        <v>543.63636363636363</v>
      </c>
      <c r="AC205" s="41"/>
      <c r="AD205" s="96">
        <v>3272</v>
      </c>
      <c r="AE205" s="41">
        <v>153</v>
      </c>
      <c r="AF205" s="96">
        <v>5636</v>
      </c>
      <c r="AG205" s="96">
        <f>8246*0.49</f>
        <v>4040.54</v>
      </c>
      <c r="AH205" s="41">
        <v>35.5</v>
      </c>
      <c r="AI205" s="41">
        <v>6972</v>
      </c>
      <c r="AJ205" s="100">
        <v>0.35899999999999999</v>
      </c>
      <c r="AK205" s="47">
        <v>1.0509999999999999</v>
      </c>
      <c r="AL205" s="100">
        <f>4298 *35.314666721/10^3</f>
        <v>151.78243756685802</v>
      </c>
      <c r="AM205" s="100">
        <v>0.42699999999999999</v>
      </c>
      <c r="AN205" s="47">
        <v>15.49</v>
      </c>
      <c r="AO205" s="47">
        <v>2.08</v>
      </c>
      <c r="AP205" s="100">
        <v>8.35</v>
      </c>
      <c r="AQ205" s="100">
        <v>10</v>
      </c>
      <c r="AR205" s="47">
        <v>8.26</v>
      </c>
      <c r="AS205" s="47">
        <v>6.7</v>
      </c>
      <c r="AT205" s="47">
        <v>0.01</v>
      </c>
      <c r="AU205" s="116">
        <v>3.0979999999999999</v>
      </c>
      <c r="AV205" s="116">
        <v>2.1339999999999999</v>
      </c>
      <c r="AW205" s="100">
        <f>415*35.3147/1000</f>
        <v>14.6556005</v>
      </c>
      <c r="AX205" s="100">
        <v>0.35299999999999998</v>
      </c>
      <c r="AY205" s="100">
        <v>0.46</v>
      </c>
    </row>
    <row r="206" spans="1:51" ht="13.5" customHeight="1" x14ac:dyDescent="0.2">
      <c r="A206" s="40">
        <v>45469</v>
      </c>
      <c r="B206" s="96">
        <f>7890-(C206+D206+E206+F206)</f>
        <v>5824</v>
      </c>
      <c r="C206" s="96">
        <v>1635</v>
      </c>
      <c r="D206" s="97">
        <v>134</v>
      </c>
      <c r="E206" s="97">
        <v>198</v>
      </c>
      <c r="F206" s="97">
        <v>99</v>
      </c>
      <c r="G206" s="97">
        <v>105</v>
      </c>
      <c r="H206" s="67">
        <v>8526.143</v>
      </c>
      <c r="I206" s="41">
        <v>607.91899999999998</v>
      </c>
      <c r="J206" s="41">
        <v>1415.9860000000001</v>
      </c>
      <c r="K206" s="41">
        <v>12641</v>
      </c>
      <c r="L206" s="41">
        <f>3228.11038836+276</f>
        <v>3504.1103883599999</v>
      </c>
      <c r="M206" s="41">
        <f>8728-N206</f>
        <v>8354</v>
      </c>
      <c r="N206" s="41">
        <v>374</v>
      </c>
      <c r="O206" s="41">
        <v>8710</v>
      </c>
      <c r="P206" s="41">
        <v>397</v>
      </c>
      <c r="Q206" s="41">
        <v>7378</v>
      </c>
      <c r="R206" s="96">
        <v>2859</v>
      </c>
      <c r="S206" s="96">
        <v>9655</v>
      </c>
      <c r="T206" s="41">
        <v>14026</v>
      </c>
      <c r="U206" s="41">
        <f>14*6.2898</f>
        <v>88.057199999999995</v>
      </c>
      <c r="V206" s="41">
        <v>828</v>
      </c>
      <c r="W206" s="128">
        <v>8034</v>
      </c>
      <c r="X206" s="41">
        <v>3969</v>
      </c>
      <c r="Y206" s="41"/>
      <c r="Z206" s="96">
        <v>3208</v>
      </c>
      <c r="AA206" s="41"/>
      <c r="AB206" s="41">
        <f>295/0.55</f>
        <v>536.36363636363637</v>
      </c>
      <c r="AC206" s="41"/>
      <c r="AD206" s="96">
        <v>3289</v>
      </c>
      <c r="AE206" s="41">
        <v>153</v>
      </c>
      <c r="AF206" s="96">
        <v>3737</v>
      </c>
      <c r="AG206" s="96">
        <f>8248*0.49</f>
        <v>4041.52</v>
      </c>
      <c r="AH206" s="41">
        <v>35.5</v>
      </c>
      <c r="AI206" s="41">
        <v>6907</v>
      </c>
      <c r="AJ206" s="100">
        <v>0.46800000000000003</v>
      </c>
      <c r="AK206" s="100">
        <v>1.302</v>
      </c>
      <c r="AL206" s="100">
        <f>4331 *35.314666721/10^3</f>
        <v>152.94782156865102</v>
      </c>
      <c r="AM206" s="100">
        <v>0.26600000000000001</v>
      </c>
      <c r="AN206" s="47">
        <v>16.95</v>
      </c>
      <c r="AO206" s="47">
        <v>13.47</v>
      </c>
      <c r="AP206" s="100">
        <v>8.57</v>
      </c>
      <c r="AQ206" s="100">
        <v>10</v>
      </c>
      <c r="AR206" s="47">
        <v>8.11</v>
      </c>
      <c r="AS206" s="47">
        <v>6.4</v>
      </c>
      <c r="AT206" s="47">
        <v>0.01</v>
      </c>
      <c r="AU206" s="116">
        <v>2.1</v>
      </c>
      <c r="AV206" s="116">
        <v>2.246</v>
      </c>
      <c r="AW206" s="100">
        <f>444*35.3147/1000</f>
        <v>15.679726800000001</v>
      </c>
      <c r="AX206" s="100">
        <v>0.35299999999999998</v>
      </c>
      <c r="AY206" s="100">
        <v>0.46100000000000002</v>
      </c>
    </row>
    <row r="207" spans="1:51" ht="13.5" customHeight="1" x14ac:dyDescent="0.2">
      <c r="A207" s="40">
        <v>45470</v>
      </c>
      <c r="B207" s="96">
        <f>7877-(C207+D207+E207+F207)</f>
        <v>5811</v>
      </c>
      <c r="C207" s="96">
        <v>1635</v>
      </c>
      <c r="D207" s="97">
        <v>134</v>
      </c>
      <c r="E207" s="97">
        <v>198</v>
      </c>
      <c r="F207" s="97">
        <v>99</v>
      </c>
      <c r="G207" s="97">
        <v>105</v>
      </c>
      <c r="H207" s="108">
        <v>8505.0660000000007</v>
      </c>
      <c r="I207" s="44">
        <v>615.59699999999998</v>
      </c>
      <c r="J207" s="44">
        <v>1467.2049999999999</v>
      </c>
      <c r="K207" s="44">
        <v>12620</v>
      </c>
      <c r="L207" s="44">
        <f>3209.05803716+273</f>
        <v>3482.0580371599999</v>
      </c>
      <c r="M207" s="41">
        <f>7179-N207</f>
        <v>6805</v>
      </c>
      <c r="N207" s="41">
        <v>374</v>
      </c>
      <c r="O207" s="41">
        <v>8288</v>
      </c>
      <c r="P207" s="41">
        <v>353</v>
      </c>
      <c r="Q207" s="41">
        <v>7385</v>
      </c>
      <c r="R207" s="96">
        <v>3099</v>
      </c>
      <c r="S207" s="41">
        <v>9676</v>
      </c>
      <c r="T207" s="41">
        <v>14503</v>
      </c>
      <c r="U207" s="41">
        <f>14*6.2898</f>
        <v>88.057199999999995</v>
      </c>
      <c r="V207" s="41">
        <v>828</v>
      </c>
      <c r="W207" s="128">
        <v>7844</v>
      </c>
      <c r="X207" s="41">
        <v>4374</v>
      </c>
      <c r="Y207" s="41"/>
      <c r="Z207" s="96">
        <v>3197</v>
      </c>
      <c r="AA207" s="41"/>
      <c r="AB207" s="41">
        <f>295/0.55</f>
        <v>536.36363636363637</v>
      </c>
      <c r="AC207" s="41"/>
      <c r="AD207" s="96">
        <v>3294</v>
      </c>
      <c r="AE207" s="41">
        <v>153</v>
      </c>
      <c r="AF207" s="96">
        <v>3959</v>
      </c>
      <c r="AG207" s="96">
        <f>8247*0.49</f>
        <v>4041.0299999999997</v>
      </c>
      <c r="AH207" s="41">
        <v>35.5</v>
      </c>
      <c r="AI207" s="41">
        <v>6875</v>
      </c>
      <c r="AJ207" s="100">
        <v>1.1559999999999999</v>
      </c>
      <c r="AK207" s="100">
        <v>0.72</v>
      </c>
      <c r="AL207" s="100">
        <f>5301 *35.314666721/10^3</f>
        <v>187.20304828802099</v>
      </c>
      <c r="AM207" s="100">
        <v>0.34799999999999998</v>
      </c>
      <c r="AN207" s="47">
        <v>9.9600000000000009</v>
      </c>
      <c r="AO207" s="47">
        <v>14.03</v>
      </c>
      <c r="AP207" s="100">
        <v>8.57</v>
      </c>
      <c r="AQ207" s="100">
        <v>10</v>
      </c>
      <c r="AR207" s="47">
        <v>8.1999999999999993</v>
      </c>
      <c r="AS207" s="47">
        <v>6.6</v>
      </c>
      <c r="AT207" s="47">
        <v>0.01</v>
      </c>
      <c r="AU207" s="116">
        <v>2.08</v>
      </c>
      <c r="AV207" s="116">
        <v>2.137</v>
      </c>
      <c r="AW207" s="100">
        <f>437*35.3147/1000</f>
        <v>15.4325239</v>
      </c>
      <c r="AX207" s="100">
        <v>0.39200000000000002</v>
      </c>
      <c r="AY207" s="100">
        <v>0.46700000000000003</v>
      </c>
    </row>
    <row r="208" spans="1:51" ht="13.15" customHeight="1" x14ac:dyDescent="0.2">
      <c r="A208" s="40">
        <v>45471</v>
      </c>
      <c r="B208" s="96">
        <f>7883-(C208+D208+E208+F208)</f>
        <v>5817</v>
      </c>
      <c r="C208" s="96">
        <v>1635</v>
      </c>
      <c r="D208" s="97">
        <v>134</v>
      </c>
      <c r="E208" s="97">
        <v>198</v>
      </c>
      <c r="F208" s="97">
        <v>99</v>
      </c>
      <c r="G208" s="97">
        <v>105</v>
      </c>
      <c r="H208" s="108">
        <v>8384.5779999999995</v>
      </c>
      <c r="I208" s="44">
        <v>595.92200000000003</v>
      </c>
      <c r="J208" s="44">
        <v>1477.5640000000001</v>
      </c>
      <c r="K208" s="44">
        <v>12626</v>
      </c>
      <c r="L208" s="44">
        <f>3215.8721778+274</f>
        <v>3489.8721777999999</v>
      </c>
      <c r="M208" s="41">
        <f>7380-N208</f>
        <v>6978</v>
      </c>
      <c r="N208" s="41">
        <v>402</v>
      </c>
      <c r="O208" s="41">
        <v>8788</v>
      </c>
      <c r="P208" s="41">
        <v>429</v>
      </c>
      <c r="Q208" s="41">
        <v>7364</v>
      </c>
      <c r="R208" s="96">
        <v>2985</v>
      </c>
      <c r="S208" s="41">
        <v>9771</v>
      </c>
      <c r="T208" s="41">
        <v>15687</v>
      </c>
      <c r="U208" s="41">
        <f>7*6.2898</f>
        <v>44.028599999999997</v>
      </c>
      <c r="V208" s="41">
        <v>828</v>
      </c>
      <c r="W208" s="128">
        <v>7756</v>
      </c>
      <c r="X208" s="41">
        <v>3908</v>
      </c>
      <c r="Y208" s="41"/>
      <c r="Z208" s="96">
        <v>3165</v>
      </c>
      <c r="AA208" s="41"/>
      <c r="AB208" s="41">
        <f>293/0.55</f>
        <v>532.72727272727263</v>
      </c>
      <c r="AC208" s="41"/>
      <c r="AD208" s="96">
        <v>3293</v>
      </c>
      <c r="AE208" s="41">
        <v>153</v>
      </c>
      <c r="AF208" s="96">
        <v>3331</v>
      </c>
      <c r="AG208" s="96">
        <f>8248*0.49</f>
        <v>4041.52</v>
      </c>
      <c r="AH208" s="41">
        <v>35.5</v>
      </c>
      <c r="AI208" s="41">
        <v>7003</v>
      </c>
      <c r="AJ208" s="100">
        <v>0.67200000000000004</v>
      </c>
      <c r="AK208" s="100">
        <v>0.52800000000000002</v>
      </c>
      <c r="AL208" s="100">
        <f>5324 *35.314666721/10^3</f>
        <v>188.01528562260401</v>
      </c>
      <c r="AM208" s="100">
        <v>0.26900000000000002</v>
      </c>
      <c r="AN208" s="47">
        <v>11.5</v>
      </c>
      <c r="AO208" s="47">
        <v>13.99</v>
      </c>
      <c r="AP208" s="100">
        <v>8.57</v>
      </c>
      <c r="AQ208" s="100">
        <v>10</v>
      </c>
      <c r="AR208" s="47">
        <v>8.15</v>
      </c>
      <c r="AS208" s="47">
        <v>6.2</v>
      </c>
      <c r="AT208" s="47">
        <v>0.01</v>
      </c>
      <c r="AU208" s="116">
        <v>2.024</v>
      </c>
      <c r="AV208" s="116">
        <v>2.198</v>
      </c>
      <c r="AW208" s="100">
        <f>408*35.3147/1000</f>
        <v>14.408397600000001</v>
      </c>
      <c r="AX208" s="100">
        <v>0.39</v>
      </c>
      <c r="AY208" s="100">
        <v>0.43</v>
      </c>
    </row>
    <row r="209" spans="1:51" ht="13.5" customHeight="1" x14ac:dyDescent="0.2">
      <c r="A209" s="40">
        <v>45472</v>
      </c>
      <c r="B209" s="96">
        <f>7986-(C209+D209+E209+F209)</f>
        <v>5920</v>
      </c>
      <c r="C209" s="96">
        <v>1635</v>
      </c>
      <c r="D209" s="97">
        <v>134</v>
      </c>
      <c r="E209" s="97">
        <v>198</v>
      </c>
      <c r="F209" s="97">
        <v>99</v>
      </c>
      <c r="G209" s="97">
        <v>105</v>
      </c>
      <c r="H209" s="108">
        <v>8437.6329999999998</v>
      </c>
      <c r="I209" s="44">
        <v>617.78099999999995</v>
      </c>
      <c r="J209" s="44">
        <v>1561.693</v>
      </c>
      <c r="K209" s="44">
        <v>12616</v>
      </c>
      <c r="L209" s="44">
        <f>3226.31255192+276</f>
        <v>3502.3125519199998</v>
      </c>
      <c r="M209" s="41">
        <f>8445-N209</f>
        <v>8026</v>
      </c>
      <c r="N209" s="96">
        <v>419</v>
      </c>
      <c r="O209" s="41">
        <v>8253</v>
      </c>
      <c r="P209" s="41">
        <v>438</v>
      </c>
      <c r="Q209" s="41">
        <v>7382</v>
      </c>
      <c r="R209" s="96">
        <v>3021</v>
      </c>
      <c r="S209" s="41">
        <v>9558</v>
      </c>
      <c r="T209" s="41">
        <v>14623</v>
      </c>
      <c r="U209" s="41">
        <f>10*6.2898</f>
        <v>62.897999999999996</v>
      </c>
      <c r="V209" s="41">
        <v>828</v>
      </c>
      <c r="W209" s="128">
        <v>7660</v>
      </c>
      <c r="X209" s="41">
        <v>4203</v>
      </c>
      <c r="Y209" s="41"/>
      <c r="Z209" s="96">
        <v>3129</v>
      </c>
      <c r="AA209" s="41"/>
      <c r="AB209" s="41">
        <f>289/0.55</f>
        <v>525.45454545454538</v>
      </c>
      <c r="AC209" s="41"/>
      <c r="AD209" s="96">
        <v>3296</v>
      </c>
      <c r="AE209" s="41">
        <v>153</v>
      </c>
      <c r="AF209" s="96">
        <v>2060</v>
      </c>
      <c r="AG209" s="96">
        <f>8246*0.49</f>
        <v>4040.54</v>
      </c>
      <c r="AH209" s="41">
        <v>35.5</v>
      </c>
      <c r="AI209" s="41">
        <v>7003</v>
      </c>
      <c r="AJ209" s="100">
        <v>0.43</v>
      </c>
      <c r="AK209" s="100">
        <v>0.59399999999999997</v>
      </c>
      <c r="AL209" s="100">
        <f>4882 *35.314666721/10^3</f>
        <v>172.40620293192202</v>
      </c>
      <c r="AM209" s="100">
        <v>0.13400000000000001</v>
      </c>
      <c r="AN209" s="47">
        <v>12.56</v>
      </c>
      <c r="AO209" s="47">
        <v>13.89</v>
      </c>
      <c r="AP209" s="100">
        <v>7.76</v>
      </c>
      <c r="AQ209" s="100">
        <v>10</v>
      </c>
      <c r="AR209" s="47">
        <v>8.25</v>
      </c>
      <c r="AS209" s="47">
        <v>6.5</v>
      </c>
      <c r="AT209" s="47">
        <v>0.01</v>
      </c>
      <c r="AU209" s="116">
        <v>1.304</v>
      </c>
      <c r="AV209" s="116">
        <v>1.9810000000000001</v>
      </c>
      <c r="AW209" s="100">
        <f>397*35.3147/1000</f>
        <v>14.0199359</v>
      </c>
      <c r="AX209" s="100">
        <v>0.437</v>
      </c>
      <c r="AY209" s="100">
        <v>0.46700000000000003</v>
      </c>
    </row>
    <row r="210" spans="1:51" ht="13.5" customHeight="1" x14ac:dyDescent="0.2">
      <c r="A210" s="40">
        <v>45473</v>
      </c>
      <c r="B210" s="96">
        <f>7988-(C210+D210+E210+F210)</f>
        <v>5922</v>
      </c>
      <c r="C210" s="96">
        <v>1635</v>
      </c>
      <c r="D210" s="97">
        <v>134</v>
      </c>
      <c r="E210" s="97">
        <v>198</v>
      </c>
      <c r="F210" s="97">
        <v>99</v>
      </c>
      <c r="G210" s="97">
        <v>105</v>
      </c>
      <c r="H210" s="67">
        <v>8370.7929999999997</v>
      </c>
      <c r="I210" s="41">
        <v>580.14099999999996</v>
      </c>
      <c r="J210" s="41">
        <v>1600.8309999999999</v>
      </c>
      <c r="K210" s="41">
        <v>12596</v>
      </c>
      <c r="L210" s="41">
        <f>3224.68892556+276</f>
        <v>3500.6889255599999</v>
      </c>
      <c r="M210" s="41">
        <f>9218-N210</f>
        <v>8846</v>
      </c>
      <c r="N210" s="96">
        <v>372</v>
      </c>
      <c r="O210" s="41">
        <v>8796</v>
      </c>
      <c r="P210" s="41">
        <v>419</v>
      </c>
      <c r="Q210" s="41">
        <v>7392</v>
      </c>
      <c r="R210" s="96">
        <v>3105</v>
      </c>
      <c r="S210" s="41">
        <v>9604</v>
      </c>
      <c r="T210" s="41">
        <v>15012</v>
      </c>
      <c r="U210" s="41">
        <f>7*6.2898</f>
        <v>44.028599999999997</v>
      </c>
      <c r="V210" s="41">
        <v>828</v>
      </c>
      <c r="W210" s="128">
        <v>7667</v>
      </c>
      <c r="X210" s="41">
        <v>3991</v>
      </c>
      <c r="Y210" s="41"/>
      <c r="Z210" s="96">
        <v>3135</v>
      </c>
      <c r="AA210" s="41"/>
      <c r="AB210" s="41">
        <f>283/0.55</f>
        <v>514.5454545454545</v>
      </c>
      <c r="AC210" s="41"/>
      <c r="AD210" s="96">
        <v>3299</v>
      </c>
      <c r="AE210" s="41">
        <v>153</v>
      </c>
      <c r="AF210" s="96">
        <v>2060</v>
      </c>
      <c r="AG210" s="96">
        <f>8248*0.49</f>
        <v>4041.52</v>
      </c>
      <c r="AH210" s="41">
        <v>35.5</v>
      </c>
      <c r="AI210" s="41">
        <v>7003</v>
      </c>
      <c r="AJ210" s="100">
        <v>0.32500000000000001</v>
      </c>
      <c r="AK210" s="100">
        <v>0.24399999999999999</v>
      </c>
      <c r="AL210" s="100">
        <f>5243 *35.314666721/10^3</f>
        <v>185.15479761820302</v>
      </c>
      <c r="AM210" s="100">
        <v>0.4052</v>
      </c>
      <c r="AN210" s="47">
        <v>10.86</v>
      </c>
      <c r="AO210" s="47">
        <v>13.51</v>
      </c>
      <c r="AP210" s="100">
        <v>8.16</v>
      </c>
      <c r="AQ210" s="100">
        <v>10</v>
      </c>
      <c r="AR210" s="47">
        <v>8.25</v>
      </c>
      <c r="AS210" s="47">
        <v>6.5</v>
      </c>
      <c r="AT210" s="47">
        <v>0.01</v>
      </c>
      <c r="AU210" s="116">
        <v>0.90180000000000005</v>
      </c>
      <c r="AV210" s="116">
        <v>1.794</v>
      </c>
      <c r="AW210" s="100">
        <f>397*35.3147/1000</f>
        <v>14.0199359</v>
      </c>
      <c r="AX210" s="100">
        <v>0.42799999999999999</v>
      </c>
      <c r="AY210" s="100">
        <v>0.46600000000000003</v>
      </c>
    </row>
    <row r="211" spans="1:51" ht="16.899999999999999" customHeight="1" x14ac:dyDescent="0.2">
      <c r="A211" s="50" t="s">
        <v>52</v>
      </c>
      <c r="B211" s="118">
        <f t="shared" ref="B211:G211" si="64">SUM(B181:B210)*B$2</f>
        <v>1315158.71</v>
      </c>
      <c r="C211" s="118">
        <f t="shared" si="64"/>
        <v>357084</v>
      </c>
      <c r="D211" s="118">
        <f t="shared" si="64"/>
        <v>29265.600000000002</v>
      </c>
      <c r="E211" s="118">
        <f t="shared" si="64"/>
        <v>44609.4</v>
      </c>
      <c r="F211" s="118">
        <f t="shared" si="64"/>
        <v>21787.920000000002</v>
      </c>
      <c r="G211" s="118">
        <f t="shared" si="64"/>
        <v>23108.400000000001</v>
      </c>
      <c r="H211" s="119">
        <f>SUM(H181:H210)</f>
        <v>254505.842</v>
      </c>
      <c r="I211" s="118">
        <f>SUM(I181:I210)</f>
        <v>19533.362000000005</v>
      </c>
      <c r="J211" s="118">
        <f>SUM(J181:J210)</f>
        <v>52359.419999999984</v>
      </c>
      <c r="K211" s="118">
        <f>SUM(K181:K210)</f>
        <v>378372</v>
      </c>
      <c r="L211" s="118">
        <f>SUM(L181:L210)</f>
        <v>106144.08976791998</v>
      </c>
      <c r="M211" s="118">
        <f t="shared" ref="M211:AA211" si="65">SUM(M181:M210)</f>
        <v>262379.68799999997</v>
      </c>
      <c r="N211" s="118">
        <f t="shared" si="65"/>
        <v>10751.715</v>
      </c>
      <c r="O211" s="118">
        <f t="shared" si="65"/>
        <v>257566</v>
      </c>
      <c r="P211" s="118">
        <f t="shared" si="65"/>
        <v>11870</v>
      </c>
      <c r="Q211" s="118">
        <f t="shared" si="65"/>
        <v>213298</v>
      </c>
      <c r="R211" s="118">
        <f t="shared" si="65"/>
        <v>80769</v>
      </c>
      <c r="S211" s="118">
        <f t="shared" si="65"/>
        <v>288885</v>
      </c>
      <c r="T211" s="118">
        <f t="shared" si="65"/>
        <v>437972</v>
      </c>
      <c r="U211" s="118">
        <f t="shared" si="65"/>
        <v>1803.5372520000003</v>
      </c>
      <c r="V211" s="118">
        <f t="shared" si="65"/>
        <v>24705</v>
      </c>
      <c r="W211" s="118">
        <f t="shared" si="65"/>
        <v>96492</v>
      </c>
      <c r="X211" s="118">
        <f t="shared" si="65"/>
        <v>127413</v>
      </c>
      <c r="Y211" s="118">
        <f t="shared" si="65"/>
        <v>0</v>
      </c>
      <c r="Z211" s="118">
        <f t="shared" si="65"/>
        <v>90233</v>
      </c>
      <c r="AA211" s="118">
        <f t="shared" si="65"/>
        <v>0</v>
      </c>
      <c r="AB211" s="118">
        <f>SUM(AB181:AB210)*AB$2</f>
        <v>115699.05454545454</v>
      </c>
      <c r="AC211" s="118">
        <f>SUM(AC181:AC210)</f>
        <v>0</v>
      </c>
      <c r="AD211" s="118">
        <f>SUM(AD181:AD210)</f>
        <v>102672</v>
      </c>
      <c r="AE211" s="118">
        <f>SUM(AE181:AE210)*AE$2</f>
        <v>38693.699999999997</v>
      </c>
      <c r="AF211" s="118">
        <f>SUM(AF181:AF210)</f>
        <v>234170</v>
      </c>
      <c r="AG211" s="118">
        <f>SUM(AG181:AG210)*AG$2</f>
        <v>873985.18759999983</v>
      </c>
      <c r="AH211" s="118">
        <f>SUM(AH181:AH210)*$AH$2</f>
        <v>8994.4297303575004</v>
      </c>
      <c r="AI211" s="118">
        <f>SUM(AI181:AI210)</f>
        <v>212348.924</v>
      </c>
      <c r="AJ211" s="122">
        <f>SUM(AJ181:AJ210)*$AJ$2</f>
        <v>357.98477655077704</v>
      </c>
      <c r="AK211" s="122">
        <f>SUM(AK181:AK210)*$AK$2</f>
        <v>889.08204936789582</v>
      </c>
      <c r="AL211" s="122">
        <f>SUM(AL181:AL210)</f>
        <v>4999.2148503582021</v>
      </c>
      <c r="AM211" s="122">
        <f>SUM(AM181:AM210)*AM$2</f>
        <v>448.07955428939226</v>
      </c>
      <c r="AN211" s="122">
        <f t="shared" ref="AN211:AP211" si="66">SUM(AN181:AN210)</f>
        <v>257.44</v>
      </c>
      <c r="AO211" s="122">
        <f t="shared" si="66"/>
        <v>122.51</v>
      </c>
      <c r="AP211" s="122">
        <f t="shared" si="66"/>
        <v>246.27999999999994</v>
      </c>
      <c r="AQ211" s="122">
        <f>SUM(AQ181:AQ210)</f>
        <v>555</v>
      </c>
      <c r="AR211" s="122">
        <f>SUM(AR181:AR210)</f>
        <v>84.76</v>
      </c>
      <c r="AS211" s="122">
        <f>SUM(AS181:AS210)</f>
        <v>195.81999999999996</v>
      </c>
      <c r="AT211" s="122">
        <f>SUM(AT181:AT210)*AT$2</f>
        <v>10.594410000000003</v>
      </c>
      <c r="AU211" s="122">
        <f>SUM(AU181:AU210)*AU$2</f>
        <v>4500.2511021599985</v>
      </c>
      <c r="AV211" s="122">
        <f>SUM(AV181:AV210)*AV$2</f>
        <v>2193.6785346000001</v>
      </c>
      <c r="AW211" s="122">
        <f>SUM(AW181:AW210)</f>
        <v>415.5127602</v>
      </c>
      <c r="AX211" s="122">
        <f>SUM(AX181:AX210)*AX2</f>
        <v>659.92579890000025</v>
      </c>
      <c r="AY211" s="122">
        <f>SUM(AY181:AY210)*$AY$2</f>
        <v>467.91977500000013</v>
      </c>
    </row>
    <row r="212" spans="1:51" ht="16.899999999999999" customHeight="1" x14ac:dyDescent="0.2">
      <c r="A212" s="50" t="s">
        <v>53</v>
      </c>
      <c r="B212" s="120">
        <f t="shared" ref="B212:L212" si="67">B211/B$2</f>
        <v>175121</v>
      </c>
      <c r="C212" s="120">
        <f t="shared" si="67"/>
        <v>49050</v>
      </c>
      <c r="D212" s="120">
        <f t="shared" si="67"/>
        <v>4020</v>
      </c>
      <c r="E212" s="120">
        <f t="shared" si="67"/>
        <v>5940</v>
      </c>
      <c r="F212" s="120">
        <f t="shared" si="67"/>
        <v>2970</v>
      </c>
      <c r="G212" s="120">
        <f t="shared" si="67"/>
        <v>3150</v>
      </c>
      <c r="H212" s="123">
        <f t="shared" si="67"/>
        <v>34428.466996452567</v>
      </c>
      <c r="I212" s="120">
        <f t="shared" si="67"/>
        <v>2615.6918363821519</v>
      </c>
      <c r="J212" s="120">
        <f t="shared" si="67"/>
        <v>7039.8808532271387</v>
      </c>
      <c r="K212" s="120">
        <f t="shared" si="67"/>
        <v>47425.083242339853</v>
      </c>
      <c r="L212" s="120">
        <f t="shared" si="67"/>
        <v>13940.938725298001</v>
      </c>
      <c r="M212" s="120">
        <f t="shared" ref="M212:AI212" si="68">M211/M$2</f>
        <v>34614.734564643797</v>
      </c>
      <c r="N212" s="120">
        <f t="shared" si="68"/>
        <v>1374.8996163682864</v>
      </c>
      <c r="O212" s="120">
        <f t="shared" si="68"/>
        <v>34342.133333333331</v>
      </c>
      <c r="P212" s="120">
        <f t="shared" si="68"/>
        <v>1582.6666666666667</v>
      </c>
      <c r="Q212" s="120">
        <f t="shared" si="68"/>
        <v>28669.086021505376</v>
      </c>
      <c r="R212" s="120">
        <f t="shared" si="68"/>
        <v>10355</v>
      </c>
      <c r="S212" s="120">
        <f t="shared" si="68"/>
        <v>38854.741089441828</v>
      </c>
      <c r="T212" s="120">
        <f t="shared" si="68"/>
        <v>58906.792199058509</v>
      </c>
      <c r="U212" s="120">
        <f t="shared" si="68"/>
        <v>209.48471678681449</v>
      </c>
      <c r="V212" s="120">
        <f t="shared" si="68"/>
        <v>3135.1522842639592</v>
      </c>
      <c r="W212" s="120">
        <f t="shared" si="68"/>
        <v>12613.333333333332</v>
      </c>
      <c r="X212" s="120">
        <f t="shared" si="68"/>
        <v>16809.102902374671</v>
      </c>
      <c r="Y212" s="120">
        <f t="shared" si="68"/>
        <v>0</v>
      </c>
      <c r="Z212" s="120">
        <f t="shared" si="68"/>
        <v>12379.525551901592</v>
      </c>
      <c r="AA212" s="120">
        <f t="shared" si="68"/>
        <v>0</v>
      </c>
      <c r="AB212" s="120">
        <f t="shared" si="68"/>
        <v>15892.72727272727</v>
      </c>
      <c r="AC212" s="120">
        <f t="shared" si="68"/>
        <v>0</v>
      </c>
      <c r="AD212" s="120">
        <f t="shared" si="68"/>
        <v>13566.596194503172</v>
      </c>
      <c r="AE212" s="120">
        <f t="shared" si="68"/>
        <v>4590</v>
      </c>
      <c r="AF212" s="120">
        <f>AF211/AF$2</f>
        <v>28888.477670861092</v>
      </c>
      <c r="AG212" s="120">
        <f>AG211/AG$2</f>
        <v>121050.57999999999</v>
      </c>
      <c r="AH212" s="120">
        <f t="shared" si="68"/>
        <v>1072.5</v>
      </c>
      <c r="AI212" s="120">
        <f t="shared" si="68"/>
        <v>27224.221025641025</v>
      </c>
      <c r="AJ212" s="57">
        <f>AJ211/$AJ$2</f>
        <v>10.137</v>
      </c>
      <c r="AK212" s="57">
        <f>AK211/$AJ$2</f>
        <v>25.175999999999995</v>
      </c>
      <c r="AL212" s="57">
        <f>AL211/$AJ$2</f>
        <v>141.56199999999998</v>
      </c>
      <c r="AM212" s="57">
        <f>AM211/$AJ$2</f>
        <v>12.688200000000002</v>
      </c>
      <c r="AN212" s="57">
        <f>AN211/$AJ$2</f>
        <v>7.2898889867453374</v>
      </c>
      <c r="AO212" s="57">
        <f>AO211/$AJ$2</f>
        <v>3.469096876033916</v>
      </c>
      <c r="AP212" s="57">
        <f>AP211/$AJ$2</f>
        <v>6.9738729787742439</v>
      </c>
      <c r="AQ212" s="57">
        <f>AQ211/$AJ$2</f>
        <v>15.715849858777434</v>
      </c>
      <c r="AR212" s="57">
        <f>AR211/$AJ$2</f>
        <v>2.4001359171711267</v>
      </c>
      <c r="AS212" s="57">
        <f>AS211/$AJ$2</f>
        <v>5.5450048997221559</v>
      </c>
      <c r="AT212" s="57">
        <f>AT211/$AJ$2</f>
        <v>0.30000028270690143</v>
      </c>
      <c r="AU212" s="57">
        <f>AU211/$AJ$2</f>
        <v>127.43292008710667</v>
      </c>
      <c r="AV212" s="57">
        <f>AV211/$AJ$2</f>
        <v>62.118058537290992</v>
      </c>
      <c r="AW212" s="57">
        <f>AW211/$AJ$2</f>
        <v>11.766011087764669</v>
      </c>
      <c r="AX212" s="57">
        <f>AX211/$AJ$2</f>
        <v>18.687017609812891</v>
      </c>
      <c r="AY212" s="57">
        <f>AY211/$AJ$2</f>
        <v>13.250012486221479</v>
      </c>
    </row>
    <row r="213" spans="1:51" ht="16.899999999999999" customHeight="1" x14ac:dyDescent="0.2">
      <c r="A213" s="50" t="s">
        <v>54</v>
      </c>
      <c r="B213" s="59">
        <f>B211</f>
        <v>1315158.71</v>
      </c>
      <c r="C213" s="59">
        <f t="shared" ref="C213:AI214" si="69">C211</f>
        <v>357084</v>
      </c>
      <c r="D213" s="59">
        <f t="shared" si="69"/>
        <v>29265.600000000002</v>
      </c>
      <c r="E213" s="59">
        <f t="shared" si="69"/>
        <v>44609.4</v>
      </c>
      <c r="F213" s="59">
        <f t="shared" si="69"/>
        <v>21787.920000000002</v>
      </c>
      <c r="G213" s="59">
        <f t="shared" si="69"/>
        <v>23108.400000000001</v>
      </c>
      <c r="H213" s="60">
        <f t="shared" si="69"/>
        <v>254505.842</v>
      </c>
      <c r="I213" s="59">
        <f t="shared" si="69"/>
        <v>19533.362000000005</v>
      </c>
      <c r="J213" s="59">
        <f t="shared" si="69"/>
        <v>52359.419999999984</v>
      </c>
      <c r="K213" s="59">
        <f t="shared" si="69"/>
        <v>378372</v>
      </c>
      <c r="L213" s="59">
        <f t="shared" si="69"/>
        <v>106144.08976791998</v>
      </c>
      <c r="M213" s="59">
        <f t="shared" si="69"/>
        <v>262379.68799999997</v>
      </c>
      <c r="N213" s="59">
        <f t="shared" si="69"/>
        <v>10751.715</v>
      </c>
      <c r="O213" s="59">
        <f t="shared" si="69"/>
        <v>257566</v>
      </c>
      <c r="P213" s="59">
        <f t="shared" si="69"/>
        <v>11870</v>
      </c>
      <c r="Q213" s="59">
        <f t="shared" si="69"/>
        <v>213298</v>
      </c>
      <c r="R213" s="59">
        <f t="shared" si="69"/>
        <v>80769</v>
      </c>
      <c r="S213" s="59">
        <f t="shared" si="69"/>
        <v>288885</v>
      </c>
      <c r="T213" s="59">
        <f t="shared" si="69"/>
        <v>437972</v>
      </c>
      <c r="U213" s="59">
        <f t="shared" si="69"/>
        <v>1803.5372520000003</v>
      </c>
      <c r="V213" s="59">
        <f t="shared" si="69"/>
        <v>24705</v>
      </c>
      <c r="W213" s="59">
        <f t="shared" si="69"/>
        <v>96492</v>
      </c>
      <c r="X213" s="59">
        <f t="shared" si="69"/>
        <v>127413</v>
      </c>
      <c r="Y213" s="59">
        <f t="shared" si="69"/>
        <v>0</v>
      </c>
      <c r="Z213" s="59">
        <f t="shared" si="69"/>
        <v>90233</v>
      </c>
      <c r="AA213" s="59">
        <f t="shared" si="69"/>
        <v>0</v>
      </c>
      <c r="AB213" s="59">
        <f t="shared" si="69"/>
        <v>115699.05454545454</v>
      </c>
      <c r="AC213" s="59">
        <f t="shared" si="69"/>
        <v>0</v>
      </c>
      <c r="AD213" s="59">
        <f t="shared" si="69"/>
        <v>102672</v>
      </c>
      <c r="AE213" s="59">
        <f t="shared" si="69"/>
        <v>38693.699999999997</v>
      </c>
      <c r="AF213" s="59">
        <f t="shared" si="69"/>
        <v>234170</v>
      </c>
      <c r="AG213" s="59">
        <f>AG211</f>
        <v>873985.18759999983</v>
      </c>
      <c r="AH213" s="59">
        <f t="shared" si="69"/>
        <v>8994.4297303575004</v>
      </c>
      <c r="AI213" s="59">
        <f t="shared" si="69"/>
        <v>212348.924</v>
      </c>
      <c r="AJ213" s="62">
        <f>AJ211</f>
        <v>357.98477655077704</v>
      </c>
      <c r="AK213" s="62">
        <f t="shared" ref="AK213:AY214" si="70">AK211</f>
        <v>889.08204936789582</v>
      </c>
      <c r="AL213" s="62">
        <f t="shared" si="70"/>
        <v>4999.2148503582021</v>
      </c>
      <c r="AM213" s="62">
        <f t="shared" si="70"/>
        <v>448.07955428939226</v>
      </c>
      <c r="AN213" s="62">
        <f t="shared" si="70"/>
        <v>257.44</v>
      </c>
      <c r="AO213" s="62">
        <f t="shared" si="70"/>
        <v>122.51</v>
      </c>
      <c r="AP213" s="62">
        <f t="shared" si="70"/>
        <v>246.27999999999994</v>
      </c>
      <c r="AQ213" s="62">
        <f t="shared" si="70"/>
        <v>555</v>
      </c>
      <c r="AR213" s="62">
        <f t="shared" si="70"/>
        <v>84.76</v>
      </c>
      <c r="AS213" s="62">
        <f t="shared" si="70"/>
        <v>195.81999999999996</v>
      </c>
      <c r="AT213" s="62">
        <f>AT211</f>
        <v>10.594410000000003</v>
      </c>
      <c r="AU213" s="62">
        <f t="shared" si="70"/>
        <v>4500.2511021599985</v>
      </c>
      <c r="AV213" s="62">
        <f t="shared" si="70"/>
        <v>2193.6785346000001</v>
      </c>
      <c r="AW213" s="62">
        <f t="shared" si="70"/>
        <v>415.5127602</v>
      </c>
      <c r="AX213" s="62">
        <f t="shared" si="70"/>
        <v>659.92579890000025</v>
      </c>
      <c r="AY213" s="62">
        <f t="shared" si="70"/>
        <v>467.91977500000013</v>
      </c>
    </row>
    <row r="214" spans="1:51" ht="16.899999999999999" customHeight="1" x14ac:dyDescent="0.2">
      <c r="A214" s="50" t="s">
        <v>55</v>
      </c>
      <c r="B214" s="59">
        <f t="shared" ref="B214:L214" si="71">B212</f>
        <v>175121</v>
      </c>
      <c r="C214" s="59">
        <f t="shared" si="71"/>
        <v>49050</v>
      </c>
      <c r="D214" s="59">
        <f t="shared" si="71"/>
        <v>4020</v>
      </c>
      <c r="E214" s="59">
        <f t="shared" si="71"/>
        <v>5940</v>
      </c>
      <c r="F214" s="59">
        <f t="shared" si="71"/>
        <v>2970</v>
      </c>
      <c r="G214" s="59">
        <f t="shared" si="71"/>
        <v>3150</v>
      </c>
      <c r="H214" s="60">
        <f t="shared" si="71"/>
        <v>34428.466996452567</v>
      </c>
      <c r="I214" s="59">
        <f t="shared" si="71"/>
        <v>2615.6918363821519</v>
      </c>
      <c r="J214" s="59">
        <f t="shared" si="71"/>
        <v>7039.8808532271387</v>
      </c>
      <c r="K214" s="59">
        <f t="shared" si="71"/>
        <v>47425.083242339853</v>
      </c>
      <c r="L214" s="59">
        <f t="shared" si="71"/>
        <v>13940.938725298001</v>
      </c>
      <c r="M214" s="59">
        <f t="shared" si="69"/>
        <v>34614.734564643797</v>
      </c>
      <c r="N214" s="59">
        <f t="shared" si="69"/>
        <v>1374.8996163682864</v>
      </c>
      <c r="O214" s="59">
        <f t="shared" si="69"/>
        <v>34342.133333333331</v>
      </c>
      <c r="P214" s="59">
        <f t="shared" si="69"/>
        <v>1582.6666666666667</v>
      </c>
      <c r="Q214" s="59">
        <f t="shared" si="69"/>
        <v>28669.086021505376</v>
      </c>
      <c r="R214" s="59">
        <f t="shared" si="69"/>
        <v>10355</v>
      </c>
      <c r="S214" s="59">
        <f t="shared" si="69"/>
        <v>38854.741089441828</v>
      </c>
      <c r="T214" s="59">
        <f t="shared" si="69"/>
        <v>58906.792199058509</v>
      </c>
      <c r="U214" s="59">
        <f t="shared" si="69"/>
        <v>209.48471678681449</v>
      </c>
      <c r="V214" s="59">
        <f t="shared" si="69"/>
        <v>3135.1522842639592</v>
      </c>
      <c r="W214" s="59">
        <f t="shared" si="69"/>
        <v>12613.333333333332</v>
      </c>
      <c r="X214" s="59">
        <f t="shared" si="69"/>
        <v>16809.102902374671</v>
      </c>
      <c r="Y214" s="59">
        <f t="shared" si="69"/>
        <v>0</v>
      </c>
      <c r="Z214" s="59">
        <f t="shared" si="69"/>
        <v>12379.525551901592</v>
      </c>
      <c r="AA214" s="59">
        <f t="shared" si="69"/>
        <v>0</v>
      </c>
      <c r="AB214" s="59">
        <f t="shared" si="69"/>
        <v>15892.72727272727</v>
      </c>
      <c r="AC214" s="59">
        <f t="shared" si="69"/>
        <v>0</v>
      </c>
      <c r="AD214" s="59">
        <f t="shared" si="69"/>
        <v>13566.596194503172</v>
      </c>
      <c r="AE214" s="59">
        <f t="shared" si="69"/>
        <v>4590</v>
      </c>
      <c r="AF214" s="59">
        <f>AF212</f>
        <v>28888.477670861092</v>
      </c>
      <c r="AG214" s="59">
        <f>AG212</f>
        <v>121050.57999999999</v>
      </c>
      <c r="AH214" s="59">
        <f t="shared" si="69"/>
        <v>1072.5</v>
      </c>
      <c r="AI214" s="59">
        <f>AI212</f>
        <v>27224.221025641025</v>
      </c>
      <c r="AJ214" s="62">
        <f>AJ212</f>
        <v>10.137</v>
      </c>
      <c r="AK214" s="62">
        <f t="shared" si="70"/>
        <v>25.175999999999995</v>
      </c>
      <c r="AL214" s="62">
        <f t="shared" si="70"/>
        <v>141.56199999999998</v>
      </c>
      <c r="AM214" s="62">
        <f t="shared" si="70"/>
        <v>12.688200000000002</v>
      </c>
      <c r="AN214" s="62">
        <f t="shared" si="70"/>
        <v>7.2898889867453374</v>
      </c>
      <c r="AO214" s="62">
        <f t="shared" si="70"/>
        <v>3.469096876033916</v>
      </c>
      <c r="AP214" s="62">
        <f t="shared" si="70"/>
        <v>6.9738729787742439</v>
      </c>
      <c r="AQ214" s="62">
        <f t="shared" si="70"/>
        <v>15.715849858777434</v>
      </c>
      <c r="AR214" s="62">
        <f t="shared" si="70"/>
        <v>2.4001359171711267</v>
      </c>
      <c r="AS214" s="62">
        <f t="shared" si="70"/>
        <v>5.5450048997221559</v>
      </c>
      <c r="AT214" s="62">
        <f>AT212</f>
        <v>0.30000028270690143</v>
      </c>
      <c r="AU214" s="62">
        <f t="shared" si="70"/>
        <v>127.43292008710667</v>
      </c>
      <c r="AV214" s="62">
        <f t="shared" si="70"/>
        <v>62.118058537290992</v>
      </c>
      <c r="AW214" s="62">
        <f t="shared" si="70"/>
        <v>11.766011087764669</v>
      </c>
      <c r="AX214" s="62">
        <f t="shared" si="70"/>
        <v>18.687017609812891</v>
      </c>
      <c r="AY214" s="62">
        <f t="shared" si="70"/>
        <v>13.250012486221479</v>
      </c>
    </row>
    <row r="215" spans="1:51" s="66" customFormat="1" ht="16.899999999999999" customHeight="1" x14ac:dyDescent="0.2">
      <c r="A215" s="50" t="s">
        <v>56</v>
      </c>
      <c r="B215" s="65">
        <f>B214+B180</f>
        <v>1046384</v>
      </c>
      <c r="C215" s="65">
        <f t="shared" ref="C215:AI215" si="72">C214+C180</f>
        <v>278223</v>
      </c>
      <c r="D215" s="65">
        <f t="shared" si="72"/>
        <v>23519</v>
      </c>
      <c r="E215" s="65">
        <f t="shared" si="72"/>
        <v>38709</v>
      </c>
      <c r="F215" s="65">
        <f t="shared" si="72"/>
        <v>19245</v>
      </c>
      <c r="G215" s="65">
        <f t="shared" si="72"/>
        <v>21260</v>
      </c>
      <c r="H215" s="93">
        <f t="shared" si="72"/>
        <v>213575.54136005128</v>
      </c>
      <c r="I215" s="65">
        <f t="shared" si="72"/>
        <v>19197.466444237427</v>
      </c>
      <c r="J215" s="65">
        <f t="shared" si="72"/>
        <v>47575.380842522587</v>
      </c>
      <c r="K215" s="65">
        <f t="shared" si="72"/>
        <v>271151.2953008358</v>
      </c>
      <c r="L215" s="65">
        <f t="shared" si="72"/>
        <v>86370.468610800133</v>
      </c>
      <c r="M215" s="65">
        <f t="shared" si="72"/>
        <v>204237.10527704484</v>
      </c>
      <c r="N215" s="65">
        <f t="shared" si="72"/>
        <v>8623.3705242966753</v>
      </c>
      <c r="O215" s="65">
        <f t="shared" si="72"/>
        <v>209483.6</v>
      </c>
      <c r="P215" s="65">
        <f t="shared" si="72"/>
        <v>9048.2666666666664</v>
      </c>
      <c r="Q215" s="65">
        <f t="shared" si="72"/>
        <v>181156.45161290324</v>
      </c>
      <c r="R215" s="65">
        <f t="shared" si="72"/>
        <v>65336.410256410258</v>
      </c>
      <c r="S215" s="65">
        <f t="shared" si="72"/>
        <v>243108.1371889711</v>
      </c>
      <c r="T215" s="65">
        <f t="shared" si="72"/>
        <v>197968.3927370545</v>
      </c>
      <c r="U215" s="65">
        <f t="shared" si="72"/>
        <v>2376.4979595806808</v>
      </c>
      <c r="V215" s="65">
        <f t="shared" si="72"/>
        <v>18835.78680203046</v>
      </c>
      <c r="W215" s="65">
        <f t="shared" si="72"/>
        <v>168591.37254901961</v>
      </c>
      <c r="X215" s="65">
        <f t="shared" si="72"/>
        <v>93343.944591029009</v>
      </c>
      <c r="Y215" s="65">
        <f t="shared" si="72"/>
        <v>0</v>
      </c>
      <c r="Z215" s="65">
        <f t="shared" si="72"/>
        <v>78820.643472462878</v>
      </c>
      <c r="AA215" s="65">
        <f t="shared" si="72"/>
        <v>0</v>
      </c>
      <c r="AB215" s="65">
        <f>AB214+AB180</f>
        <v>82603.854545454524</v>
      </c>
      <c r="AC215" s="65">
        <f t="shared" si="72"/>
        <v>0</v>
      </c>
      <c r="AD215" s="65">
        <f t="shared" si="72"/>
        <v>92413.319238900644</v>
      </c>
      <c r="AE215" s="65">
        <f t="shared" si="72"/>
        <v>29199</v>
      </c>
      <c r="AF215" s="65">
        <f>AF214+AF180</f>
        <v>176520.35529237601</v>
      </c>
      <c r="AG215" s="65">
        <f>AG214+AG180</f>
        <v>725777.62</v>
      </c>
      <c r="AH215" s="65">
        <f t="shared" si="72"/>
        <v>5993.5025000000005</v>
      </c>
      <c r="AI215" s="65">
        <f t="shared" si="72"/>
        <v>159390.61071794873</v>
      </c>
      <c r="AJ215" s="94">
        <f>AJ214+AJ180</f>
        <v>60.633381999999997</v>
      </c>
      <c r="AK215" s="94">
        <f t="shared" ref="AK215:AY215" si="73">AK214+AK180</f>
        <v>172.02146999999999</v>
      </c>
      <c r="AL215" s="94">
        <f t="shared" si="73"/>
        <v>928.75687735776103</v>
      </c>
      <c r="AM215" s="94">
        <f t="shared" si="73"/>
        <v>61.383200000000002</v>
      </c>
      <c r="AN215" s="94">
        <f t="shared" si="73"/>
        <v>38.343267138771871</v>
      </c>
      <c r="AO215" s="94">
        <f t="shared" si="73"/>
        <v>27.841973075037359</v>
      </c>
      <c r="AP215" s="94">
        <f t="shared" si="73"/>
        <v>34.763743056081609</v>
      </c>
      <c r="AQ215" s="94">
        <f t="shared" si="73"/>
        <v>153.31680864427773</v>
      </c>
      <c r="AR215" s="94">
        <f t="shared" si="73"/>
        <v>38.405130923978362</v>
      </c>
      <c r="AS215" s="94">
        <f t="shared" si="73"/>
        <v>13.277571149246356</v>
      </c>
      <c r="AT215" s="94">
        <f>AT214+AT180</f>
        <v>2.0331019159046706</v>
      </c>
      <c r="AU215" s="94">
        <f t="shared" si="73"/>
        <v>791.11187945859092</v>
      </c>
      <c r="AV215" s="94">
        <f t="shared" si="73"/>
        <v>475.75648833171948</v>
      </c>
      <c r="AW215" s="94">
        <f t="shared" si="73"/>
        <v>64.476315718024239</v>
      </c>
      <c r="AX215" s="94">
        <f t="shared" si="73"/>
        <v>50.668360747605888</v>
      </c>
      <c r="AY215" s="94">
        <f t="shared" si="73"/>
        <v>73.83118957522386</v>
      </c>
    </row>
    <row r="216" spans="1:51" ht="13.5" customHeight="1" x14ac:dyDescent="0.2">
      <c r="A216" s="40">
        <v>45474</v>
      </c>
      <c r="B216" s="96">
        <f>7992-(C216+D216+E216+F216)</f>
        <v>5921</v>
      </c>
      <c r="C216" s="96">
        <v>1635</v>
      </c>
      <c r="D216" s="97">
        <v>134</v>
      </c>
      <c r="E216" s="97">
        <v>198</v>
      </c>
      <c r="F216" s="97">
        <v>104</v>
      </c>
      <c r="G216" s="97">
        <v>100</v>
      </c>
      <c r="H216" s="108">
        <v>8286.1939999999995</v>
      </c>
      <c r="I216" s="44">
        <v>585.41700000000003</v>
      </c>
      <c r="J216" s="44">
        <v>1615.3889999999999</v>
      </c>
      <c r="K216" s="44">
        <v>12626</v>
      </c>
      <c r="L216" s="44">
        <f>3221.86425296+275</f>
        <v>3496.8642529600002</v>
      </c>
      <c r="M216" s="44">
        <f>9310-N216</f>
        <v>8937</v>
      </c>
      <c r="N216" s="44">
        <v>373</v>
      </c>
      <c r="O216" s="44">
        <v>8253</v>
      </c>
      <c r="P216" s="44">
        <v>438</v>
      </c>
      <c r="Q216" s="44">
        <v>7210</v>
      </c>
      <c r="R216" s="44">
        <v>3058</v>
      </c>
      <c r="S216" s="41">
        <v>9617</v>
      </c>
      <c r="T216" s="41">
        <v>16398</v>
      </c>
      <c r="U216" s="41">
        <v>0</v>
      </c>
      <c r="V216" s="41">
        <v>828</v>
      </c>
      <c r="W216" s="41">
        <v>7402</v>
      </c>
      <c r="X216" s="41">
        <v>3941</v>
      </c>
      <c r="Y216" s="41"/>
      <c r="Z216" s="41">
        <v>3146</v>
      </c>
      <c r="AA216" s="41"/>
      <c r="AB216" s="41">
        <f>179/0.55</f>
        <v>325.45454545454544</v>
      </c>
      <c r="AC216" s="41"/>
      <c r="AD216" s="128">
        <v>3320</v>
      </c>
      <c r="AE216" s="41">
        <v>139</v>
      </c>
      <c r="AF216" s="128">
        <v>2386</v>
      </c>
      <c r="AG216" s="128">
        <f>8246*0.49</f>
        <v>4040.54</v>
      </c>
      <c r="AH216" s="129">
        <v>35.5</v>
      </c>
      <c r="AI216" s="41">
        <v>7003</v>
      </c>
      <c r="AJ216" s="100">
        <v>1.2E-2</v>
      </c>
      <c r="AK216" s="100">
        <v>0.60599999999999998</v>
      </c>
      <c r="AL216" s="100">
        <f>5236 *35.314666721/10^3</f>
        <v>184.907594951156</v>
      </c>
      <c r="AM216" s="116">
        <v>0.46100000000000002</v>
      </c>
      <c r="AN216" s="100">
        <v>4.6399999999999997</v>
      </c>
      <c r="AO216" s="100">
        <v>13.43</v>
      </c>
      <c r="AP216" s="100">
        <v>8.34</v>
      </c>
      <c r="AQ216" s="100">
        <v>10</v>
      </c>
      <c r="AR216" s="100">
        <v>7.95</v>
      </c>
      <c r="AS216" s="100">
        <v>6.5</v>
      </c>
      <c r="AT216" s="100">
        <v>0.01</v>
      </c>
      <c r="AU216" s="116">
        <v>0.93799999999999994</v>
      </c>
      <c r="AV216" s="116">
        <v>2.194</v>
      </c>
      <c r="AW216" s="100">
        <f>397*35.3147/1000</f>
        <v>14.0199359</v>
      </c>
      <c r="AX216" s="100">
        <v>0.44900000000000001</v>
      </c>
      <c r="AY216" s="116">
        <v>0.46800000000000003</v>
      </c>
    </row>
    <row r="217" spans="1:51" ht="13.5" customHeight="1" x14ac:dyDescent="0.2">
      <c r="A217" s="40">
        <v>45475</v>
      </c>
      <c r="B217" s="96"/>
      <c r="C217" s="96"/>
      <c r="D217" s="97"/>
      <c r="E217" s="97"/>
      <c r="F217" s="97"/>
      <c r="G217" s="97"/>
      <c r="H217" s="108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128"/>
      <c r="AE217" s="41"/>
      <c r="AF217" s="128"/>
      <c r="AG217" s="128"/>
      <c r="AH217" s="129"/>
      <c r="AI217" s="41"/>
      <c r="AJ217" s="100"/>
      <c r="AK217" s="100"/>
      <c r="AL217" s="100"/>
      <c r="AM217" s="116"/>
      <c r="AN217" s="100"/>
      <c r="AO217" s="100"/>
      <c r="AP217" s="100"/>
      <c r="AQ217" s="100"/>
      <c r="AR217" s="100"/>
      <c r="AS217" s="100"/>
      <c r="AT217" s="100"/>
      <c r="AU217" s="116"/>
      <c r="AV217" s="116"/>
      <c r="AW217" s="100"/>
      <c r="AX217" s="100"/>
      <c r="AY217" s="116"/>
    </row>
    <row r="218" spans="1:51" ht="13.5" customHeight="1" x14ac:dyDescent="0.2">
      <c r="A218" s="40">
        <v>45476</v>
      </c>
      <c r="B218" s="96"/>
      <c r="C218" s="96"/>
      <c r="D218" s="97"/>
      <c r="E218" s="97"/>
      <c r="F218" s="97"/>
      <c r="G218" s="97"/>
      <c r="H218" s="108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128"/>
      <c r="AE218" s="41"/>
      <c r="AF218" s="128"/>
      <c r="AG218" s="128"/>
      <c r="AH218" s="129"/>
      <c r="AI218" s="41"/>
      <c r="AJ218" s="100"/>
      <c r="AK218" s="100"/>
      <c r="AL218" s="100"/>
      <c r="AM218" s="116"/>
      <c r="AN218" s="100"/>
      <c r="AO218" s="100"/>
      <c r="AP218" s="100"/>
      <c r="AQ218" s="100"/>
      <c r="AR218" s="100"/>
      <c r="AS218" s="100"/>
      <c r="AT218" s="100"/>
      <c r="AU218" s="116"/>
      <c r="AV218" s="116"/>
      <c r="AW218" s="100"/>
      <c r="AX218" s="100"/>
      <c r="AY218" s="116"/>
    </row>
    <row r="219" spans="1:51" ht="13.5" customHeight="1" x14ac:dyDescent="0.2">
      <c r="A219" s="40">
        <v>45477</v>
      </c>
      <c r="B219" s="96"/>
      <c r="C219" s="96"/>
      <c r="D219" s="97"/>
      <c r="E219" s="97"/>
      <c r="F219" s="97"/>
      <c r="G219" s="97"/>
      <c r="H219" s="108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128"/>
      <c r="AE219" s="41"/>
      <c r="AF219" s="128"/>
      <c r="AG219" s="128"/>
      <c r="AH219" s="129"/>
      <c r="AI219" s="41"/>
      <c r="AJ219" s="100"/>
      <c r="AK219" s="100"/>
      <c r="AL219" s="100"/>
      <c r="AM219" s="116"/>
      <c r="AN219" s="100"/>
      <c r="AO219" s="100"/>
      <c r="AP219" s="100"/>
      <c r="AQ219" s="100"/>
      <c r="AR219" s="100"/>
      <c r="AS219" s="100"/>
      <c r="AT219" s="100"/>
      <c r="AU219" s="116"/>
      <c r="AV219" s="116"/>
      <c r="AW219" s="100"/>
      <c r="AX219" s="100"/>
      <c r="AY219" s="116"/>
    </row>
    <row r="220" spans="1:51" ht="13.5" customHeight="1" x14ac:dyDescent="0.2">
      <c r="A220" s="40">
        <v>45478</v>
      </c>
      <c r="B220" s="96"/>
      <c r="C220" s="96"/>
      <c r="D220" s="97"/>
      <c r="E220" s="97"/>
      <c r="F220" s="97"/>
      <c r="G220" s="97"/>
      <c r="H220" s="108"/>
      <c r="I220" s="44"/>
      <c r="J220" s="44"/>
      <c r="K220" s="44"/>
      <c r="L220" s="44"/>
      <c r="M220" s="44"/>
      <c r="N220" s="96"/>
      <c r="O220" s="44"/>
      <c r="P220" s="44"/>
      <c r="Q220" s="44"/>
      <c r="R220" s="96"/>
      <c r="S220" s="96"/>
      <c r="T220" s="96"/>
      <c r="U220" s="41"/>
      <c r="V220" s="41"/>
      <c r="W220" s="96"/>
      <c r="X220" s="96"/>
      <c r="Y220" s="96"/>
      <c r="Z220" s="41"/>
      <c r="AA220" s="96"/>
      <c r="AB220" s="41"/>
      <c r="AC220" s="96"/>
      <c r="AD220" s="96"/>
      <c r="AE220" s="41"/>
      <c r="AF220" s="96"/>
      <c r="AG220" s="128"/>
      <c r="AH220" s="129"/>
      <c r="AI220" s="41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</row>
    <row r="221" spans="1:51" ht="13.5" customHeight="1" x14ac:dyDescent="0.2">
      <c r="A221" s="40">
        <v>45479</v>
      </c>
      <c r="B221" s="96"/>
      <c r="C221" s="96"/>
      <c r="D221" s="97"/>
      <c r="E221" s="97"/>
      <c r="F221" s="97"/>
      <c r="G221" s="97"/>
      <c r="H221" s="108"/>
      <c r="I221" s="44"/>
      <c r="J221" s="44"/>
      <c r="K221" s="44"/>
      <c r="L221" s="44"/>
      <c r="M221" s="44"/>
      <c r="N221" s="96"/>
      <c r="O221" s="44"/>
      <c r="P221" s="44"/>
      <c r="Q221" s="44"/>
      <c r="R221" s="130"/>
      <c r="S221" s="131"/>
      <c r="T221" s="131"/>
      <c r="U221" s="41"/>
      <c r="V221" s="41"/>
      <c r="W221" s="41"/>
      <c r="X221" s="41"/>
      <c r="Y221" s="41"/>
      <c r="Z221" s="41"/>
      <c r="AA221" s="41"/>
      <c r="AB221" s="41"/>
      <c r="AC221" s="41"/>
      <c r="AD221" s="128"/>
      <c r="AE221" s="41"/>
      <c r="AF221" s="128"/>
      <c r="AG221" s="128"/>
      <c r="AH221" s="129"/>
      <c r="AI221" s="41"/>
      <c r="AJ221" s="100"/>
      <c r="AK221" s="100"/>
      <c r="AL221" s="100"/>
      <c r="AM221" s="116"/>
      <c r="AN221" s="100"/>
      <c r="AO221" s="100"/>
      <c r="AP221" s="100"/>
      <c r="AQ221" s="100"/>
      <c r="AR221" s="100"/>
      <c r="AS221" s="100"/>
      <c r="AT221" s="100"/>
      <c r="AU221" s="116"/>
      <c r="AV221" s="116"/>
      <c r="AW221" s="100"/>
      <c r="AX221" s="100"/>
      <c r="AY221" s="116"/>
    </row>
    <row r="222" spans="1:51" ht="12.75" customHeight="1" x14ac:dyDescent="0.2">
      <c r="A222" s="40">
        <v>45480</v>
      </c>
      <c r="B222" s="96">
        <f>7882-(C222+D222+E222+F222)</f>
        <v>5811</v>
      </c>
      <c r="C222" s="96">
        <v>1635</v>
      </c>
      <c r="D222" s="97">
        <v>134</v>
      </c>
      <c r="E222" s="97">
        <v>198</v>
      </c>
      <c r="F222" s="97">
        <v>104</v>
      </c>
      <c r="G222" s="97">
        <v>100</v>
      </c>
      <c r="H222" s="108">
        <v>8329.8760000000002</v>
      </c>
      <c r="I222" s="44">
        <v>608.98800000000006</v>
      </c>
      <c r="J222" s="44">
        <v>1681.4770000000001</v>
      </c>
      <c r="K222" s="44">
        <v>12473</v>
      </c>
      <c r="L222" s="44">
        <f>3233.12092304+274.53807696</f>
        <v>3507.6590000000001</v>
      </c>
      <c r="M222" s="44">
        <v>0</v>
      </c>
      <c r="N222" s="96">
        <v>0</v>
      </c>
      <c r="O222" s="44"/>
      <c r="P222" s="44"/>
      <c r="Q222" s="44">
        <v>7279</v>
      </c>
      <c r="R222" s="130">
        <v>2787</v>
      </c>
      <c r="S222" s="131">
        <v>8756</v>
      </c>
      <c r="T222" s="131">
        <v>14375</v>
      </c>
      <c r="U222" s="41">
        <v>0</v>
      </c>
      <c r="V222" s="41">
        <v>794</v>
      </c>
      <c r="W222" s="41">
        <v>7184</v>
      </c>
      <c r="X222" s="41">
        <v>4053</v>
      </c>
      <c r="Y222" s="41"/>
      <c r="Z222" s="41">
        <v>2410</v>
      </c>
      <c r="AA222" s="41"/>
      <c r="AB222" s="41">
        <v>523</v>
      </c>
      <c r="AC222" s="41"/>
      <c r="AD222" s="128">
        <v>3301</v>
      </c>
      <c r="AE222" s="41">
        <v>153</v>
      </c>
      <c r="AF222" s="128">
        <v>3629</v>
      </c>
      <c r="AG222" s="128">
        <f>8237*0.49</f>
        <v>4036.13</v>
      </c>
      <c r="AH222" s="129">
        <f>47.06*0.75</f>
        <v>35.295000000000002</v>
      </c>
      <c r="AI222" s="41">
        <f>16900*0.4</f>
        <v>6760</v>
      </c>
      <c r="AJ222" s="100"/>
      <c r="AK222" s="100">
        <v>0.85079000000000005</v>
      </c>
      <c r="AL222" s="100"/>
      <c r="AM222" s="116">
        <v>0.13100000000000001</v>
      </c>
      <c r="AN222" s="100">
        <v>0</v>
      </c>
      <c r="AO222" s="100">
        <v>13.8</v>
      </c>
      <c r="AP222" s="100">
        <v>0.23</v>
      </c>
      <c r="AQ222" s="100">
        <v>10.34</v>
      </c>
      <c r="AR222" s="100">
        <v>7.08</v>
      </c>
      <c r="AS222" s="100">
        <v>0.99</v>
      </c>
      <c r="AT222" s="100"/>
      <c r="AU222" s="116">
        <v>1.7316670000000001</v>
      </c>
      <c r="AV222" s="116">
        <v>2.1970000000000001</v>
      </c>
      <c r="AW222" s="100"/>
      <c r="AX222" s="100">
        <v>0.51610800000000001</v>
      </c>
      <c r="AY222" s="116">
        <v>0.4684121</v>
      </c>
    </row>
    <row r="223" spans="1:51" ht="13.5" customHeight="1" x14ac:dyDescent="0.2">
      <c r="A223" s="40">
        <v>45481</v>
      </c>
      <c r="B223" s="96"/>
      <c r="C223" s="96"/>
      <c r="D223" s="97"/>
      <c r="E223" s="97"/>
      <c r="F223" s="97"/>
      <c r="G223" s="97"/>
      <c r="H223" s="96"/>
      <c r="I223" s="96"/>
      <c r="J223" s="96"/>
      <c r="K223" s="96"/>
      <c r="L223" s="96"/>
      <c r="M223" s="44"/>
      <c r="N223" s="96"/>
      <c r="O223" s="44"/>
      <c r="P223" s="44"/>
      <c r="Q223" s="44"/>
      <c r="R223" s="130"/>
      <c r="S223" s="131"/>
      <c r="T223" s="131"/>
      <c r="U223" s="41"/>
      <c r="V223" s="41"/>
      <c r="W223" s="41"/>
      <c r="X223" s="41"/>
      <c r="Y223" s="41"/>
      <c r="Z223" s="41"/>
      <c r="AA223" s="41"/>
      <c r="AB223" s="41"/>
      <c r="AC223" s="41"/>
      <c r="AD223" s="128"/>
      <c r="AE223" s="41"/>
      <c r="AF223" s="128"/>
      <c r="AG223" s="128"/>
      <c r="AH223" s="129"/>
      <c r="AI223" s="41"/>
      <c r="AJ223" s="100"/>
      <c r="AK223" s="100"/>
      <c r="AL223" s="100"/>
      <c r="AM223" s="116"/>
      <c r="AN223" s="100"/>
      <c r="AO223" s="100"/>
      <c r="AP223" s="100"/>
      <c r="AQ223" s="100"/>
      <c r="AR223" s="100"/>
      <c r="AS223" s="100"/>
      <c r="AT223" s="100"/>
      <c r="AU223" s="116"/>
      <c r="AV223" s="116"/>
      <c r="AW223" s="100"/>
      <c r="AX223" s="100"/>
      <c r="AY223" s="116"/>
    </row>
    <row r="224" spans="1:51" ht="13.5" customHeight="1" x14ac:dyDescent="0.2">
      <c r="A224" s="40">
        <v>45482</v>
      </c>
      <c r="B224" s="96"/>
      <c r="C224" s="96"/>
      <c r="D224" s="97"/>
      <c r="E224" s="97"/>
      <c r="F224" s="97"/>
      <c r="G224" s="97"/>
      <c r="H224" s="96"/>
      <c r="I224" s="96"/>
      <c r="J224" s="96"/>
      <c r="K224" s="96"/>
      <c r="L224" s="96"/>
      <c r="M224" s="44"/>
      <c r="N224" s="44"/>
      <c r="O224" s="44"/>
      <c r="P224" s="44"/>
      <c r="Q224" s="44"/>
      <c r="R224" s="130"/>
      <c r="S224" s="131"/>
      <c r="T224" s="131"/>
      <c r="U224" s="41"/>
      <c r="V224" s="41"/>
      <c r="W224" s="41"/>
      <c r="X224" s="41"/>
      <c r="Y224" s="41"/>
      <c r="Z224" s="41"/>
      <c r="AA224" s="41"/>
      <c r="AB224" s="41"/>
      <c r="AC224" s="41"/>
      <c r="AD224" s="128"/>
      <c r="AE224" s="41"/>
      <c r="AF224" s="128"/>
      <c r="AG224" s="128"/>
      <c r="AH224" s="129"/>
      <c r="AI224" s="41"/>
      <c r="AJ224" s="100"/>
      <c r="AK224" s="100"/>
      <c r="AL224" s="100"/>
      <c r="AM224" s="116"/>
      <c r="AN224" s="100"/>
      <c r="AO224" s="100"/>
      <c r="AP224" s="100"/>
      <c r="AQ224" s="100"/>
      <c r="AR224" s="100"/>
      <c r="AS224" s="100"/>
      <c r="AT224" s="100"/>
      <c r="AU224" s="116"/>
      <c r="AV224" s="116"/>
      <c r="AW224" s="100"/>
      <c r="AX224" s="100"/>
      <c r="AY224" s="116"/>
    </row>
    <row r="225" spans="1:51" ht="13.5" customHeight="1" x14ac:dyDescent="0.2">
      <c r="A225" s="40">
        <v>45483</v>
      </c>
      <c r="B225" s="96"/>
      <c r="C225" s="96"/>
      <c r="D225" s="97"/>
      <c r="E225" s="97"/>
      <c r="F225" s="97"/>
      <c r="G225" s="97"/>
      <c r="H225" s="96"/>
      <c r="I225" s="96"/>
      <c r="J225" s="96"/>
      <c r="K225" s="96"/>
      <c r="L225" s="96"/>
      <c r="M225" s="44"/>
      <c r="N225" s="44"/>
      <c r="O225" s="44"/>
      <c r="P225" s="44"/>
      <c r="Q225" s="44"/>
      <c r="R225" s="130"/>
      <c r="S225" s="131"/>
      <c r="T225" s="131"/>
      <c r="U225" s="41"/>
      <c r="V225" s="41"/>
      <c r="W225" s="41"/>
      <c r="X225" s="41"/>
      <c r="Y225" s="41"/>
      <c r="Z225" s="41"/>
      <c r="AA225" s="41"/>
      <c r="AB225" s="41"/>
      <c r="AC225" s="41"/>
      <c r="AD225" s="128"/>
      <c r="AE225" s="41"/>
      <c r="AF225" s="128"/>
      <c r="AG225" s="128"/>
      <c r="AH225" s="129"/>
      <c r="AI225" s="41"/>
      <c r="AJ225" s="100"/>
      <c r="AK225" s="100"/>
      <c r="AL225" s="100"/>
      <c r="AM225" s="116"/>
      <c r="AN225" s="100"/>
      <c r="AO225" s="100"/>
      <c r="AP225" s="100"/>
      <c r="AQ225" s="100"/>
      <c r="AR225" s="100"/>
      <c r="AS225" s="100"/>
      <c r="AT225" s="100"/>
      <c r="AU225" s="116"/>
      <c r="AV225" s="116"/>
      <c r="AW225" s="100"/>
      <c r="AX225" s="100"/>
      <c r="AY225" s="116"/>
    </row>
    <row r="226" spans="1:51" ht="13.5" customHeight="1" x14ac:dyDescent="0.2">
      <c r="A226" s="40">
        <v>45484</v>
      </c>
      <c r="B226" s="96"/>
      <c r="C226" s="96"/>
      <c r="D226" s="97"/>
      <c r="E226" s="97"/>
      <c r="F226" s="97"/>
      <c r="G226" s="97"/>
      <c r="H226" s="96"/>
      <c r="I226" s="96"/>
      <c r="J226" s="96"/>
      <c r="K226" s="96"/>
      <c r="L226" s="96"/>
      <c r="M226" s="44"/>
      <c r="N226" s="96"/>
      <c r="O226" s="44"/>
      <c r="P226" s="44"/>
      <c r="Q226" s="44"/>
      <c r="R226" s="96"/>
      <c r="S226" s="96"/>
      <c r="T226" s="96"/>
      <c r="U226" s="41"/>
      <c r="V226" s="41"/>
      <c r="W226" s="41"/>
      <c r="X226" s="96"/>
      <c r="Y226" s="96"/>
      <c r="Z226" s="41"/>
      <c r="AA226" s="96"/>
      <c r="AB226" s="41"/>
      <c r="AC226" s="96"/>
      <c r="AD226" s="128"/>
      <c r="AE226" s="41"/>
      <c r="AF226" s="96"/>
      <c r="AG226" s="128"/>
      <c r="AH226" s="129"/>
      <c r="AI226" s="41"/>
      <c r="AJ226" s="100"/>
      <c r="AK226" s="100"/>
      <c r="AL226" s="100"/>
      <c r="AM226" s="116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</row>
    <row r="227" spans="1:51" ht="13.5" customHeight="1" x14ac:dyDescent="0.2">
      <c r="A227" s="40">
        <v>45485</v>
      </c>
      <c r="B227" s="96"/>
      <c r="C227" s="96"/>
      <c r="D227" s="97"/>
      <c r="E227" s="97"/>
      <c r="F227" s="97"/>
      <c r="G227" s="97"/>
      <c r="H227" s="96"/>
      <c r="I227" s="96"/>
      <c r="J227" s="96"/>
      <c r="K227" s="96"/>
      <c r="L227" s="96"/>
      <c r="M227" s="44"/>
      <c r="N227" s="44"/>
      <c r="O227" s="44"/>
      <c r="P227" s="44"/>
      <c r="Q227" s="44"/>
      <c r="R227" s="130"/>
      <c r="S227" s="131"/>
      <c r="T227" s="131"/>
      <c r="U227" s="41"/>
      <c r="V227" s="41"/>
      <c r="W227" s="41"/>
      <c r="X227" s="41"/>
      <c r="Y227" s="41"/>
      <c r="Z227" s="41"/>
      <c r="AA227" s="41"/>
      <c r="AB227" s="41"/>
      <c r="AC227" s="41"/>
      <c r="AD227" s="128"/>
      <c r="AE227" s="41"/>
      <c r="AF227" s="128"/>
      <c r="AG227" s="128"/>
      <c r="AH227" s="129"/>
      <c r="AI227" s="41"/>
      <c r="AJ227" s="100"/>
      <c r="AK227" s="100"/>
      <c r="AL227" s="100"/>
      <c r="AM227" s="116"/>
      <c r="AN227" s="100"/>
      <c r="AO227" s="100"/>
      <c r="AP227" s="100"/>
      <c r="AQ227" s="100"/>
      <c r="AR227" s="100"/>
      <c r="AS227" s="100"/>
      <c r="AT227" s="100"/>
      <c r="AU227" s="116"/>
      <c r="AV227" s="116"/>
      <c r="AW227" s="100"/>
      <c r="AX227" s="100"/>
      <c r="AY227" s="100"/>
    </row>
    <row r="228" spans="1:51" ht="13.5" customHeight="1" x14ac:dyDescent="0.2">
      <c r="A228" s="40">
        <v>45486</v>
      </c>
      <c r="B228" s="96"/>
      <c r="C228" s="96"/>
      <c r="D228" s="97"/>
      <c r="E228" s="97"/>
      <c r="F228" s="97"/>
      <c r="G228" s="97"/>
      <c r="H228" s="96"/>
      <c r="I228" s="96"/>
      <c r="J228" s="96"/>
      <c r="K228" s="96"/>
      <c r="L228" s="96"/>
      <c r="M228" s="44"/>
      <c r="N228" s="44"/>
      <c r="O228" s="44"/>
      <c r="P228" s="44"/>
      <c r="Q228" s="44"/>
      <c r="R228" s="130"/>
      <c r="S228" s="131"/>
      <c r="T228" s="131"/>
      <c r="U228" s="41"/>
      <c r="V228" s="41"/>
      <c r="W228" s="41"/>
      <c r="X228" s="41"/>
      <c r="Y228" s="41"/>
      <c r="Z228" s="41"/>
      <c r="AA228" s="41"/>
      <c r="AB228" s="41"/>
      <c r="AC228" s="41"/>
      <c r="AD228" s="128"/>
      <c r="AE228" s="41"/>
      <c r="AF228" s="128"/>
      <c r="AG228" s="128"/>
      <c r="AH228" s="129"/>
      <c r="AI228" s="41"/>
      <c r="AJ228" s="100"/>
      <c r="AK228" s="100"/>
      <c r="AL228" s="100"/>
      <c r="AM228" s="116"/>
      <c r="AN228" s="100"/>
      <c r="AO228" s="100"/>
      <c r="AP228" s="100"/>
      <c r="AQ228" s="100"/>
      <c r="AR228" s="100"/>
      <c r="AS228" s="100"/>
      <c r="AT228" s="100"/>
      <c r="AU228" s="116"/>
      <c r="AV228" s="116"/>
      <c r="AW228" s="100"/>
      <c r="AX228" s="100"/>
      <c r="AY228" s="100"/>
    </row>
    <row r="229" spans="1:51" ht="13.5" customHeight="1" x14ac:dyDescent="0.2">
      <c r="A229" s="40">
        <v>45487</v>
      </c>
      <c r="B229" s="96"/>
      <c r="C229" s="96"/>
      <c r="D229" s="97"/>
      <c r="E229" s="97"/>
      <c r="F229" s="97"/>
      <c r="G229" s="97"/>
      <c r="H229" s="96"/>
      <c r="I229" s="96"/>
      <c r="J229" s="96"/>
      <c r="K229" s="96"/>
      <c r="L229" s="96"/>
      <c r="M229" s="44"/>
      <c r="N229" s="44"/>
      <c r="O229" s="44"/>
      <c r="P229" s="44"/>
      <c r="Q229" s="44"/>
      <c r="R229" s="130"/>
      <c r="S229" s="131"/>
      <c r="T229" s="131"/>
      <c r="U229" s="41"/>
      <c r="V229" s="41"/>
      <c r="W229" s="41"/>
      <c r="X229" s="41"/>
      <c r="Y229" s="41"/>
      <c r="Z229" s="41"/>
      <c r="AA229" s="41"/>
      <c r="AB229" s="41"/>
      <c r="AC229" s="41"/>
      <c r="AD229" s="128"/>
      <c r="AE229" s="41"/>
      <c r="AF229" s="128"/>
      <c r="AG229" s="128"/>
      <c r="AH229" s="129"/>
      <c r="AI229" s="41"/>
      <c r="AJ229" s="100"/>
      <c r="AK229" s="100"/>
      <c r="AL229" s="100"/>
      <c r="AM229" s="116"/>
      <c r="AN229" s="100"/>
      <c r="AO229" s="100"/>
      <c r="AP229" s="100"/>
      <c r="AQ229" s="100"/>
      <c r="AR229" s="100"/>
      <c r="AS229" s="100"/>
      <c r="AT229" s="100"/>
      <c r="AU229" s="116"/>
      <c r="AV229" s="116"/>
      <c r="AW229" s="100"/>
      <c r="AX229" s="100"/>
      <c r="AY229" s="100"/>
    </row>
    <row r="230" spans="1:51" ht="13.5" customHeight="1" x14ac:dyDescent="0.2">
      <c r="A230" s="40">
        <v>45488</v>
      </c>
      <c r="B230" s="96"/>
      <c r="C230" s="96"/>
      <c r="D230" s="97"/>
      <c r="E230" s="97"/>
      <c r="F230" s="97"/>
      <c r="G230" s="97"/>
      <c r="H230" s="96"/>
      <c r="I230" s="96"/>
      <c r="J230" s="96"/>
      <c r="K230" s="96"/>
      <c r="L230" s="96"/>
      <c r="M230" s="44"/>
      <c r="N230" s="44"/>
      <c r="O230" s="44"/>
      <c r="P230" s="44"/>
      <c r="Q230" s="44"/>
      <c r="R230" s="130"/>
      <c r="S230" s="131"/>
      <c r="T230" s="131"/>
      <c r="U230" s="41"/>
      <c r="V230" s="41"/>
      <c r="W230" s="41"/>
      <c r="X230" s="41"/>
      <c r="Y230" s="41"/>
      <c r="Z230" s="41"/>
      <c r="AA230" s="41"/>
      <c r="AB230" s="41"/>
      <c r="AC230" s="41"/>
      <c r="AD230" s="128"/>
      <c r="AE230" s="41"/>
      <c r="AF230" s="128"/>
      <c r="AG230" s="128"/>
      <c r="AH230" s="129"/>
      <c r="AI230" s="41"/>
      <c r="AJ230" s="100"/>
      <c r="AK230" s="100"/>
      <c r="AL230" s="100"/>
      <c r="AM230" s="116"/>
      <c r="AN230" s="100"/>
      <c r="AO230" s="100"/>
      <c r="AP230" s="100"/>
      <c r="AQ230" s="100"/>
      <c r="AR230" s="100"/>
      <c r="AS230" s="100"/>
      <c r="AT230" s="100"/>
      <c r="AU230" s="116"/>
      <c r="AV230" s="116"/>
      <c r="AW230" s="100"/>
      <c r="AX230" s="100"/>
      <c r="AY230" s="116"/>
    </row>
    <row r="231" spans="1:51" ht="13.5" customHeight="1" x14ac:dyDescent="0.2">
      <c r="A231" s="40">
        <v>45489</v>
      </c>
      <c r="B231" s="96"/>
      <c r="C231" s="96"/>
      <c r="D231" s="97"/>
      <c r="E231" s="97"/>
      <c r="F231" s="97"/>
      <c r="G231" s="97"/>
      <c r="H231" s="96"/>
      <c r="I231" s="96"/>
      <c r="J231" s="96"/>
      <c r="K231" s="96"/>
      <c r="L231" s="96"/>
      <c r="M231" s="44"/>
      <c r="N231" s="44"/>
      <c r="O231" s="44"/>
      <c r="P231" s="44"/>
      <c r="Q231" s="44"/>
      <c r="R231" s="130"/>
      <c r="S231" s="131"/>
      <c r="T231" s="131"/>
      <c r="U231" s="41"/>
      <c r="V231" s="41"/>
      <c r="W231" s="41"/>
      <c r="X231" s="41"/>
      <c r="Y231" s="41"/>
      <c r="Z231" s="41"/>
      <c r="AA231" s="41"/>
      <c r="AB231" s="41"/>
      <c r="AC231" s="41"/>
      <c r="AD231" s="128"/>
      <c r="AE231" s="41"/>
      <c r="AF231" s="128"/>
      <c r="AG231" s="128"/>
      <c r="AH231" s="129"/>
      <c r="AI231" s="41"/>
      <c r="AJ231" s="100"/>
      <c r="AK231" s="100"/>
      <c r="AL231" s="100"/>
      <c r="AM231" s="116"/>
      <c r="AN231" s="100"/>
      <c r="AO231" s="100"/>
      <c r="AP231" s="100"/>
      <c r="AQ231" s="100"/>
      <c r="AR231" s="100"/>
      <c r="AS231" s="100"/>
      <c r="AT231" s="100"/>
      <c r="AU231" s="116"/>
      <c r="AV231" s="116"/>
      <c r="AW231" s="100"/>
      <c r="AX231" s="100"/>
      <c r="AY231" s="116"/>
    </row>
    <row r="232" spans="1:51" ht="13.5" customHeight="1" x14ac:dyDescent="0.2">
      <c r="A232" s="40">
        <v>45490</v>
      </c>
      <c r="B232" s="96"/>
      <c r="C232" s="96"/>
      <c r="D232" s="97"/>
      <c r="E232" s="97"/>
      <c r="F232" s="97"/>
      <c r="G232" s="97"/>
      <c r="H232" s="96"/>
      <c r="I232" s="96"/>
      <c r="J232" s="96"/>
      <c r="K232" s="96"/>
      <c r="L232" s="96"/>
      <c r="M232" s="44"/>
      <c r="N232" s="44"/>
      <c r="O232" s="44"/>
      <c r="P232" s="44"/>
      <c r="Q232" s="44"/>
      <c r="R232" s="130"/>
      <c r="S232" s="131"/>
      <c r="T232" s="131"/>
      <c r="U232" s="41"/>
      <c r="V232" s="41"/>
      <c r="W232" s="41"/>
      <c r="X232" s="41"/>
      <c r="Y232" s="41"/>
      <c r="Z232" s="41"/>
      <c r="AA232" s="41"/>
      <c r="AB232" s="41"/>
      <c r="AC232" s="41"/>
      <c r="AD232" s="128"/>
      <c r="AE232" s="41"/>
      <c r="AF232" s="128"/>
      <c r="AG232" s="128"/>
      <c r="AH232" s="129"/>
      <c r="AI232" s="41"/>
      <c r="AJ232" s="100"/>
      <c r="AK232" s="100"/>
      <c r="AL232" s="100"/>
      <c r="AM232" s="116"/>
      <c r="AN232" s="100"/>
      <c r="AO232" s="100"/>
      <c r="AP232" s="100"/>
      <c r="AQ232" s="100"/>
      <c r="AR232" s="100"/>
      <c r="AS232" s="100"/>
      <c r="AT232" s="100"/>
      <c r="AU232" s="116"/>
      <c r="AV232" s="116"/>
      <c r="AW232" s="100"/>
      <c r="AX232" s="100"/>
      <c r="AY232" s="116"/>
    </row>
    <row r="233" spans="1:51" ht="13.5" customHeight="1" x14ac:dyDescent="0.2">
      <c r="A233" s="40">
        <v>45491</v>
      </c>
      <c r="B233" s="96"/>
      <c r="C233" s="96"/>
      <c r="D233" s="97"/>
      <c r="E233" s="97"/>
      <c r="F233" s="97"/>
      <c r="G233" s="97"/>
      <c r="H233" s="96"/>
      <c r="I233" s="96"/>
      <c r="J233" s="96"/>
      <c r="K233" s="96"/>
      <c r="L233" s="96"/>
      <c r="M233" s="44"/>
      <c r="N233" s="44"/>
      <c r="O233" s="44"/>
      <c r="P233" s="44"/>
      <c r="Q233" s="44"/>
      <c r="R233" s="130"/>
      <c r="S233" s="131"/>
      <c r="T233" s="131"/>
      <c r="U233" s="41"/>
      <c r="V233" s="41"/>
      <c r="W233" s="41"/>
      <c r="X233" s="41"/>
      <c r="Y233" s="41"/>
      <c r="Z233" s="41"/>
      <c r="AA233" s="41"/>
      <c r="AB233" s="41"/>
      <c r="AC233" s="41"/>
      <c r="AD233" s="128"/>
      <c r="AE233" s="41"/>
      <c r="AF233" s="128"/>
      <c r="AG233" s="128"/>
      <c r="AH233" s="129"/>
      <c r="AI233" s="41"/>
      <c r="AJ233" s="100"/>
      <c r="AK233" s="100"/>
      <c r="AL233" s="100"/>
      <c r="AM233" s="116"/>
      <c r="AN233" s="100"/>
      <c r="AO233" s="100"/>
      <c r="AP233" s="100"/>
      <c r="AQ233" s="100"/>
      <c r="AR233" s="100"/>
      <c r="AS233" s="100"/>
      <c r="AT233" s="100"/>
      <c r="AU233" s="116"/>
      <c r="AV233" s="116"/>
      <c r="AW233" s="100"/>
      <c r="AX233" s="100"/>
      <c r="AY233" s="116"/>
    </row>
    <row r="234" spans="1:51" ht="13.5" customHeight="1" x14ac:dyDescent="0.2">
      <c r="A234" s="40">
        <v>45492</v>
      </c>
      <c r="B234" s="96"/>
      <c r="C234" s="96"/>
      <c r="D234" s="97"/>
      <c r="E234" s="97"/>
      <c r="F234" s="97"/>
      <c r="G234" s="97"/>
      <c r="H234" s="96"/>
      <c r="I234" s="96"/>
      <c r="J234" s="96"/>
      <c r="K234" s="96"/>
      <c r="L234" s="96"/>
      <c r="M234" s="44"/>
      <c r="N234" s="44"/>
      <c r="O234" s="44"/>
      <c r="P234" s="44"/>
      <c r="Q234" s="96"/>
      <c r="R234" s="96"/>
      <c r="S234" s="96"/>
      <c r="T234" s="131"/>
      <c r="U234" s="41"/>
      <c r="V234" s="41"/>
      <c r="W234" s="41"/>
      <c r="X234" s="41"/>
      <c r="Y234" s="41"/>
      <c r="Z234" s="41"/>
      <c r="AA234" s="96"/>
      <c r="AB234" s="41"/>
      <c r="AC234" s="96"/>
      <c r="AD234" s="96"/>
      <c r="AE234" s="41"/>
      <c r="AF234" s="96"/>
      <c r="AG234" s="128"/>
      <c r="AH234" s="129"/>
      <c r="AI234" s="41"/>
      <c r="AJ234" s="100"/>
      <c r="AK234" s="100"/>
      <c r="AL234" s="100"/>
      <c r="AM234" s="116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</row>
    <row r="235" spans="1:51" ht="13.5" customHeight="1" x14ac:dyDescent="0.2">
      <c r="A235" s="40">
        <v>45493</v>
      </c>
      <c r="B235" s="96"/>
      <c r="C235" s="96"/>
      <c r="D235" s="97"/>
      <c r="E235" s="97"/>
      <c r="F235" s="97"/>
      <c r="G235" s="97"/>
      <c r="H235" s="96"/>
      <c r="I235" s="96"/>
      <c r="J235" s="96"/>
      <c r="K235" s="96"/>
      <c r="L235" s="96"/>
      <c r="M235" s="44"/>
      <c r="N235" s="44"/>
      <c r="O235" s="44"/>
      <c r="P235" s="44"/>
      <c r="Q235" s="44"/>
      <c r="R235" s="130"/>
      <c r="S235" s="131"/>
      <c r="T235" s="131"/>
      <c r="U235" s="41"/>
      <c r="V235" s="41"/>
      <c r="W235" s="41"/>
      <c r="X235" s="41"/>
      <c r="Y235" s="41"/>
      <c r="Z235" s="41"/>
      <c r="AA235" s="41"/>
      <c r="AB235" s="41"/>
      <c r="AC235" s="41"/>
      <c r="AD235" s="128"/>
      <c r="AE235" s="41"/>
      <c r="AF235" s="128"/>
      <c r="AG235" s="128"/>
      <c r="AH235" s="129"/>
      <c r="AI235" s="41"/>
      <c r="AJ235" s="100"/>
      <c r="AK235" s="100"/>
      <c r="AL235" s="100"/>
      <c r="AM235" s="116"/>
      <c r="AN235" s="100"/>
      <c r="AO235" s="100"/>
      <c r="AP235" s="100"/>
      <c r="AQ235" s="100"/>
      <c r="AR235" s="100"/>
      <c r="AS235" s="100"/>
      <c r="AT235" s="100"/>
      <c r="AU235" s="116"/>
      <c r="AV235" s="116"/>
      <c r="AW235" s="100"/>
      <c r="AX235" s="100"/>
      <c r="AY235" s="116"/>
    </row>
    <row r="236" spans="1:51" ht="13.5" customHeight="1" x14ac:dyDescent="0.2">
      <c r="A236" s="40">
        <v>45494</v>
      </c>
      <c r="B236" s="96"/>
      <c r="C236" s="96"/>
      <c r="D236" s="97"/>
      <c r="E236" s="97"/>
      <c r="F236" s="97"/>
      <c r="G236" s="97"/>
      <c r="H236" s="96"/>
      <c r="I236" s="96"/>
      <c r="J236" s="96"/>
      <c r="K236" s="96"/>
      <c r="L236" s="96"/>
      <c r="M236" s="44"/>
      <c r="N236" s="44"/>
      <c r="O236" s="44"/>
      <c r="P236" s="44"/>
      <c r="Q236" s="44"/>
      <c r="R236" s="130"/>
      <c r="S236" s="131"/>
      <c r="T236" s="131"/>
      <c r="U236" s="41"/>
      <c r="V236" s="41"/>
      <c r="W236" s="41"/>
      <c r="X236" s="41"/>
      <c r="Y236" s="41"/>
      <c r="Z236" s="41"/>
      <c r="AA236" s="41"/>
      <c r="AB236" s="41"/>
      <c r="AC236" s="41"/>
      <c r="AD236" s="128"/>
      <c r="AE236" s="41"/>
      <c r="AF236" s="128"/>
      <c r="AG236" s="128"/>
      <c r="AH236" s="129"/>
      <c r="AI236" s="41"/>
      <c r="AJ236" s="100"/>
      <c r="AK236" s="100"/>
      <c r="AL236" s="100"/>
      <c r="AM236" s="116"/>
      <c r="AN236" s="100"/>
      <c r="AO236" s="100"/>
      <c r="AP236" s="100"/>
      <c r="AQ236" s="100"/>
      <c r="AR236" s="100"/>
      <c r="AS236" s="100"/>
      <c r="AT236" s="100"/>
      <c r="AU236" s="116"/>
      <c r="AV236" s="116"/>
      <c r="AW236" s="100"/>
      <c r="AX236" s="100"/>
      <c r="AY236" s="116"/>
    </row>
    <row r="237" spans="1:51" ht="13.5" customHeight="1" x14ac:dyDescent="0.2">
      <c r="A237" s="40">
        <v>45495</v>
      </c>
      <c r="B237" s="96"/>
      <c r="C237" s="96"/>
      <c r="D237" s="97"/>
      <c r="E237" s="97"/>
      <c r="F237" s="97"/>
      <c r="G237" s="97"/>
      <c r="H237" s="96"/>
      <c r="I237" s="96"/>
      <c r="J237" s="96"/>
      <c r="K237" s="96"/>
      <c r="L237" s="96"/>
      <c r="M237" s="44"/>
      <c r="N237" s="44"/>
      <c r="O237" s="44"/>
      <c r="P237" s="44"/>
      <c r="Q237" s="44"/>
      <c r="R237" s="130"/>
      <c r="S237" s="131"/>
      <c r="T237" s="131"/>
      <c r="U237" s="41"/>
      <c r="V237" s="41"/>
      <c r="W237" s="41"/>
      <c r="X237" s="41"/>
      <c r="Y237" s="41"/>
      <c r="Z237" s="41"/>
      <c r="AA237" s="41"/>
      <c r="AB237" s="41"/>
      <c r="AC237" s="41"/>
      <c r="AD237" s="128"/>
      <c r="AE237" s="41"/>
      <c r="AF237" s="128"/>
      <c r="AG237" s="128"/>
      <c r="AH237" s="129"/>
      <c r="AI237" s="41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16"/>
      <c r="AV237" s="116"/>
      <c r="AW237" s="100"/>
      <c r="AX237" s="100"/>
      <c r="AY237" s="116"/>
    </row>
    <row r="238" spans="1:51" ht="13.5" customHeight="1" x14ac:dyDescent="0.2">
      <c r="A238" s="40">
        <v>45496</v>
      </c>
      <c r="B238" s="96"/>
      <c r="C238" s="96"/>
      <c r="D238" s="97"/>
      <c r="E238" s="97"/>
      <c r="F238" s="97"/>
      <c r="G238" s="97"/>
      <c r="H238" s="96"/>
      <c r="I238" s="96"/>
      <c r="J238" s="96"/>
      <c r="K238" s="96"/>
      <c r="L238" s="96"/>
      <c r="M238" s="44"/>
      <c r="N238" s="44"/>
      <c r="O238" s="44"/>
      <c r="P238" s="44"/>
      <c r="Q238" s="44"/>
      <c r="R238" s="130"/>
      <c r="S238" s="130"/>
      <c r="T238" s="131"/>
      <c r="U238" s="41"/>
      <c r="V238" s="41"/>
      <c r="W238" s="41"/>
      <c r="X238" s="41"/>
      <c r="Y238" s="41"/>
      <c r="Z238" s="41"/>
      <c r="AA238" s="41"/>
      <c r="AB238" s="41"/>
      <c r="AC238" s="41"/>
      <c r="AD238" s="128"/>
      <c r="AE238" s="41"/>
      <c r="AF238" s="128"/>
      <c r="AG238" s="128"/>
      <c r="AH238" s="129"/>
      <c r="AI238" s="41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16"/>
      <c r="AV238" s="116"/>
      <c r="AW238" s="100"/>
      <c r="AX238" s="100"/>
      <c r="AY238" s="116"/>
    </row>
    <row r="239" spans="1:51" ht="13.5" customHeight="1" x14ac:dyDescent="0.2">
      <c r="A239" s="40">
        <v>45497</v>
      </c>
      <c r="B239" s="96"/>
      <c r="C239" s="96"/>
      <c r="D239" s="97"/>
      <c r="E239" s="97"/>
      <c r="F239" s="97"/>
      <c r="G239" s="97"/>
      <c r="H239" s="96"/>
      <c r="I239" s="96"/>
      <c r="J239" s="96"/>
      <c r="K239" s="96"/>
      <c r="L239" s="96"/>
      <c r="M239" s="44"/>
      <c r="N239" s="44"/>
      <c r="O239" s="44"/>
      <c r="P239" s="44"/>
      <c r="Q239" s="44"/>
      <c r="R239" s="130"/>
      <c r="S239" s="131"/>
      <c r="T239" s="131"/>
      <c r="U239" s="41"/>
      <c r="V239" s="41"/>
      <c r="W239" s="41"/>
      <c r="X239" s="41"/>
      <c r="Y239" s="41"/>
      <c r="Z239" s="41"/>
      <c r="AA239" s="41"/>
      <c r="AB239" s="41"/>
      <c r="AC239" s="41"/>
      <c r="AD239" s="128"/>
      <c r="AE239" s="41"/>
      <c r="AF239" s="128"/>
      <c r="AG239" s="128"/>
      <c r="AH239" s="129"/>
      <c r="AI239" s="41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16"/>
      <c r="AV239" s="116"/>
      <c r="AW239" s="100"/>
      <c r="AX239" s="100"/>
      <c r="AY239" s="116"/>
    </row>
    <row r="240" spans="1:51" ht="13.5" customHeight="1" x14ac:dyDescent="0.2">
      <c r="A240" s="40">
        <v>45498</v>
      </c>
      <c r="B240" s="96"/>
      <c r="C240" s="96"/>
      <c r="D240" s="97"/>
      <c r="E240" s="97"/>
      <c r="F240" s="97"/>
      <c r="G240" s="97"/>
      <c r="H240" s="96"/>
      <c r="I240" s="96"/>
      <c r="J240" s="96"/>
      <c r="K240" s="96"/>
      <c r="L240" s="96"/>
      <c r="M240" s="44"/>
      <c r="N240" s="44"/>
      <c r="O240" s="44"/>
      <c r="P240" s="44"/>
      <c r="Q240" s="44"/>
      <c r="R240" s="130"/>
      <c r="S240" s="131"/>
      <c r="T240" s="131"/>
      <c r="U240" s="41"/>
      <c r="V240" s="41"/>
      <c r="W240" s="41"/>
      <c r="X240" s="41"/>
      <c r="Y240" s="41"/>
      <c r="Z240" s="41"/>
      <c r="AA240" s="41"/>
      <c r="AB240" s="41"/>
      <c r="AC240" s="41"/>
      <c r="AD240" s="128"/>
      <c r="AE240" s="41"/>
      <c r="AF240" s="128"/>
      <c r="AG240" s="128"/>
      <c r="AH240" s="129"/>
      <c r="AI240" s="41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16"/>
      <c r="AV240" s="116"/>
      <c r="AW240" s="100"/>
      <c r="AX240" s="100"/>
      <c r="AY240" s="116"/>
    </row>
    <row r="241" spans="1:51" ht="13.5" customHeight="1" x14ac:dyDescent="0.2">
      <c r="A241" s="40">
        <v>45499</v>
      </c>
      <c r="B241" s="96"/>
      <c r="C241" s="96"/>
      <c r="D241" s="97"/>
      <c r="E241" s="97"/>
      <c r="F241" s="97"/>
      <c r="G241" s="97"/>
      <c r="H241" s="96"/>
      <c r="I241" s="96"/>
      <c r="J241" s="96"/>
      <c r="K241" s="96"/>
      <c r="L241" s="96"/>
      <c r="M241" s="44"/>
      <c r="N241" s="44"/>
      <c r="O241" s="44"/>
      <c r="P241" s="44"/>
      <c r="Q241" s="44"/>
      <c r="R241" s="130"/>
      <c r="S241" s="131"/>
      <c r="T241" s="131"/>
      <c r="U241" s="41"/>
      <c r="V241" s="41"/>
      <c r="W241" s="41"/>
      <c r="X241" s="41"/>
      <c r="Y241" s="41"/>
      <c r="Z241" s="41"/>
      <c r="AA241" s="41"/>
      <c r="AB241" s="41"/>
      <c r="AC241" s="41"/>
      <c r="AD241" s="128"/>
      <c r="AE241" s="41"/>
      <c r="AF241" s="128"/>
      <c r="AG241" s="128"/>
      <c r="AH241" s="129"/>
      <c r="AI241" s="41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16"/>
    </row>
    <row r="242" spans="1:51" ht="13.5" customHeight="1" x14ac:dyDescent="0.2">
      <c r="A242" s="40">
        <v>45500</v>
      </c>
      <c r="B242" s="96"/>
      <c r="C242" s="96"/>
      <c r="D242" s="97"/>
      <c r="E242" s="97"/>
      <c r="F242" s="97"/>
      <c r="G242" s="97"/>
      <c r="H242" s="96"/>
      <c r="I242" s="96"/>
      <c r="J242" s="96"/>
      <c r="K242" s="96"/>
      <c r="L242" s="96"/>
      <c r="M242" s="44"/>
      <c r="N242" s="44"/>
      <c r="O242" s="44"/>
      <c r="P242" s="44"/>
      <c r="Q242" s="44"/>
      <c r="R242" s="130"/>
      <c r="S242" s="131"/>
      <c r="T242" s="131"/>
      <c r="U242" s="41"/>
      <c r="V242" s="41"/>
      <c r="W242" s="41"/>
      <c r="X242" s="41"/>
      <c r="Y242" s="41"/>
      <c r="Z242" s="41"/>
      <c r="AA242" s="41"/>
      <c r="AB242" s="41"/>
      <c r="AC242" s="41"/>
      <c r="AD242" s="128"/>
      <c r="AE242" s="41"/>
      <c r="AF242" s="128"/>
      <c r="AG242" s="128"/>
      <c r="AH242" s="129"/>
      <c r="AI242" s="41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16"/>
      <c r="AV242" s="116"/>
      <c r="AW242" s="100"/>
      <c r="AX242" s="100"/>
      <c r="AY242" s="116"/>
    </row>
    <row r="243" spans="1:51" ht="13.5" customHeight="1" x14ac:dyDescent="0.2">
      <c r="A243" s="40">
        <v>45501</v>
      </c>
      <c r="B243" s="96"/>
      <c r="C243" s="96"/>
      <c r="D243" s="97"/>
      <c r="E243" s="97"/>
      <c r="F243" s="97"/>
      <c r="G243" s="97"/>
      <c r="H243" s="96"/>
      <c r="I243" s="96"/>
      <c r="J243" s="96"/>
      <c r="K243" s="96"/>
      <c r="L243" s="96"/>
      <c r="M243" s="44"/>
      <c r="N243" s="44"/>
      <c r="O243" s="44"/>
      <c r="P243" s="44"/>
      <c r="Q243" s="44"/>
      <c r="R243" s="130"/>
      <c r="S243" s="131"/>
      <c r="T243" s="131"/>
      <c r="U243" s="41"/>
      <c r="V243" s="41"/>
      <c r="W243" s="41"/>
      <c r="X243" s="41"/>
      <c r="Y243" s="41"/>
      <c r="Z243" s="41"/>
      <c r="AA243" s="41"/>
      <c r="AB243" s="41"/>
      <c r="AC243" s="41"/>
      <c r="AD243" s="128"/>
      <c r="AE243" s="41"/>
      <c r="AF243" s="128"/>
      <c r="AG243" s="128"/>
      <c r="AH243" s="129"/>
      <c r="AI243" s="41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16"/>
      <c r="AV243" s="116"/>
      <c r="AW243" s="100"/>
      <c r="AX243" s="100"/>
      <c r="AY243" s="116"/>
    </row>
    <row r="244" spans="1:51" ht="13.5" customHeight="1" x14ac:dyDescent="0.2">
      <c r="A244" s="40">
        <v>45502</v>
      </c>
      <c r="B244" s="96"/>
      <c r="C244" s="96"/>
      <c r="D244" s="97"/>
      <c r="E244" s="97"/>
      <c r="F244" s="97"/>
      <c r="G244" s="97"/>
      <c r="H244" s="96"/>
      <c r="I244" s="96"/>
      <c r="J244" s="96"/>
      <c r="K244" s="96"/>
      <c r="L244" s="96"/>
      <c r="M244" s="44"/>
      <c r="N244" s="44"/>
      <c r="O244" s="44"/>
      <c r="P244" s="44"/>
      <c r="Q244" s="44"/>
      <c r="R244" s="130"/>
      <c r="S244" s="131"/>
      <c r="T244" s="131"/>
      <c r="U244" s="41"/>
      <c r="V244" s="41"/>
      <c r="W244" s="41"/>
      <c r="X244" s="41"/>
      <c r="Y244" s="41"/>
      <c r="Z244" s="41"/>
      <c r="AA244" s="41"/>
      <c r="AB244" s="41"/>
      <c r="AC244" s="41"/>
      <c r="AD244" s="128"/>
      <c r="AE244" s="41"/>
      <c r="AF244" s="128"/>
      <c r="AG244" s="128"/>
      <c r="AH244" s="129"/>
      <c r="AI244" s="41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16"/>
      <c r="AV244" s="116"/>
      <c r="AW244" s="100"/>
      <c r="AX244" s="100"/>
      <c r="AY244" s="116"/>
    </row>
    <row r="245" spans="1:51" ht="13.5" customHeight="1" x14ac:dyDescent="0.2">
      <c r="A245" s="40">
        <v>45503</v>
      </c>
      <c r="B245" s="96"/>
      <c r="C245" s="96"/>
      <c r="D245" s="97"/>
      <c r="E245" s="97"/>
      <c r="F245" s="97"/>
      <c r="G245" s="97"/>
      <c r="H245" s="96"/>
      <c r="I245" s="96"/>
      <c r="J245" s="96"/>
      <c r="K245" s="96"/>
      <c r="L245" s="96"/>
      <c r="M245" s="44"/>
      <c r="N245" s="44"/>
      <c r="O245" s="44"/>
      <c r="P245" s="44"/>
      <c r="Q245" s="44"/>
      <c r="R245" s="130"/>
      <c r="S245" s="131"/>
      <c r="T245" s="131"/>
      <c r="U245" s="41"/>
      <c r="V245" s="41"/>
      <c r="W245" s="41"/>
      <c r="X245" s="41"/>
      <c r="Y245" s="41"/>
      <c r="Z245" s="41"/>
      <c r="AA245" s="41"/>
      <c r="AB245" s="41"/>
      <c r="AC245" s="41"/>
      <c r="AD245" s="128"/>
      <c r="AE245" s="41"/>
      <c r="AF245" s="128"/>
      <c r="AG245" s="128"/>
      <c r="AH245" s="129"/>
      <c r="AI245" s="41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16"/>
      <c r="AV245" s="116"/>
      <c r="AW245" s="100"/>
      <c r="AX245" s="100"/>
      <c r="AY245" s="116"/>
    </row>
    <row r="246" spans="1:51" ht="15.75" customHeight="1" x14ac:dyDescent="0.2">
      <c r="A246" s="40">
        <v>45504</v>
      </c>
      <c r="B246" s="96"/>
      <c r="C246" s="96"/>
      <c r="D246" s="97"/>
      <c r="E246" s="97"/>
      <c r="F246" s="97"/>
      <c r="G246" s="97"/>
      <c r="H246" s="96"/>
      <c r="I246" s="96"/>
      <c r="J246" s="96"/>
      <c r="K246" s="96"/>
      <c r="L246" s="96"/>
      <c r="M246" s="44"/>
      <c r="N246" s="44"/>
      <c r="O246" s="44"/>
      <c r="P246" s="44"/>
      <c r="Q246" s="44"/>
      <c r="R246" s="130"/>
      <c r="S246" s="131"/>
      <c r="T246" s="131"/>
      <c r="U246" s="41"/>
      <c r="V246" s="41"/>
      <c r="W246" s="41"/>
      <c r="X246" s="41"/>
      <c r="Y246" s="41"/>
      <c r="Z246" s="41"/>
      <c r="AA246" s="41"/>
      <c r="AB246" s="41"/>
      <c r="AC246" s="41"/>
      <c r="AD246" s="128"/>
      <c r="AE246" s="41"/>
      <c r="AF246" s="128"/>
      <c r="AG246" s="128"/>
      <c r="AH246" s="129"/>
      <c r="AI246" s="41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16"/>
      <c r="AV246" s="116"/>
      <c r="AW246" s="100"/>
      <c r="AX246" s="100"/>
      <c r="AY246" s="116"/>
    </row>
    <row r="247" spans="1:51" ht="16.899999999999999" customHeight="1" x14ac:dyDescent="0.2">
      <c r="A247" s="50" t="s">
        <v>52</v>
      </c>
      <c r="B247" s="118">
        <f t="shared" ref="B247:G247" si="74">SUM(B216:B246)*B$2</f>
        <v>88107.319999999992</v>
      </c>
      <c r="C247" s="118">
        <f t="shared" si="74"/>
        <v>23805.600000000002</v>
      </c>
      <c r="D247" s="118">
        <f t="shared" si="74"/>
        <v>1951.04</v>
      </c>
      <c r="E247" s="118">
        <f t="shared" si="74"/>
        <v>2973.96</v>
      </c>
      <c r="F247" s="118">
        <f t="shared" si="74"/>
        <v>1525.8880000000001</v>
      </c>
      <c r="G247" s="118">
        <f t="shared" si="74"/>
        <v>1467.2</v>
      </c>
      <c r="H247" s="119">
        <f>SUM(H216:H246)</f>
        <v>16616.07</v>
      </c>
      <c r="I247" s="118">
        <f>SUM(I216:I246)</f>
        <v>1194.4050000000002</v>
      </c>
      <c r="J247" s="118">
        <f>SUM(J216:J246)</f>
        <v>3296.866</v>
      </c>
      <c r="K247" s="118">
        <f>SUM(K216:K246)</f>
        <v>25099</v>
      </c>
      <c r="L247" s="118">
        <f>SUM(L216:L246)</f>
        <v>7004.5232529599998</v>
      </c>
      <c r="M247" s="118">
        <f>SUM(M216:M246)</f>
        <v>8937</v>
      </c>
      <c r="N247" s="118">
        <f>SUM(N216:N246)</f>
        <v>373</v>
      </c>
      <c r="O247" s="118">
        <f>SUM(O216:O246)</f>
        <v>8253</v>
      </c>
      <c r="P247" s="118">
        <f>SUM(P216:P246)</f>
        <v>438</v>
      </c>
      <c r="Q247" s="118">
        <f>SUM(Q216:Q246)</f>
        <v>14489</v>
      </c>
      <c r="R247" s="118">
        <f t="shared" ref="R247:V247" si="75">SUM(R216:R246)</f>
        <v>5845</v>
      </c>
      <c r="S247" s="118">
        <f t="shared" si="75"/>
        <v>18373</v>
      </c>
      <c r="T247" s="118">
        <f t="shared" si="75"/>
        <v>30773</v>
      </c>
      <c r="U247" s="118">
        <f t="shared" si="75"/>
        <v>0</v>
      </c>
      <c r="V247" s="118">
        <f t="shared" si="75"/>
        <v>1622</v>
      </c>
      <c r="W247" s="118">
        <f>SUM(W216:W246)</f>
        <v>14586</v>
      </c>
      <c r="X247" s="118">
        <f>SUM(X216:X246)</f>
        <v>7994</v>
      </c>
      <c r="Y247" s="118"/>
      <c r="Z247" s="118">
        <f>SUM(Z216:Z246)</f>
        <v>5556</v>
      </c>
      <c r="AA247" s="118"/>
      <c r="AB247" s="118">
        <f>SUM(AB216:AB246)*AB$2</f>
        <v>6176.7490909090911</v>
      </c>
      <c r="AC247" s="118"/>
      <c r="AD247" s="118">
        <f>SUM(AD216:AD246)</f>
        <v>6621</v>
      </c>
      <c r="AE247" s="118">
        <f>SUM(AE216:AE246)*AE$2</f>
        <v>2461.56</v>
      </c>
      <c r="AF247" s="118">
        <f>SUM(AF216:AF246)</f>
        <v>6015</v>
      </c>
      <c r="AG247" s="118">
        <f>SUM(AG216:AG246)*AG$2</f>
        <v>58313.557399999998</v>
      </c>
      <c r="AH247" s="118">
        <f>SUM(AH216:AH246)*$AH$2</f>
        <v>593.71622635026506</v>
      </c>
      <c r="AI247" s="118">
        <f>SUM(AI216:AI246)</f>
        <v>13763</v>
      </c>
      <c r="AJ247" s="132">
        <f>SUM(AJ216:AJ246)*AJ$2</f>
        <v>0.42377600065200005</v>
      </c>
      <c r="AK247" s="122">
        <f>SUM(AK216:AK246)*AK$2</f>
        <v>51.44605333248559</v>
      </c>
      <c r="AL247" s="122">
        <f>SUM(AL216:AL246)</f>
        <v>184.907594951156</v>
      </c>
      <c r="AM247" s="122">
        <f>SUM(AM216:AM246)*AM$2</f>
        <v>20.906282698832005</v>
      </c>
      <c r="AN247" s="122">
        <f t="shared" ref="AN247:AR247" si="76">SUM(AN216:AN246)</f>
        <v>4.6399999999999997</v>
      </c>
      <c r="AO247" s="122">
        <f t="shared" si="76"/>
        <v>27.23</v>
      </c>
      <c r="AP247" s="122">
        <f t="shared" si="76"/>
        <v>8.57</v>
      </c>
      <c r="AQ247" s="122">
        <f t="shared" si="76"/>
        <v>20.34</v>
      </c>
      <c r="AR247" s="122">
        <f t="shared" si="76"/>
        <v>15.030000000000001</v>
      </c>
      <c r="AS247" s="122">
        <f>SUM(AS216:AS246)</f>
        <v>7.49</v>
      </c>
      <c r="AT247" s="122">
        <f>SUM(AT216:AT246)*AT$2</f>
        <v>0.35314700000000004</v>
      </c>
      <c r="AU247" s="122">
        <f>SUM(AU216:AU246)*AU$2</f>
        <v>94.278489204900012</v>
      </c>
      <c r="AV247" s="122">
        <f>SUM(AV216:AV246)*AV$2</f>
        <v>155.06684770000001</v>
      </c>
      <c r="AW247" s="122">
        <f>SUM(AW216:AW246)</f>
        <v>14.0199359</v>
      </c>
      <c r="AX247" s="122">
        <f>SUM(AX216:AX246)*AX2</f>
        <v>34.082499487600003</v>
      </c>
      <c r="AY247" s="122">
        <f>SUM(AY216:AY246)*$AY$2</f>
        <v>33.069112387870007</v>
      </c>
    </row>
    <row r="248" spans="1:51" ht="16.899999999999999" customHeight="1" x14ac:dyDescent="0.2">
      <c r="A248" s="50" t="s">
        <v>53</v>
      </c>
      <c r="B248" s="120">
        <f t="shared" ref="B248:L248" si="77">B247/B$2</f>
        <v>11732</v>
      </c>
      <c r="C248" s="120">
        <f t="shared" si="77"/>
        <v>3270</v>
      </c>
      <c r="D248" s="120">
        <f t="shared" si="77"/>
        <v>268</v>
      </c>
      <c r="E248" s="120">
        <f t="shared" si="77"/>
        <v>396</v>
      </c>
      <c r="F248" s="120">
        <f t="shared" si="77"/>
        <v>208</v>
      </c>
      <c r="G248" s="120">
        <f t="shared" si="77"/>
        <v>200</v>
      </c>
      <c r="H248" s="123">
        <f t="shared" si="77"/>
        <v>2247.7512229591398</v>
      </c>
      <c r="I248" s="120">
        <f t="shared" si="77"/>
        <v>159.94150970191532</v>
      </c>
      <c r="J248" s="120">
        <f t="shared" si="77"/>
        <v>443.27350893221416</v>
      </c>
      <c r="K248" s="120">
        <f t="shared" si="77"/>
        <v>3145.90446518106</v>
      </c>
      <c r="L248" s="120">
        <f t="shared" si="77"/>
        <v>919.97236664752211</v>
      </c>
      <c r="M248" s="120">
        <f t="shared" ref="M248:W248" si="78">M247/M$2</f>
        <v>1179.0237467018469</v>
      </c>
      <c r="N248" s="120">
        <f t="shared" si="78"/>
        <v>47.698209718670078</v>
      </c>
      <c r="O248" s="120">
        <f t="shared" si="78"/>
        <v>1100.4000000000001</v>
      </c>
      <c r="P248" s="120">
        <f t="shared" si="78"/>
        <v>58.4</v>
      </c>
      <c r="Q248" s="120">
        <f t="shared" si="78"/>
        <v>1947.4462365591396</v>
      </c>
      <c r="R248" s="120">
        <f t="shared" si="78"/>
        <v>749.35897435897436</v>
      </c>
      <c r="S248" s="120">
        <f t="shared" si="78"/>
        <v>2471.1499663752525</v>
      </c>
      <c r="T248" s="120">
        <f t="shared" si="78"/>
        <v>4138.9374579690657</v>
      </c>
      <c r="U248" s="120">
        <f t="shared" si="78"/>
        <v>0</v>
      </c>
      <c r="V248" s="120">
        <f t="shared" si="78"/>
        <v>205.83756345177665</v>
      </c>
      <c r="W248" s="120">
        <f t="shared" si="78"/>
        <v>1906.6666666666665</v>
      </c>
      <c r="X248" s="120">
        <f>X247/X$2</f>
        <v>1054.6174142480211</v>
      </c>
      <c r="Y248" s="120"/>
      <c r="Z248" s="120">
        <f>Z247/Z$2</f>
        <v>762.25598136341739</v>
      </c>
      <c r="AA248" s="120"/>
      <c r="AB248" s="120">
        <f>AB247/AB$2</f>
        <v>848.4545454545455</v>
      </c>
      <c r="AC248" s="120"/>
      <c r="AD248" s="120">
        <f>AD247/AD$2</f>
        <v>874.86786469344611</v>
      </c>
      <c r="AE248" s="120">
        <f>AE247/AE$2</f>
        <v>292</v>
      </c>
      <c r="AF248" s="120">
        <f t="shared" ref="AF248:AI248" si="79">AF247/AF$2</f>
        <v>742.04293116210215</v>
      </c>
      <c r="AG248" s="120">
        <f t="shared" si="79"/>
        <v>8076.67</v>
      </c>
      <c r="AH248" s="120">
        <f t="shared" si="79"/>
        <v>70.795000000000002</v>
      </c>
      <c r="AI248" s="120">
        <f t="shared" si="79"/>
        <v>1764.4871794871794</v>
      </c>
      <c r="AJ248" s="56">
        <f>AJ247/$AJ$2</f>
        <v>1.2E-2</v>
      </c>
      <c r="AK248" s="57">
        <f>AK247/$AJ$2</f>
        <v>1.45679</v>
      </c>
      <c r="AL248" s="57">
        <f>AL247/$AJ$2</f>
        <v>5.2359999999999998</v>
      </c>
      <c r="AM248" s="57">
        <f>AM247/$AJ$2</f>
        <v>0.59200000000000008</v>
      </c>
      <c r="AN248" s="57">
        <f>AN247/$AJ$2</f>
        <v>0.13139016818869781</v>
      </c>
      <c r="AO248" s="57">
        <f>AO247/$AJ$2</f>
        <v>0.77106773271082796</v>
      </c>
      <c r="AP248" s="57">
        <f>AP247/$AJ$2</f>
        <v>0.2426753752967975</v>
      </c>
      <c r="AQ248" s="57">
        <f>AQ247/$AJ$2</f>
        <v>0.57596465968924859</v>
      </c>
      <c r="AR248" s="57">
        <f>AR247/$AJ$2</f>
        <v>0.42560220428364837</v>
      </c>
      <c r="AS248" s="57">
        <f>AS247/$AJ$2</f>
        <v>0.21209318097701438</v>
      </c>
      <c r="AT248" s="57">
        <f>AT247/$AJ$2</f>
        <v>1.0000009423563378E-2</v>
      </c>
      <c r="AU248" s="57">
        <f>AU247/$AJ$2</f>
        <v>2.6696695157776174</v>
      </c>
      <c r="AV248" s="57">
        <f>AV247/$AJ$2</f>
        <v>4.3910041378866795</v>
      </c>
      <c r="AW248" s="57">
        <f>AW247/$AJ$2</f>
        <v>0.39700037411546607</v>
      </c>
      <c r="AX248" s="57">
        <f>AX247/$AJ$2</f>
        <v>0.96510890947564043</v>
      </c>
      <c r="AY248" s="57">
        <f>AY247/$AJ$2</f>
        <v>0.93641298243387727</v>
      </c>
    </row>
    <row r="249" spans="1:51" ht="16.899999999999999" customHeight="1" x14ac:dyDescent="0.2">
      <c r="A249" s="50" t="s">
        <v>54</v>
      </c>
      <c r="B249" s="59">
        <f>B247</f>
        <v>88107.319999999992</v>
      </c>
      <c r="C249" s="59">
        <f t="shared" ref="C249:AI250" si="80">C247</f>
        <v>23805.600000000002</v>
      </c>
      <c r="D249" s="59">
        <f t="shared" si="80"/>
        <v>1951.04</v>
      </c>
      <c r="E249" s="59">
        <f t="shared" si="80"/>
        <v>2973.96</v>
      </c>
      <c r="F249" s="59">
        <f t="shared" si="80"/>
        <v>1525.8880000000001</v>
      </c>
      <c r="G249" s="59">
        <f t="shared" si="80"/>
        <v>1467.2</v>
      </c>
      <c r="H249" s="60">
        <f t="shared" si="80"/>
        <v>16616.07</v>
      </c>
      <c r="I249" s="59">
        <f t="shared" si="80"/>
        <v>1194.4050000000002</v>
      </c>
      <c r="J249" s="59">
        <f t="shared" si="80"/>
        <v>3296.866</v>
      </c>
      <c r="K249" s="59">
        <f t="shared" si="80"/>
        <v>25099</v>
      </c>
      <c r="L249" s="59">
        <f t="shared" si="80"/>
        <v>7004.5232529599998</v>
      </c>
      <c r="M249" s="59">
        <f t="shared" si="80"/>
        <v>8937</v>
      </c>
      <c r="N249" s="59">
        <f t="shared" si="80"/>
        <v>373</v>
      </c>
      <c r="O249" s="59">
        <f t="shared" si="80"/>
        <v>8253</v>
      </c>
      <c r="P249" s="59">
        <f t="shared" si="80"/>
        <v>438</v>
      </c>
      <c r="Q249" s="59">
        <f t="shared" si="80"/>
        <v>14489</v>
      </c>
      <c r="R249" s="59">
        <f t="shared" si="80"/>
        <v>5845</v>
      </c>
      <c r="S249" s="59">
        <f t="shared" si="80"/>
        <v>18373</v>
      </c>
      <c r="T249" s="59">
        <f t="shared" si="80"/>
        <v>30773</v>
      </c>
      <c r="U249" s="59">
        <f t="shared" si="80"/>
        <v>0</v>
      </c>
      <c r="V249" s="59">
        <f t="shared" si="80"/>
        <v>1622</v>
      </c>
      <c r="W249" s="59">
        <f t="shared" si="80"/>
        <v>14586</v>
      </c>
      <c r="X249" s="59">
        <f t="shared" si="80"/>
        <v>7994</v>
      </c>
      <c r="Y249" s="59">
        <f t="shared" si="80"/>
        <v>0</v>
      </c>
      <c r="Z249" s="59">
        <f t="shared" si="80"/>
        <v>5556</v>
      </c>
      <c r="AA249" s="59">
        <f t="shared" si="80"/>
        <v>0</v>
      </c>
      <c r="AB249" s="59">
        <f t="shared" si="80"/>
        <v>6176.7490909090911</v>
      </c>
      <c r="AC249" s="59">
        <f t="shared" si="80"/>
        <v>0</v>
      </c>
      <c r="AD249" s="59">
        <f t="shared" si="80"/>
        <v>6621</v>
      </c>
      <c r="AE249" s="59">
        <f t="shared" si="80"/>
        <v>2461.56</v>
      </c>
      <c r="AF249" s="59">
        <f t="shared" si="80"/>
        <v>6015</v>
      </c>
      <c r="AG249" s="59">
        <f t="shared" si="80"/>
        <v>58313.557399999998</v>
      </c>
      <c r="AH249" s="59">
        <f t="shared" si="80"/>
        <v>593.71622635026506</v>
      </c>
      <c r="AI249" s="59">
        <f t="shared" si="80"/>
        <v>13763</v>
      </c>
      <c r="AJ249" s="134">
        <f>AJ250*AJ2</f>
        <v>0.42377600065200005</v>
      </c>
      <c r="AK249" s="135">
        <f>AK250*$AJ$2</f>
        <v>51.44605333248559</v>
      </c>
      <c r="AL249" s="135">
        <f>AL250*$AJ$2</f>
        <v>184.907594951156</v>
      </c>
      <c r="AM249" s="135">
        <f>AM250*$AJ$2</f>
        <v>20.906282698832005</v>
      </c>
      <c r="AN249" s="135">
        <f>AN250*$AJ$2</f>
        <v>4.6399999999999997</v>
      </c>
      <c r="AO249" s="135">
        <f>AO250*$AJ$2</f>
        <v>27.23</v>
      </c>
      <c r="AP249" s="135">
        <f>AP250*$AJ$2</f>
        <v>8.57</v>
      </c>
      <c r="AQ249" s="135">
        <f>AQ250*$AJ$2</f>
        <v>20.34</v>
      </c>
      <c r="AR249" s="135">
        <f>AR250*$AJ$2</f>
        <v>15.030000000000001</v>
      </c>
      <c r="AS249" s="135">
        <f>AS250*$AJ$2</f>
        <v>7.49</v>
      </c>
      <c r="AT249" s="135">
        <f>AT250*$AJ$2</f>
        <v>0.35314700000000004</v>
      </c>
      <c r="AU249" s="135">
        <f>AU250*$AJ$2</f>
        <v>94.278489204900012</v>
      </c>
      <c r="AV249" s="135">
        <f>AV250*$AJ$2</f>
        <v>155.06684770000001</v>
      </c>
      <c r="AW249" s="135">
        <f>AW250*$AJ$2</f>
        <v>14.0199359</v>
      </c>
      <c r="AX249" s="135">
        <f>AX250*$AJ$2</f>
        <v>34.082499487600003</v>
      </c>
      <c r="AY249" s="135">
        <f>AY247</f>
        <v>33.069112387870007</v>
      </c>
    </row>
    <row r="250" spans="1:51" ht="16.899999999999999" customHeight="1" x14ac:dyDescent="0.2">
      <c r="A250" s="50" t="s">
        <v>55</v>
      </c>
      <c r="B250" s="59">
        <f>B248</f>
        <v>11732</v>
      </c>
      <c r="C250" s="59">
        <f t="shared" si="80"/>
        <v>3270</v>
      </c>
      <c r="D250" s="59">
        <f t="shared" si="80"/>
        <v>268</v>
      </c>
      <c r="E250" s="59">
        <f t="shared" si="80"/>
        <v>396</v>
      </c>
      <c r="F250" s="59">
        <f t="shared" si="80"/>
        <v>208</v>
      </c>
      <c r="G250" s="59">
        <f t="shared" si="80"/>
        <v>200</v>
      </c>
      <c r="H250" s="60">
        <f t="shared" si="80"/>
        <v>2247.7512229591398</v>
      </c>
      <c r="I250" s="59">
        <f t="shared" si="80"/>
        <v>159.94150970191532</v>
      </c>
      <c r="J250" s="59">
        <f t="shared" si="80"/>
        <v>443.27350893221416</v>
      </c>
      <c r="K250" s="59">
        <f t="shared" si="80"/>
        <v>3145.90446518106</v>
      </c>
      <c r="L250" s="59">
        <f t="shared" si="80"/>
        <v>919.97236664752211</v>
      </c>
      <c r="M250" s="59">
        <f t="shared" si="80"/>
        <v>1179.0237467018469</v>
      </c>
      <c r="N250" s="59">
        <f t="shared" si="80"/>
        <v>47.698209718670078</v>
      </c>
      <c r="O250" s="59">
        <f t="shared" si="80"/>
        <v>1100.4000000000001</v>
      </c>
      <c r="P250" s="59">
        <f t="shared" si="80"/>
        <v>58.4</v>
      </c>
      <c r="Q250" s="59">
        <f t="shared" si="80"/>
        <v>1947.4462365591396</v>
      </c>
      <c r="R250" s="59">
        <f t="shared" si="80"/>
        <v>749.35897435897436</v>
      </c>
      <c r="S250" s="59">
        <f t="shared" si="80"/>
        <v>2471.1499663752525</v>
      </c>
      <c r="T250" s="59">
        <f t="shared" si="80"/>
        <v>4138.9374579690657</v>
      </c>
      <c r="U250" s="59">
        <f t="shared" si="80"/>
        <v>0</v>
      </c>
      <c r="V250" s="59">
        <f t="shared" si="80"/>
        <v>205.83756345177665</v>
      </c>
      <c r="W250" s="59">
        <f t="shared" si="80"/>
        <v>1906.6666666666665</v>
      </c>
      <c r="X250" s="59">
        <f t="shared" si="80"/>
        <v>1054.6174142480211</v>
      </c>
      <c r="Y250" s="59">
        <f t="shared" si="80"/>
        <v>0</v>
      </c>
      <c r="Z250" s="59">
        <f t="shared" si="80"/>
        <v>762.25598136341739</v>
      </c>
      <c r="AA250" s="59">
        <f t="shared" si="80"/>
        <v>0</v>
      </c>
      <c r="AB250" s="59">
        <f t="shared" si="80"/>
        <v>848.4545454545455</v>
      </c>
      <c r="AC250" s="59">
        <f t="shared" si="80"/>
        <v>0</v>
      </c>
      <c r="AD250" s="59">
        <f t="shared" si="80"/>
        <v>874.86786469344611</v>
      </c>
      <c r="AE250" s="59">
        <f t="shared" si="80"/>
        <v>292</v>
      </c>
      <c r="AF250" s="59">
        <f t="shared" si="80"/>
        <v>742.04293116210215</v>
      </c>
      <c r="AG250" s="59">
        <f t="shared" si="80"/>
        <v>8076.67</v>
      </c>
      <c r="AH250" s="59">
        <f t="shared" si="80"/>
        <v>70.795000000000002</v>
      </c>
      <c r="AI250" s="59">
        <f t="shared" si="80"/>
        <v>1764.4871794871794</v>
      </c>
      <c r="AJ250" s="134">
        <f>AJ248</f>
        <v>1.2E-2</v>
      </c>
      <c r="AK250" s="134">
        <f t="shared" ref="AK250:AY250" si="81">AK248</f>
        <v>1.45679</v>
      </c>
      <c r="AL250" s="134">
        <f t="shared" si="81"/>
        <v>5.2359999999999998</v>
      </c>
      <c r="AM250" s="134">
        <f t="shared" si="81"/>
        <v>0.59200000000000008</v>
      </c>
      <c r="AN250" s="134">
        <f t="shared" si="81"/>
        <v>0.13139016818869781</v>
      </c>
      <c r="AO250" s="134">
        <f t="shared" si="81"/>
        <v>0.77106773271082796</v>
      </c>
      <c r="AP250" s="134">
        <f t="shared" si="81"/>
        <v>0.2426753752967975</v>
      </c>
      <c r="AQ250" s="134">
        <f t="shared" si="81"/>
        <v>0.57596465968924859</v>
      </c>
      <c r="AR250" s="134">
        <f t="shared" si="81"/>
        <v>0.42560220428364837</v>
      </c>
      <c r="AS250" s="134">
        <f t="shared" si="81"/>
        <v>0.21209318097701438</v>
      </c>
      <c r="AT250" s="134">
        <f>AT248</f>
        <v>1.0000009423563378E-2</v>
      </c>
      <c r="AU250" s="134">
        <f>AU248</f>
        <v>2.6696695157776174</v>
      </c>
      <c r="AV250" s="134">
        <f t="shared" si="81"/>
        <v>4.3910041378866795</v>
      </c>
      <c r="AW250" s="134">
        <f t="shared" si="81"/>
        <v>0.39700037411546607</v>
      </c>
      <c r="AX250" s="134">
        <f t="shared" si="81"/>
        <v>0.96510890947564043</v>
      </c>
      <c r="AY250" s="134">
        <f t="shared" si="81"/>
        <v>0.93641298243387727</v>
      </c>
    </row>
    <row r="251" spans="1:51" s="66" customFormat="1" ht="16.899999999999999" customHeight="1" x14ac:dyDescent="0.2">
      <c r="A251" s="50" t="s">
        <v>56</v>
      </c>
      <c r="B251" s="65">
        <f>B250+B215</f>
        <v>1058116</v>
      </c>
      <c r="C251" s="65">
        <f t="shared" ref="C251:AI251" si="82">C250+C215</f>
        <v>281493</v>
      </c>
      <c r="D251" s="65">
        <f t="shared" si="82"/>
        <v>23787</v>
      </c>
      <c r="E251" s="65">
        <f t="shared" si="82"/>
        <v>39105</v>
      </c>
      <c r="F251" s="65">
        <f t="shared" si="82"/>
        <v>19453</v>
      </c>
      <c r="G251" s="65">
        <f t="shared" si="82"/>
        <v>21460</v>
      </c>
      <c r="H251" s="93">
        <f t="shared" si="82"/>
        <v>215823.29258301042</v>
      </c>
      <c r="I251" s="65">
        <f t="shared" si="82"/>
        <v>19357.407953939342</v>
      </c>
      <c r="J251" s="65">
        <f t="shared" si="82"/>
        <v>48018.654351454803</v>
      </c>
      <c r="K251" s="65">
        <f t="shared" si="82"/>
        <v>274297.19976601686</v>
      </c>
      <c r="L251" s="65">
        <f t="shared" si="82"/>
        <v>87290.440977447652</v>
      </c>
      <c r="M251" s="65">
        <f t="shared" si="82"/>
        <v>205416.1290237467</v>
      </c>
      <c r="N251" s="65">
        <f t="shared" si="82"/>
        <v>8671.0687340153454</v>
      </c>
      <c r="O251" s="65">
        <f t="shared" si="82"/>
        <v>210584</v>
      </c>
      <c r="P251" s="65">
        <f t="shared" si="82"/>
        <v>9106.6666666666661</v>
      </c>
      <c r="Q251" s="65">
        <f t="shared" si="82"/>
        <v>183103.89784946237</v>
      </c>
      <c r="R251" s="65">
        <f t="shared" si="82"/>
        <v>66085.769230769234</v>
      </c>
      <c r="S251" s="65">
        <f t="shared" si="82"/>
        <v>245579.28715534636</v>
      </c>
      <c r="T251" s="65">
        <f t="shared" si="82"/>
        <v>202107.33019502356</v>
      </c>
      <c r="U251" s="65">
        <f t="shared" si="82"/>
        <v>2376.4979595806808</v>
      </c>
      <c r="V251" s="65">
        <f t="shared" si="82"/>
        <v>19041.624365482236</v>
      </c>
      <c r="W251" s="65">
        <f t="shared" si="82"/>
        <v>170498.03921568627</v>
      </c>
      <c r="X251" s="65">
        <f t="shared" si="82"/>
        <v>94398.562005277025</v>
      </c>
      <c r="Y251" s="65">
        <f t="shared" si="82"/>
        <v>0</v>
      </c>
      <c r="Z251" s="65">
        <f t="shared" si="82"/>
        <v>79582.899453826292</v>
      </c>
      <c r="AA251" s="65">
        <f t="shared" si="82"/>
        <v>0</v>
      </c>
      <c r="AB251" s="65">
        <f t="shared" si="82"/>
        <v>83452.309090909068</v>
      </c>
      <c r="AC251" s="65">
        <f t="shared" si="82"/>
        <v>0</v>
      </c>
      <c r="AD251" s="65">
        <f t="shared" si="82"/>
        <v>93288.187103594086</v>
      </c>
      <c r="AE251" s="65">
        <f t="shared" si="82"/>
        <v>29491</v>
      </c>
      <c r="AF251" s="65">
        <f t="shared" si="82"/>
        <v>177262.39822353813</v>
      </c>
      <c r="AG251" s="65">
        <f t="shared" si="82"/>
        <v>733854.29</v>
      </c>
      <c r="AH251" s="65">
        <f t="shared" si="82"/>
        <v>6064.2975000000006</v>
      </c>
      <c r="AI251" s="65">
        <f t="shared" si="82"/>
        <v>161155.09789743592</v>
      </c>
      <c r="AJ251" s="136">
        <f t="shared" ref="AJ251:AV251" si="83">AJ250+AJ215</f>
        <v>60.645381999999998</v>
      </c>
      <c r="AK251" s="137">
        <f t="shared" si="83"/>
        <v>173.47826000000001</v>
      </c>
      <c r="AL251" s="137">
        <f t="shared" si="83"/>
        <v>933.99287735776102</v>
      </c>
      <c r="AM251" s="137">
        <f t="shared" si="83"/>
        <v>61.975200000000001</v>
      </c>
      <c r="AN251" s="137">
        <f t="shared" si="83"/>
        <v>38.474657306960566</v>
      </c>
      <c r="AO251" s="137">
        <f t="shared" si="83"/>
        <v>28.613040807748188</v>
      </c>
      <c r="AP251" s="137">
        <f t="shared" si="83"/>
        <v>35.006418431378407</v>
      </c>
      <c r="AQ251" s="137">
        <f t="shared" si="83"/>
        <v>153.89277330396698</v>
      </c>
      <c r="AR251" s="137">
        <f t="shared" si="83"/>
        <v>38.830733128262011</v>
      </c>
      <c r="AS251" s="137">
        <f>AS250+AS215</f>
        <v>13.48966433022337</v>
      </c>
      <c r="AT251" s="137">
        <f>AT250+AT215</f>
        <v>2.0431019253282341</v>
      </c>
      <c r="AU251" s="137">
        <f>AU250+AU215</f>
        <v>793.78154897436855</v>
      </c>
      <c r="AV251" s="137">
        <f t="shared" si="83"/>
        <v>480.14749246960616</v>
      </c>
      <c r="AW251" s="137">
        <f>AW250+AW215</f>
        <v>64.873316092139703</v>
      </c>
      <c r="AX251" s="137">
        <f>AX250+AX215</f>
        <v>51.633469657081527</v>
      </c>
      <c r="AY251" s="137">
        <f>AY250+AY215</f>
        <v>74.767602557657739</v>
      </c>
    </row>
    <row r="252" spans="1:51" ht="13.5" customHeight="1" x14ac:dyDescent="0.2">
      <c r="A252" s="40">
        <v>45505</v>
      </c>
      <c r="B252" s="117">
        <v>6166</v>
      </c>
      <c r="C252" s="117">
        <v>1351</v>
      </c>
      <c r="D252" s="117">
        <v>135</v>
      </c>
      <c r="E252" s="117">
        <v>172</v>
      </c>
      <c r="F252" s="117">
        <v>128</v>
      </c>
      <c r="G252" s="117">
        <v>128</v>
      </c>
      <c r="H252" s="138">
        <v>4155.7110000000002</v>
      </c>
      <c r="I252" s="138">
        <v>2716.5549999999998</v>
      </c>
      <c r="J252" s="138">
        <v>2351.7339999999999</v>
      </c>
      <c r="K252" s="138">
        <v>11639</v>
      </c>
      <c r="L252" s="138">
        <v>0</v>
      </c>
      <c r="M252" s="138">
        <v>8586</v>
      </c>
      <c r="N252" s="138">
        <v>314</v>
      </c>
      <c r="O252" s="139">
        <v>8200</v>
      </c>
      <c r="P252" s="139">
        <v>212</v>
      </c>
      <c r="Q252" s="138">
        <v>8130</v>
      </c>
      <c r="R252" s="138">
        <v>3111</v>
      </c>
      <c r="S252" s="138">
        <v>9634</v>
      </c>
      <c r="T252" s="138">
        <v>7612</v>
      </c>
      <c r="U252" s="138">
        <v>64.97363399999999</v>
      </c>
      <c r="V252" s="138">
        <v>770</v>
      </c>
      <c r="W252" s="138">
        <v>12980</v>
      </c>
      <c r="X252" s="138">
        <v>2591</v>
      </c>
      <c r="Y252" s="138"/>
      <c r="Z252" s="138">
        <v>2865</v>
      </c>
      <c r="AA252" s="138"/>
      <c r="AB252" s="138">
        <v>469.09090909090907</v>
      </c>
      <c r="AC252" s="138"/>
      <c r="AD252" s="117">
        <v>3229</v>
      </c>
      <c r="AE252" s="67">
        <v>181.48000000000002</v>
      </c>
      <c r="AF252" s="138">
        <v>8841</v>
      </c>
      <c r="AG252" s="117">
        <v>4018.49</v>
      </c>
      <c r="AH252" s="117">
        <v>47.519999999999996</v>
      </c>
      <c r="AI252" s="138">
        <v>6739</v>
      </c>
      <c r="AJ252" s="46">
        <v>1.08</v>
      </c>
      <c r="AK252" s="46">
        <v>1</v>
      </c>
      <c r="AL252" s="46">
        <v>138.29223487943599</v>
      </c>
      <c r="AM252" s="141">
        <v>0.26300000000000001</v>
      </c>
      <c r="AN252" s="46">
        <v>4.9800000000000004</v>
      </c>
      <c r="AO252" s="46">
        <v>7.65</v>
      </c>
      <c r="AP252" s="46">
        <v>2.69</v>
      </c>
      <c r="AQ252" s="46">
        <v>29</v>
      </c>
      <c r="AR252" s="46">
        <v>17</v>
      </c>
      <c r="AS252" s="46">
        <v>2.91</v>
      </c>
      <c r="AT252" s="46">
        <v>0.01</v>
      </c>
      <c r="AU252" s="46">
        <v>4.9180000000000001</v>
      </c>
      <c r="AV252" s="141">
        <v>1.8120000000000001</v>
      </c>
      <c r="AW252" s="46">
        <v>14.0905653</v>
      </c>
      <c r="AX252" s="46">
        <v>0.34200000000000003</v>
      </c>
      <c r="AY252" s="141">
        <v>0.52700000000000002</v>
      </c>
    </row>
    <row r="253" spans="1:51" ht="13.5" customHeight="1" x14ac:dyDescent="0.2">
      <c r="A253" s="40">
        <v>45506</v>
      </c>
      <c r="B253" s="117"/>
      <c r="C253" s="117"/>
      <c r="D253" s="117"/>
      <c r="E253" s="117"/>
      <c r="F253" s="117"/>
      <c r="G253" s="117"/>
      <c r="H253" s="67"/>
      <c r="I253" s="67"/>
      <c r="J253" s="67"/>
      <c r="K253" s="67"/>
      <c r="L253" s="67"/>
      <c r="M253" s="138"/>
      <c r="N253" s="138"/>
      <c r="O253" s="139"/>
      <c r="P253" s="139"/>
      <c r="Q253" s="138"/>
      <c r="R253" s="67"/>
      <c r="S253" s="67"/>
      <c r="T253" s="138"/>
      <c r="U253" s="138"/>
      <c r="V253" s="138"/>
      <c r="W253" s="67"/>
      <c r="X253" s="67"/>
      <c r="Y253" s="67"/>
      <c r="Z253" s="138"/>
      <c r="AA253" s="67"/>
      <c r="AB253" s="138"/>
      <c r="AC253" s="67"/>
      <c r="AD253" s="117"/>
      <c r="AE253" s="67"/>
      <c r="AF253" s="108"/>
      <c r="AG253" s="117"/>
      <c r="AH253" s="117"/>
      <c r="AI253" s="138"/>
      <c r="AJ253" s="46"/>
      <c r="AK253" s="46"/>
      <c r="AL253" s="46"/>
      <c r="AM253" s="141"/>
      <c r="AN253" s="46"/>
      <c r="AO253" s="46"/>
      <c r="AP253" s="46"/>
      <c r="AQ253" s="46"/>
      <c r="AR253" s="46"/>
      <c r="AS253" s="46"/>
      <c r="AT253" s="46"/>
      <c r="AU253" s="46"/>
      <c r="AV253" s="141"/>
      <c r="AW253" s="46"/>
      <c r="AX253" s="46"/>
      <c r="AY253" s="141"/>
    </row>
    <row r="254" spans="1:51" ht="13.5" customHeight="1" x14ac:dyDescent="0.2">
      <c r="A254" s="40">
        <v>45507</v>
      </c>
      <c r="B254" s="117"/>
      <c r="C254" s="117"/>
      <c r="D254" s="117"/>
      <c r="E254" s="117"/>
      <c r="F254" s="117"/>
      <c r="G254" s="117"/>
      <c r="H254" s="67"/>
      <c r="I254" s="67"/>
      <c r="J254" s="67"/>
      <c r="K254" s="67"/>
      <c r="L254" s="67"/>
      <c r="M254" s="138"/>
      <c r="N254" s="138"/>
      <c r="O254" s="139"/>
      <c r="P254" s="139"/>
      <c r="Q254" s="67"/>
      <c r="R254" s="67"/>
      <c r="S254" s="67"/>
      <c r="T254" s="138"/>
      <c r="U254" s="138"/>
      <c r="V254" s="138"/>
      <c r="W254" s="67"/>
      <c r="X254" s="67"/>
      <c r="Y254" s="67"/>
      <c r="Z254" s="138"/>
      <c r="AA254" s="67"/>
      <c r="AB254" s="138"/>
      <c r="AC254" s="67"/>
      <c r="AD254" s="117"/>
      <c r="AE254" s="67"/>
      <c r="AF254" s="108"/>
      <c r="AG254" s="117"/>
      <c r="AH254" s="117"/>
      <c r="AI254" s="138"/>
      <c r="AJ254" s="46"/>
      <c r="AK254" s="46"/>
      <c r="AL254" s="46"/>
      <c r="AM254" s="141"/>
      <c r="AN254" s="46"/>
      <c r="AO254" s="46"/>
      <c r="AP254" s="46"/>
      <c r="AQ254" s="46"/>
      <c r="AR254" s="46"/>
      <c r="AS254" s="46"/>
      <c r="AT254" s="46"/>
      <c r="AU254" s="46"/>
      <c r="AV254" s="141"/>
      <c r="AW254" s="46"/>
      <c r="AX254" s="46"/>
      <c r="AY254" s="141"/>
    </row>
    <row r="255" spans="1:51" ht="13.5" customHeight="1" x14ac:dyDescent="0.2">
      <c r="A255" s="40">
        <v>45508</v>
      </c>
      <c r="B255" s="117"/>
      <c r="C255" s="117"/>
      <c r="D255" s="117"/>
      <c r="E255" s="117"/>
      <c r="F255" s="117"/>
      <c r="G255" s="117"/>
      <c r="H255" s="138"/>
      <c r="I255" s="138"/>
      <c r="J255" s="138"/>
      <c r="K255" s="138"/>
      <c r="L255" s="138"/>
      <c r="M255" s="138"/>
      <c r="N255" s="138"/>
      <c r="O255" s="139"/>
      <c r="P255" s="139"/>
      <c r="Q255" s="67"/>
      <c r="R255" s="138"/>
      <c r="S255" s="67"/>
      <c r="T255" s="138"/>
      <c r="U255" s="138"/>
      <c r="V255" s="138"/>
      <c r="W255" s="67"/>
      <c r="X255" s="67"/>
      <c r="Y255" s="67"/>
      <c r="Z255" s="138"/>
      <c r="AA255" s="67"/>
      <c r="AB255" s="138"/>
      <c r="AC255" s="67"/>
      <c r="AD255" s="117"/>
      <c r="AE255" s="67"/>
      <c r="AF255" s="108"/>
      <c r="AG255" s="117"/>
      <c r="AH255" s="117"/>
      <c r="AI255" s="138"/>
      <c r="AJ255" s="46"/>
      <c r="AK255" s="46"/>
      <c r="AL255" s="46"/>
      <c r="AM255" s="141"/>
      <c r="AN255" s="46"/>
      <c r="AO255" s="46"/>
      <c r="AP255" s="46"/>
      <c r="AQ255" s="46"/>
      <c r="AR255" s="46"/>
      <c r="AS255" s="46"/>
      <c r="AT255" s="46"/>
      <c r="AU255" s="46"/>
      <c r="AV255" s="141"/>
      <c r="AW255" s="46"/>
      <c r="AX255" s="46"/>
      <c r="AY255" s="141"/>
    </row>
    <row r="256" spans="1:51" ht="13.5" customHeight="1" x14ac:dyDescent="0.2">
      <c r="A256" s="40">
        <v>45509</v>
      </c>
      <c r="B256" s="117"/>
      <c r="C256" s="117"/>
      <c r="D256" s="117"/>
      <c r="E256" s="117"/>
      <c r="F256" s="117"/>
      <c r="G256" s="117"/>
      <c r="H256" s="140"/>
      <c r="I256" s="140"/>
      <c r="J256" s="140"/>
      <c r="K256" s="140"/>
      <c r="L256" s="140"/>
      <c r="M256" s="138"/>
      <c r="N256" s="140"/>
      <c r="O256" s="139"/>
      <c r="P256" s="139"/>
      <c r="Q256" s="67"/>
      <c r="R256" s="138"/>
      <c r="S256" s="140"/>
      <c r="T256" s="138"/>
      <c r="U256" s="138"/>
      <c r="V256" s="138"/>
      <c r="W256" s="67"/>
      <c r="X256" s="67"/>
      <c r="Y256" s="67"/>
      <c r="Z256" s="138"/>
      <c r="AA256" s="67"/>
      <c r="AB256" s="138"/>
      <c r="AC256" s="67"/>
      <c r="AD256" s="117"/>
      <c r="AE256" s="67"/>
      <c r="AF256" s="108"/>
      <c r="AG256" s="117"/>
      <c r="AH256" s="117"/>
      <c r="AI256" s="138"/>
      <c r="AJ256" s="46"/>
      <c r="AK256" s="46"/>
      <c r="AL256" s="46"/>
      <c r="AM256" s="141"/>
      <c r="AN256" s="46"/>
      <c r="AO256" s="46"/>
      <c r="AP256" s="46"/>
      <c r="AQ256" s="46"/>
      <c r="AR256" s="46"/>
      <c r="AS256" s="46"/>
      <c r="AT256" s="46"/>
      <c r="AU256" s="46"/>
      <c r="AV256" s="141"/>
      <c r="AW256" s="46"/>
      <c r="AX256" s="46"/>
      <c r="AY256" s="141"/>
    </row>
    <row r="257" spans="1:51" ht="13.5" customHeight="1" x14ac:dyDescent="0.2">
      <c r="A257" s="40">
        <v>45510</v>
      </c>
      <c r="B257" s="117"/>
      <c r="C257" s="117"/>
      <c r="D257" s="117"/>
      <c r="E257" s="117"/>
      <c r="F257" s="117"/>
      <c r="G257" s="117"/>
      <c r="H257" s="142"/>
      <c r="I257" s="142"/>
      <c r="J257" s="142"/>
      <c r="K257" s="142"/>
      <c r="L257" s="142"/>
      <c r="M257" s="138"/>
      <c r="N257" s="140"/>
      <c r="O257" s="139"/>
      <c r="P257" s="139"/>
      <c r="Q257" s="67"/>
      <c r="R257" s="138"/>
      <c r="S257" s="142"/>
      <c r="T257" s="138"/>
      <c r="U257" s="138"/>
      <c r="V257" s="138"/>
      <c r="W257" s="67"/>
      <c r="X257" s="67"/>
      <c r="Y257" s="67"/>
      <c r="Z257" s="138"/>
      <c r="AA257" s="67"/>
      <c r="AB257" s="138"/>
      <c r="AC257" s="67"/>
      <c r="AD257" s="117"/>
      <c r="AE257" s="67"/>
      <c r="AF257" s="108"/>
      <c r="AG257" s="117"/>
      <c r="AH257" s="117"/>
      <c r="AI257" s="138"/>
      <c r="AJ257" s="46"/>
      <c r="AK257" s="46"/>
      <c r="AL257" s="46"/>
      <c r="AM257" s="141"/>
      <c r="AN257" s="46"/>
      <c r="AO257" s="46"/>
      <c r="AP257" s="46"/>
      <c r="AQ257" s="46"/>
      <c r="AR257" s="46"/>
      <c r="AS257" s="46"/>
      <c r="AT257" s="46"/>
      <c r="AU257" s="46"/>
      <c r="AV257" s="141"/>
      <c r="AW257" s="46"/>
      <c r="AX257" s="46"/>
      <c r="AY257" s="141"/>
    </row>
    <row r="258" spans="1:51" ht="13.5" customHeight="1" x14ac:dyDescent="0.2">
      <c r="A258" s="40">
        <v>45511</v>
      </c>
      <c r="B258" s="117"/>
      <c r="C258" s="117"/>
      <c r="D258" s="117"/>
      <c r="E258" s="117"/>
      <c r="F258" s="117"/>
      <c r="G258" s="117"/>
      <c r="H258" s="142"/>
      <c r="I258" s="142"/>
      <c r="J258" s="142"/>
      <c r="K258" s="142"/>
      <c r="L258" s="142"/>
      <c r="M258" s="138"/>
      <c r="N258" s="142"/>
      <c r="O258" s="139"/>
      <c r="P258" s="139"/>
      <c r="Q258" s="67"/>
      <c r="R258" s="138"/>
      <c r="S258" s="142"/>
      <c r="T258" s="138"/>
      <c r="U258" s="138"/>
      <c r="V258" s="138"/>
      <c r="W258" s="142"/>
      <c r="X258" s="142"/>
      <c r="Y258" s="142"/>
      <c r="Z258" s="138"/>
      <c r="AA258" s="67"/>
      <c r="AB258" s="138"/>
      <c r="AC258" s="67"/>
      <c r="AD258" s="117"/>
      <c r="AE258" s="67"/>
      <c r="AF258" s="108"/>
      <c r="AG258" s="117"/>
      <c r="AH258" s="117"/>
      <c r="AI258" s="138"/>
      <c r="AJ258" s="46"/>
      <c r="AK258" s="46"/>
      <c r="AL258" s="46"/>
      <c r="AM258" s="141"/>
      <c r="AN258" s="46"/>
      <c r="AO258" s="46"/>
      <c r="AP258" s="46"/>
      <c r="AQ258" s="46"/>
      <c r="AR258" s="46"/>
      <c r="AS258" s="46"/>
      <c r="AT258" s="46"/>
      <c r="AU258" s="46"/>
      <c r="AV258" s="141"/>
      <c r="AW258" s="46"/>
      <c r="AX258" s="46"/>
      <c r="AY258" s="141"/>
    </row>
    <row r="259" spans="1:51" ht="13.5" customHeight="1" x14ac:dyDescent="0.2">
      <c r="A259" s="40">
        <v>45512</v>
      </c>
      <c r="B259" s="117"/>
      <c r="C259" s="117"/>
      <c r="D259" s="117"/>
      <c r="E259" s="117"/>
      <c r="F259" s="117"/>
      <c r="G259" s="117"/>
      <c r="H259" s="67"/>
      <c r="I259" s="67"/>
      <c r="J259" s="67"/>
      <c r="K259" s="67"/>
      <c r="L259" s="67"/>
      <c r="M259" s="138"/>
      <c r="N259" s="67"/>
      <c r="O259" s="139"/>
      <c r="P259" s="139"/>
      <c r="Q259" s="67"/>
      <c r="R259" s="67"/>
      <c r="S259" s="67"/>
      <c r="T259" s="67"/>
      <c r="U259" s="138"/>
      <c r="V259" s="138"/>
      <c r="W259" s="117"/>
      <c r="X259" s="67"/>
      <c r="Y259" s="67"/>
      <c r="Z259" s="138"/>
      <c r="AA259" s="67"/>
      <c r="AB259" s="138"/>
      <c r="AC259" s="67"/>
      <c r="AD259" s="117"/>
      <c r="AE259" s="67"/>
      <c r="AF259" s="108"/>
      <c r="AG259" s="117"/>
      <c r="AH259" s="117"/>
      <c r="AI259" s="138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141"/>
      <c r="AW259" s="46"/>
      <c r="AX259" s="46"/>
      <c r="AY259" s="141"/>
    </row>
    <row r="260" spans="1:51" ht="12.75" customHeight="1" x14ac:dyDescent="0.2">
      <c r="A260" s="40">
        <v>45513</v>
      </c>
      <c r="B260" s="117"/>
      <c r="C260" s="117"/>
      <c r="D260" s="117"/>
      <c r="E260" s="117"/>
      <c r="F260" s="117"/>
      <c r="G260" s="117"/>
      <c r="H260" s="67"/>
      <c r="I260" s="67"/>
      <c r="J260" s="67"/>
      <c r="K260" s="67"/>
      <c r="L260" s="67"/>
      <c r="M260" s="138"/>
      <c r="N260" s="67"/>
      <c r="O260" s="139"/>
      <c r="P260" s="139"/>
      <c r="Q260" s="67"/>
      <c r="R260" s="117"/>
      <c r="S260" s="117"/>
      <c r="T260" s="117"/>
      <c r="U260" s="138"/>
      <c r="V260" s="138"/>
      <c r="W260" s="117"/>
      <c r="X260" s="117"/>
      <c r="Y260" s="117"/>
      <c r="Z260" s="138"/>
      <c r="AA260" s="117"/>
      <c r="AB260" s="138"/>
      <c r="AC260" s="117"/>
      <c r="AD260" s="117"/>
      <c r="AE260" s="67"/>
      <c r="AF260" s="108"/>
      <c r="AG260" s="117"/>
      <c r="AH260" s="117"/>
      <c r="AI260" s="138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</row>
    <row r="261" spans="1:51" ht="13.5" customHeight="1" x14ac:dyDescent="0.2">
      <c r="A261" s="40">
        <v>45514</v>
      </c>
      <c r="B261" s="117"/>
      <c r="C261" s="117"/>
      <c r="D261" s="117"/>
      <c r="E261" s="117"/>
      <c r="F261" s="117"/>
      <c r="G261" s="117"/>
      <c r="H261" s="108"/>
      <c r="I261" s="108"/>
      <c r="J261" s="108"/>
      <c r="K261" s="108"/>
      <c r="L261" s="108"/>
      <c r="M261" s="138"/>
      <c r="N261" s="67"/>
      <c r="O261" s="139"/>
      <c r="P261" s="139"/>
      <c r="Q261" s="67"/>
      <c r="R261" s="108"/>
      <c r="S261" s="108"/>
      <c r="T261" s="108"/>
      <c r="U261" s="138"/>
      <c r="V261" s="138"/>
      <c r="W261" s="108"/>
      <c r="X261" s="108"/>
      <c r="Y261" s="108"/>
      <c r="Z261" s="138"/>
      <c r="AA261" s="108"/>
      <c r="AB261" s="138"/>
      <c r="AC261" s="108"/>
      <c r="AD261" s="117"/>
      <c r="AE261" s="67"/>
      <c r="AF261" s="108"/>
      <c r="AG261" s="117"/>
      <c r="AH261" s="117"/>
      <c r="AI261" s="138"/>
      <c r="AJ261" s="46"/>
      <c r="AK261" s="46"/>
      <c r="AL261" s="46"/>
      <c r="AM261" s="141"/>
      <c r="AN261" s="46"/>
      <c r="AO261" s="46"/>
      <c r="AP261" s="46"/>
      <c r="AQ261" s="46"/>
      <c r="AR261" s="46"/>
      <c r="AS261" s="46"/>
      <c r="AT261" s="46"/>
      <c r="AU261" s="46"/>
      <c r="AV261" s="141"/>
      <c r="AW261" s="46"/>
      <c r="AX261" s="46"/>
      <c r="AY261" s="141"/>
    </row>
    <row r="262" spans="1:51" ht="13.5" customHeight="1" x14ac:dyDescent="0.2">
      <c r="A262" s="40">
        <v>45515</v>
      </c>
      <c r="B262" s="117"/>
      <c r="C262" s="117"/>
      <c r="D262" s="117"/>
      <c r="E262" s="117"/>
      <c r="F262" s="117"/>
      <c r="G262" s="117"/>
      <c r="H262" s="108"/>
      <c r="I262" s="108"/>
      <c r="J262" s="108"/>
      <c r="K262" s="108"/>
      <c r="L262" s="108"/>
      <c r="M262" s="138"/>
      <c r="N262" s="67"/>
      <c r="O262" s="139"/>
      <c r="P262" s="139"/>
      <c r="Q262" s="67"/>
      <c r="R262" s="108"/>
      <c r="S262" s="108"/>
      <c r="T262" s="108"/>
      <c r="U262" s="138"/>
      <c r="V262" s="138"/>
      <c r="W262" s="108"/>
      <c r="X262" s="108"/>
      <c r="Y262" s="108"/>
      <c r="Z262" s="138"/>
      <c r="AA262" s="108"/>
      <c r="AB262" s="138"/>
      <c r="AC262" s="108"/>
      <c r="AD262" s="117"/>
      <c r="AE262" s="67"/>
      <c r="AF262" s="108"/>
      <c r="AG262" s="117"/>
      <c r="AH262" s="117"/>
      <c r="AI262" s="138"/>
      <c r="AJ262" s="46"/>
      <c r="AK262" s="46"/>
      <c r="AL262" s="46"/>
      <c r="AM262" s="141"/>
      <c r="AN262" s="46"/>
      <c r="AO262" s="46"/>
      <c r="AP262" s="46"/>
      <c r="AQ262" s="46"/>
      <c r="AR262" s="46"/>
      <c r="AS262" s="46"/>
      <c r="AT262" s="46"/>
      <c r="AU262" s="46"/>
      <c r="AV262" s="141"/>
      <c r="AW262" s="46"/>
      <c r="AX262" s="46"/>
      <c r="AY262" s="141"/>
    </row>
    <row r="263" spans="1:51" ht="13.5" customHeight="1" x14ac:dyDescent="0.2">
      <c r="A263" s="40">
        <v>45516</v>
      </c>
      <c r="B263" s="117"/>
      <c r="C263" s="117"/>
      <c r="D263" s="117"/>
      <c r="E263" s="117"/>
      <c r="F263" s="117"/>
      <c r="G263" s="117"/>
      <c r="H263" s="108"/>
      <c r="I263" s="108"/>
      <c r="J263" s="108"/>
      <c r="K263" s="108"/>
      <c r="L263" s="108"/>
      <c r="M263" s="138"/>
      <c r="N263" s="67"/>
      <c r="O263" s="139"/>
      <c r="P263" s="139"/>
      <c r="Q263" s="108"/>
      <c r="R263" s="108"/>
      <c r="S263" s="108"/>
      <c r="T263" s="108"/>
      <c r="U263" s="138"/>
      <c r="V263" s="138"/>
      <c r="W263" s="108"/>
      <c r="X263" s="108"/>
      <c r="Y263" s="108"/>
      <c r="Z263" s="138"/>
      <c r="AA263" s="108"/>
      <c r="AB263" s="138"/>
      <c r="AC263" s="108"/>
      <c r="AD263" s="117"/>
      <c r="AE263" s="67"/>
      <c r="AF263" s="108"/>
      <c r="AG263" s="117"/>
      <c r="AH263" s="117"/>
      <c r="AI263" s="138"/>
      <c r="AJ263" s="46"/>
      <c r="AK263" s="46"/>
      <c r="AL263" s="46"/>
      <c r="AM263" s="141"/>
      <c r="AN263" s="46"/>
      <c r="AO263" s="46"/>
      <c r="AP263" s="46"/>
      <c r="AQ263" s="46"/>
      <c r="AR263" s="46"/>
      <c r="AS263" s="46"/>
      <c r="AT263" s="46"/>
      <c r="AU263" s="46"/>
      <c r="AV263" s="141"/>
      <c r="AW263" s="46"/>
      <c r="AX263" s="46"/>
      <c r="AY263" s="141"/>
    </row>
    <row r="264" spans="1:51" ht="13.5" customHeight="1" x14ac:dyDescent="0.2">
      <c r="A264" s="40">
        <v>45517</v>
      </c>
      <c r="B264" s="117"/>
      <c r="C264" s="117"/>
      <c r="D264" s="117"/>
      <c r="E264" s="117"/>
      <c r="F264" s="117"/>
      <c r="G264" s="117"/>
      <c r="H264" s="108"/>
      <c r="I264" s="108"/>
      <c r="J264" s="108"/>
      <c r="K264" s="108"/>
      <c r="L264" s="108"/>
      <c r="M264" s="138"/>
      <c r="N264" s="67"/>
      <c r="O264" s="139"/>
      <c r="P264" s="139"/>
      <c r="Q264" s="108"/>
      <c r="R264" s="108"/>
      <c r="S264" s="108"/>
      <c r="T264" s="108"/>
      <c r="U264" s="138"/>
      <c r="V264" s="138"/>
      <c r="W264" s="108"/>
      <c r="X264" s="108"/>
      <c r="Y264" s="108"/>
      <c r="Z264" s="138"/>
      <c r="AA264" s="108"/>
      <c r="AB264" s="138"/>
      <c r="AC264" s="108"/>
      <c r="AD264" s="117"/>
      <c r="AE264" s="67"/>
      <c r="AF264" s="108"/>
      <c r="AG264" s="117"/>
      <c r="AH264" s="117"/>
      <c r="AI264" s="138"/>
      <c r="AJ264" s="46"/>
      <c r="AK264" s="46"/>
      <c r="AL264" s="46"/>
      <c r="AM264" s="141"/>
      <c r="AN264" s="46"/>
      <c r="AO264" s="46"/>
      <c r="AP264" s="46"/>
      <c r="AQ264" s="46"/>
      <c r="AR264" s="46"/>
      <c r="AS264" s="46"/>
      <c r="AT264" s="46"/>
      <c r="AU264" s="46"/>
      <c r="AV264" s="141"/>
      <c r="AW264" s="46"/>
      <c r="AX264" s="46"/>
      <c r="AY264" s="141"/>
    </row>
    <row r="265" spans="1:51" ht="13.5" customHeight="1" x14ac:dyDescent="0.2">
      <c r="A265" s="40">
        <v>45518</v>
      </c>
      <c r="B265" s="117"/>
      <c r="C265" s="117"/>
      <c r="D265" s="117"/>
      <c r="E265" s="117"/>
      <c r="F265" s="117"/>
      <c r="G265" s="117"/>
      <c r="H265" s="108"/>
      <c r="I265" s="108"/>
      <c r="J265" s="108"/>
      <c r="K265" s="108"/>
      <c r="L265" s="108"/>
      <c r="M265" s="138"/>
      <c r="N265" s="67"/>
      <c r="O265" s="139"/>
      <c r="P265" s="139"/>
      <c r="Q265" s="108"/>
      <c r="R265" s="108"/>
      <c r="S265" s="108"/>
      <c r="T265" s="108"/>
      <c r="U265" s="138"/>
      <c r="V265" s="138"/>
      <c r="W265" s="108"/>
      <c r="X265" s="108"/>
      <c r="Y265" s="108"/>
      <c r="Z265" s="138"/>
      <c r="AA265" s="108"/>
      <c r="AB265" s="138"/>
      <c r="AC265" s="108"/>
      <c r="AD265" s="117"/>
      <c r="AE265" s="67"/>
      <c r="AF265" s="108"/>
      <c r="AG265" s="117"/>
      <c r="AH265" s="117"/>
      <c r="AI265" s="138"/>
      <c r="AJ265" s="46"/>
      <c r="AK265" s="46"/>
      <c r="AL265" s="46"/>
      <c r="AM265" s="141"/>
      <c r="AN265" s="46"/>
      <c r="AO265" s="46"/>
      <c r="AP265" s="46"/>
      <c r="AQ265" s="46"/>
      <c r="AR265" s="46"/>
      <c r="AS265" s="46"/>
      <c r="AT265" s="46"/>
      <c r="AU265" s="46"/>
      <c r="AV265" s="141"/>
      <c r="AW265" s="46"/>
      <c r="AX265" s="46"/>
      <c r="AY265" s="141"/>
    </row>
    <row r="266" spans="1:51" ht="13.5" customHeight="1" x14ac:dyDescent="0.2">
      <c r="A266" s="40">
        <v>45519</v>
      </c>
      <c r="B266" s="117"/>
      <c r="C266" s="117"/>
      <c r="D266" s="117"/>
      <c r="E266" s="117"/>
      <c r="F266" s="117"/>
      <c r="G266" s="117"/>
      <c r="H266" s="108"/>
      <c r="I266" s="108"/>
      <c r="J266" s="108"/>
      <c r="K266" s="108"/>
      <c r="L266" s="108"/>
      <c r="M266" s="138"/>
      <c r="N266" s="67"/>
      <c r="O266" s="139"/>
      <c r="P266" s="139"/>
      <c r="Q266" s="108"/>
      <c r="R266" s="108"/>
      <c r="S266" s="108"/>
      <c r="T266" s="108"/>
      <c r="U266" s="138"/>
      <c r="V266" s="138"/>
      <c r="W266" s="108"/>
      <c r="X266" s="108"/>
      <c r="Y266" s="108"/>
      <c r="Z266" s="138"/>
      <c r="AA266" s="108"/>
      <c r="AB266" s="138"/>
      <c r="AC266" s="108"/>
      <c r="AD266" s="117"/>
      <c r="AE266" s="67"/>
      <c r="AF266" s="108"/>
      <c r="AG266" s="117"/>
      <c r="AH266" s="117"/>
      <c r="AI266" s="138"/>
      <c r="AJ266" s="46"/>
      <c r="AK266" s="46"/>
      <c r="AL266" s="46"/>
      <c r="AM266" s="141"/>
      <c r="AN266" s="46"/>
      <c r="AO266" s="46"/>
      <c r="AP266" s="46"/>
      <c r="AQ266" s="46"/>
      <c r="AR266" s="46"/>
      <c r="AS266" s="46"/>
      <c r="AT266" s="46"/>
      <c r="AU266" s="46"/>
      <c r="AV266" s="141"/>
      <c r="AW266" s="46"/>
      <c r="AX266" s="46"/>
      <c r="AY266" s="141"/>
    </row>
    <row r="267" spans="1:51" ht="13.5" customHeight="1" x14ac:dyDescent="0.2">
      <c r="A267" s="40">
        <v>45520</v>
      </c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38"/>
      <c r="N267" s="117"/>
      <c r="O267" s="139"/>
      <c r="P267" s="139"/>
      <c r="Q267" s="117"/>
      <c r="R267" s="117"/>
      <c r="S267" s="117"/>
      <c r="T267" s="117"/>
      <c r="U267" s="138"/>
      <c r="V267" s="138"/>
      <c r="W267" s="117"/>
      <c r="X267" s="117"/>
      <c r="Y267" s="117"/>
      <c r="Z267" s="138"/>
      <c r="AA267" s="117"/>
      <c r="AB267" s="138"/>
      <c r="AC267" s="117"/>
      <c r="AD267" s="117"/>
      <c r="AE267" s="67"/>
      <c r="AF267" s="117"/>
      <c r="AG267" s="117"/>
      <c r="AH267" s="117"/>
      <c r="AI267" s="138"/>
      <c r="AJ267" s="46"/>
      <c r="AK267" s="46"/>
      <c r="AL267" s="46"/>
      <c r="AM267" s="141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</row>
    <row r="268" spans="1:51" ht="13.5" customHeight="1" x14ac:dyDescent="0.2">
      <c r="A268" s="40">
        <v>45521</v>
      </c>
      <c r="B268" s="117"/>
      <c r="C268" s="117"/>
      <c r="D268" s="117"/>
      <c r="E268" s="117"/>
      <c r="F268" s="117"/>
      <c r="G268" s="117"/>
      <c r="H268" s="108"/>
      <c r="I268" s="108"/>
      <c r="J268" s="108"/>
      <c r="K268" s="108"/>
      <c r="L268" s="108"/>
      <c r="M268" s="138"/>
      <c r="N268" s="108"/>
      <c r="O268" s="139"/>
      <c r="P268" s="139"/>
      <c r="Q268" s="108"/>
      <c r="R268" s="108"/>
      <c r="S268" s="108"/>
      <c r="T268" s="108"/>
      <c r="U268" s="138"/>
      <c r="V268" s="138"/>
      <c r="W268" s="108"/>
      <c r="X268" s="108"/>
      <c r="Y268" s="108"/>
      <c r="Z268" s="138"/>
      <c r="AA268" s="108"/>
      <c r="AB268" s="138"/>
      <c r="AC268" s="108"/>
      <c r="AD268" s="117"/>
      <c r="AE268" s="67"/>
      <c r="AF268" s="108"/>
      <c r="AG268" s="117"/>
      <c r="AH268" s="117"/>
      <c r="AI268" s="138"/>
      <c r="AJ268" s="46"/>
      <c r="AK268" s="46"/>
      <c r="AL268" s="46"/>
      <c r="AM268" s="141"/>
      <c r="AN268" s="46"/>
      <c r="AO268" s="46"/>
      <c r="AP268" s="46"/>
      <c r="AQ268" s="46"/>
      <c r="AR268" s="46"/>
      <c r="AS268" s="46"/>
      <c r="AT268" s="46"/>
      <c r="AU268" s="46"/>
      <c r="AV268" s="141"/>
      <c r="AW268" s="46"/>
      <c r="AX268" s="46"/>
      <c r="AY268" s="141"/>
    </row>
    <row r="269" spans="1:51" ht="13.5" customHeight="1" x14ac:dyDescent="0.2">
      <c r="A269" s="40">
        <v>45522</v>
      </c>
      <c r="B269" s="117"/>
      <c r="C269" s="117"/>
      <c r="D269" s="117"/>
      <c r="E269" s="117"/>
      <c r="F269" s="117"/>
      <c r="G269" s="117"/>
      <c r="H269" s="108"/>
      <c r="I269" s="108"/>
      <c r="J269" s="108"/>
      <c r="K269" s="108"/>
      <c r="L269" s="108"/>
      <c r="M269" s="138"/>
      <c r="N269" s="108"/>
      <c r="O269" s="139"/>
      <c r="P269" s="139"/>
      <c r="Q269" s="108"/>
      <c r="R269" s="108"/>
      <c r="S269" s="108"/>
      <c r="T269" s="108"/>
      <c r="U269" s="138"/>
      <c r="V269" s="117"/>
      <c r="W269" s="108"/>
      <c r="X269" s="108"/>
      <c r="Y269" s="108"/>
      <c r="Z269" s="138"/>
      <c r="AA269" s="108"/>
      <c r="AB269" s="138"/>
      <c r="AC269" s="108"/>
      <c r="AD269" s="117"/>
      <c r="AE269" s="67"/>
      <c r="AF269" s="108"/>
      <c r="AG269" s="117"/>
      <c r="AH269" s="117"/>
      <c r="AI269" s="138"/>
      <c r="AJ269" s="46"/>
      <c r="AK269" s="46"/>
      <c r="AL269" s="46"/>
      <c r="AM269" s="141"/>
      <c r="AN269" s="46"/>
      <c r="AO269" s="46"/>
      <c r="AP269" s="46"/>
      <c r="AQ269" s="46"/>
      <c r="AR269" s="46"/>
      <c r="AS269" s="46"/>
      <c r="AT269" s="46"/>
      <c r="AU269" s="46"/>
      <c r="AV269" s="141"/>
      <c r="AW269" s="46"/>
      <c r="AX269" s="46"/>
      <c r="AY269" s="141"/>
    </row>
    <row r="270" spans="1:51" ht="13.5" customHeight="1" x14ac:dyDescent="0.2">
      <c r="A270" s="40">
        <v>45523</v>
      </c>
      <c r="B270" s="117"/>
      <c r="C270" s="117"/>
      <c r="D270" s="117"/>
      <c r="E270" s="117"/>
      <c r="F270" s="117"/>
      <c r="G270" s="117"/>
      <c r="H270" s="108"/>
      <c r="I270" s="108"/>
      <c r="J270" s="108"/>
      <c r="K270" s="108"/>
      <c r="L270" s="108"/>
      <c r="M270" s="138"/>
      <c r="N270" s="108"/>
      <c r="O270" s="139"/>
      <c r="P270" s="139"/>
      <c r="Q270" s="108"/>
      <c r="R270" s="108"/>
      <c r="S270" s="108"/>
      <c r="T270" s="108"/>
      <c r="U270" s="138"/>
      <c r="V270" s="67"/>
      <c r="W270" s="108"/>
      <c r="X270" s="108"/>
      <c r="Y270" s="108"/>
      <c r="Z270" s="108"/>
      <c r="AA270" s="108"/>
      <c r="AB270" s="138"/>
      <c r="AC270" s="108"/>
      <c r="AD270" s="117"/>
      <c r="AE270" s="67"/>
      <c r="AF270" s="108"/>
      <c r="AG270" s="117"/>
      <c r="AH270" s="117"/>
      <c r="AI270" s="138"/>
      <c r="AJ270" s="46"/>
      <c r="AK270" s="46"/>
      <c r="AL270" s="46"/>
      <c r="AM270" s="141"/>
      <c r="AN270" s="46"/>
      <c r="AO270" s="46"/>
      <c r="AP270" s="46"/>
      <c r="AQ270" s="46"/>
      <c r="AR270" s="46"/>
      <c r="AS270" s="46"/>
      <c r="AT270" s="46"/>
      <c r="AU270" s="46"/>
      <c r="AV270" s="141"/>
      <c r="AW270" s="46"/>
      <c r="AX270" s="46"/>
      <c r="AY270" s="141"/>
    </row>
    <row r="271" spans="1:51" ht="13.5" customHeight="1" x14ac:dyDescent="0.2">
      <c r="A271" s="40">
        <v>45524</v>
      </c>
      <c r="B271" s="117"/>
      <c r="C271" s="117"/>
      <c r="D271" s="117"/>
      <c r="E271" s="117"/>
      <c r="F271" s="117"/>
      <c r="G271" s="117"/>
      <c r="H271" s="108"/>
      <c r="I271" s="108"/>
      <c r="J271" s="108"/>
      <c r="K271" s="108"/>
      <c r="L271" s="108"/>
      <c r="M271" s="138"/>
      <c r="N271" s="108"/>
      <c r="O271" s="139"/>
      <c r="P271" s="139"/>
      <c r="Q271" s="108"/>
      <c r="R271" s="108"/>
      <c r="S271" s="108"/>
      <c r="T271" s="108"/>
      <c r="U271" s="138"/>
      <c r="V271" s="67"/>
      <c r="W271" s="108"/>
      <c r="X271" s="108"/>
      <c r="Y271" s="108"/>
      <c r="Z271" s="108"/>
      <c r="AA271" s="108"/>
      <c r="AB271" s="138"/>
      <c r="AC271" s="108"/>
      <c r="AD271" s="117"/>
      <c r="AE271" s="67"/>
      <c r="AF271" s="108"/>
      <c r="AG271" s="117"/>
      <c r="AH271" s="117"/>
      <c r="AI271" s="138"/>
      <c r="AJ271" s="46"/>
      <c r="AK271" s="46"/>
      <c r="AL271" s="46"/>
      <c r="AM271" s="141"/>
      <c r="AN271" s="46"/>
      <c r="AO271" s="46"/>
      <c r="AP271" s="46"/>
      <c r="AQ271" s="46"/>
      <c r="AR271" s="46"/>
      <c r="AS271" s="46"/>
      <c r="AT271" s="46"/>
      <c r="AU271" s="46"/>
      <c r="AV271" s="141"/>
      <c r="AW271" s="46"/>
      <c r="AX271" s="46"/>
      <c r="AY271" s="141"/>
    </row>
    <row r="272" spans="1:51" ht="13.5" customHeight="1" x14ac:dyDescent="0.2">
      <c r="A272" s="40">
        <v>45525</v>
      </c>
      <c r="B272" s="117"/>
      <c r="C272" s="117"/>
      <c r="D272" s="117"/>
      <c r="E272" s="117"/>
      <c r="F272" s="117"/>
      <c r="G272" s="117"/>
      <c r="H272" s="108"/>
      <c r="I272" s="108"/>
      <c r="J272" s="108"/>
      <c r="K272" s="108"/>
      <c r="L272" s="108"/>
      <c r="M272" s="138"/>
      <c r="N272" s="108"/>
      <c r="O272" s="139"/>
      <c r="P272" s="139"/>
      <c r="Q272" s="108"/>
      <c r="R272" s="108"/>
      <c r="S272" s="108"/>
      <c r="T272" s="108"/>
      <c r="U272" s="138"/>
      <c r="V272" s="67"/>
      <c r="W272" s="108"/>
      <c r="X272" s="108"/>
      <c r="Y272" s="108"/>
      <c r="Z272" s="108"/>
      <c r="AA272" s="108"/>
      <c r="AB272" s="138"/>
      <c r="AC272" s="108"/>
      <c r="AD272" s="117"/>
      <c r="AE272" s="67"/>
      <c r="AF272" s="108"/>
      <c r="AG272" s="117"/>
      <c r="AH272" s="117"/>
      <c r="AI272" s="138"/>
      <c r="AJ272" s="46"/>
      <c r="AK272" s="46"/>
      <c r="AL272" s="46"/>
      <c r="AM272" s="141"/>
      <c r="AN272" s="46"/>
      <c r="AO272" s="46"/>
      <c r="AP272" s="46"/>
      <c r="AQ272" s="46"/>
      <c r="AR272" s="46"/>
      <c r="AS272" s="46"/>
      <c r="AT272" s="46"/>
      <c r="AU272" s="46"/>
      <c r="AV272" s="141"/>
      <c r="AW272" s="46"/>
      <c r="AX272" s="46"/>
      <c r="AY272" s="141"/>
    </row>
    <row r="273" spans="1:51" ht="13.5" customHeight="1" x14ac:dyDescent="0.2">
      <c r="A273" s="40">
        <v>45526</v>
      </c>
      <c r="B273" s="117"/>
      <c r="C273" s="117"/>
      <c r="D273" s="117"/>
      <c r="E273" s="117"/>
      <c r="F273" s="117"/>
      <c r="G273" s="117"/>
      <c r="H273" s="108"/>
      <c r="I273" s="108"/>
      <c r="J273" s="108"/>
      <c r="K273" s="108"/>
      <c r="L273" s="108"/>
      <c r="M273" s="138"/>
      <c r="N273" s="108"/>
      <c r="O273" s="139"/>
      <c r="P273" s="139"/>
      <c r="Q273" s="108"/>
      <c r="R273" s="108"/>
      <c r="S273" s="108"/>
      <c r="T273" s="108"/>
      <c r="U273" s="138"/>
      <c r="V273" s="67"/>
      <c r="W273" s="108"/>
      <c r="X273" s="108"/>
      <c r="Y273" s="108"/>
      <c r="Z273" s="108"/>
      <c r="AA273" s="108"/>
      <c r="AB273" s="138"/>
      <c r="AC273" s="108"/>
      <c r="AD273" s="117"/>
      <c r="AE273" s="67"/>
      <c r="AF273" s="108"/>
      <c r="AG273" s="117"/>
      <c r="AH273" s="117"/>
      <c r="AI273" s="138"/>
      <c r="AJ273" s="46"/>
      <c r="AK273" s="46"/>
      <c r="AL273" s="46"/>
      <c r="AM273" s="141"/>
      <c r="AN273" s="46"/>
      <c r="AO273" s="46"/>
      <c r="AP273" s="46"/>
      <c r="AQ273" s="46"/>
      <c r="AR273" s="46"/>
      <c r="AS273" s="46"/>
      <c r="AT273" s="46"/>
      <c r="AU273" s="46"/>
      <c r="AV273" s="141"/>
      <c r="AW273" s="46"/>
      <c r="AX273" s="46"/>
      <c r="AY273" s="141"/>
    </row>
    <row r="274" spans="1:51" ht="13.5" customHeight="1" x14ac:dyDescent="0.2">
      <c r="A274" s="40">
        <v>45527</v>
      </c>
      <c r="B274" s="117"/>
      <c r="C274" s="117"/>
      <c r="D274" s="117"/>
      <c r="E274" s="117"/>
      <c r="F274" s="117"/>
      <c r="G274" s="117"/>
      <c r="H274" s="108"/>
      <c r="I274" s="108"/>
      <c r="J274" s="108"/>
      <c r="K274" s="108"/>
      <c r="L274" s="108"/>
      <c r="M274" s="138"/>
      <c r="N274" s="108"/>
      <c r="O274" s="139"/>
      <c r="P274" s="139"/>
      <c r="Q274" s="108"/>
      <c r="R274" s="108"/>
      <c r="S274" s="108"/>
      <c r="T274" s="108"/>
      <c r="U274" s="138"/>
      <c r="V274" s="67"/>
      <c r="W274" s="108"/>
      <c r="X274" s="108"/>
      <c r="Y274" s="108"/>
      <c r="Z274" s="108"/>
      <c r="AA274" s="108"/>
      <c r="AB274" s="138"/>
      <c r="AC274" s="108"/>
      <c r="AD274" s="117"/>
      <c r="AE274" s="67"/>
      <c r="AF274" s="108"/>
      <c r="AG274" s="117"/>
      <c r="AH274" s="117"/>
      <c r="AI274" s="138"/>
      <c r="AJ274" s="46"/>
      <c r="AK274" s="46"/>
      <c r="AL274" s="46"/>
      <c r="AM274" s="141"/>
      <c r="AN274" s="46"/>
      <c r="AO274" s="46"/>
      <c r="AP274" s="46"/>
      <c r="AQ274" s="46"/>
      <c r="AR274" s="46"/>
      <c r="AS274" s="46"/>
      <c r="AT274" s="46"/>
      <c r="AU274" s="46"/>
      <c r="AV274" s="141"/>
      <c r="AW274" s="46"/>
      <c r="AX274" s="46"/>
      <c r="AY274" s="141"/>
    </row>
    <row r="275" spans="1:51" ht="13.5" customHeight="1" x14ac:dyDescent="0.2">
      <c r="A275" s="40">
        <v>45528</v>
      </c>
      <c r="B275" s="117"/>
      <c r="C275" s="117"/>
      <c r="D275" s="117"/>
      <c r="E275" s="117"/>
      <c r="F275" s="117"/>
      <c r="G275" s="117"/>
      <c r="H275" s="108"/>
      <c r="I275" s="108"/>
      <c r="J275" s="108"/>
      <c r="K275" s="108"/>
      <c r="L275" s="108"/>
      <c r="M275" s="138"/>
      <c r="N275" s="108"/>
      <c r="O275" s="139"/>
      <c r="P275" s="139"/>
      <c r="Q275" s="108"/>
      <c r="R275" s="108"/>
      <c r="S275" s="108"/>
      <c r="T275" s="108"/>
      <c r="U275" s="138"/>
      <c r="V275" s="67"/>
      <c r="W275" s="108"/>
      <c r="X275" s="108"/>
      <c r="Y275" s="108"/>
      <c r="Z275" s="108"/>
      <c r="AA275" s="108"/>
      <c r="AB275" s="138"/>
      <c r="AC275" s="108"/>
      <c r="AD275" s="117"/>
      <c r="AE275" s="67"/>
      <c r="AF275" s="108"/>
      <c r="AG275" s="117"/>
      <c r="AH275" s="117"/>
      <c r="AI275" s="138"/>
      <c r="AJ275" s="46"/>
      <c r="AK275" s="46"/>
      <c r="AL275" s="46"/>
      <c r="AM275" s="141"/>
      <c r="AN275" s="46"/>
      <c r="AO275" s="46"/>
      <c r="AP275" s="46"/>
      <c r="AQ275" s="46"/>
      <c r="AR275" s="46"/>
      <c r="AS275" s="46"/>
      <c r="AT275" s="46"/>
      <c r="AU275" s="46"/>
      <c r="AV275" s="141"/>
      <c r="AW275" s="46"/>
      <c r="AX275" s="46"/>
      <c r="AY275" s="141"/>
    </row>
    <row r="276" spans="1:51" ht="13.5" customHeight="1" x14ac:dyDescent="0.2">
      <c r="A276" s="40">
        <v>45529</v>
      </c>
      <c r="B276" s="117"/>
      <c r="C276" s="117"/>
      <c r="D276" s="117"/>
      <c r="E276" s="117"/>
      <c r="F276" s="117"/>
      <c r="G276" s="117"/>
      <c r="H276" s="108"/>
      <c r="I276" s="108"/>
      <c r="J276" s="108"/>
      <c r="K276" s="108"/>
      <c r="L276" s="108"/>
      <c r="M276" s="138"/>
      <c r="N276" s="108"/>
      <c r="O276" s="139"/>
      <c r="P276" s="139"/>
      <c r="Q276" s="108"/>
      <c r="R276" s="108"/>
      <c r="S276" s="108"/>
      <c r="T276" s="108"/>
      <c r="U276" s="138"/>
      <c r="V276" s="67"/>
      <c r="W276" s="108"/>
      <c r="X276" s="108"/>
      <c r="Y276" s="108"/>
      <c r="Z276" s="108"/>
      <c r="AA276" s="108"/>
      <c r="AB276" s="138"/>
      <c r="AC276" s="108"/>
      <c r="AD276" s="117"/>
      <c r="AE276" s="67"/>
      <c r="AF276" s="108"/>
      <c r="AG276" s="117"/>
      <c r="AH276" s="117"/>
      <c r="AI276" s="138"/>
      <c r="AJ276" s="46"/>
      <c r="AK276" s="46"/>
      <c r="AL276" s="46"/>
      <c r="AM276" s="141"/>
      <c r="AN276" s="46"/>
      <c r="AO276" s="46"/>
      <c r="AP276" s="46"/>
      <c r="AQ276" s="46"/>
      <c r="AR276" s="46"/>
      <c r="AS276" s="46"/>
      <c r="AT276" s="46"/>
      <c r="AU276" s="46"/>
      <c r="AV276" s="141"/>
      <c r="AW276" s="46"/>
      <c r="AX276" s="46"/>
      <c r="AY276" s="141"/>
    </row>
    <row r="277" spans="1:51" ht="13.5" customHeight="1" x14ac:dyDescent="0.2">
      <c r="A277" s="40">
        <v>45530</v>
      </c>
      <c r="B277" s="117"/>
      <c r="C277" s="117"/>
      <c r="D277" s="117"/>
      <c r="E277" s="117"/>
      <c r="F277" s="117"/>
      <c r="G277" s="117"/>
      <c r="H277" s="108"/>
      <c r="I277" s="108"/>
      <c r="J277" s="108"/>
      <c r="K277" s="108"/>
      <c r="L277" s="108"/>
      <c r="M277" s="138"/>
      <c r="N277" s="108"/>
      <c r="O277" s="139"/>
      <c r="P277" s="139"/>
      <c r="Q277" s="108"/>
      <c r="R277" s="108"/>
      <c r="S277" s="108"/>
      <c r="T277" s="108"/>
      <c r="U277" s="138"/>
      <c r="V277" s="67"/>
      <c r="W277" s="108"/>
      <c r="X277" s="108"/>
      <c r="Y277" s="108"/>
      <c r="Z277" s="108"/>
      <c r="AA277" s="108"/>
      <c r="AB277" s="138"/>
      <c r="AC277" s="108"/>
      <c r="AD277" s="117"/>
      <c r="AE277" s="67"/>
      <c r="AF277" s="108"/>
      <c r="AG277" s="117"/>
      <c r="AH277" s="117"/>
      <c r="AI277" s="138"/>
      <c r="AJ277" s="46"/>
      <c r="AK277" s="46"/>
      <c r="AL277" s="46"/>
      <c r="AM277" s="141"/>
      <c r="AN277" s="46"/>
      <c r="AO277" s="46"/>
      <c r="AP277" s="46"/>
      <c r="AQ277" s="46"/>
      <c r="AR277" s="46"/>
      <c r="AS277" s="46"/>
      <c r="AT277" s="46"/>
      <c r="AU277" s="46"/>
      <c r="AV277" s="141"/>
      <c r="AW277" s="46"/>
      <c r="AX277" s="46"/>
      <c r="AY277" s="141"/>
    </row>
    <row r="278" spans="1:51" ht="13.5" customHeight="1" x14ac:dyDescent="0.2">
      <c r="A278" s="40">
        <v>45531</v>
      </c>
      <c r="B278" s="117"/>
      <c r="C278" s="117"/>
      <c r="D278" s="117"/>
      <c r="E278" s="117"/>
      <c r="F278" s="117"/>
      <c r="G278" s="117"/>
      <c r="H278" s="108"/>
      <c r="I278" s="108"/>
      <c r="J278" s="108"/>
      <c r="K278" s="108"/>
      <c r="L278" s="108"/>
      <c r="M278" s="138"/>
      <c r="N278" s="108"/>
      <c r="O278" s="139"/>
      <c r="P278" s="139"/>
      <c r="Q278" s="108"/>
      <c r="R278" s="108"/>
      <c r="S278" s="108"/>
      <c r="T278" s="108"/>
      <c r="U278" s="138"/>
      <c r="V278" s="67"/>
      <c r="W278" s="108"/>
      <c r="X278" s="108"/>
      <c r="Y278" s="108"/>
      <c r="Z278" s="108"/>
      <c r="AA278" s="108"/>
      <c r="AB278" s="138"/>
      <c r="AC278" s="108"/>
      <c r="AD278" s="117"/>
      <c r="AE278" s="67"/>
      <c r="AF278" s="108"/>
      <c r="AG278" s="117"/>
      <c r="AH278" s="117"/>
      <c r="AI278" s="138"/>
      <c r="AJ278" s="46"/>
      <c r="AK278" s="46"/>
      <c r="AL278" s="46"/>
      <c r="AM278" s="141"/>
      <c r="AN278" s="46"/>
      <c r="AO278" s="46"/>
      <c r="AP278" s="46"/>
      <c r="AQ278" s="46"/>
      <c r="AR278" s="46"/>
      <c r="AS278" s="46"/>
      <c r="AT278" s="46"/>
      <c r="AU278" s="46"/>
      <c r="AV278" s="141"/>
      <c r="AW278" s="46"/>
      <c r="AX278" s="46"/>
      <c r="AY278" s="141"/>
    </row>
    <row r="279" spans="1:51" ht="13.5" customHeight="1" x14ac:dyDescent="0.2">
      <c r="A279" s="40">
        <v>45532</v>
      </c>
      <c r="B279" s="117"/>
      <c r="C279" s="117"/>
      <c r="D279" s="117"/>
      <c r="E279" s="117"/>
      <c r="F279" s="117"/>
      <c r="G279" s="117"/>
      <c r="H279" s="108"/>
      <c r="I279" s="108"/>
      <c r="J279" s="108"/>
      <c r="K279" s="108"/>
      <c r="L279" s="108"/>
      <c r="M279" s="138"/>
      <c r="N279" s="108"/>
      <c r="O279" s="139"/>
      <c r="P279" s="139"/>
      <c r="Q279" s="108"/>
      <c r="R279" s="108"/>
      <c r="S279" s="108"/>
      <c r="T279" s="108"/>
      <c r="U279" s="138"/>
      <c r="V279" s="67"/>
      <c r="W279" s="108"/>
      <c r="X279" s="108"/>
      <c r="Y279" s="108"/>
      <c r="Z279" s="108"/>
      <c r="AA279" s="108"/>
      <c r="AB279" s="138"/>
      <c r="AC279" s="108"/>
      <c r="AD279" s="117"/>
      <c r="AE279" s="67"/>
      <c r="AF279" s="108"/>
      <c r="AG279" s="117"/>
      <c r="AH279" s="117"/>
      <c r="AI279" s="138"/>
      <c r="AJ279" s="46"/>
      <c r="AK279" s="46"/>
      <c r="AL279" s="46"/>
      <c r="AM279" s="141"/>
      <c r="AN279" s="46"/>
      <c r="AO279" s="46"/>
      <c r="AP279" s="46"/>
      <c r="AQ279" s="46"/>
      <c r="AR279" s="46"/>
      <c r="AS279" s="46"/>
      <c r="AT279" s="46"/>
      <c r="AU279" s="46"/>
      <c r="AV279" s="141"/>
      <c r="AW279" s="46"/>
      <c r="AX279" s="46"/>
      <c r="AY279" s="141"/>
    </row>
    <row r="280" spans="1:51" ht="13.5" customHeight="1" x14ac:dyDescent="0.2">
      <c r="A280" s="40">
        <v>45533</v>
      </c>
      <c r="B280" s="117"/>
      <c r="C280" s="117"/>
      <c r="D280" s="117"/>
      <c r="E280" s="117"/>
      <c r="F280" s="117"/>
      <c r="G280" s="117"/>
      <c r="H280" s="108"/>
      <c r="I280" s="108"/>
      <c r="J280" s="108"/>
      <c r="K280" s="108"/>
      <c r="L280" s="108"/>
      <c r="M280" s="138"/>
      <c r="N280" s="108"/>
      <c r="O280" s="139"/>
      <c r="P280" s="139"/>
      <c r="Q280" s="108"/>
      <c r="R280" s="108"/>
      <c r="S280" s="108"/>
      <c r="T280" s="108"/>
      <c r="U280" s="138"/>
      <c r="V280" s="67"/>
      <c r="W280" s="108"/>
      <c r="X280" s="108"/>
      <c r="Y280" s="108"/>
      <c r="Z280" s="108"/>
      <c r="AA280" s="108"/>
      <c r="AB280" s="138"/>
      <c r="AC280" s="108"/>
      <c r="AD280" s="117"/>
      <c r="AE280" s="67"/>
      <c r="AF280" s="108"/>
      <c r="AG280" s="117"/>
      <c r="AH280" s="117"/>
      <c r="AI280" s="138"/>
      <c r="AJ280" s="46"/>
      <c r="AK280" s="46"/>
      <c r="AL280" s="46"/>
      <c r="AM280" s="141"/>
      <c r="AN280" s="46"/>
      <c r="AO280" s="46"/>
      <c r="AP280" s="46"/>
      <c r="AQ280" s="46"/>
      <c r="AR280" s="46"/>
      <c r="AS280" s="46"/>
      <c r="AT280" s="46"/>
      <c r="AU280" s="46"/>
      <c r="AV280" s="141"/>
      <c r="AW280" s="46"/>
      <c r="AX280" s="46"/>
      <c r="AY280" s="141"/>
    </row>
    <row r="281" spans="1:51" ht="13.5" customHeight="1" x14ac:dyDescent="0.2">
      <c r="A281" s="40">
        <v>45534</v>
      </c>
      <c r="B281" s="117"/>
      <c r="C281" s="117"/>
      <c r="D281" s="117"/>
      <c r="E281" s="117"/>
      <c r="F281" s="117"/>
      <c r="G281" s="117"/>
      <c r="H281" s="108"/>
      <c r="I281" s="108"/>
      <c r="J281" s="108"/>
      <c r="K281" s="108"/>
      <c r="L281" s="108"/>
      <c r="M281" s="138"/>
      <c r="N281" s="108"/>
      <c r="O281" s="139"/>
      <c r="P281" s="139"/>
      <c r="Q281" s="108"/>
      <c r="R281" s="108"/>
      <c r="S281" s="108"/>
      <c r="T281" s="108"/>
      <c r="U281" s="138"/>
      <c r="V281" s="67"/>
      <c r="W281" s="108"/>
      <c r="X281" s="108"/>
      <c r="Y281" s="108"/>
      <c r="Z281" s="108"/>
      <c r="AA281" s="108"/>
      <c r="AB281" s="138"/>
      <c r="AC281" s="108"/>
      <c r="AD281" s="117"/>
      <c r="AE281" s="67"/>
      <c r="AF281" s="108"/>
      <c r="AG281" s="117"/>
      <c r="AH281" s="117"/>
      <c r="AI281" s="138"/>
      <c r="AJ281" s="46"/>
      <c r="AK281" s="46"/>
      <c r="AL281" s="46"/>
      <c r="AM281" s="141"/>
      <c r="AN281" s="46"/>
      <c r="AO281" s="46"/>
      <c r="AP281" s="46"/>
      <c r="AQ281" s="46"/>
      <c r="AR281" s="46"/>
      <c r="AS281" s="46"/>
      <c r="AT281" s="46"/>
      <c r="AU281" s="46"/>
      <c r="AV281" s="141"/>
      <c r="AW281" s="46"/>
      <c r="AX281" s="46"/>
      <c r="AY281" s="141"/>
    </row>
    <row r="282" spans="1:51" ht="13.5" customHeight="1" x14ac:dyDescent="0.2">
      <c r="A282" s="40">
        <v>45535</v>
      </c>
      <c r="B282" s="117"/>
      <c r="C282" s="117"/>
      <c r="D282" s="117"/>
      <c r="E282" s="117"/>
      <c r="F282" s="117"/>
      <c r="G282" s="117"/>
      <c r="H282" s="108"/>
      <c r="I282" s="108"/>
      <c r="J282" s="108"/>
      <c r="K282" s="108"/>
      <c r="L282" s="108"/>
      <c r="M282" s="138"/>
      <c r="N282" s="108"/>
      <c r="O282" s="139"/>
      <c r="P282" s="139"/>
      <c r="Q282" s="108"/>
      <c r="R282" s="108"/>
      <c r="S282" s="108"/>
      <c r="T282" s="108"/>
      <c r="U282" s="138"/>
      <c r="V282" s="67"/>
      <c r="W282" s="108"/>
      <c r="X282" s="108"/>
      <c r="Y282" s="108"/>
      <c r="Z282" s="108"/>
      <c r="AA282" s="108"/>
      <c r="AB282" s="138"/>
      <c r="AC282" s="108"/>
      <c r="AD282" s="117"/>
      <c r="AE282" s="67"/>
      <c r="AF282" s="108"/>
      <c r="AG282" s="117"/>
      <c r="AH282" s="117"/>
      <c r="AI282" s="138"/>
      <c r="AJ282" s="46"/>
      <c r="AK282" s="46"/>
      <c r="AL282" s="46"/>
      <c r="AM282" s="141"/>
      <c r="AN282" s="46"/>
      <c r="AO282" s="46"/>
      <c r="AP282" s="46"/>
      <c r="AQ282" s="46"/>
      <c r="AR282" s="46"/>
      <c r="AS282" s="46"/>
      <c r="AT282" s="46"/>
      <c r="AU282" s="46"/>
      <c r="AV282" s="141"/>
      <c r="AW282" s="46"/>
      <c r="AX282" s="46"/>
      <c r="AY282" s="141"/>
    </row>
    <row r="283" spans="1:51" ht="16.899999999999999" customHeight="1" x14ac:dyDescent="0.2">
      <c r="A283" s="50" t="s">
        <v>52</v>
      </c>
      <c r="B283" s="118">
        <f t="shared" ref="B283:G283" si="84">SUM(B252:B282)*B$2</f>
        <v>46306.659999999996</v>
      </c>
      <c r="C283" s="118">
        <f t="shared" si="84"/>
        <v>9835.2800000000007</v>
      </c>
      <c r="D283" s="118">
        <f t="shared" si="84"/>
        <v>982.80000000000007</v>
      </c>
      <c r="E283" s="118">
        <f t="shared" si="84"/>
        <v>1291.72</v>
      </c>
      <c r="F283" s="118">
        <f t="shared" si="84"/>
        <v>939.00800000000004</v>
      </c>
      <c r="G283" s="118">
        <f t="shared" si="84"/>
        <v>939.00800000000004</v>
      </c>
      <c r="H283" s="119">
        <f>SUM(H252:H282)</f>
        <v>4155.7110000000002</v>
      </c>
      <c r="I283" s="118">
        <f>SUM(I252:I282)</f>
        <v>2716.5549999999998</v>
      </c>
      <c r="J283" s="118">
        <f>SUM(J252:J282)</f>
        <v>2351.7339999999999</v>
      </c>
      <c r="K283" s="118">
        <f>SUM(K252:K282)</f>
        <v>11639</v>
      </c>
      <c r="L283" s="118">
        <f>SUM(L252:L282)</f>
        <v>0</v>
      </c>
      <c r="M283" s="118">
        <f t="shared" ref="M283:W283" si="85">SUM(M252:M282)</f>
        <v>8586</v>
      </c>
      <c r="N283" s="118">
        <f t="shared" si="85"/>
        <v>314</v>
      </c>
      <c r="O283" s="118">
        <f t="shared" si="85"/>
        <v>8200</v>
      </c>
      <c r="P283" s="118">
        <f t="shared" si="85"/>
        <v>212</v>
      </c>
      <c r="Q283" s="118">
        <f t="shared" si="85"/>
        <v>8130</v>
      </c>
      <c r="R283" s="118">
        <f t="shared" si="85"/>
        <v>3111</v>
      </c>
      <c r="S283" s="118">
        <f t="shared" si="85"/>
        <v>9634</v>
      </c>
      <c r="T283" s="118">
        <f t="shared" si="85"/>
        <v>7612</v>
      </c>
      <c r="U283" s="118">
        <f t="shared" si="85"/>
        <v>64.97363399999999</v>
      </c>
      <c r="V283" s="118">
        <f t="shared" si="85"/>
        <v>770</v>
      </c>
      <c r="W283" s="118">
        <f t="shared" si="85"/>
        <v>12980</v>
      </c>
      <c r="X283" s="118">
        <f>SUM(X252:X282)</f>
        <v>2591</v>
      </c>
      <c r="Y283" s="118"/>
      <c r="Z283" s="118">
        <f>SUM(Z252:Z282)</f>
        <v>2865</v>
      </c>
      <c r="AA283" s="118"/>
      <c r="AB283" s="118">
        <f>SUM(AB252:AB282)*AB$2</f>
        <v>3414.9818181818182</v>
      </c>
      <c r="AC283" s="118"/>
      <c r="AD283" s="118">
        <f>SUM(AD252:AD282)</f>
        <v>3229</v>
      </c>
      <c r="AE283" s="118">
        <f>SUM(AE252:AE282)*AE$2</f>
        <v>1529.8764000000001</v>
      </c>
      <c r="AF283" s="118">
        <f>SUM(AF252:AF282)</f>
        <v>8841</v>
      </c>
      <c r="AG283" s="118">
        <f>SUM(AG252:AG282)*AG$2</f>
        <v>29013.497799999997</v>
      </c>
      <c r="AH283" s="118">
        <f>SUM(AH252:AH282)*$AH$2</f>
        <v>398.52242497584001</v>
      </c>
      <c r="AI283" s="118">
        <f>SUM(AI252:AI282)</f>
        <v>6739</v>
      </c>
      <c r="AJ283" s="133">
        <f>SUM(AJ252:AJ282)*AJ$2</f>
        <v>38.139840058680008</v>
      </c>
      <c r="AK283" s="122">
        <f>SUM(AK252:AK282)*AK$2</f>
        <v>35.314666721000002</v>
      </c>
      <c r="AL283" s="122">
        <f>SUM(AL252:AL282)</f>
        <v>138.29223487943599</v>
      </c>
      <c r="AM283" s="122">
        <f>SUM(AM252:AM282)*AM$2</f>
        <v>9.2877573476230015</v>
      </c>
      <c r="AN283" s="122">
        <f t="shared" ref="AN283:AR283" si="86">SUM(AN252:AN282)</f>
        <v>4.9800000000000004</v>
      </c>
      <c r="AO283" s="122">
        <f t="shared" si="86"/>
        <v>7.65</v>
      </c>
      <c r="AP283" s="122">
        <f t="shared" si="86"/>
        <v>2.69</v>
      </c>
      <c r="AQ283" s="122">
        <f t="shared" si="86"/>
        <v>29</v>
      </c>
      <c r="AR283" s="122">
        <f t="shared" si="86"/>
        <v>17</v>
      </c>
      <c r="AS283" s="122">
        <f>SUM(AS252:AS282)</f>
        <v>2.91</v>
      </c>
      <c r="AT283" s="122">
        <f>SUM(AT252:AT282)*AT$2</f>
        <v>0.35314700000000004</v>
      </c>
      <c r="AU283" s="122">
        <f>SUM(AU252:AU282)*AU$2</f>
        <v>173.67769460000002</v>
      </c>
      <c r="AV283" s="122">
        <f>SUM(AV252:AV282)*AV$2</f>
        <v>63.990236400000008</v>
      </c>
      <c r="AW283" s="122">
        <f>SUM(AW252:AW282)</f>
        <v>14.0905653</v>
      </c>
      <c r="AX283" s="122">
        <f>SUM(AX252:AX282)*AX$2</f>
        <v>12.077627400000001</v>
      </c>
      <c r="AY283" s="122">
        <f>SUM(AY252:AY282)*AY$2</f>
        <v>18.610846900000002</v>
      </c>
    </row>
    <row r="284" spans="1:51" ht="16.899999999999999" customHeight="1" x14ac:dyDescent="0.2">
      <c r="A284" s="50" t="s">
        <v>53</v>
      </c>
      <c r="B284" s="120">
        <f>B283/B$2</f>
        <v>6166</v>
      </c>
      <c r="C284" s="120">
        <f t="shared" ref="C284:L284" si="87">C283/C$2</f>
        <v>1351</v>
      </c>
      <c r="D284" s="120">
        <f t="shared" si="87"/>
        <v>135</v>
      </c>
      <c r="E284" s="120">
        <f t="shared" si="87"/>
        <v>172</v>
      </c>
      <c r="F284" s="120">
        <f t="shared" si="87"/>
        <v>128</v>
      </c>
      <c r="G284" s="120">
        <f t="shared" si="87"/>
        <v>128</v>
      </c>
      <c r="H284" s="123">
        <f t="shared" si="87"/>
        <v>562.16689521136766</v>
      </c>
      <c r="I284" s="120">
        <f t="shared" si="87"/>
        <v>363.77100555363256</v>
      </c>
      <c r="J284" s="120">
        <f t="shared" si="87"/>
        <v>316.19768054121448</v>
      </c>
      <c r="K284" s="120">
        <f t="shared" si="87"/>
        <v>1458.8303147632319</v>
      </c>
      <c r="L284" s="120">
        <f t="shared" si="87"/>
        <v>0</v>
      </c>
      <c r="M284" s="120">
        <f t="shared" ref="M284:X284" si="88">M283/M$2</f>
        <v>1132.7176781002638</v>
      </c>
      <c r="N284" s="120">
        <f t="shared" si="88"/>
        <v>40.153452685421996</v>
      </c>
      <c r="O284" s="120">
        <f t="shared" si="88"/>
        <v>1093.3333333333333</v>
      </c>
      <c r="P284" s="120">
        <f t="shared" si="88"/>
        <v>28.266666666666666</v>
      </c>
      <c r="Q284" s="120">
        <f t="shared" si="88"/>
        <v>1092.741935483871</v>
      </c>
      <c r="R284" s="120">
        <f t="shared" si="88"/>
        <v>398.84615384615387</v>
      </c>
      <c r="S284" s="120">
        <f t="shared" si="88"/>
        <v>1295.7632817753868</v>
      </c>
      <c r="T284" s="120">
        <f t="shared" si="88"/>
        <v>1023.8063214525891</v>
      </c>
      <c r="U284" s="120">
        <f t="shared" si="88"/>
        <v>7.546826827117922</v>
      </c>
      <c r="V284" s="120">
        <f t="shared" si="88"/>
        <v>97.715736040609144</v>
      </c>
      <c r="W284" s="120">
        <f t="shared" si="88"/>
        <v>1696.7320261437908</v>
      </c>
      <c r="X284" s="120">
        <f t="shared" si="88"/>
        <v>341.82058047493405</v>
      </c>
      <c r="Y284" s="120"/>
      <c r="Z284" s="120">
        <f>Z283/Z$2</f>
        <v>393.06396447195664</v>
      </c>
      <c r="AA284" s="120"/>
      <c r="AB284" s="120">
        <f>AB283/AB$2</f>
        <v>469.09090909090907</v>
      </c>
      <c r="AC284" s="120"/>
      <c r="AD284" s="120">
        <f>AD283/AD$2</f>
        <v>426.66490486257931</v>
      </c>
      <c r="AE284" s="120">
        <f t="shared" ref="AE284:AH284" si="89">AE283/AE$2</f>
        <v>181.48000000000002</v>
      </c>
      <c r="AF284" s="120">
        <f>AF283/AF$2</f>
        <v>1090.6735751295337</v>
      </c>
      <c r="AG284" s="120">
        <f>AG283/AG$2</f>
        <v>4018.49</v>
      </c>
      <c r="AH284" s="120">
        <f t="shared" si="89"/>
        <v>47.519999999999996</v>
      </c>
      <c r="AI284" s="120">
        <f>AI283/AI$2</f>
        <v>863.97435897435901</v>
      </c>
      <c r="AJ284" s="56">
        <f>AJ283/$AJ$2</f>
        <v>1.08</v>
      </c>
      <c r="AK284" s="57">
        <f>AK283/$AJ$2</f>
        <v>1</v>
      </c>
      <c r="AL284" s="57">
        <f>AL283/$AJ$2</f>
        <v>3.9159999999999995</v>
      </c>
      <c r="AM284" s="57">
        <f>AM283/$AJ$2</f>
        <v>0.26300000000000001</v>
      </c>
      <c r="AN284" s="57">
        <f>AN283/$AJ$2</f>
        <v>0.14101789603011103</v>
      </c>
      <c r="AO284" s="57">
        <f>AO283/$AJ$2</f>
        <v>0.21662387643179706</v>
      </c>
      <c r="AP284" s="57">
        <f>AP283/$AJ$2</f>
        <v>7.617231733353387E-2</v>
      </c>
      <c r="AQ284" s="57">
        <f>AQ283/$AJ$2</f>
        <v>0.8211885511793614</v>
      </c>
      <c r="AR284" s="57">
        <f>AR283/$AJ$2</f>
        <v>0.48138639207066014</v>
      </c>
      <c r="AS284" s="57">
        <f>AS283/$AJ$2</f>
        <v>8.2402023583860062E-2</v>
      </c>
      <c r="AT284" s="57">
        <f>AT283/$AJ$2</f>
        <v>1.0000009423563378E-2</v>
      </c>
      <c r="AU284" s="57">
        <f>AU283/$AJ$2</f>
        <v>4.9180046345084696</v>
      </c>
      <c r="AV284" s="57">
        <f>AV283/$AJ$2</f>
        <v>1.8120017075496841</v>
      </c>
      <c r="AW284" s="57">
        <f>AW283/$AJ$2</f>
        <v>0.39900037600017874</v>
      </c>
      <c r="AX284" s="57">
        <f>AX283/$AJ$2</f>
        <v>0.34200032228586752</v>
      </c>
      <c r="AY284" s="57">
        <f>AY283/$AJ$2</f>
        <v>0.52700049662179005</v>
      </c>
    </row>
    <row r="285" spans="1:51" ht="16.899999999999999" customHeight="1" x14ac:dyDescent="0.2">
      <c r="A285" s="50" t="s">
        <v>54</v>
      </c>
      <c r="B285" s="143">
        <f>B283</f>
        <v>46306.659999999996</v>
      </c>
      <c r="C285" s="143">
        <f t="shared" ref="C285:AI286" si="90">C283</f>
        <v>9835.2800000000007</v>
      </c>
      <c r="D285" s="143">
        <f t="shared" si="90"/>
        <v>982.80000000000007</v>
      </c>
      <c r="E285" s="143">
        <f t="shared" si="90"/>
        <v>1291.72</v>
      </c>
      <c r="F285" s="143">
        <f t="shared" si="90"/>
        <v>939.00800000000004</v>
      </c>
      <c r="G285" s="143">
        <f t="shared" si="90"/>
        <v>939.00800000000004</v>
      </c>
      <c r="H285" s="144">
        <f t="shared" si="90"/>
        <v>4155.7110000000002</v>
      </c>
      <c r="I285" s="143">
        <f t="shared" si="90"/>
        <v>2716.5549999999998</v>
      </c>
      <c r="J285" s="143">
        <f t="shared" si="90"/>
        <v>2351.7339999999999</v>
      </c>
      <c r="K285" s="143">
        <f t="shared" si="90"/>
        <v>11639</v>
      </c>
      <c r="L285" s="143">
        <f t="shared" si="90"/>
        <v>0</v>
      </c>
      <c r="M285" s="143">
        <f t="shared" si="90"/>
        <v>8586</v>
      </c>
      <c r="N285" s="143">
        <f t="shared" si="90"/>
        <v>314</v>
      </c>
      <c r="O285" s="143">
        <f t="shared" si="90"/>
        <v>8200</v>
      </c>
      <c r="P285" s="143">
        <f t="shared" si="90"/>
        <v>212</v>
      </c>
      <c r="Q285" s="143">
        <f t="shared" si="90"/>
        <v>8130</v>
      </c>
      <c r="R285" s="143">
        <f t="shared" si="90"/>
        <v>3111</v>
      </c>
      <c r="S285" s="143">
        <f t="shared" si="90"/>
        <v>9634</v>
      </c>
      <c r="T285" s="143">
        <f t="shared" si="90"/>
        <v>7612</v>
      </c>
      <c r="U285" s="143">
        <f t="shared" si="90"/>
        <v>64.97363399999999</v>
      </c>
      <c r="V285" s="143">
        <f t="shared" si="90"/>
        <v>770</v>
      </c>
      <c r="W285" s="143">
        <f t="shared" si="90"/>
        <v>12980</v>
      </c>
      <c r="X285" s="143">
        <f t="shared" si="90"/>
        <v>2591</v>
      </c>
      <c r="Y285" s="143">
        <f t="shared" si="90"/>
        <v>0</v>
      </c>
      <c r="Z285" s="143">
        <f t="shared" si="90"/>
        <v>2865</v>
      </c>
      <c r="AA285" s="143">
        <f t="shared" si="90"/>
        <v>0</v>
      </c>
      <c r="AB285" s="143">
        <f t="shared" si="90"/>
        <v>3414.9818181818182</v>
      </c>
      <c r="AC285" s="143">
        <f t="shared" si="90"/>
        <v>0</v>
      </c>
      <c r="AD285" s="143">
        <f t="shared" si="90"/>
        <v>3229</v>
      </c>
      <c r="AE285" s="143">
        <f t="shared" si="90"/>
        <v>1529.8764000000001</v>
      </c>
      <c r="AF285" s="143">
        <f t="shared" si="90"/>
        <v>8841</v>
      </c>
      <c r="AG285" s="143">
        <f t="shared" si="90"/>
        <v>29013.497799999997</v>
      </c>
      <c r="AH285" s="143">
        <f t="shared" si="90"/>
        <v>398.52242497584001</v>
      </c>
      <c r="AI285" s="143">
        <f t="shared" si="90"/>
        <v>6739</v>
      </c>
      <c r="AJ285" s="134">
        <f>AJ283</f>
        <v>38.139840058680008</v>
      </c>
      <c r="AK285" s="134">
        <f t="shared" ref="AK285:AY286" si="91">AK283</f>
        <v>35.314666721000002</v>
      </c>
      <c r="AL285" s="135">
        <f t="shared" si="91"/>
        <v>138.29223487943599</v>
      </c>
      <c r="AM285" s="135">
        <f t="shared" si="91"/>
        <v>9.2877573476230015</v>
      </c>
      <c r="AN285" s="135">
        <f t="shared" si="91"/>
        <v>4.9800000000000004</v>
      </c>
      <c r="AO285" s="135">
        <f t="shared" si="91"/>
        <v>7.65</v>
      </c>
      <c r="AP285" s="135">
        <f t="shared" si="91"/>
        <v>2.69</v>
      </c>
      <c r="AQ285" s="135">
        <f t="shared" si="91"/>
        <v>29</v>
      </c>
      <c r="AR285" s="135">
        <f t="shared" si="91"/>
        <v>17</v>
      </c>
      <c r="AS285" s="135">
        <f t="shared" si="91"/>
        <v>2.91</v>
      </c>
      <c r="AT285" s="135">
        <f t="shared" si="91"/>
        <v>0.35314700000000004</v>
      </c>
      <c r="AU285" s="135">
        <f t="shared" si="91"/>
        <v>173.67769460000002</v>
      </c>
      <c r="AV285" s="135">
        <f t="shared" si="91"/>
        <v>63.990236400000008</v>
      </c>
      <c r="AW285" s="135">
        <f t="shared" si="91"/>
        <v>14.0905653</v>
      </c>
      <c r="AX285" s="135">
        <f>AX283</f>
        <v>12.077627400000001</v>
      </c>
      <c r="AY285" s="135">
        <f t="shared" si="91"/>
        <v>18.610846900000002</v>
      </c>
    </row>
    <row r="286" spans="1:51" ht="16.899999999999999" customHeight="1" x14ac:dyDescent="0.2">
      <c r="A286" s="50" t="s">
        <v>55</v>
      </c>
      <c r="B286" s="143">
        <f>B284</f>
        <v>6166</v>
      </c>
      <c r="C286" s="143">
        <f t="shared" si="90"/>
        <v>1351</v>
      </c>
      <c r="D286" s="143">
        <f t="shared" si="90"/>
        <v>135</v>
      </c>
      <c r="E286" s="143">
        <f t="shared" si="90"/>
        <v>172</v>
      </c>
      <c r="F286" s="143">
        <f t="shared" si="90"/>
        <v>128</v>
      </c>
      <c r="G286" s="143">
        <f t="shared" si="90"/>
        <v>128</v>
      </c>
      <c r="H286" s="144">
        <f t="shared" si="90"/>
        <v>562.16689521136766</v>
      </c>
      <c r="I286" s="143">
        <f t="shared" si="90"/>
        <v>363.77100555363256</v>
      </c>
      <c r="J286" s="143">
        <f t="shared" si="90"/>
        <v>316.19768054121448</v>
      </c>
      <c r="K286" s="143">
        <f t="shared" si="90"/>
        <v>1458.8303147632319</v>
      </c>
      <c r="L286" s="143">
        <f t="shared" si="90"/>
        <v>0</v>
      </c>
      <c r="M286" s="143">
        <f t="shared" si="90"/>
        <v>1132.7176781002638</v>
      </c>
      <c r="N286" s="143">
        <f t="shared" si="90"/>
        <v>40.153452685421996</v>
      </c>
      <c r="O286" s="143">
        <f t="shared" si="90"/>
        <v>1093.3333333333333</v>
      </c>
      <c r="P286" s="143">
        <f t="shared" si="90"/>
        <v>28.266666666666666</v>
      </c>
      <c r="Q286" s="143">
        <f t="shared" si="90"/>
        <v>1092.741935483871</v>
      </c>
      <c r="R286" s="143">
        <f t="shared" si="90"/>
        <v>398.84615384615387</v>
      </c>
      <c r="S286" s="143">
        <f t="shared" si="90"/>
        <v>1295.7632817753868</v>
      </c>
      <c r="T286" s="143">
        <f t="shared" si="90"/>
        <v>1023.8063214525891</v>
      </c>
      <c r="U286" s="143">
        <f t="shared" si="90"/>
        <v>7.546826827117922</v>
      </c>
      <c r="V286" s="143">
        <f t="shared" si="90"/>
        <v>97.715736040609144</v>
      </c>
      <c r="W286" s="143">
        <f t="shared" si="90"/>
        <v>1696.7320261437908</v>
      </c>
      <c r="X286" s="143">
        <f t="shared" si="90"/>
        <v>341.82058047493405</v>
      </c>
      <c r="Y286" s="143">
        <f t="shared" si="90"/>
        <v>0</v>
      </c>
      <c r="Z286" s="143">
        <f t="shared" si="90"/>
        <v>393.06396447195664</v>
      </c>
      <c r="AA286" s="143">
        <f t="shared" si="90"/>
        <v>0</v>
      </c>
      <c r="AB286" s="143">
        <f t="shared" si="90"/>
        <v>469.09090909090907</v>
      </c>
      <c r="AC286" s="143">
        <f t="shared" si="90"/>
        <v>0</v>
      </c>
      <c r="AD286" s="143">
        <f t="shared" si="90"/>
        <v>426.66490486257931</v>
      </c>
      <c r="AE286" s="143">
        <f t="shared" si="90"/>
        <v>181.48000000000002</v>
      </c>
      <c r="AF286" s="143">
        <f t="shared" si="90"/>
        <v>1090.6735751295337</v>
      </c>
      <c r="AG286" s="143">
        <f t="shared" si="90"/>
        <v>4018.49</v>
      </c>
      <c r="AH286" s="143">
        <f t="shared" si="90"/>
        <v>47.519999999999996</v>
      </c>
      <c r="AI286" s="143">
        <f t="shared" si="90"/>
        <v>863.97435897435901</v>
      </c>
      <c r="AJ286" s="134">
        <f>AJ284</f>
        <v>1.08</v>
      </c>
      <c r="AK286" s="134">
        <f t="shared" si="91"/>
        <v>1</v>
      </c>
      <c r="AL286" s="134">
        <f t="shared" si="91"/>
        <v>3.9159999999999995</v>
      </c>
      <c r="AM286" s="134">
        <f t="shared" si="91"/>
        <v>0.26300000000000001</v>
      </c>
      <c r="AN286" s="134">
        <f t="shared" si="91"/>
        <v>0.14101789603011103</v>
      </c>
      <c r="AO286" s="134">
        <f t="shared" si="91"/>
        <v>0.21662387643179706</v>
      </c>
      <c r="AP286" s="134">
        <f t="shared" si="91"/>
        <v>7.617231733353387E-2</v>
      </c>
      <c r="AQ286" s="134">
        <f t="shared" si="91"/>
        <v>0.8211885511793614</v>
      </c>
      <c r="AR286" s="134">
        <f t="shared" si="91"/>
        <v>0.48138639207066014</v>
      </c>
      <c r="AS286" s="134">
        <f t="shared" si="91"/>
        <v>8.2402023583860062E-2</v>
      </c>
      <c r="AT286" s="134">
        <f t="shared" si="91"/>
        <v>1.0000009423563378E-2</v>
      </c>
      <c r="AU286" s="134">
        <f t="shared" si="91"/>
        <v>4.9180046345084696</v>
      </c>
      <c r="AV286" s="134">
        <f t="shared" si="91"/>
        <v>1.8120017075496841</v>
      </c>
      <c r="AW286" s="134">
        <f t="shared" si="91"/>
        <v>0.39900037600017874</v>
      </c>
      <c r="AX286" s="134">
        <f>AX284</f>
        <v>0.34200032228586752</v>
      </c>
      <c r="AY286" s="134">
        <f t="shared" si="91"/>
        <v>0.52700049662179005</v>
      </c>
    </row>
    <row r="287" spans="1:51" s="66" customFormat="1" ht="16.899999999999999" customHeight="1" x14ac:dyDescent="0.2">
      <c r="A287" s="50" t="s">
        <v>56</v>
      </c>
      <c r="B287" s="145">
        <f>B286+B251</f>
        <v>1064282</v>
      </c>
      <c r="C287" s="145">
        <f t="shared" ref="C287:AI287" si="92">C286+C251</f>
        <v>282844</v>
      </c>
      <c r="D287" s="145">
        <f t="shared" si="92"/>
        <v>23922</v>
      </c>
      <c r="E287" s="145">
        <f t="shared" si="92"/>
        <v>39277</v>
      </c>
      <c r="F287" s="145">
        <f t="shared" si="92"/>
        <v>19581</v>
      </c>
      <c r="G287" s="145">
        <f t="shared" si="92"/>
        <v>21588</v>
      </c>
      <c r="H287" s="146">
        <f t="shared" si="92"/>
        <v>216385.45947822178</v>
      </c>
      <c r="I287" s="145">
        <f t="shared" si="92"/>
        <v>19721.178959492976</v>
      </c>
      <c r="J287" s="145">
        <f t="shared" si="92"/>
        <v>48334.852031996015</v>
      </c>
      <c r="K287" s="145">
        <f t="shared" si="92"/>
        <v>275756.0300807801</v>
      </c>
      <c r="L287" s="145">
        <f t="shared" si="92"/>
        <v>87290.440977447652</v>
      </c>
      <c r="M287" s="145">
        <f t="shared" si="92"/>
        <v>206548.84670184698</v>
      </c>
      <c r="N287" s="145">
        <f t="shared" si="92"/>
        <v>8711.2221867007665</v>
      </c>
      <c r="O287" s="145">
        <f t="shared" si="92"/>
        <v>211677.33333333334</v>
      </c>
      <c r="P287" s="145">
        <f t="shared" si="92"/>
        <v>9134.9333333333325</v>
      </c>
      <c r="Q287" s="145">
        <f t="shared" si="92"/>
        <v>184196.63978494625</v>
      </c>
      <c r="R287" s="145">
        <f t="shared" si="92"/>
        <v>66484.61538461539</v>
      </c>
      <c r="S287" s="145">
        <f t="shared" si="92"/>
        <v>246875.05043712174</v>
      </c>
      <c r="T287" s="145">
        <f t="shared" si="92"/>
        <v>203131.13651647614</v>
      </c>
      <c r="U287" s="145">
        <f t="shared" si="92"/>
        <v>2384.0447864077987</v>
      </c>
      <c r="V287" s="145">
        <f t="shared" si="92"/>
        <v>19139.340101522845</v>
      </c>
      <c r="W287" s="145">
        <f t="shared" si="92"/>
        <v>172194.77124183005</v>
      </c>
      <c r="X287" s="145">
        <f t="shared" si="92"/>
        <v>94740.382585751955</v>
      </c>
      <c r="Y287" s="145">
        <f t="shared" si="92"/>
        <v>0</v>
      </c>
      <c r="Z287" s="145">
        <f t="shared" si="92"/>
        <v>79975.963418298255</v>
      </c>
      <c r="AA287" s="145">
        <f t="shared" si="92"/>
        <v>0</v>
      </c>
      <c r="AB287" s="145">
        <f t="shared" si="92"/>
        <v>83921.39999999998</v>
      </c>
      <c r="AC287" s="145">
        <f t="shared" si="92"/>
        <v>0</v>
      </c>
      <c r="AD287" s="145">
        <f t="shared" si="92"/>
        <v>93714.85200845667</v>
      </c>
      <c r="AE287" s="145">
        <f t="shared" si="92"/>
        <v>29672.48</v>
      </c>
      <c r="AF287" s="145">
        <f t="shared" si="92"/>
        <v>178353.07179866766</v>
      </c>
      <c r="AG287" s="145">
        <f t="shared" si="92"/>
        <v>737872.78</v>
      </c>
      <c r="AH287" s="145">
        <f t="shared" si="92"/>
        <v>6111.817500000001</v>
      </c>
      <c r="AI287" s="145">
        <f t="shared" si="92"/>
        <v>162019.07225641026</v>
      </c>
      <c r="AJ287" s="136">
        <f>AJ286+AJ251</f>
        <v>61.725381999999996</v>
      </c>
      <c r="AK287" s="137">
        <f t="shared" ref="AK287:AY287" si="93">AK286+AK251</f>
        <v>174.47826000000001</v>
      </c>
      <c r="AL287" s="137">
        <f t="shared" si="93"/>
        <v>937.90887735776107</v>
      </c>
      <c r="AM287" s="137">
        <f t="shared" si="93"/>
        <v>62.238199999999999</v>
      </c>
      <c r="AN287" s="137">
        <f t="shared" si="93"/>
        <v>38.61567520299068</v>
      </c>
      <c r="AO287" s="137">
        <f t="shared" si="93"/>
        <v>28.829664684179985</v>
      </c>
      <c r="AP287" s="137">
        <f t="shared" si="93"/>
        <v>35.082590748711944</v>
      </c>
      <c r="AQ287" s="137">
        <f t="shared" si="93"/>
        <v>154.71396185514635</v>
      </c>
      <c r="AR287" s="137">
        <f t="shared" si="93"/>
        <v>39.312119520332672</v>
      </c>
      <c r="AS287" s="137">
        <f t="shared" si="93"/>
        <v>13.57206635380723</v>
      </c>
      <c r="AT287" s="137">
        <f t="shared" si="93"/>
        <v>2.0531019347517976</v>
      </c>
      <c r="AU287" s="137">
        <f t="shared" si="93"/>
        <v>798.69955360887707</v>
      </c>
      <c r="AV287" s="137">
        <f t="shared" si="93"/>
        <v>481.95949417715588</v>
      </c>
      <c r="AW287" s="137">
        <f t="shared" si="93"/>
        <v>65.272316468139877</v>
      </c>
      <c r="AX287" s="137">
        <f>AX286+AX251</f>
        <v>51.975469979367396</v>
      </c>
      <c r="AY287" s="137">
        <f t="shared" si="93"/>
        <v>75.294603054279534</v>
      </c>
    </row>
    <row r="288" spans="1:51" ht="13.5" customHeight="1" x14ac:dyDescent="0.2">
      <c r="A288" s="40">
        <v>45536</v>
      </c>
      <c r="B288" s="96">
        <v>5956</v>
      </c>
      <c r="C288" s="96">
        <v>1465</v>
      </c>
      <c r="D288" s="97">
        <v>138</v>
      </c>
      <c r="E288" s="97">
        <v>248</v>
      </c>
      <c r="F288" s="97">
        <v>127</v>
      </c>
      <c r="G288" s="97">
        <v>127</v>
      </c>
      <c r="H288" s="108">
        <v>8500.65</v>
      </c>
      <c r="I288" s="44">
        <v>1675.1189999999999</v>
      </c>
      <c r="J288" s="44">
        <v>3176.0590000000002</v>
      </c>
      <c r="K288" s="44">
        <v>11267</v>
      </c>
      <c r="L288" s="44">
        <v>4159.5359195199999</v>
      </c>
      <c r="M288" s="44">
        <v>8940</v>
      </c>
      <c r="N288" s="44">
        <v>365</v>
      </c>
      <c r="O288" s="44">
        <v>9233</v>
      </c>
      <c r="P288" s="44">
        <v>259</v>
      </c>
      <c r="Q288" s="44">
        <v>6709</v>
      </c>
      <c r="R288" s="44">
        <v>3226</v>
      </c>
      <c r="S288" s="44">
        <v>9704</v>
      </c>
      <c r="T288" s="44">
        <v>7841</v>
      </c>
      <c r="U288" s="138">
        <v>37.738799999999998</v>
      </c>
      <c r="V288" s="108">
        <v>620</v>
      </c>
      <c r="W288" s="44">
        <v>11702</v>
      </c>
      <c r="X288" s="44">
        <v>2954</v>
      </c>
      <c r="Y288" s="44"/>
      <c r="Z288" s="41">
        <v>3068</v>
      </c>
      <c r="AA288" s="41"/>
      <c r="AB288" s="41">
        <v>443.63636363636363</v>
      </c>
      <c r="AC288" s="41"/>
      <c r="AD288" s="147">
        <v>4371</v>
      </c>
      <c r="AE288" s="41">
        <v>101.04</v>
      </c>
      <c r="AF288" s="67">
        <v>8362</v>
      </c>
      <c r="AG288" s="147">
        <v>4044.46</v>
      </c>
      <c r="AH288" s="148">
        <v>30.959999999999997</v>
      </c>
      <c r="AI288" s="67">
        <v>6128</v>
      </c>
      <c r="AJ288" s="100">
        <v>0.40300000000000002</v>
      </c>
      <c r="AK288" s="100">
        <v>0.59199999999999997</v>
      </c>
      <c r="AL288" s="100">
        <v>173.04186693290001</v>
      </c>
      <c r="AM288" s="116">
        <v>0.27900000000000003</v>
      </c>
      <c r="AN288" s="100">
        <v>5.35</v>
      </c>
      <c r="AO288" s="100">
        <v>3.5</v>
      </c>
      <c r="AP288" s="100">
        <v>3.46</v>
      </c>
      <c r="AQ288" s="100">
        <v>10</v>
      </c>
      <c r="AR288" s="100">
        <v>14.79</v>
      </c>
      <c r="AS288" s="100">
        <v>4.66</v>
      </c>
      <c r="AT288" s="100">
        <v>0.02</v>
      </c>
      <c r="AU288" s="100">
        <v>4.9560000000000004</v>
      </c>
      <c r="AV288" s="116">
        <v>1.732</v>
      </c>
      <c r="AW288" s="100">
        <v>12.360145000000001</v>
      </c>
      <c r="AX288" s="100">
        <v>0</v>
      </c>
      <c r="AY288" s="116">
        <v>0.36099999999999999</v>
      </c>
    </row>
    <row r="289" spans="1:52" ht="13.5" customHeight="1" x14ac:dyDescent="0.2">
      <c r="A289" s="40">
        <v>45537</v>
      </c>
      <c r="B289" s="96"/>
      <c r="C289" s="96"/>
      <c r="D289" s="97"/>
      <c r="E289" s="97"/>
      <c r="F289" s="97"/>
      <c r="G289" s="97"/>
      <c r="H289" s="108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138"/>
      <c r="V289" s="108"/>
      <c r="W289" s="44"/>
      <c r="X289" s="44"/>
      <c r="Y289" s="44"/>
      <c r="Z289" s="41"/>
      <c r="AA289" s="41"/>
      <c r="AB289" s="41"/>
      <c r="AC289" s="41"/>
      <c r="AD289" s="147"/>
      <c r="AE289" s="41"/>
      <c r="AF289" s="67"/>
      <c r="AG289" s="147"/>
      <c r="AH289" s="148"/>
      <c r="AI289" s="67"/>
      <c r="AJ289" s="100"/>
      <c r="AK289" s="100"/>
      <c r="AL289" s="100"/>
      <c r="AM289" s="116"/>
      <c r="AN289" s="100"/>
      <c r="AO289" s="100"/>
      <c r="AP289" s="100"/>
      <c r="AQ289" s="100"/>
      <c r="AR289" s="100"/>
      <c r="AS289" s="100"/>
      <c r="AT289" s="100"/>
      <c r="AU289" s="100"/>
      <c r="AV289" s="116"/>
      <c r="AW289" s="100"/>
      <c r="AX289" s="100"/>
      <c r="AY289" s="116"/>
    </row>
    <row r="290" spans="1:52" ht="13.5" customHeight="1" x14ac:dyDescent="0.2">
      <c r="A290" s="40">
        <v>45538</v>
      </c>
      <c r="B290" s="96"/>
      <c r="C290" s="96"/>
      <c r="D290" s="97"/>
      <c r="E290" s="97"/>
      <c r="F290" s="97"/>
      <c r="G290" s="97"/>
      <c r="H290" s="108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138"/>
      <c r="V290" s="108"/>
      <c r="W290" s="44"/>
      <c r="X290" s="44"/>
      <c r="Y290" s="44"/>
      <c r="Z290" s="41"/>
      <c r="AA290" s="41"/>
      <c r="AB290" s="41"/>
      <c r="AC290" s="41"/>
      <c r="AD290" s="147"/>
      <c r="AE290" s="41"/>
      <c r="AF290" s="67"/>
      <c r="AG290" s="147"/>
      <c r="AH290" s="148"/>
      <c r="AI290" s="67"/>
      <c r="AJ290" s="100"/>
      <c r="AK290" s="100"/>
      <c r="AL290" s="100"/>
      <c r="AM290" s="116"/>
      <c r="AN290" s="100"/>
      <c r="AO290" s="100"/>
      <c r="AP290" s="100"/>
      <c r="AQ290" s="100"/>
      <c r="AR290" s="100"/>
      <c r="AS290" s="100"/>
      <c r="AT290" s="100"/>
      <c r="AU290" s="100"/>
      <c r="AV290" s="116"/>
      <c r="AW290" s="100"/>
      <c r="AX290" s="100"/>
      <c r="AY290" s="116"/>
    </row>
    <row r="291" spans="1:52" ht="13.5" customHeight="1" x14ac:dyDescent="0.2">
      <c r="A291" s="40">
        <v>45539</v>
      </c>
      <c r="B291" s="96"/>
      <c r="C291" s="96"/>
      <c r="D291" s="97"/>
      <c r="E291" s="97"/>
      <c r="F291" s="97"/>
      <c r="G291" s="97"/>
      <c r="H291" s="108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138"/>
      <c r="V291" s="108"/>
      <c r="W291" s="44"/>
      <c r="X291" s="44"/>
      <c r="Y291" s="44"/>
      <c r="Z291" s="41"/>
      <c r="AA291" s="41"/>
      <c r="AB291" s="41"/>
      <c r="AC291" s="41"/>
      <c r="AD291" s="147"/>
      <c r="AE291" s="41"/>
      <c r="AF291" s="67"/>
      <c r="AG291" s="147"/>
      <c r="AH291" s="148"/>
      <c r="AI291" s="67"/>
      <c r="AJ291" s="100"/>
      <c r="AK291" s="100"/>
      <c r="AL291" s="100"/>
      <c r="AM291" s="116"/>
      <c r="AN291" s="100"/>
      <c r="AO291" s="100"/>
      <c r="AP291" s="100"/>
      <c r="AQ291" s="100"/>
      <c r="AR291" s="100"/>
      <c r="AS291" s="100"/>
      <c r="AT291" s="100"/>
      <c r="AU291" s="100"/>
      <c r="AV291" s="116"/>
      <c r="AW291" s="100"/>
      <c r="AX291" s="100"/>
      <c r="AY291" s="116"/>
    </row>
    <row r="292" spans="1:52" ht="13.5" customHeight="1" x14ac:dyDescent="0.2">
      <c r="A292" s="40">
        <v>45540</v>
      </c>
      <c r="B292" s="96"/>
      <c r="C292" s="96"/>
      <c r="D292" s="97"/>
      <c r="E292" s="97"/>
      <c r="F292" s="97"/>
      <c r="G292" s="97"/>
      <c r="H292" s="108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138"/>
      <c r="V292" s="108"/>
      <c r="W292" s="44"/>
      <c r="X292" s="44"/>
      <c r="Y292" s="44"/>
      <c r="Z292" s="41"/>
      <c r="AA292" s="41"/>
      <c r="AB292" s="41"/>
      <c r="AC292" s="41"/>
      <c r="AD292" s="147"/>
      <c r="AE292" s="41"/>
      <c r="AF292" s="67"/>
      <c r="AG292" s="147"/>
      <c r="AH292" s="148"/>
      <c r="AI292" s="67"/>
      <c r="AJ292" s="100"/>
      <c r="AK292" s="100"/>
      <c r="AL292" s="100"/>
      <c r="AM292" s="116"/>
      <c r="AN292" s="100"/>
      <c r="AO292" s="100"/>
      <c r="AP292" s="100"/>
      <c r="AQ292" s="100"/>
      <c r="AR292" s="100"/>
      <c r="AS292" s="100"/>
      <c r="AT292" s="100"/>
      <c r="AU292" s="100"/>
      <c r="AV292" s="116"/>
      <c r="AW292" s="100"/>
      <c r="AX292" s="100"/>
      <c r="AY292" s="116"/>
    </row>
    <row r="293" spans="1:52" ht="13.5" customHeight="1" x14ac:dyDescent="0.2">
      <c r="A293" s="40">
        <v>45541</v>
      </c>
      <c r="B293" s="96"/>
      <c r="C293" s="96"/>
      <c r="D293" s="97"/>
      <c r="E293" s="97"/>
      <c r="F293" s="97"/>
      <c r="G293" s="97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138"/>
      <c r="V293" s="108"/>
      <c r="W293" s="44"/>
      <c r="X293" s="44"/>
      <c r="Y293" s="44"/>
      <c r="Z293" s="41"/>
      <c r="AA293" s="41"/>
      <c r="AB293" s="41"/>
      <c r="AC293" s="41"/>
      <c r="AD293" s="147"/>
      <c r="AE293" s="41"/>
      <c r="AF293" s="67"/>
      <c r="AG293" s="147"/>
      <c r="AH293" s="148"/>
      <c r="AI293" s="67"/>
      <c r="AJ293" s="100"/>
      <c r="AK293" s="100"/>
      <c r="AL293" s="100"/>
      <c r="AM293" s="116"/>
      <c r="AN293" s="100"/>
      <c r="AO293" s="100"/>
      <c r="AP293" s="100"/>
      <c r="AQ293" s="100"/>
      <c r="AR293" s="100"/>
      <c r="AS293" s="100"/>
      <c r="AT293" s="100"/>
      <c r="AU293" s="100"/>
      <c r="AV293" s="116"/>
      <c r="AW293" s="100"/>
      <c r="AX293" s="100"/>
      <c r="AY293" s="116"/>
    </row>
    <row r="294" spans="1:52" ht="13.5" customHeight="1" x14ac:dyDescent="0.2">
      <c r="A294" s="40">
        <v>45542</v>
      </c>
      <c r="B294" s="96"/>
      <c r="C294" s="96"/>
      <c r="D294" s="97"/>
      <c r="E294" s="97"/>
      <c r="F294" s="97"/>
      <c r="G294" s="97"/>
      <c r="H294" s="108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138"/>
      <c r="V294" s="108"/>
      <c r="W294" s="44"/>
      <c r="X294" s="44"/>
      <c r="Y294" s="44"/>
      <c r="Z294" s="41"/>
      <c r="AA294" s="41"/>
      <c r="AB294" s="41"/>
      <c r="AC294" s="41"/>
      <c r="AD294" s="147"/>
      <c r="AE294" s="41"/>
      <c r="AF294" s="67"/>
      <c r="AG294" s="147"/>
      <c r="AH294" s="148"/>
      <c r="AI294" s="67"/>
      <c r="AJ294" s="100"/>
      <c r="AK294" s="100"/>
      <c r="AL294" s="100"/>
      <c r="AM294" s="116"/>
      <c r="AN294" s="100"/>
      <c r="AO294" s="100"/>
      <c r="AP294" s="100"/>
      <c r="AQ294" s="100"/>
      <c r="AR294" s="100"/>
      <c r="AS294" s="100"/>
      <c r="AT294" s="100"/>
      <c r="AU294" s="100"/>
      <c r="AV294" s="116"/>
      <c r="AW294" s="100"/>
      <c r="AX294" s="100"/>
      <c r="AY294" s="116"/>
    </row>
    <row r="295" spans="1:52" ht="13.5" customHeight="1" x14ac:dyDescent="0.2">
      <c r="A295" s="40">
        <v>45543</v>
      </c>
      <c r="B295" s="96"/>
      <c r="C295" s="96"/>
      <c r="D295" s="97"/>
      <c r="E295" s="97"/>
      <c r="F295" s="97"/>
      <c r="G295" s="97"/>
      <c r="H295" s="96"/>
      <c r="I295" s="96"/>
      <c r="J295" s="96"/>
      <c r="K295" s="96"/>
      <c r="L295" s="96"/>
      <c r="M295" s="44"/>
      <c r="N295" s="44"/>
      <c r="O295" s="44"/>
      <c r="P295" s="44"/>
      <c r="Q295" s="96"/>
      <c r="R295" s="96"/>
      <c r="S295" s="96"/>
      <c r="T295" s="96"/>
      <c r="U295" s="138"/>
      <c r="V295" s="108"/>
      <c r="W295" s="96"/>
      <c r="X295" s="96"/>
      <c r="Y295" s="96"/>
      <c r="Z295" s="96"/>
      <c r="AA295" s="96"/>
      <c r="AB295" s="41"/>
      <c r="AC295" s="96"/>
      <c r="AD295" s="117"/>
      <c r="AE295" s="41"/>
      <c r="AF295" s="67"/>
      <c r="AG295" s="147"/>
      <c r="AH295" s="148"/>
      <c r="AI295" s="67"/>
      <c r="AJ295" s="100"/>
      <c r="AK295" s="100"/>
      <c r="AL295" s="100"/>
      <c r="AM295" s="116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16"/>
    </row>
    <row r="296" spans="1:52" ht="13.5" customHeight="1" x14ac:dyDescent="0.2">
      <c r="A296" s="40">
        <v>45544</v>
      </c>
      <c r="B296" s="96"/>
      <c r="C296" s="96"/>
      <c r="D296" s="97"/>
      <c r="E296" s="97"/>
      <c r="F296" s="97"/>
      <c r="G296" s="97"/>
      <c r="H296" s="108"/>
      <c r="I296" s="44"/>
      <c r="J296" s="44"/>
      <c r="K296" s="44"/>
      <c r="L296" s="44"/>
      <c r="M296" s="44"/>
      <c r="N296" s="44"/>
      <c r="O296" s="44"/>
      <c r="P296" s="44"/>
      <c r="Q296" s="96"/>
      <c r="R296" s="44"/>
      <c r="S296" s="44"/>
      <c r="T296" s="44"/>
      <c r="U296" s="138"/>
      <c r="V296" s="108"/>
      <c r="W296" s="44"/>
      <c r="X296" s="44"/>
      <c r="Y296" s="44"/>
      <c r="Z296" s="41"/>
      <c r="AA296" s="41"/>
      <c r="AB296" s="41"/>
      <c r="AC296" s="41"/>
      <c r="AD296" s="147"/>
      <c r="AE296" s="41"/>
      <c r="AF296" s="67"/>
      <c r="AG296" s="147"/>
      <c r="AH296" s="148"/>
      <c r="AI296" s="67"/>
      <c r="AJ296" s="100"/>
      <c r="AK296" s="100"/>
      <c r="AL296" s="100"/>
      <c r="AM296" s="116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16"/>
    </row>
    <row r="297" spans="1:52" ht="13.5" customHeight="1" x14ac:dyDescent="0.2">
      <c r="A297" s="40">
        <v>45545</v>
      </c>
      <c r="B297" s="96"/>
      <c r="C297" s="96"/>
      <c r="D297" s="97"/>
      <c r="E297" s="97"/>
      <c r="F297" s="97"/>
      <c r="G297" s="97"/>
      <c r="H297" s="108"/>
      <c r="I297" s="44"/>
      <c r="J297" s="44"/>
      <c r="K297" s="44"/>
      <c r="L297" s="44"/>
      <c r="M297" s="44"/>
      <c r="N297" s="44"/>
      <c r="O297" s="44"/>
      <c r="P297" s="44"/>
      <c r="Q297" s="96"/>
      <c r="R297" s="44"/>
      <c r="S297" s="44"/>
      <c r="T297" s="44"/>
      <c r="U297" s="138"/>
      <c r="V297" s="108"/>
      <c r="W297" s="44"/>
      <c r="X297" s="44"/>
      <c r="Y297" s="44"/>
      <c r="Z297" s="41"/>
      <c r="AA297" s="41"/>
      <c r="AB297" s="41"/>
      <c r="AC297" s="41"/>
      <c r="AD297" s="147"/>
      <c r="AE297" s="41"/>
      <c r="AF297" s="67"/>
      <c r="AG297" s="147"/>
      <c r="AH297" s="148"/>
      <c r="AI297" s="67"/>
      <c r="AJ297" s="100"/>
      <c r="AK297" s="100"/>
      <c r="AL297" s="100"/>
      <c r="AM297" s="116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16"/>
    </row>
    <row r="298" spans="1:52" ht="13.5" customHeight="1" x14ac:dyDescent="0.2">
      <c r="A298" s="40">
        <v>45546</v>
      </c>
      <c r="B298" s="96"/>
      <c r="C298" s="96"/>
      <c r="D298" s="97"/>
      <c r="E298" s="97"/>
      <c r="F298" s="97"/>
      <c r="G298" s="97"/>
      <c r="H298" s="108"/>
      <c r="I298" s="44"/>
      <c r="J298" s="44"/>
      <c r="K298" s="44"/>
      <c r="L298" s="44"/>
      <c r="M298" s="44"/>
      <c r="N298" s="44"/>
      <c r="O298" s="44"/>
      <c r="P298" s="44"/>
      <c r="Q298" s="96"/>
      <c r="R298" s="44"/>
      <c r="S298" s="44"/>
      <c r="T298" s="44"/>
      <c r="U298" s="138"/>
      <c r="V298" s="108"/>
      <c r="W298" s="44"/>
      <c r="X298" s="44"/>
      <c r="Y298" s="44"/>
      <c r="Z298" s="41"/>
      <c r="AA298" s="41"/>
      <c r="AB298" s="41"/>
      <c r="AC298" s="41"/>
      <c r="AD298" s="147"/>
      <c r="AE298" s="41"/>
      <c r="AF298" s="67"/>
      <c r="AG298" s="147"/>
      <c r="AH298" s="148"/>
      <c r="AI298" s="67"/>
      <c r="AJ298" s="100"/>
      <c r="AK298" s="100"/>
      <c r="AL298" s="100"/>
      <c r="AM298" s="116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16"/>
    </row>
    <row r="299" spans="1:52" s="49" customFormat="1" ht="13.5" customHeight="1" x14ac:dyDescent="0.2">
      <c r="A299" s="40">
        <v>45547</v>
      </c>
      <c r="B299" s="96"/>
      <c r="C299" s="96"/>
      <c r="D299" s="97"/>
      <c r="E299" s="97"/>
      <c r="F299" s="97"/>
      <c r="G299" s="97"/>
      <c r="H299" s="108"/>
      <c r="I299" s="44"/>
      <c r="J299" s="44"/>
      <c r="K299" s="44"/>
      <c r="L299" s="44"/>
      <c r="M299" s="44"/>
      <c r="N299" s="44"/>
      <c r="O299" s="44"/>
      <c r="P299" s="44"/>
      <c r="Q299" s="96"/>
      <c r="R299" s="44"/>
      <c r="S299" s="44"/>
      <c r="T299" s="44"/>
      <c r="U299" s="138"/>
      <c r="V299" s="108"/>
      <c r="W299" s="44"/>
      <c r="X299" s="44"/>
      <c r="Y299" s="44"/>
      <c r="Z299" s="41"/>
      <c r="AA299" s="41"/>
      <c r="AB299" s="41"/>
      <c r="AC299" s="41"/>
      <c r="AD299" s="147"/>
      <c r="AE299" s="41"/>
      <c r="AF299" s="67"/>
      <c r="AG299" s="147"/>
      <c r="AH299" s="148"/>
      <c r="AI299" s="67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16"/>
      <c r="AZ299" s="6"/>
    </row>
    <row r="300" spans="1:52" ht="13.5" customHeight="1" x14ac:dyDescent="0.2">
      <c r="A300" s="40">
        <v>45548</v>
      </c>
      <c r="B300" s="96"/>
      <c r="C300" s="96"/>
      <c r="D300" s="97"/>
      <c r="E300" s="97"/>
      <c r="F300" s="97"/>
      <c r="G300" s="97"/>
      <c r="H300" s="108"/>
      <c r="I300" s="44"/>
      <c r="J300" s="44"/>
      <c r="K300" s="44"/>
      <c r="L300" s="44"/>
      <c r="M300" s="44"/>
      <c r="N300" s="44"/>
      <c r="O300" s="44"/>
      <c r="P300" s="44"/>
      <c r="Q300" s="96"/>
      <c r="R300" s="44"/>
      <c r="S300" s="44"/>
      <c r="T300" s="44"/>
      <c r="U300" s="138"/>
      <c r="V300" s="108"/>
      <c r="W300" s="44"/>
      <c r="X300" s="44"/>
      <c r="Y300" s="44"/>
      <c r="Z300" s="41"/>
      <c r="AA300" s="41"/>
      <c r="AB300" s="41"/>
      <c r="AC300" s="41"/>
      <c r="AD300" s="147"/>
      <c r="AE300" s="41"/>
      <c r="AF300" s="67"/>
      <c r="AG300" s="147"/>
      <c r="AH300" s="148"/>
      <c r="AI300" s="67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</row>
    <row r="301" spans="1:52" ht="13.5" customHeight="1" x14ac:dyDescent="0.2">
      <c r="A301" s="40">
        <v>45549</v>
      </c>
      <c r="B301" s="96"/>
      <c r="C301" s="96"/>
      <c r="D301" s="97"/>
      <c r="E301" s="97"/>
      <c r="F301" s="97"/>
      <c r="G301" s="97"/>
      <c r="H301" s="108"/>
      <c r="I301" s="44"/>
      <c r="J301" s="44"/>
      <c r="K301" s="44"/>
      <c r="L301" s="44"/>
      <c r="M301" s="44"/>
      <c r="N301" s="44"/>
      <c r="O301" s="44"/>
      <c r="P301" s="44"/>
      <c r="Q301" s="96"/>
      <c r="R301" s="44"/>
      <c r="S301" s="44"/>
      <c r="T301" s="44"/>
      <c r="U301" s="138"/>
      <c r="V301" s="108"/>
      <c r="W301" s="44"/>
      <c r="X301" s="44"/>
      <c r="Y301" s="44"/>
      <c r="Z301" s="41"/>
      <c r="AA301" s="41"/>
      <c r="AB301" s="41"/>
      <c r="AC301" s="41"/>
      <c r="AD301" s="147"/>
      <c r="AE301" s="41"/>
      <c r="AF301" s="67"/>
      <c r="AG301" s="147"/>
      <c r="AH301" s="148"/>
      <c r="AI301" s="67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</row>
    <row r="302" spans="1:52" ht="13.5" customHeight="1" x14ac:dyDescent="0.2">
      <c r="A302" s="40">
        <v>45550</v>
      </c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41"/>
      <c r="AF302" s="96"/>
      <c r="AG302" s="128"/>
      <c r="AH302" s="148"/>
      <c r="AI302" s="67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</row>
    <row r="303" spans="1:52" ht="13.5" customHeight="1" x14ac:dyDescent="0.2">
      <c r="A303" s="40">
        <v>45551</v>
      </c>
      <c r="B303" s="96"/>
      <c r="C303" s="96"/>
      <c r="D303" s="97"/>
      <c r="E303" s="97"/>
      <c r="F303" s="97"/>
      <c r="G303" s="97"/>
      <c r="H303" s="108"/>
      <c r="I303" s="44"/>
      <c r="J303" s="44"/>
      <c r="K303" s="44"/>
      <c r="L303" s="44"/>
      <c r="M303" s="44"/>
      <c r="N303" s="44"/>
      <c r="O303" s="44"/>
      <c r="P303" s="44"/>
      <c r="Q303" s="96"/>
      <c r="R303" s="44"/>
      <c r="S303" s="44"/>
      <c r="T303" s="44"/>
      <c r="U303" s="108"/>
      <c r="V303" s="108"/>
      <c r="W303" s="44"/>
      <c r="X303" s="44"/>
      <c r="Y303" s="44"/>
      <c r="Z303" s="41"/>
      <c r="AA303" s="41"/>
      <c r="AB303" s="41"/>
      <c r="AC303" s="41"/>
      <c r="AD303" s="96"/>
      <c r="AE303" s="41"/>
      <c r="AF303" s="67"/>
      <c r="AG303" s="147"/>
      <c r="AH303" s="148"/>
      <c r="AI303" s="67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</row>
    <row r="304" spans="1:52" ht="13.5" customHeight="1" x14ac:dyDescent="0.2">
      <c r="A304" s="40">
        <v>45552</v>
      </c>
      <c r="B304" s="96"/>
      <c r="C304" s="96"/>
      <c r="D304" s="97"/>
      <c r="E304" s="97"/>
      <c r="F304" s="97"/>
      <c r="G304" s="97"/>
      <c r="H304" s="108"/>
      <c r="I304" s="44"/>
      <c r="J304" s="44"/>
      <c r="K304" s="44"/>
      <c r="L304" s="44"/>
      <c r="M304" s="44"/>
      <c r="N304" s="44"/>
      <c r="O304" s="44"/>
      <c r="P304" s="44"/>
      <c r="Q304" s="96"/>
      <c r="R304" s="44"/>
      <c r="S304" s="44"/>
      <c r="T304" s="44"/>
      <c r="U304" s="108"/>
      <c r="V304" s="108"/>
      <c r="W304" s="44"/>
      <c r="X304" s="44"/>
      <c r="Y304" s="44"/>
      <c r="Z304" s="41"/>
      <c r="AA304" s="41"/>
      <c r="AB304" s="41"/>
      <c r="AC304" s="41"/>
      <c r="AD304" s="96"/>
      <c r="AE304" s="41"/>
      <c r="AF304" s="67"/>
      <c r="AG304" s="147"/>
      <c r="AH304" s="148"/>
      <c r="AI304" s="67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</row>
    <row r="305" spans="1:51" ht="13.5" customHeight="1" x14ac:dyDescent="0.2">
      <c r="A305" s="40">
        <v>45553</v>
      </c>
      <c r="B305" s="96"/>
      <c r="C305" s="96"/>
      <c r="D305" s="97"/>
      <c r="E305" s="97"/>
      <c r="F305" s="97"/>
      <c r="G305" s="97"/>
      <c r="H305" s="108"/>
      <c r="I305" s="44"/>
      <c r="J305" s="44"/>
      <c r="K305" s="44"/>
      <c r="L305" s="44"/>
      <c r="M305" s="44"/>
      <c r="N305" s="44"/>
      <c r="O305" s="44"/>
      <c r="P305" s="44"/>
      <c r="Q305" s="96"/>
      <c r="R305" s="44"/>
      <c r="S305" s="44"/>
      <c r="T305" s="44"/>
      <c r="U305" s="108"/>
      <c r="V305" s="108"/>
      <c r="W305" s="44"/>
      <c r="X305" s="44"/>
      <c r="Y305" s="44"/>
      <c r="Z305" s="41"/>
      <c r="AA305" s="41"/>
      <c r="AB305" s="41"/>
      <c r="AC305" s="41"/>
      <c r="AD305" s="96"/>
      <c r="AE305" s="41"/>
      <c r="AF305" s="67"/>
      <c r="AG305" s="147"/>
      <c r="AH305" s="148"/>
      <c r="AI305" s="67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</row>
    <row r="306" spans="1:51" ht="13.5" customHeight="1" x14ac:dyDescent="0.2">
      <c r="A306" s="40">
        <v>45554</v>
      </c>
      <c r="B306" s="96"/>
      <c r="C306" s="96"/>
      <c r="D306" s="97"/>
      <c r="E306" s="97"/>
      <c r="F306" s="97"/>
      <c r="G306" s="97"/>
      <c r="H306" s="108"/>
      <c r="I306" s="44"/>
      <c r="J306" s="44"/>
      <c r="K306" s="44"/>
      <c r="L306" s="44"/>
      <c r="M306" s="44"/>
      <c r="N306" s="44"/>
      <c r="O306" s="44"/>
      <c r="P306" s="44"/>
      <c r="Q306" s="96"/>
      <c r="R306" s="44"/>
      <c r="S306" s="44"/>
      <c r="T306" s="44"/>
      <c r="U306" s="108"/>
      <c r="V306" s="108"/>
      <c r="W306" s="44"/>
      <c r="X306" s="44"/>
      <c r="Y306" s="44"/>
      <c r="Z306" s="41"/>
      <c r="AA306" s="41"/>
      <c r="AB306" s="41"/>
      <c r="AC306" s="41"/>
      <c r="AD306" s="96"/>
      <c r="AE306" s="41"/>
      <c r="AF306" s="67"/>
      <c r="AG306" s="147"/>
      <c r="AH306" s="148"/>
      <c r="AI306" s="67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</row>
    <row r="307" spans="1:51" ht="13.5" customHeight="1" x14ac:dyDescent="0.2">
      <c r="A307" s="40">
        <v>45555</v>
      </c>
      <c r="B307" s="96"/>
      <c r="C307" s="96"/>
      <c r="D307" s="97"/>
      <c r="E307" s="97"/>
      <c r="F307" s="97"/>
      <c r="G307" s="97"/>
      <c r="H307" s="108"/>
      <c r="I307" s="44"/>
      <c r="J307" s="44"/>
      <c r="K307" s="44"/>
      <c r="L307" s="44"/>
      <c r="M307" s="44"/>
      <c r="N307" s="44"/>
      <c r="O307" s="44"/>
      <c r="P307" s="44"/>
      <c r="Q307" s="96"/>
      <c r="R307" s="44"/>
      <c r="S307" s="44"/>
      <c r="T307" s="44"/>
      <c r="U307" s="108"/>
      <c r="V307" s="108"/>
      <c r="W307" s="44"/>
      <c r="X307" s="44"/>
      <c r="Y307" s="44"/>
      <c r="Z307" s="41"/>
      <c r="AA307" s="41"/>
      <c r="AB307" s="41"/>
      <c r="AC307" s="41"/>
      <c r="AD307" s="96"/>
      <c r="AE307" s="41"/>
      <c r="AF307" s="67"/>
      <c r="AG307" s="147"/>
      <c r="AH307" s="148"/>
      <c r="AI307" s="67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</row>
    <row r="308" spans="1:51" ht="13.5" customHeight="1" x14ac:dyDescent="0.2">
      <c r="A308" s="40">
        <v>45556</v>
      </c>
      <c r="B308" s="96"/>
      <c r="C308" s="96"/>
      <c r="D308" s="97"/>
      <c r="E308" s="97"/>
      <c r="F308" s="97"/>
      <c r="G308" s="97"/>
      <c r="H308" s="108"/>
      <c r="I308" s="44"/>
      <c r="J308" s="44"/>
      <c r="K308" s="44"/>
      <c r="L308" s="44"/>
      <c r="M308" s="44"/>
      <c r="N308" s="44"/>
      <c r="O308" s="44"/>
      <c r="P308" s="44"/>
      <c r="Q308" s="96"/>
      <c r="R308" s="44"/>
      <c r="S308" s="44"/>
      <c r="T308" s="44"/>
      <c r="U308" s="108"/>
      <c r="V308" s="108"/>
      <c r="W308" s="44"/>
      <c r="X308" s="44"/>
      <c r="Y308" s="44"/>
      <c r="Z308" s="41"/>
      <c r="AA308" s="41"/>
      <c r="AB308" s="41"/>
      <c r="AC308" s="41"/>
      <c r="AD308" s="96"/>
      <c r="AE308" s="41"/>
      <c r="AF308" s="67"/>
      <c r="AG308" s="147"/>
      <c r="AH308" s="148"/>
      <c r="AI308" s="67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</row>
    <row r="309" spans="1:51" ht="13.5" customHeight="1" x14ac:dyDescent="0.2">
      <c r="A309" s="40">
        <v>45557</v>
      </c>
      <c r="B309" s="96"/>
      <c r="C309" s="96"/>
      <c r="D309" s="97"/>
      <c r="E309" s="97"/>
      <c r="F309" s="97"/>
      <c r="G309" s="97"/>
      <c r="H309" s="108"/>
      <c r="I309" s="44"/>
      <c r="J309" s="44"/>
      <c r="K309" s="44"/>
      <c r="L309" s="44"/>
      <c r="M309" s="44"/>
      <c r="N309" s="44"/>
      <c r="O309" s="44"/>
      <c r="P309" s="44"/>
      <c r="Q309" s="96"/>
      <c r="R309" s="44"/>
      <c r="S309" s="44"/>
      <c r="T309" s="44"/>
      <c r="U309" s="108"/>
      <c r="V309" s="108"/>
      <c r="W309" s="44"/>
      <c r="X309" s="44"/>
      <c r="Y309" s="44"/>
      <c r="Z309" s="41"/>
      <c r="AA309" s="41"/>
      <c r="AB309" s="41"/>
      <c r="AC309" s="41"/>
      <c r="AD309" s="96"/>
      <c r="AE309" s="41"/>
      <c r="AF309" s="67"/>
      <c r="AG309" s="147"/>
      <c r="AH309" s="148"/>
      <c r="AI309" s="67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</row>
    <row r="310" spans="1:51" ht="13.5" customHeight="1" x14ac:dyDescent="0.2">
      <c r="A310" s="40">
        <v>45558</v>
      </c>
      <c r="B310" s="96"/>
      <c r="C310" s="96"/>
      <c r="D310" s="97"/>
      <c r="E310" s="97"/>
      <c r="F310" s="97"/>
      <c r="G310" s="97"/>
      <c r="H310" s="108"/>
      <c r="I310" s="44"/>
      <c r="J310" s="44"/>
      <c r="K310" s="44"/>
      <c r="L310" s="44"/>
      <c r="M310" s="44"/>
      <c r="N310" s="44"/>
      <c r="O310" s="44"/>
      <c r="P310" s="44"/>
      <c r="Q310" s="96"/>
      <c r="R310" s="44"/>
      <c r="S310" s="44"/>
      <c r="T310" s="44"/>
      <c r="U310" s="108"/>
      <c r="V310" s="108"/>
      <c r="W310" s="44"/>
      <c r="X310" s="44"/>
      <c r="Y310" s="44"/>
      <c r="Z310" s="41"/>
      <c r="AA310" s="41"/>
      <c r="AB310" s="41"/>
      <c r="AC310" s="41"/>
      <c r="AD310" s="96"/>
      <c r="AE310" s="41"/>
      <c r="AF310" s="67"/>
      <c r="AG310" s="147"/>
      <c r="AH310" s="148"/>
      <c r="AI310" s="67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</row>
    <row r="311" spans="1:51" ht="13.5" customHeight="1" x14ac:dyDescent="0.2">
      <c r="A311" s="40">
        <v>45559</v>
      </c>
      <c r="B311" s="96"/>
      <c r="C311" s="96"/>
      <c r="D311" s="97"/>
      <c r="E311" s="97"/>
      <c r="F311" s="97"/>
      <c r="G311" s="97"/>
      <c r="H311" s="108"/>
      <c r="I311" s="44"/>
      <c r="J311" s="44"/>
      <c r="K311" s="44"/>
      <c r="L311" s="44"/>
      <c r="M311" s="44"/>
      <c r="N311" s="44"/>
      <c r="O311" s="44"/>
      <c r="P311" s="44"/>
      <c r="Q311" s="96"/>
      <c r="R311" s="44"/>
      <c r="S311" s="44"/>
      <c r="T311" s="44"/>
      <c r="U311" s="108"/>
      <c r="V311" s="108"/>
      <c r="W311" s="44"/>
      <c r="X311" s="44"/>
      <c r="Y311" s="44"/>
      <c r="Z311" s="41"/>
      <c r="AA311" s="41"/>
      <c r="AB311" s="41"/>
      <c r="AC311" s="41"/>
      <c r="AD311" s="96"/>
      <c r="AE311" s="41"/>
      <c r="AF311" s="67"/>
      <c r="AG311" s="147"/>
      <c r="AH311" s="148"/>
      <c r="AI311" s="67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</row>
    <row r="312" spans="1:51" ht="13.5" customHeight="1" x14ac:dyDescent="0.2">
      <c r="A312" s="40">
        <v>45560</v>
      </c>
      <c r="B312" s="96"/>
      <c r="C312" s="96"/>
      <c r="D312" s="97"/>
      <c r="E312" s="97"/>
      <c r="F312" s="97"/>
      <c r="G312" s="97"/>
      <c r="H312" s="108"/>
      <c r="I312" s="44"/>
      <c r="J312" s="44"/>
      <c r="K312" s="44"/>
      <c r="L312" s="44"/>
      <c r="M312" s="44"/>
      <c r="N312" s="44"/>
      <c r="O312" s="44"/>
      <c r="P312" s="44"/>
      <c r="Q312" s="96"/>
      <c r="R312" s="44"/>
      <c r="S312" s="44"/>
      <c r="T312" s="44"/>
      <c r="U312" s="108"/>
      <c r="V312" s="108"/>
      <c r="W312" s="44"/>
      <c r="X312" s="44"/>
      <c r="Y312" s="44"/>
      <c r="Z312" s="41"/>
      <c r="AA312" s="41"/>
      <c r="AB312" s="41"/>
      <c r="AC312" s="41"/>
      <c r="AD312" s="96"/>
      <c r="AE312" s="41"/>
      <c r="AF312" s="67"/>
      <c r="AG312" s="147"/>
      <c r="AH312" s="148"/>
      <c r="AI312" s="67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</row>
    <row r="313" spans="1:51" ht="13.5" customHeight="1" x14ac:dyDescent="0.2">
      <c r="A313" s="40">
        <v>45561</v>
      </c>
      <c r="B313" s="96"/>
      <c r="C313" s="96"/>
      <c r="D313" s="97"/>
      <c r="E313" s="97"/>
      <c r="F313" s="97"/>
      <c r="G313" s="97"/>
      <c r="H313" s="108"/>
      <c r="I313" s="44"/>
      <c r="J313" s="44"/>
      <c r="K313" s="44"/>
      <c r="L313" s="44"/>
      <c r="M313" s="44"/>
      <c r="N313" s="44"/>
      <c r="O313" s="44"/>
      <c r="P313" s="44"/>
      <c r="Q313" s="96"/>
      <c r="R313" s="44"/>
      <c r="S313" s="44"/>
      <c r="T313" s="44"/>
      <c r="U313" s="108"/>
      <c r="V313" s="108"/>
      <c r="W313" s="44"/>
      <c r="X313" s="44"/>
      <c r="Y313" s="44"/>
      <c r="Z313" s="41"/>
      <c r="AA313" s="41"/>
      <c r="AB313" s="41"/>
      <c r="AC313" s="41"/>
      <c r="AD313" s="96"/>
      <c r="AE313" s="41"/>
      <c r="AF313" s="67"/>
      <c r="AG313" s="147"/>
      <c r="AH313" s="148"/>
      <c r="AI313" s="67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</row>
    <row r="314" spans="1:51" ht="13.5" customHeight="1" x14ac:dyDescent="0.2">
      <c r="A314" s="40">
        <v>45562</v>
      </c>
      <c r="B314" s="96"/>
      <c r="C314" s="96"/>
      <c r="D314" s="97"/>
      <c r="E314" s="97"/>
      <c r="F314" s="97"/>
      <c r="G314" s="97"/>
      <c r="H314" s="108"/>
      <c r="I314" s="44"/>
      <c r="J314" s="44"/>
      <c r="K314" s="44"/>
      <c r="L314" s="44"/>
      <c r="M314" s="44"/>
      <c r="N314" s="44"/>
      <c r="O314" s="44"/>
      <c r="P314" s="44"/>
      <c r="Q314" s="96"/>
      <c r="R314" s="44"/>
      <c r="S314" s="44"/>
      <c r="T314" s="44"/>
      <c r="U314" s="108"/>
      <c r="V314" s="108"/>
      <c r="W314" s="44"/>
      <c r="X314" s="44"/>
      <c r="Y314" s="44"/>
      <c r="Z314" s="41"/>
      <c r="AA314" s="41"/>
      <c r="AB314" s="41"/>
      <c r="AC314" s="41"/>
      <c r="AD314" s="96"/>
      <c r="AE314" s="41"/>
      <c r="AF314" s="67"/>
      <c r="AG314" s="147"/>
      <c r="AH314" s="148"/>
      <c r="AI314" s="67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</row>
    <row r="315" spans="1:51" ht="13.5" customHeight="1" x14ac:dyDescent="0.2">
      <c r="A315" s="40">
        <v>45563</v>
      </c>
      <c r="B315" s="96"/>
      <c r="C315" s="96"/>
      <c r="D315" s="97"/>
      <c r="E315" s="97"/>
      <c r="F315" s="97"/>
      <c r="G315" s="97"/>
      <c r="H315" s="108"/>
      <c r="I315" s="44"/>
      <c r="J315" s="44"/>
      <c r="K315" s="44"/>
      <c r="L315" s="44"/>
      <c r="M315" s="44"/>
      <c r="N315" s="44"/>
      <c r="O315" s="44"/>
      <c r="P315" s="44"/>
      <c r="Q315" s="96"/>
      <c r="R315" s="44"/>
      <c r="S315" s="44"/>
      <c r="T315" s="44"/>
      <c r="U315" s="108"/>
      <c r="V315" s="108"/>
      <c r="W315" s="44"/>
      <c r="X315" s="44"/>
      <c r="Y315" s="44"/>
      <c r="Z315" s="41"/>
      <c r="AA315" s="41"/>
      <c r="AB315" s="41"/>
      <c r="AC315" s="41"/>
      <c r="AD315" s="96"/>
      <c r="AE315" s="41"/>
      <c r="AF315" s="67"/>
      <c r="AG315" s="147"/>
      <c r="AH315" s="148"/>
      <c r="AI315" s="67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</row>
    <row r="316" spans="1:51" ht="13.5" customHeight="1" x14ac:dyDescent="0.2">
      <c r="A316" s="40">
        <v>45564</v>
      </c>
      <c r="B316" s="96"/>
      <c r="C316" s="96"/>
      <c r="D316" s="97"/>
      <c r="E316" s="97"/>
      <c r="F316" s="97"/>
      <c r="G316" s="97"/>
      <c r="H316" s="108"/>
      <c r="I316" s="44"/>
      <c r="J316" s="44"/>
      <c r="K316" s="44"/>
      <c r="L316" s="44"/>
      <c r="M316" s="44"/>
      <c r="N316" s="44"/>
      <c r="O316" s="44"/>
      <c r="P316" s="44"/>
      <c r="Q316" s="96"/>
      <c r="R316" s="44"/>
      <c r="S316" s="44"/>
      <c r="T316" s="44"/>
      <c r="U316" s="108"/>
      <c r="V316" s="108"/>
      <c r="W316" s="44"/>
      <c r="X316" s="44"/>
      <c r="Y316" s="44"/>
      <c r="Z316" s="41"/>
      <c r="AA316" s="41"/>
      <c r="AB316" s="41"/>
      <c r="AC316" s="41"/>
      <c r="AD316" s="96"/>
      <c r="AE316" s="41"/>
      <c r="AF316" s="67"/>
      <c r="AG316" s="147"/>
      <c r="AH316" s="148"/>
      <c r="AI316" s="67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</row>
    <row r="317" spans="1:51" ht="13.5" customHeight="1" x14ac:dyDescent="0.2">
      <c r="A317" s="40">
        <v>45565</v>
      </c>
      <c r="B317" s="96"/>
      <c r="C317" s="96"/>
      <c r="D317" s="97"/>
      <c r="E317" s="97"/>
      <c r="F317" s="97"/>
      <c r="G317" s="97"/>
      <c r="H317" s="108"/>
      <c r="I317" s="44"/>
      <c r="J317" s="44"/>
      <c r="K317" s="44"/>
      <c r="L317" s="44"/>
      <c r="M317" s="44"/>
      <c r="N317" s="44"/>
      <c r="O317" s="44"/>
      <c r="P317" s="44"/>
      <c r="Q317" s="96"/>
      <c r="R317" s="44"/>
      <c r="S317" s="44"/>
      <c r="T317" s="44"/>
      <c r="U317" s="108"/>
      <c r="V317" s="108"/>
      <c r="W317" s="44"/>
      <c r="X317" s="44"/>
      <c r="Y317" s="44"/>
      <c r="Z317" s="41"/>
      <c r="AA317" s="41"/>
      <c r="AB317" s="41"/>
      <c r="AC317" s="41"/>
      <c r="AD317" s="96"/>
      <c r="AE317" s="41"/>
      <c r="AF317" s="67"/>
      <c r="AG317" s="147"/>
      <c r="AH317" s="148"/>
      <c r="AI317" s="67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</row>
    <row r="318" spans="1:51" x14ac:dyDescent="0.2">
      <c r="A318" s="50" t="s">
        <v>52</v>
      </c>
      <c r="B318" s="118">
        <f t="shared" ref="B318:G318" si="94">SUM(B288:B317)*B$2</f>
        <v>44729.56</v>
      </c>
      <c r="C318" s="118">
        <f t="shared" si="94"/>
        <v>10665.2</v>
      </c>
      <c r="D318" s="118">
        <f t="shared" si="94"/>
        <v>1004.64</v>
      </c>
      <c r="E318" s="118">
        <f t="shared" si="94"/>
        <v>1862.48</v>
      </c>
      <c r="F318" s="118">
        <f t="shared" si="94"/>
        <v>931.67200000000003</v>
      </c>
      <c r="G318" s="118">
        <f t="shared" si="94"/>
        <v>931.67200000000003</v>
      </c>
      <c r="H318" s="119">
        <f>SUM(H288:H317)</f>
        <v>8500.65</v>
      </c>
      <c r="I318" s="118">
        <f>SUM(I288:I317)</f>
        <v>1675.1189999999999</v>
      </c>
      <c r="J318" s="118">
        <f>SUM(J288:J317)</f>
        <v>3176.0590000000002</v>
      </c>
      <c r="K318" s="118">
        <f>SUM(K288:K317)</f>
        <v>11267</v>
      </c>
      <c r="L318" s="118">
        <f>SUM(L288:L317)</f>
        <v>4159.5359195199999</v>
      </c>
      <c r="M318" s="118">
        <f t="shared" ref="M318:AA318" si="95">SUM(M288:M317)</f>
        <v>8940</v>
      </c>
      <c r="N318" s="118">
        <f t="shared" si="95"/>
        <v>365</v>
      </c>
      <c r="O318" s="118">
        <f t="shared" si="95"/>
        <v>9233</v>
      </c>
      <c r="P318" s="118">
        <f t="shared" si="95"/>
        <v>259</v>
      </c>
      <c r="Q318" s="118">
        <f t="shared" si="95"/>
        <v>6709</v>
      </c>
      <c r="R318" s="118">
        <f t="shared" si="95"/>
        <v>3226</v>
      </c>
      <c r="S318" s="118">
        <f t="shared" si="95"/>
        <v>9704</v>
      </c>
      <c r="T318" s="118">
        <f t="shared" si="95"/>
        <v>7841</v>
      </c>
      <c r="U318" s="118">
        <f t="shared" si="95"/>
        <v>37.738799999999998</v>
      </c>
      <c r="V318" s="118">
        <f t="shared" si="95"/>
        <v>620</v>
      </c>
      <c r="W318" s="118">
        <f t="shared" si="95"/>
        <v>11702</v>
      </c>
      <c r="X318" s="118">
        <f t="shared" si="95"/>
        <v>2954</v>
      </c>
      <c r="Y318" s="118">
        <f t="shared" si="95"/>
        <v>0</v>
      </c>
      <c r="Z318" s="118">
        <f t="shared" si="95"/>
        <v>3068</v>
      </c>
      <c r="AA318" s="118">
        <f t="shared" si="95"/>
        <v>0</v>
      </c>
      <c r="AB318" s="118">
        <f>SUM(AB288:AB317)*AB$2</f>
        <v>3229.6727272727271</v>
      </c>
      <c r="AC318" s="118">
        <f>SUM(AC288:AC317)</f>
        <v>0</v>
      </c>
      <c r="AD318" s="118">
        <f>SUM(AD288:AD317)</f>
        <v>4371</v>
      </c>
      <c r="AE318" s="118">
        <f>SUM(AE288:AE317)*AE$2</f>
        <v>851.7672</v>
      </c>
      <c r="AF318" s="118">
        <f>SUM(AF288:AF317)</f>
        <v>8362</v>
      </c>
      <c r="AG318" s="118">
        <f>SUM(AG288:AG317)*AG$2</f>
        <v>29201.001199999999</v>
      </c>
      <c r="AH318" s="118">
        <f>SUM(AH288:AH317)*$AH$2</f>
        <v>259.64339809031998</v>
      </c>
      <c r="AI318" s="118">
        <f>SUM(AI288:AI317)</f>
        <v>6128</v>
      </c>
      <c r="AJ318" s="133">
        <v>671.26118503276814</v>
      </c>
      <c r="AK318" s="122">
        <v>815.0625079206801</v>
      </c>
      <c r="AL318" s="122">
        <v>4314.4987773047333</v>
      </c>
      <c r="AM318" s="122">
        <v>251.36979772007805</v>
      </c>
      <c r="AN318" s="122">
        <v>82.569999999999979</v>
      </c>
      <c r="AO318" s="122">
        <v>207.91</v>
      </c>
      <c r="AP318" s="122">
        <v>99.819999999999965</v>
      </c>
      <c r="AQ318" s="122">
        <v>411.40000000000003</v>
      </c>
      <c r="AR318" s="122">
        <v>390.21775000000008</v>
      </c>
      <c r="AS318" s="122">
        <v>106.13000000000001</v>
      </c>
      <c r="AT318" s="122">
        <v>21.188820000000007</v>
      </c>
      <c r="AU318" s="122">
        <v>4009.5462827199995</v>
      </c>
      <c r="AV318" s="122">
        <v>1974.3036181999998</v>
      </c>
      <c r="AW318" s="122">
        <v>312.35852150000005</v>
      </c>
      <c r="AX318" s="122">
        <v>0</v>
      </c>
      <c r="AY318" s="122">
        <f>SUM(AY288:AY317)*$AY$2</f>
        <v>12.7486067</v>
      </c>
    </row>
    <row r="319" spans="1:51" x14ac:dyDescent="0.2">
      <c r="A319" s="50" t="s">
        <v>53</v>
      </c>
      <c r="B319" s="120">
        <f t="shared" ref="B319:L319" si="96">B318/B$2</f>
        <v>5956</v>
      </c>
      <c r="C319" s="120">
        <f t="shared" si="96"/>
        <v>1465</v>
      </c>
      <c r="D319" s="120">
        <f t="shared" si="96"/>
        <v>138</v>
      </c>
      <c r="E319" s="120">
        <f t="shared" si="96"/>
        <v>248</v>
      </c>
      <c r="F319" s="120">
        <f t="shared" si="96"/>
        <v>127</v>
      </c>
      <c r="G319" s="120">
        <f t="shared" si="96"/>
        <v>127</v>
      </c>
      <c r="H319" s="123">
        <f t="shared" si="96"/>
        <v>1149.9317488098939</v>
      </c>
      <c r="I319" s="120">
        <f t="shared" si="96"/>
        <v>224.31341277905119</v>
      </c>
      <c r="J319" s="120">
        <f t="shared" si="96"/>
        <v>427.03064592426239</v>
      </c>
      <c r="K319" s="120">
        <f t="shared" si="96"/>
        <v>1412.2038969359339</v>
      </c>
      <c r="L319" s="120">
        <f t="shared" si="96"/>
        <v>546.31242781856804</v>
      </c>
      <c r="M319" s="120">
        <f t="shared" ref="M319:AI319" si="97">M318/M$2</f>
        <v>1179.4195250659629</v>
      </c>
      <c r="N319" s="120">
        <f t="shared" si="97"/>
        <v>46.675191815856778</v>
      </c>
      <c r="O319" s="120">
        <f t="shared" si="97"/>
        <v>1231.0666666666666</v>
      </c>
      <c r="P319" s="120">
        <f t="shared" si="97"/>
        <v>34.533333333333331</v>
      </c>
      <c r="Q319" s="120">
        <f t="shared" si="97"/>
        <v>901.74731182795699</v>
      </c>
      <c r="R319" s="120">
        <f t="shared" si="97"/>
        <v>413.58974358974359</v>
      </c>
      <c r="S319" s="120">
        <f t="shared" si="97"/>
        <v>1305.1782111634163</v>
      </c>
      <c r="T319" s="120">
        <f t="shared" si="97"/>
        <v>1054.6065904505717</v>
      </c>
      <c r="U319" s="120">
        <f t="shared" si="97"/>
        <v>4.3834424939697518</v>
      </c>
      <c r="V319" s="120">
        <f t="shared" si="97"/>
        <v>78.680203045685275</v>
      </c>
      <c r="W319" s="120">
        <f t="shared" si="97"/>
        <v>1529.6732026143791</v>
      </c>
      <c r="X319" s="120">
        <f t="shared" si="97"/>
        <v>389.70976253298153</v>
      </c>
      <c r="Y319" s="120">
        <f t="shared" si="97"/>
        <v>0</v>
      </c>
      <c r="Z319" s="120">
        <f t="shared" si="97"/>
        <v>420.91456998253506</v>
      </c>
      <c r="AA319" s="120">
        <f t="shared" si="97"/>
        <v>0</v>
      </c>
      <c r="AB319" s="120">
        <f t="shared" si="97"/>
        <v>443.63636363636363</v>
      </c>
      <c r="AC319" s="120">
        <f t="shared" si="97"/>
        <v>0</v>
      </c>
      <c r="AD319" s="120">
        <f t="shared" si="97"/>
        <v>577.5634249471459</v>
      </c>
      <c r="AE319" s="120">
        <f t="shared" si="97"/>
        <v>101.04</v>
      </c>
      <c r="AF319" s="120">
        <f t="shared" si="97"/>
        <v>1031.5815445349124</v>
      </c>
      <c r="AG319" s="120">
        <f t="shared" si="97"/>
        <v>4044.46</v>
      </c>
      <c r="AH319" s="120">
        <f t="shared" si="97"/>
        <v>30.959999999999997</v>
      </c>
      <c r="AI319" s="120">
        <f t="shared" si="97"/>
        <v>785.64102564102564</v>
      </c>
      <c r="AJ319" s="56">
        <f>AJ318/$AJ$2</f>
        <v>19.008000000000003</v>
      </c>
      <c r="AK319" s="57">
        <f>AK318/$AJ$2</f>
        <v>23.080000000000002</v>
      </c>
      <c r="AL319" s="57">
        <f>AL318/$AJ$2</f>
        <v>122.173</v>
      </c>
      <c r="AM319" s="57">
        <f>AM318/$AJ$2</f>
        <v>7.1180000000000012</v>
      </c>
      <c r="AN319" s="57">
        <f>AN318/$AJ$2</f>
        <v>2.338122023133788</v>
      </c>
      <c r="AO319" s="57">
        <f>AO318/$AJ$2</f>
        <v>5.8873555750241735</v>
      </c>
      <c r="AP319" s="57">
        <f>AP318/$AJ$2</f>
        <v>2.8265876268525458</v>
      </c>
      <c r="AQ319" s="57">
        <f>AQ318/$AJ$2</f>
        <v>11.649550688109976</v>
      </c>
      <c r="AR319" s="57">
        <f>AR318/$AJ$2</f>
        <v>11.049736164378286</v>
      </c>
      <c r="AS319" s="57">
        <f>AS318/$AJ$2</f>
        <v>3.0052669288505389</v>
      </c>
      <c r="AT319" s="57">
        <f>AT318/AT2</f>
        <v>0.6000000000000002</v>
      </c>
      <c r="AU319" s="57">
        <f>AU318/AU2</f>
        <v>113.53759999999998</v>
      </c>
      <c r="AV319" s="57">
        <f>AV318/AV2</f>
        <v>55.905999999999992</v>
      </c>
      <c r="AW319" s="57">
        <f>AW318/$AJ$2</f>
        <v>8.8450083351418076</v>
      </c>
      <c r="AX319" s="57">
        <f>AX318/AX2</f>
        <v>0</v>
      </c>
      <c r="AY319" s="57">
        <f>AY318/$AJ$2</f>
        <v>0.36100034019063793</v>
      </c>
    </row>
    <row r="320" spans="1:51" x14ac:dyDescent="0.2">
      <c r="A320" s="50" t="s">
        <v>54</v>
      </c>
      <c r="B320" s="149">
        <f>B318</f>
        <v>44729.56</v>
      </c>
      <c r="C320" s="149">
        <f t="shared" ref="C320:AI321" si="98">C318</f>
        <v>10665.2</v>
      </c>
      <c r="D320" s="149">
        <f t="shared" si="98"/>
        <v>1004.64</v>
      </c>
      <c r="E320" s="149">
        <f t="shared" si="98"/>
        <v>1862.48</v>
      </c>
      <c r="F320" s="149">
        <f t="shared" si="98"/>
        <v>931.67200000000003</v>
      </c>
      <c r="G320" s="149">
        <f t="shared" si="98"/>
        <v>931.67200000000003</v>
      </c>
      <c r="H320" s="150">
        <f t="shared" si="98"/>
        <v>8500.65</v>
      </c>
      <c r="I320" s="149">
        <f t="shared" si="98"/>
        <v>1675.1189999999999</v>
      </c>
      <c r="J320" s="149">
        <f t="shared" si="98"/>
        <v>3176.0590000000002</v>
      </c>
      <c r="K320" s="149">
        <f t="shared" si="98"/>
        <v>11267</v>
      </c>
      <c r="L320" s="149">
        <f t="shared" si="98"/>
        <v>4159.5359195199999</v>
      </c>
      <c r="M320" s="149">
        <f t="shared" si="98"/>
        <v>8940</v>
      </c>
      <c r="N320" s="149">
        <f t="shared" si="98"/>
        <v>365</v>
      </c>
      <c r="O320" s="149">
        <f t="shared" si="98"/>
        <v>9233</v>
      </c>
      <c r="P320" s="149">
        <f t="shared" si="98"/>
        <v>259</v>
      </c>
      <c r="Q320" s="149">
        <f t="shared" si="98"/>
        <v>6709</v>
      </c>
      <c r="R320" s="149">
        <f t="shared" si="98"/>
        <v>3226</v>
      </c>
      <c r="S320" s="149">
        <f t="shared" si="98"/>
        <v>9704</v>
      </c>
      <c r="T320" s="149">
        <f t="shared" si="98"/>
        <v>7841</v>
      </c>
      <c r="U320" s="149">
        <f t="shared" si="98"/>
        <v>37.738799999999998</v>
      </c>
      <c r="V320" s="149">
        <f t="shared" si="98"/>
        <v>620</v>
      </c>
      <c r="W320" s="149">
        <f t="shared" si="98"/>
        <v>11702</v>
      </c>
      <c r="X320" s="149">
        <f t="shared" si="98"/>
        <v>2954</v>
      </c>
      <c r="Y320" s="149">
        <f t="shared" si="98"/>
        <v>0</v>
      </c>
      <c r="Z320" s="149">
        <f t="shared" si="98"/>
        <v>3068</v>
      </c>
      <c r="AA320" s="149">
        <f t="shared" si="98"/>
        <v>0</v>
      </c>
      <c r="AB320" s="149">
        <f t="shared" si="98"/>
        <v>3229.6727272727271</v>
      </c>
      <c r="AC320" s="149">
        <f t="shared" si="98"/>
        <v>0</v>
      </c>
      <c r="AD320" s="149">
        <f t="shared" si="98"/>
        <v>4371</v>
      </c>
      <c r="AE320" s="149">
        <f t="shared" si="98"/>
        <v>851.7672</v>
      </c>
      <c r="AF320" s="149">
        <f t="shared" si="98"/>
        <v>8362</v>
      </c>
      <c r="AG320" s="149">
        <f t="shared" si="98"/>
        <v>29201.001199999999</v>
      </c>
      <c r="AH320" s="149">
        <f t="shared" si="98"/>
        <v>259.64339809031998</v>
      </c>
      <c r="AI320" s="149">
        <f t="shared" si="98"/>
        <v>6128</v>
      </c>
      <c r="AJ320" s="134">
        <f>AJ318</f>
        <v>671.26118503276814</v>
      </c>
      <c r="AK320" s="135">
        <f t="shared" ref="AK320:AY321" si="99">AK318</f>
        <v>815.0625079206801</v>
      </c>
      <c r="AL320" s="135">
        <f t="shared" si="99"/>
        <v>4314.4987773047333</v>
      </c>
      <c r="AM320" s="135">
        <f t="shared" si="99"/>
        <v>251.36979772007805</v>
      </c>
      <c r="AN320" s="135">
        <f t="shared" si="99"/>
        <v>82.569999999999979</v>
      </c>
      <c r="AO320" s="135">
        <f t="shared" si="99"/>
        <v>207.91</v>
      </c>
      <c r="AP320" s="135">
        <f t="shared" si="99"/>
        <v>99.819999999999965</v>
      </c>
      <c r="AQ320" s="135">
        <f t="shared" si="99"/>
        <v>411.40000000000003</v>
      </c>
      <c r="AR320" s="135">
        <f t="shared" si="99"/>
        <v>390.21775000000008</v>
      </c>
      <c r="AS320" s="135">
        <f t="shared" si="99"/>
        <v>106.13000000000001</v>
      </c>
      <c r="AT320" s="135">
        <f t="shared" si="99"/>
        <v>21.188820000000007</v>
      </c>
      <c r="AU320" s="135">
        <f t="shared" si="99"/>
        <v>4009.5462827199995</v>
      </c>
      <c r="AV320" s="135">
        <f t="shared" si="99"/>
        <v>1974.3036181999998</v>
      </c>
      <c r="AW320" s="135">
        <f t="shared" si="99"/>
        <v>312.35852150000005</v>
      </c>
      <c r="AX320" s="135">
        <f t="shared" si="99"/>
        <v>0</v>
      </c>
      <c r="AY320" s="135">
        <f t="shared" si="99"/>
        <v>12.7486067</v>
      </c>
    </row>
    <row r="321" spans="1:51" x14ac:dyDescent="0.2">
      <c r="A321" s="50" t="s">
        <v>55</v>
      </c>
      <c r="B321" s="149">
        <f t="shared" ref="B321:L321" si="100">B319</f>
        <v>5956</v>
      </c>
      <c r="C321" s="149">
        <f t="shared" si="100"/>
        <v>1465</v>
      </c>
      <c r="D321" s="149">
        <f t="shared" si="100"/>
        <v>138</v>
      </c>
      <c r="E321" s="149">
        <f t="shared" si="100"/>
        <v>248</v>
      </c>
      <c r="F321" s="149">
        <f t="shared" si="100"/>
        <v>127</v>
      </c>
      <c r="G321" s="149">
        <f t="shared" si="100"/>
        <v>127</v>
      </c>
      <c r="H321" s="150">
        <f t="shared" si="100"/>
        <v>1149.9317488098939</v>
      </c>
      <c r="I321" s="149">
        <f t="shared" si="100"/>
        <v>224.31341277905119</v>
      </c>
      <c r="J321" s="149">
        <f t="shared" si="100"/>
        <v>427.03064592426239</v>
      </c>
      <c r="K321" s="149">
        <f t="shared" si="100"/>
        <v>1412.2038969359339</v>
      </c>
      <c r="L321" s="149">
        <f t="shared" si="100"/>
        <v>546.31242781856804</v>
      </c>
      <c r="M321" s="149">
        <f t="shared" si="98"/>
        <v>1179.4195250659629</v>
      </c>
      <c r="N321" s="149">
        <f t="shared" si="98"/>
        <v>46.675191815856778</v>
      </c>
      <c r="O321" s="149">
        <f t="shared" si="98"/>
        <v>1231.0666666666666</v>
      </c>
      <c r="P321" s="149">
        <f t="shared" si="98"/>
        <v>34.533333333333331</v>
      </c>
      <c r="Q321" s="149">
        <f t="shared" si="98"/>
        <v>901.74731182795699</v>
      </c>
      <c r="R321" s="149">
        <f t="shared" si="98"/>
        <v>413.58974358974359</v>
      </c>
      <c r="S321" s="149">
        <f t="shared" si="98"/>
        <v>1305.1782111634163</v>
      </c>
      <c r="T321" s="149">
        <f t="shared" si="98"/>
        <v>1054.6065904505717</v>
      </c>
      <c r="U321" s="149">
        <f t="shared" si="98"/>
        <v>4.3834424939697518</v>
      </c>
      <c r="V321" s="149">
        <f t="shared" si="98"/>
        <v>78.680203045685275</v>
      </c>
      <c r="W321" s="149">
        <f t="shared" si="98"/>
        <v>1529.6732026143791</v>
      </c>
      <c r="X321" s="149">
        <f t="shared" si="98"/>
        <v>389.70976253298153</v>
      </c>
      <c r="Y321" s="149">
        <f t="shared" si="98"/>
        <v>0</v>
      </c>
      <c r="Z321" s="149">
        <f t="shared" si="98"/>
        <v>420.91456998253506</v>
      </c>
      <c r="AA321" s="149">
        <f t="shared" si="98"/>
        <v>0</v>
      </c>
      <c r="AB321" s="149">
        <f t="shared" si="98"/>
        <v>443.63636363636363</v>
      </c>
      <c r="AC321" s="149">
        <f t="shared" si="98"/>
        <v>0</v>
      </c>
      <c r="AD321" s="149">
        <f t="shared" si="98"/>
        <v>577.5634249471459</v>
      </c>
      <c r="AE321" s="149">
        <f t="shared" si="98"/>
        <v>101.04</v>
      </c>
      <c r="AF321" s="149">
        <f>AF319</f>
        <v>1031.5815445349124</v>
      </c>
      <c r="AG321" s="149">
        <f t="shared" si="98"/>
        <v>4044.46</v>
      </c>
      <c r="AH321" s="149">
        <f t="shared" si="98"/>
        <v>30.959999999999997</v>
      </c>
      <c r="AI321" s="149">
        <f t="shared" si="98"/>
        <v>785.64102564102564</v>
      </c>
      <c r="AJ321" s="134">
        <f>AJ319</f>
        <v>19.008000000000003</v>
      </c>
      <c r="AK321" s="134">
        <f t="shared" si="99"/>
        <v>23.080000000000002</v>
      </c>
      <c r="AL321" s="134">
        <f t="shared" si="99"/>
        <v>122.173</v>
      </c>
      <c r="AM321" s="134">
        <f t="shared" si="99"/>
        <v>7.1180000000000012</v>
      </c>
      <c r="AN321" s="134">
        <f t="shared" si="99"/>
        <v>2.338122023133788</v>
      </c>
      <c r="AO321" s="134">
        <f t="shared" si="99"/>
        <v>5.8873555750241735</v>
      </c>
      <c r="AP321" s="134">
        <f t="shared" si="99"/>
        <v>2.8265876268525458</v>
      </c>
      <c r="AQ321" s="134">
        <f t="shared" si="99"/>
        <v>11.649550688109976</v>
      </c>
      <c r="AR321" s="134">
        <f t="shared" si="99"/>
        <v>11.049736164378286</v>
      </c>
      <c r="AS321" s="134">
        <f t="shared" si="99"/>
        <v>3.0052669288505389</v>
      </c>
      <c r="AT321" s="134">
        <f t="shared" si="99"/>
        <v>0.6000000000000002</v>
      </c>
      <c r="AU321" s="134">
        <f t="shared" si="99"/>
        <v>113.53759999999998</v>
      </c>
      <c r="AV321" s="134">
        <f t="shared" si="99"/>
        <v>55.905999999999992</v>
      </c>
      <c r="AW321" s="134">
        <f t="shared" si="99"/>
        <v>8.8450083351418076</v>
      </c>
      <c r="AX321" s="134">
        <f t="shared" si="99"/>
        <v>0</v>
      </c>
      <c r="AY321" s="134">
        <f t="shared" si="99"/>
        <v>0.36100034019063793</v>
      </c>
    </row>
    <row r="322" spans="1:51" s="66" customFormat="1" x14ac:dyDescent="0.2">
      <c r="A322" s="50" t="s">
        <v>56</v>
      </c>
      <c r="B322" s="151">
        <f>B321+B287</f>
        <v>1070238</v>
      </c>
      <c r="C322" s="151">
        <f t="shared" ref="C322:AI322" si="101">C321+C287</f>
        <v>284309</v>
      </c>
      <c r="D322" s="151">
        <f t="shared" si="101"/>
        <v>24060</v>
      </c>
      <c r="E322" s="151">
        <f t="shared" si="101"/>
        <v>39525</v>
      </c>
      <c r="F322" s="151">
        <f t="shared" si="101"/>
        <v>19708</v>
      </c>
      <c r="G322" s="151">
        <f t="shared" si="101"/>
        <v>21715</v>
      </c>
      <c r="H322" s="152">
        <f t="shared" si="101"/>
        <v>217535.39122703168</v>
      </c>
      <c r="I322" s="151">
        <f t="shared" si="101"/>
        <v>19945.492372272027</v>
      </c>
      <c r="J322" s="151">
        <f t="shared" si="101"/>
        <v>48761.882677920279</v>
      </c>
      <c r="K322" s="151">
        <f t="shared" si="101"/>
        <v>277168.23397771601</v>
      </c>
      <c r="L322" s="151">
        <f t="shared" si="101"/>
        <v>87836.753405266223</v>
      </c>
      <c r="M322" s="151">
        <f t="shared" si="101"/>
        <v>207728.26622691294</v>
      </c>
      <c r="N322" s="151">
        <f t="shared" si="101"/>
        <v>8757.8973785166236</v>
      </c>
      <c r="O322" s="151">
        <f t="shared" si="101"/>
        <v>212908.40000000002</v>
      </c>
      <c r="P322" s="151">
        <f t="shared" si="101"/>
        <v>9169.4666666666653</v>
      </c>
      <c r="Q322" s="151">
        <f t="shared" si="101"/>
        <v>185098.38709677421</v>
      </c>
      <c r="R322" s="151">
        <f t="shared" si="101"/>
        <v>66898.20512820514</v>
      </c>
      <c r="S322" s="151">
        <f t="shared" si="101"/>
        <v>248180.22864828515</v>
      </c>
      <c r="T322" s="151">
        <f t="shared" si="101"/>
        <v>204185.7431069267</v>
      </c>
      <c r="U322" s="151">
        <f t="shared" si="101"/>
        <v>2388.4282289017683</v>
      </c>
      <c r="V322" s="151">
        <f t="shared" si="101"/>
        <v>19218.02030456853</v>
      </c>
      <c r="W322" s="151">
        <f t="shared" si="101"/>
        <v>173724.44444444444</v>
      </c>
      <c r="X322" s="151">
        <f t="shared" si="101"/>
        <v>95130.092348284932</v>
      </c>
      <c r="Y322" s="151">
        <f t="shared" si="101"/>
        <v>0</v>
      </c>
      <c r="Z322" s="151">
        <f t="shared" si="101"/>
        <v>80396.877988280787</v>
      </c>
      <c r="AA322" s="151">
        <f t="shared" si="101"/>
        <v>0</v>
      </c>
      <c r="AB322" s="151">
        <f t="shared" si="101"/>
        <v>84365.036363636347</v>
      </c>
      <c r="AC322" s="151">
        <f t="shared" si="101"/>
        <v>0</v>
      </c>
      <c r="AD322" s="151">
        <f t="shared" si="101"/>
        <v>94292.415433403818</v>
      </c>
      <c r="AE322" s="151">
        <f t="shared" si="101"/>
        <v>29773.52</v>
      </c>
      <c r="AF322" s="151">
        <f t="shared" si="101"/>
        <v>179384.65334320258</v>
      </c>
      <c r="AG322" s="151">
        <f t="shared" si="101"/>
        <v>741917.24</v>
      </c>
      <c r="AH322" s="151">
        <f t="shared" si="101"/>
        <v>6142.7775000000011</v>
      </c>
      <c r="AI322" s="151">
        <f t="shared" si="101"/>
        <v>162804.71328205129</v>
      </c>
      <c r="AJ322" s="136">
        <f>AJ321+AJ287</f>
        <v>80.733382000000006</v>
      </c>
      <c r="AK322" s="137">
        <f t="shared" ref="AK322:AY322" si="102">AK321+AK287</f>
        <v>197.55826000000002</v>
      </c>
      <c r="AL322" s="137">
        <f t="shared" si="102"/>
        <v>1060.0818773577612</v>
      </c>
      <c r="AM322" s="137">
        <f t="shared" si="102"/>
        <v>69.356200000000001</v>
      </c>
      <c r="AN322" s="137">
        <f t="shared" si="102"/>
        <v>40.953797226124465</v>
      </c>
      <c r="AO322" s="137">
        <f t="shared" si="102"/>
        <v>34.717020259204162</v>
      </c>
      <c r="AP322" s="137">
        <f t="shared" si="102"/>
        <v>37.909178375564487</v>
      </c>
      <c r="AQ322" s="137">
        <f t="shared" si="102"/>
        <v>166.36351254325632</v>
      </c>
      <c r="AR322" s="137">
        <f t="shared" si="102"/>
        <v>50.36185568471096</v>
      </c>
      <c r="AS322" s="137">
        <f t="shared" si="102"/>
        <v>16.577333282657769</v>
      </c>
      <c r="AT322" s="137">
        <f t="shared" si="102"/>
        <v>2.6531019347517977</v>
      </c>
      <c r="AU322" s="137">
        <f t="shared" si="102"/>
        <v>912.23715360887707</v>
      </c>
      <c r="AV322" s="137">
        <f t="shared" si="102"/>
        <v>537.86549417715582</v>
      </c>
      <c r="AW322" s="137">
        <f t="shared" si="102"/>
        <v>74.11732480328169</v>
      </c>
      <c r="AX322" s="137">
        <f t="shared" si="102"/>
        <v>51.975469979367396</v>
      </c>
      <c r="AY322" s="137">
        <f t="shared" si="102"/>
        <v>75.655603394470177</v>
      </c>
    </row>
    <row r="323" spans="1:51" ht="13.5" customHeight="1" x14ac:dyDescent="0.2">
      <c r="A323" s="40">
        <v>45566</v>
      </c>
      <c r="B323" s="117">
        <v>5886</v>
      </c>
      <c r="C323" s="117">
        <v>1405</v>
      </c>
      <c r="D323" s="117">
        <v>137</v>
      </c>
      <c r="E323" s="117">
        <v>271</v>
      </c>
      <c r="F323" s="117">
        <v>130</v>
      </c>
      <c r="G323" s="117">
        <v>130</v>
      </c>
      <c r="H323" s="108">
        <v>8755</v>
      </c>
      <c r="I323" s="108">
        <v>1736</v>
      </c>
      <c r="J323" s="108">
        <v>3042</v>
      </c>
      <c r="K323" s="108">
        <v>11637</v>
      </c>
      <c r="L323" s="108">
        <v>3875</v>
      </c>
      <c r="M323" s="108">
        <v>9568</v>
      </c>
      <c r="N323" s="108">
        <v>497</v>
      </c>
      <c r="O323" s="108">
        <v>10151</v>
      </c>
      <c r="P323" s="108">
        <v>377</v>
      </c>
      <c r="Q323" s="108">
        <v>6329</v>
      </c>
      <c r="R323" s="67">
        <v>2721</v>
      </c>
      <c r="S323" s="67">
        <v>11111</v>
      </c>
      <c r="T323" s="67">
        <v>7494</v>
      </c>
      <c r="U323" s="148">
        <v>44.028599999999997</v>
      </c>
      <c r="V323" s="67">
        <v>700</v>
      </c>
      <c r="W323" s="67">
        <v>9919</v>
      </c>
      <c r="X323" s="67">
        <v>2728</v>
      </c>
      <c r="Y323" s="67"/>
      <c r="Z323" s="67">
        <v>2912</v>
      </c>
      <c r="AA323" s="67"/>
      <c r="AB323" s="67">
        <v>456.36363636363632</v>
      </c>
      <c r="AC323" s="67"/>
      <c r="AD323" s="147">
        <v>3181</v>
      </c>
      <c r="AE323" s="67">
        <v>94.86</v>
      </c>
      <c r="AF323" s="147">
        <v>8534</v>
      </c>
      <c r="AG323" s="147">
        <v>4100</v>
      </c>
      <c r="AH323" s="148">
        <v>31.14</v>
      </c>
      <c r="AI323" s="67">
        <v>5614</v>
      </c>
      <c r="AJ323" s="46">
        <v>0.48</v>
      </c>
      <c r="AK323" s="46">
        <v>0.84399999999999997</v>
      </c>
      <c r="AL323" s="46">
        <v>182.32962428052301</v>
      </c>
      <c r="AM323" s="141">
        <v>7.3999999999999996E-2</v>
      </c>
      <c r="AN323" s="46">
        <v>0.2</v>
      </c>
      <c r="AO323" s="46">
        <v>4.2300000000000004</v>
      </c>
      <c r="AP323" s="46">
        <v>4.17</v>
      </c>
      <c r="AQ323" s="46">
        <v>10</v>
      </c>
      <c r="AR323" s="46">
        <v>12.31</v>
      </c>
      <c r="AS323" s="46">
        <v>2.1</v>
      </c>
      <c r="AT323" s="46">
        <v>0.02</v>
      </c>
      <c r="AU323" s="141">
        <v>4.9539999999999997</v>
      </c>
      <c r="AV323" s="141">
        <v>1.8089999999999999</v>
      </c>
      <c r="AW323" s="46">
        <v>11.5832216</v>
      </c>
      <c r="AX323" s="46">
        <v>0</v>
      </c>
      <c r="AY323" s="141">
        <v>0.307</v>
      </c>
    </row>
    <row r="324" spans="1:51" ht="13.5" customHeight="1" x14ac:dyDescent="0.2">
      <c r="A324" s="40">
        <v>45567</v>
      </c>
      <c r="B324" s="117">
        <v>5857</v>
      </c>
      <c r="C324" s="117">
        <v>1437</v>
      </c>
      <c r="D324" s="117">
        <v>134</v>
      </c>
      <c r="E324" s="117">
        <v>239</v>
      </c>
      <c r="F324" s="117">
        <v>130</v>
      </c>
      <c r="G324" s="117">
        <v>130</v>
      </c>
      <c r="H324" s="108">
        <v>8621.027</v>
      </c>
      <c r="I324" s="108">
        <v>1459.48</v>
      </c>
      <c r="J324" s="108">
        <v>3015.0390000000002</v>
      </c>
      <c r="K324" s="108">
        <v>11921</v>
      </c>
      <c r="L324" s="108">
        <v>3838.2307530799999</v>
      </c>
      <c r="M324" s="108">
        <v>9636</v>
      </c>
      <c r="N324" s="108">
        <v>430</v>
      </c>
      <c r="O324" s="108">
        <v>9891</v>
      </c>
      <c r="P324" s="108">
        <v>199</v>
      </c>
      <c r="Q324" s="108">
        <v>7012</v>
      </c>
      <c r="R324" s="67">
        <v>2799</v>
      </c>
      <c r="S324" s="67">
        <v>11085</v>
      </c>
      <c r="T324" s="67">
        <v>7401</v>
      </c>
      <c r="U324" s="148">
        <v>182.4042</v>
      </c>
      <c r="V324" s="67">
        <v>700</v>
      </c>
      <c r="W324" s="67">
        <v>9919</v>
      </c>
      <c r="X324" s="67">
        <v>2681</v>
      </c>
      <c r="Y324" s="67"/>
      <c r="Z324" s="67">
        <v>2908</v>
      </c>
      <c r="AA324" s="67"/>
      <c r="AB324" s="67">
        <v>450.90909090909088</v>
      </c>
      <c r="AC324" s="67"/>
      <c r="AD324" s="147">
        <v>3295</v>
      </c>
      <c r="AE324" s="67">
        <v>125.565</v>
      </c>
      <c r="AF324" s="147">
        <v>7498</v>
      </c>
      <c r="AG324" s="147">
        <v>3953.81</v>
      </c>
      <c r="AH324" s="148">
        <v>30.434999999999999</v>
      </c>
      <c r="AI324" s="67">
        <v>5614</v>
      </c>
      <c r="AJ324" s="46">
        <v>0.54200000000000004</v>
      </c>
      <c r="AK324" s="46">
        <v>0.84599999999999997</v>
      </c>
      <c r="AL324" s="46">
        <v>178.51564027465503</v>
      </c>
      <c r="AM324" s="141">
        <v>0.16500000000000001</v>
      </c>
      <c r="AN324" s="46">
        <v>0.22</v>
      </c>
      <c r="AO324" s="46">
        <v>4.25</v>
      </c>
      <c r="AP324" s="46">
        <v>3.92</v>
      </c>
      <c r="AQ324" s="46">
        <v>30</v>
      </c>
      <c r="AR324" s="46">
        <v>12.62</v>
      </c>
      <c r="AS324" s="46">
        <v>2.12</v>
      </c>
      <c r="AT324" s="46">
        <v>0.02</v>
      </c>
      <c r="AU324" s="141">
        <v>4.3680000000000003</v>
      </c>
      <c r="AV324" s="141">
        <v>2.194</v>
      </c>
      <c r="AW324" s="46">
        <v>11.5832216</v>
      </c>
      <c r="AX324" s="46">
        <v>0</v>
      </c>
      <c r="AY324" s="141">
        <v>0.30499999999999999</v>
      </c>
    </row>
    <row r="325" spans="1:51" ht="13.5" customHeight="1" x14ac:dyDescent="0.2">
      <c r="A325" s="40">
        <v>45568</v>
      </c>
      <c r="B325" s="117">
        <v>5879</v>
      </c>
      <c r="C325" s="117">
        <v>1492</v>
      </c>
      <c r="D325" s="117">
        <v>133</v>
      </c>
      <c r="E325" s="117">
        <v>263</v>
      </c>
      <c r="F325" s="117">
        <v>140</v>
      </c>
      <c r="G325" s="117">
        <v>140</v>
      </c>
      <c r="H325" s="108">
        <v>9106.8279999999995</v>
      </c>
      <c r="I325" s="108">
        <v>1565.338</v>
      </c>
      <c r="J325" s="108">
        <v>2999.8150000000001</v>
      </c>
      <c r="K325" s="108">
        <v>11718</v>
      </c>
      <c r="L325" s="108">
        <v>3839.59724848</v>
      </c>
      <c r="M325" s="108">
        <v>9635</v>
      </c>
      <c r="N325" s="108">
        <v>373</v>
      </c>
      <c r="O325" s="108">
        <v>8660</v>
      </c>
      <c r="P325" s="108">
        <v>346</v>
      </c>
      <c r="Q325" s="108">
        <v>7012</v>
      </c>
      <c r="R325" s="67">
        <v>2631</v>
      </c>
      <c r="S325" s="67">
        <v>10986</v>
      </c>
      <c r="T325" s="67">
        <v>7222</v>
      </c>
      <c r="U325" s="148">
        <v>182.4042</v>
      </c>
      <c r="V325" s="67">
        <v>700</v>
      </c>
      <c r="W325" s="67">
        <v>9779</v>
      </c>
      <c r="X325" s="67">
        <v>2601</v>
      </c>
      <c r="Y325" s="67"/>
      <c r="Z325" s="67">
        <v>489</v>
      </c>
      <c r="AA325" s="67"/>
      <c r="AB325" s="67">
        <v>427.27272727272725</v>
      </c>
      <c r="AC325" s="67"/>
      <c r="AD325" s="147">
        <v>3051</v>
      </c>
      <c r="AE325" s="67">
        <v>171.6925</v>
      </c>
      <c r="AF325" s="147">
        <v>6436</v>
      </c>
      <c r="AG325" s="147">
        <v>3965.5699999999997</v>
      </c>
      <c r="AH325" s="148">
        <v>30.307499999999997</v>
      </c>
      <c r="AI325" s="67">
        <v>5614</v>
      </c>
      <c r="AJ325" s="141">
        <v>0.53600000000000003</v>
      </c>
      <c r="AK325" s="46">
        <v>0.83299999999999996</v>
      </c>
      <c r="AL325" s="46">
        <v>177.385570939583</v>
      </c>
      <c r="AM325" s="141">
        <v>0.16400000000000001</v>
      </c>
      <c r="AN325" s="46">
        <v>0.25</v>
      </c>
      <c r="AO325" s="46">
        <v>3.56</v>
      </c>
      <c r="AP325" s="46">
        <v>3.87</v>
      </c>
      <c r="AQ325" s="46">
        <v>35</v>
      </c>
      <c r="AR325" s="46">
        <v>12.41</v>
      </c>
      <c r="AS325" s="46">
        <v>2.1</v>
      </c>
      <c r="AT325" s="46">
        <v>0.02</v>
      </c>
      <c r="AU325" s="141">
        <v>3.8530000000000002</v>
      </c>
      <c r="AV325" s="141">
        <v>1.946</v>
      </c>
      <c r="AW325" s="46">
        <v>12.2188862</v>
      </c>
      <c r="AX325" s="46">
        <v>0</v>
      </c>
      <c r="AY325" s="141">
        <v>0.30399999999999999</v>
      </c>
    </row>
    <row r="326" spans="1:51" ht="13.5" customHeight="1" x14ac:dyDescent="0.2">
      <c r="A326" s="40">
        <v>45569</v>
      </c>
      <c r="B326" s="117">
        <v>5856</v>
      </c>
      <c r="C326" s="117">
        <v>1472</v>
      </c>
      <c r="D326" s="117">
        <v>129</v>
      </c>
      <c r="E326" s="117">
        <v>259</v>
      </c>
      <c r="F326" s="117">
        <v>104</v>
      </c>
      <c r="G326" s="117">
        <v>104</v>
      </c>
      <c r="H326" s="108">
        <v>8872.8189999999995</v>
      </c>
      <c r="I326" s="108">
        <v>1492.1089999999999</v>
      </c>
      <c r="J326" s="108">
        <v>3075.0479999999998</v>
      </c>
      <c r="K326" s="108">
        <v>11626</v>
      </c>
      <c r="L326" s="108">
        <v>3851.2063742800001</v>
      </c>
      <c r="M326" s="108">
        <v>9613</v>
      </c>
      <c r="N326" s="108">
        <v>393</v>
      </c>
      <c r="O326" s="108">
        <v>9612</v>
      </c>
      <c r="P326" s="108">
        <v>359</v>
      </c>
      <c r="Q326" s="108">
        <v>7017</v>
      </c>
      <c r="R326" s="67">
        <v>2474</v>
      </c>
      <c r="S326" s="67">
        <v>10846</v>
      </c>
      <c r="T326" s="67">
        <v>7497</v>
      </c>
      <c r="U326" s="148">
        <v>182.4042</v>
      </c>
      <c r="V326" s="67">
        <v>700</v>
      </c>
      <c r="W326" s="67">
        <v>9728</v>
      </c>
      <c r="X326" s="67">
        <v>2554</v>
      </c>
      <c r="Y326" s="67"/>
      <c r="Z326" s="67">
        <v>0</v>
      </c>
      <c r="AA326" s="67"/>
      <c r="AB326" s="67">
        <v>438.18181818181813</v>
      </c>
      <c r="AC326" s="67"/>
      <c r="AD326" s="147">
        <v>3119</v>
      </c>
      <c r="AE326" s="67">
        <v>138.4075</v>
      </c>
      <c r="AF326" s="147">
        <v>6982</v>
      </c>
      <c r="AG326" s="147">
        <v>3962.14</v>
      </c>
      <c r="AH326" s="148">
        <v>30.592500000000001</v>
      </c>
      <c r="AI326" s="67">
        <v>5614</v>
      </c>
      <c r="AJ326" s="141">
        <v>0.47499999999999998</v>
      </c>
      <c r="AK326" s="46">
        <v>0.81699999999999995</v>
      </c>
      <c r="AL326" s="46">
        <v>174.030677601088</v>
      </c>
      <c r="AM326" s="141">
        <v>1.0999999999999999E-2</v>
      </c>
      <c r="AN326" s="46">
        <v>0.09</v>
      </c>
      <c r="AO326" s="46">
        <v>3.58</v>
      </c>
      <c r="AP326" s="46">
        <v>3.96</v>
      </c>
      <c r="AQ326" s="46">
        <v>35</v>
      </c>
      <c r="AR326" s="46">
        <v>12.38</v>
      </c>
      <c r="AS326" s="46">
        <v>1.38</v>
      </c>
      <c r="AT326" s="46">
        <v>0.02</v>
      </c>
      <c r="AU326" s="141">
        <v>4.101</v>
      </c>
      <c r="AV326" s="141">
        <v>1.788</v>
      </c>
      <c r="AW326" s="46">
        <v>13.3136419</v>
      </c>
      <c r="AX326" s="46">
        <v>0</v>
      </c>
      <c r="AY326" s="141">
        <v>0.30299999999999999</v>
      </c>
    </row>
    <row r="327" spans="1:51" ht="13.5" customHeight="1" x14ac:dyDescent="0.2">
      <c r="A327" s="40">
        <v>45570</v>
      </c>
      <c r="B327" s="117">
        <v>5801</v>
      </c>
      <c r="C327" s="117">
        <v>1458</v>
      </c>
      <c r="D327" s="117">
        <v>129</v>
      </c>
      <c r="E327" s="117">
        <v>259</v>
      </c>
      <c r="F327" s="117">
        <v>117</v>
      </c>
      <c r="G327" s="117">
        <v>117</v>
      </c>
      <c r="H327" s="108">
        <v>8898.5689999999995</v>
      </c>
      <c r="I327" s="108">
        <v>1585.65</v>
      </c>
      <c r="J327" s="108">
        <v>3037.902</v>
      </c>
      <c r="K327" s="108">
        <v>11025</v>
      </c>
      <c r="L327" s="108">
        <v>3872.3034987199999</v>
      </c>
      <c r="M327" s="108">
        <v>9676</v>
      </c>
      <c r="N327" s="108">
        <v>366</v>
      </c>
      <c r="O327" s="108">
        <v>9899</v>
      </c>
      <c r="P327" s="108">
        <v>329</v>
      </c>
      <c r="Q327" s="108">
        <v>7056</v>
      </c>
      <c r="R327" s="67">
        <v>4102</v>
      </c>
      <c r="S327" s="67">
        <v>10661</v>
      </c>
      <c r="T327" s="67">
        <v>7533</v>
      </c>
      <c r="U327" s="148">
        <v>138.37559999999999</v>
      </c>
      <c r="V327" s="67">
        <v>700</v>
      </c>
      <c r="W327" s="67">
        <v>9607</v>
      </c>
      <c r="X327" s="67">
        <v>2502</v>
      </c>
      <c r="Y327" s="67"/>
      <c r="Z327" s="67">
        <v>68</v>
      </c>
      <c r="AA327" s="67"/>
      <c r="AB327" s="67">
        <v>432.72727272727269</v>
      </c>
      <c r="AC327" s="67"/>
      <c r="AD327" s="147">
        <v>3348</v>
      </c>
      <c r="AE327" s="67">
        <v>88.572499999999991</v>
      </c>
      <c r="AF327" s="147">
        <v>6988</v>
      </c>
      <c r="AG327" s="147">
        <v>3958.71</v>
      </c>
      <c r="AH327" s="148">
        <v>30.427500000000002</v>
      </c>
      <c r="AI327" s="67">
        <v>5614</v>
      </c>
      <c r="AJ327" s="141">
        <v>0.42899999999999999</v>
      </c>
      <c r="AK327" s="46">
        <v>0.76600000000000001</v>
      </c>
      <c r="AL327" s="46">
        <v>175.93766960402201</v>
      </c>
      <c r="AM327" s="141">
        <v>0.16200000000000001</v>
      </c>
      <c r="AN327" s="46">
        <v>0.05</v>
      </c>
      <c r="AO327" s="46">
        <v>6.5</v>
      </c>
      <c r="AP327" s="46">
        <v>4.03</v>
      </c>
      <c r="AQ327" s="46">
        <v>15</v>
      </c>
      <c r="AR327" s="46">
        <v>12.58</v>
      </c>
      <c r="AS327" s="46">
        <v>1.81</v>
      </c>
      <c r="AT327" s="46">
        <v>0.02</v>
      </c>
      <c r="AU327" s="141">
        <v>4.13</v>
      </c>
      <c r="AV327" s="141">
        <v>1.6419999999999999</v>
      </c>
      <c r="AW327" s="46">
        <v>12.395459700000002</v>
      </c>
      <c r="AX327" s="46">
        <v>0</v>
      </c>
      <c r="AY327" s="141">
        <v>0.309</v>
      </c>
    </row>
    <row r="328" spans="1:51" ht="13.5" customHeight="1" x14ac:dyDescent="0.2">
      <c r="A328" s="40">
        <v>45571</v>
      </c>
      <c r="B328" s="117">
        <v>5831</v>
      </c>
      <c r="C328" s="117">
        <v>1522</v>
      </c>
      <c r="D328" s="117">
        <v>133</v>
      </c>
      <c r="E328" s="117">
        <v>248</v>
      </c>
      <c r="F328" s="117">
        <v>130</v>
      </c>
      <c r="G328" s="117">
        <v>130</v>
      </c>
      <c r="H328" s="117">
        <v>8906.6859999999997</v>
      </c>
      <c r="I328" s="117">
        <v>1570.9870000000001</v>
      </c>
      <c r="J328" s="117">
        <v>2937.4119999999998</v>
      </c>
      <c r="K328" s="117">
        <v>10969</v>
      </c>
      <c r="L328" s="117">
        <v>3854.7448924800001</v>
      </c>
      <c r="M328" s="108">
        <v>9726</v>
      </c>
      <c r="N328" s="108">
        <v>379</v>
      </c>
      <c r="O328" s="108">
        <v>9531</v>
      </c>
      <c r="P328" s="108">
        <v>366</v>
      </c>
      <c r="Q328" s="108">
        <v>7029</v>
      </c>
      <c r="R328" s="117">
        <v>3724</v>
      </c>
      <c r="S328" s="117">
        <v>10802</v>
      </c>
      <c r="T328" s="117">
        <v>7300</v>
      </c>
      <c r="U328" s="148">
        <v>138.37559999999999</v>
      </c>
      <c r="V328" s="67">
        <v>700</v>
      </c>
      <c r="W328" s="67">
        <v>9529</v>
      </c>
      <c r="X328" s="117">
        <v>2535</v>
      </c>
      <c r="Y328" s="117"/>
      <c r="Z328" s="117">
        <v>1470</v>
      </c>
      <c r="AA328" s="117"/>
      <c r="AB328" s="67">
        <v>427.27272727272725</v>
      </c>
      <c r="AC328" s="117"/>
      <c r="AD328" s="117">
        <v>3355</v>
      </c>
      <c r="AE328" s="67">
        <v>62.03</v>
      </c>
      <c r="AF328" s="117">
        <v>4784</v>
      </c>
      <c r="AG328" s="147">
        <v>3957.73</v>
      </c>
      <c r="AH328" s="117">
        <v>29.97</v>
      </c>
      <c r="AI328" s="67">
        <v>5614</v>
      </c>
      <c r="AJ328" s="141">
        <v>0.53900000000000003</v>
      </c>
      <c r="AK328" s="141">
        <v>0.84199999999999997</v>
      </c>
      <c r="AL328" s="46">
        <v>150.970200232275</v>
      </c>
      <c r="AM328" s="141">
        <v>0.40600000000000003</v>
      </c>
      <c r="AN328" s="46">
        <v>0.63</v>
      </c>
      <c r="AO328" s="46">
        <v>5.74</v>
      </c>
      <c r="AP328" s="46">
        <v>3.85</v>
      </c>
      <c r="AQ328" s="46">
        <v>10</v>
      </c>
      <c r="AR328" s="46">
        <v>12.44</v>
      </c>
      <c r="AS328" s="46">
        <v>1.88</v>
      </c>
      <c r="AT328" s="141">
        <v>0.02</v>
      </c>
      <c r="AU328" s="141">
        <v>2.984</v>
      </c>
      <c r="AV328" s="141">
        <v>1.85</v>
      </c>
      <c r="AW328" s="46">
        <v>12.819236099999999</v>
      </c>
      <c r="AX328" s="141">
        <v>0</v>
      </c>
      <c r="AY328" s="141">
        <v>0.307</v>
      </c>
    </row>
    <row r="329" spans="1:51" ht="13.5" customHeight="1" x14ac:dyDescent="0.2">
      <c r="A329" s="40">
        <v>45572</v>
      </c>
      <c r="B329" s="117">
        <v>5666</v>
      </c>
      <c r="C329" s="117">
        <v>1477</v>
      </c>
      <c r="D329" s="117">
        <v>132</v>
      </c>
      <c r="E329" s="117">
        <v>266</v>
      </c>
      <c r="F329" s="117">
        <v>143</v>
      </c>
      <c r="G329" s="117">
        <v>143</v>
      </c>
      <c r="H329" s="117">
        <v>8838.7849999999999</v>
      </c>
      <c r="I329" s="117">
        <v>1467.9690000000001</v>
      </c>
      <c r="J329" s="117">
        <v>2744.7919999999999</v>
      </c>
      <c r="K329" s="117">
        <v>11503</v>
      </c>
      <c r="L329" s="117">
        <v>3831.2596857200001</v>
      </c>
      <c r="M329" s="108">
        <v>9423</v>
      </c>
      <c r="N329" s="108">
        <v>398</v>
      </c>
      <c r="O329" s="108">
        <v>9869</v>
      </c>
      <c r="P329" s="108">
        <v>356</v>
      </c>
      <c r="Q329" s="108">
        <v>7029</v>
      </c>
      <c r="R329" s="67">
        <v>3520</v>
      </c>
      <c r="S329" s="67">
        <v>10802</v>
      </c>
      <c r="T329" s="117">
        <v>7404</v>
      </c>
      <c r="U329" s="148">
        <v>138.37559999999999</v>
      </c>
      <c r="V329" s="67">
        <v>700</v>
      </c>
      <c r="W329" s="67">
        <v>9512</v>
      </c>
      <c r="X329" s="117">
        <v>2620</v>
      </c>
      <c r="Y329" s="67"/>
      <c r="Z329" s="67">
        <v>3216</v>
      </c>
      <c r="AA329" s="41"/>
      <c r="AB329" s="67">
        <v>307.27272727272725</v>
      </c>
      <c r="AC329" s="41"/>
      <c r="AD329" s="147">
        <v>3439</v>
      </c>
      <c r="AE329" s="67">
        <v>109.9175</v>
      </c>
      <c r="AF329" s="147">
        <v>5950</v>
      </c>
      <c r="AG329" s="147">
        <v>3954.79</v>
      </c>
      <c r="AH329" s="148">
        <v>30.0825</v>
      </c>
      <c r="AI329" s="67">
        <v>5614</v>
      </c>
      <c r="AJ329" s="141">
        <v>0.54</v>
      </c>
      <c r="AK329" s="46">
        <v>0.872</v>
      </c>
      <c r="AL329" s="46">
        <v>174.10130693453002</v>
      </c>
      <c r="AM329" s="141">
        <v>0.34799999999999998</v>
      </c>
      <c r="AN329" s="46">
        <v>1.29</v>
      </c>
      <c r="AO329" s="46">
        <v>6.22</v>
      </c>
      <c r="AP329" s="46">
        <v>3.71</v>
      </c>
      <c r="AQ329" s="46">
        <v>29</v>
      </c>
      <c r="AR329" s="46">
        <v>12.11</v>
      </c>
      <c r="AS329" s="46">
        <v>2.1</v>
      </c>
      <c r="AT329" s="46">
        <v>0.02</v>
      </c>
      <c r="AU329" s="141">
        <v>3.4079999999999999</v>
      </c>
      <c r="AV329" s="141">
        <v>2.3250000000000002</v>
      </c>
      <c r="AW329" s="46">
        <v>10.241263</v>
      </c>
      <c r="AX329" s="46">
        <v>0</v>
      </c>
      <c r="AY329" s="141">
        <v>0.307</v>
      </c>
    </row>
    <row r="330" spans="1:51" ht="13.5" customHeight="1" x14ac:dyDescent="0.2">
      <c r="A330" s="40">
        <v>45573</v>
      </c>
      <c r="B330" s="117">
        <v>5612</v>
      </c>
      <c r="C330" s="117">
        <v>1488</v>
      </c>
      <c r="D330" s="117">
        <v>134</v>
      </c>
      <c r="E330" s="117">
        <v>255</v>
      </c>
      <c r="F330" s="117">
        <v>135</v>
      </c>
      <c r="G330" s="117">
        <v>135</v>
      </c>
      <c r="H330" s="108">
        <v>8766.3269999999993</v>
      </c>
      <c r="I330" s="108">
        <v>1330.7739999999999</v>
      </c>
      <c r="J330" s="108">
        <v>2512.393</v>
      </c>
      <c r="K330" s="108">
        <v>11666</v>
      </c>
      <c r="L330" s="108">
        <v>3831.3050900399999</v>
      </c>
      <c r="M330" s="108">
        <v>9405</v>
      </c>
      <c r="N330" s="108">
        <v>401</v>
      </c>
      <c r="O330" s="108">
        <v>9900</v>
      </c>
      <c r="P330" s="108">
        <v>335</v>
      </c>
      <c r="Q330" s="108">
        <v>7061</v>
      </c>
      <c r="R330" s="67">
        <v>3171</v>
      </c>
      <c r="S330" s="67">
        <v>10784</v>
      </c>
      <c r="T330" s="117">
        <v>7111</v>
      </c>
      <c r="U330" s="148">
        <v>182.4042</v>
      </c>
      <c r="V330" s="67">
        <v>700</v>
      </c>
      <c r="W330" s="67">
        <v>9340</v>
      </c>
      <c r="X330" s="117">
        <v>2536</v>
      </c>
      <c r="Y330" s="67"/>
      <c r="Z330" s="67">
        <v>2801</v>
      </c>
      <c r="AA330" s="41"/>
      <c r="AB330" s="67">
        <v>256.36363636363632</v>
      </c>
      <c r="AC330" s="41"/>
      <c r="AD330" s="147">
        <v>3593</v>
      </c>
      <c r="AE330" s="67">
        <v>142.94499999999999</v>
      </c>
      <c r="AF330" s="147">
        <v>8172</v>
      </c>
      <c r="AG330" s="147">
        <v>3972.43</v>
      </c>
      <c r="AH330" s="148">
        <v>29.055</v>
      </c>
      <c r="AI330" s="67">
        <v>5614</v>
      </c>
      <c r="AJ330" s="141">
        <v>0.53900000000000003</v>
      </c>
      <c r="AK330" s="46">
        <v>0.84399999999999997</v>
      </c>
      <c r="AL330" s="46">
        <v>138.89258421369303</v>
      </c>
      <c r="AM330" s="141">
        <v>0.39500000000000002</v>
      </c>
      <c r="AN330" s="46">
        <v>1.29</v>
      </c>
      <c r="AO330" s="46">
        <v>6.25</v>
      </c>
      <c r="AP330" s="46">
        <v>3.65</v>
      </c>
      <c r="AQ330" s="46">
        <v>35</v>
      </c>
      <c r="AR330" s="46">
        <v>12.06</v>
      </c>
      <c r="AS330" s="46">
        <v>2.1</v>
      </c>
      <c r="AT330" s="46">
        <v>0.02</v>
      </c>
      <c r="AU330" s="141">
        <v>4.9080000000000004</v>
      </c>
      <c r="AV330" s="141">
        <v>1.8979999999999999</v>
      </c>
      <c r="AW330" s="46">
        <v>13.8433624</v>
      </c>
      <c r="AX330" s="46">
        <v>0</v>
      </c>
      <c r="AY330" s="141">
        <v>0.29299999999999998</v>
      </c>
    </row>
    <row r="331" spans="1:51" ht="13.5" customHeight="1" x14ac:dyDescent="0.2">
      <c r="A331" s="40">
        <v>45574</v>
      </c>
      <c r="B331" s="117">
        <v>5683</v>
      </c>
      <c r="C331" s="117">
        <v>1499</v>
      </c>
      <c r="D331" s="117">
        <v>137</v>
      </c>
      <c r="E331" s="117">
        <v>270</v>
      </c>
      <c r="F331" s="117">
        <v>130</v>
      </c>
      <c r="G331" s="117">
        <v>130</v>
      </c>
      <c r="H331" s="108">
        <v>8855.07</v>
      </c>
      <c r="I331" s="108">
        <v>1237.6849999999999</v>
      </c>
      <c r="J331" s="108">
        <v>2331.4180000000001</v>
      </c>
      <c r="K331" s="108">
        <v>12295</v>
      </c>
      <c r="L331" s="108">
        <v>3804.2179582799999</v>
      </c>
      <c r="M331" s="108">
        <v>9315</v>
      </c>
      <c r="N331" s="108">
        <v>403</v>
      </c>
      <c r="O331" s="108">
        <v>9387</v>
      </c>
      <c r="P331" s="108">
        <v>361</v>
      </c>
      <c r="Q331" s="108">
        <v>7053</v>
      </c>
      <c r="R331" s="67">
        <v>2505</v>
      </c>
      <c r="S331" s="67">
        <v>10732</v>
      </c>
      <c r="T331" s="117">
        <v>7843</v>
      </c>
      <c r="U331" s="148">
        <v>138.37559999999999</v>
      </c>
      <c r="V331" s="67">
        <v>700</v>
      </c>
      <c r="W331" s="67">
        <v>9355</v>
      </c>
      <c r="X331" s="117">
        <v>2539</v>
      </c>
      <c r="Y331" s="67"/>
      <c r="Z331" s="67">
        <v>2912</v>
      </c>
      <c r="AA331" s="41"/>
      <c r="AB331" s="67">
        <v>459.99999999999994</v>
      </c>
      <c r="AC331" s="41"/>
      <c r="AD331" s="147">
        <v>3584</v>
      </c>
      <c r="AE331" s="67">
        <v>145.75</v>
      </c>
      <c r="AF331" s="147">
        <v>8580</v>
      </c>
      <c r="AG331" s="147">
        <v>3983.21</v>
      </c>
      <c r="AH331" s="148">
        <v>26.25</v>
      </c>
      <c r="AI331" s="67">
        <v>5614</v>
      </c>
      <c r="AJ331" s="141">
        <v>0.36899999999999999</v>
      </c>
      <c r="AK331" s="46">
        <v>0.81899999999999995</v>
      </c>
      <c r="AL331" s="46">
        <v>165.34326958772201</v>
      </c>
      <c r="AM331" s="141">
        <v>0.41299999999999998</v>
      </c>
      <c r="AN331" s="46">
        <v>0.38</v>
      </c>
      <c r="AO331" s="46">
        <v>4.42</v>
      </c>
      <c r="AP331" s="46">
        <v>3.84</v>
      </c>
      <c r="AQ331" s="46">
        <v>35</v>
      </c>
      <c r="AR331" s="46">
        <v>12.03</v>
      </c>
      <c r="AS331" s="46">
        <v>2.1</v>
      </c>
      <c r="AT331" s="46">
        <v>0.02</v>
      </c>
      <c r="AU331" s="141">
        <v>4.95</v>
      </c>
      <c r="AV331" s="141">
        <v>1.7549999999999999</v>
      </c>
      <c r="AW331" s="46">
        <v>14.408397600000001</v>
      </c>
      <c r="AX331" s="46">
        <v>0</v>
      </c>
      <c r="AY331" s="141">
        <v>0.25</v>
      </c>
    </row>
    <row r="332" spans="1:51" ht="13.5" customHeight="1" x14ac:dyDescent="0.2">
      <c r="A332" s="40">
        <v>45575</v>
      </c>
      <c r="B332" s="117">
        <v>5621</v>
      </c>
      <c r="C332" s="117">
        <v>1493</v>
      </c>
      <c r="D332" s="117">
        <v>133</v>
      </c>
      <c r="E332" s="117">
        <v>267</v>
      </c>
      <c r="F332" s="117">
        <v>136</v>
      </c>
      <c r="G332" s="117">
        <v>136</v>
      </c>
      <c r="H332" s="108">
        <v>8775.8119999999999</v>
      </c>
      <c r="I332" s="108">
        <v>1342.335</v>
      </c>
      <c r="J332" s="108">
        <v>2509.1509999999998</v>
      </c>
      <c r="K332" s="108">
        <v>12303</v>
      </c>
      <c r="L332" s="108">
        <v>3820.9525332799999</v>
      </c>
      <c r="M332" s="108">
        <v>9161</v>
      </c>
      <c r="N332" s="108">
        <v>391</v>
      </c>
      <c r="O332" s="108">
        <v>9397</v>
      </c>
      <c r="P332" s="108">
        <v>356</v>
      </c>
      <c r="Q332" s="108">
        <v>7069</v>
      </c>
      <c r="R332" s="67">
        <v>2469</v>
      </c>
      <c r="S332" s="67">
        <v>10713</v>
      </c>
      <c r="T332" s="67">
        <v>7843</v>
      </c>
      <c r="U332" s="148">
        <v>138.37559999999999</v>
      </c>
      <c r="V332" s="67">
        <v>700</v>
      </c>
      <c r="W332" s="67">
        <v>9383</v>
      </c>
      <c r="X332" s="117">
        <v>2535</v>
      </c>
      <c r="Y332" s="67"/>
      <c r="Z332" s="67">
        <v>2925</v>
      </c>
      <c r="AA332" s="41"/>
      <c r="AB332" s="67">
        <v>456.36363636363632</v>
      </c>
      <c r="AC332" s="41"/>
      <c r="AD332" s="147">
        <v>3440</v>
      </c>
      <c r="AE332" s="67">
        <v>145.75</v>
      </c>
      <c r="AF332" s="147">
        <v>8832</v>
      </c>
      <c r="AG332" s="147">
        <v>3980.27</v>
      </c>
      <c r="AH332" s="148">
        <v>26.25</v>
      </c>
      <c r="AI332" s="67">
        <v>5614</v>
      </c>
      <c r="AJ332" s="141">
        <v>0.51400000000000001</v>
      </c>
      <c r="AK332" s="46">
        <v>0.84</v>
      </c>
      <c r="AL332" s="46">
        <v>164.77823492018601</v>
      </c>
      <c r="AM332" s="141">
        <v>0.48</v>
      </c>
      <c r="AN332" s="46">
        <v>0.27</v>
      </c>
      <c r="AO332" s="46">
        <v>2.5299999999999998</v>
      </c>
      <c r="AP332" s="46">
        <v>3.82</v>
      </c>
      <c r="AQ332" s="46">
        <v>35</v>
      </c>
      <c r="AR332" s="46">
        <v>12.56</v>
      </c>
      <c r="AS332" s="46">
        <v>2.1</v>
      </c>
      <c r="AT332" s="46">
        <v>0.02</v>
      </c>
      <c r="AU332" s="141">
        <v>4.9530000000000003</v>
      </c>
      <c r="AV332" s="141">
        <v>1.8</v>
      </c>
      <c r="AW332" s="46">
        <v>12.430774400000001</v>
      </c>
      <c r="AX332" s="46">
        <v>0.252</v>
      </c>
      <c r="AY332" s="141">
        <v>0.219</v>
      </c>
    </row>
    <row r="333" spans="1:51" ht="13.5" customHeight="1" x14ac:dyDescent="0.2">
      <c r="A333" s="40">
        <v>45576</v>
      </c>
      <c r="B333" s="117">
        <v>5790</v>
      </c>
      <c r="C333" s="117">
        <v>1456</v>
      </c>
      <c r="D333" s="117">
        <v>135</v>
      </c>
      <c r="E333" s="117">
        <v>281</v>
      </c>
      <c r="F333" s="117">
        <v>126</v>
      </c>
      <c r="G333" s="117">
        <v>126</v>
      </c>
      <c r="H333" s="108">
        <v>6510.4449999999997</v>
      </c>
      <c r="I333" s="108">
        <v>1483.558</v>
      </c>
      <c r="J333" s="108">
        <v>2773.1320000000001</v>
      </c>
      <c r="K333" s="108">
        <v>12020</v>
      </c>
      <c r="L333" s="108">
        <v>3877.8649783599999</v>
      </c>
      <c r="M333" s="108">
        <v>9114</v>
      </c>
      <c r="N333" s="108">
        <v>389</v>
      </c>
      <c r="O333" s="108">
        <v>8889</v>
      </c>
      <c r="P333" s="108">
        <v>307</v>
      </c>
      <c r="Q333" s="108">
        <v>6938</v>
      </c>
      <c r="R333" s="67">
        <v>2372</v>
      </c>
      <c r="S333" s="67">
        <v>10636</v>
      </c>
      <c r="T333" s="67">
        <v>7398</v>
      </c>
      <c r="U333" s="148">
        <v>138.37559999999999</v>
      </c>
      <c r="V333" s="67">
        <v>700</v>
      </c>
      <c r="W333" s="67">
        <v>9234</v>
      </c>
      <c r="X333" s="117">
        <v>2550</v>
      </c>
      <c r="Y333" s="153"/>
      <c r="Z333" s="67">
        <v>2939</v>
      </c>
      <c r="AA333" s="153"/>
      <c r="AB333" s="67">
        <v>474.5454545454545</v>
      </c>
      <c r="AC333" s="41"/>
      <c r="AD333" s="147">
        <v>4000</v>
      </c>
      <c r="AE333" s="67">
        <v>113.75</v>
      </c>
      <c r="AF333" s="147">
        <v>5876</v>
      </c>
      <c r="AG333" s="147">
        <v>3988.6</v>
      </c>
      <c r="AH333" s="148">
        <v>47.25</v>
      </c>
      <c r="AI333" s="67">
        <v>5614</v>
      </c>
      <c r="AJ333" s="141">
        <v>0.54100000000000004</v>
      </c>
      <c r="AK333" s="46">
        <v>0.85899999999999999</v>
      </c>
      <c r="AL333" s="46">
        <v>169.934176261452</v>
      </c>
      <c r="AM333" s="141">
        <v>0.45100000000000001</v>
      </c>
      <c r="AN333" s="46">
        <v>8</v>
      </c>
      <c r="AO333" s="46">
        <v>2.44</v>
      </c>
      <c r="AP333" s="46">
        <v>3.8</v>
      </c>
      <c r="AQ333" s="46">
        <v>19</v>
      </c>
      <c r="AR333" s="46">
        <v>12.17</v>
      </c>
      <c r="AS333" s="46">
        <v>1.86</v>
      </c>
      <c r="AT333" s="46">
        <v>0.02</v>
      </c>
      <c r="AU333" s="141">
        <v>3.331</v>
      </c>
      <c r="AV333" s="141">
        <v>2.0840000000000001</v>
      </c>
      <c r="AW333" s="46">
        <v>12.607347900000001</v>
      </c>
      <c r="AX333" s="46">
        <v>0.309</v>
      </c>
      <c r="AY333" s="141">
        <v>0.41699999999999998</v>
      </c>
    </row>
    <row r="334" spans="1:51" ht="13.5" customHeight="1" x14ac:dyDescent="0.2">
      <c r="A334" s="40">
        <v>45577</v>
      </c>
      <c r="B334" s="117">
        <v>5886</v>
      </c>
      <c r="C334" s="117">
        <v>1542</v>
      </c>
      <c r="D334" s="117">
        <v>136</v>
      </c>
      <c r="E334" s="117">
        <v>273</v>
      </c>
      <c r="F334" s="117">
        <v>125</v>
      </c>
      <c r="G334" s="117">
        <v>125</v>
      </c>
      <c r="H334" s="108">
        <v>8755.723</v>
      </c>
      <c r="I334" s="108">
        <v>1355.7829999999999</v>
      </c>
      <c r="J334" s="108">
        <v>2505.3319999999999</v>
      </c>
      <c r="K334" s="108">
        <v>11554</v>
      </c>
      <c r="L334" s="108">
        <v>3867.7584194000001</v>
      </c>
      <c r="M334" s="108">
        <v>9019</v>
      </c>
      <c r="N334" s="108">
        <v>387</v>
      </c>
      <c r="O334" s="108">
        <v>10187</v>
      </c>
      <c r="P334" s="108">
        <v>325</v>
      </c>
      <c r="Q334" s="108">
        <v>6890</v>
      </c>
      <c r="R334" s="67">
        <v>2006</v>
      </c>
      <c r="S334" s="67">
        <v>10652</v>
      </c>
      <c r="T334" s="67">
        <v>7958</v>
      </c>
      <c r="U334" s="148">
        <v>226.43279999999999</v>
      </c>
      <c r="V334" s="67">
        <v>700</v>
      </c>
      <c r="W334" s="67">
        <v>8530</v>
      </c>
      <c r="X334" s="117">
        <v>2522</v>
      </c>
      <c r="Y334" s="153"/>
      <c r="Z334" s="67">
        <v>2879</v>
      </c>
      <c r="AA334" s="153"/>
      <c r="AB334" s="67">
        <v>438.18181818181813</v>
      </c>
      <c r="AC334" s="41"/>
      <c r="AD334" s="147">
        <v>3323</v>
      </c>
      <c r="AE334" s="67">
        <v>77</v>
      </c>
      <c r="AF334" s="147">
        <v>4988</v>
      </c>
      <c r="AG334" s="147">
        <v>3993.99</v>
      </c>
      <c r="AH334" s="148">
        <v>42</v>
      </c>
      <c r="AI334" s="67">
        <v>5614</v>
      </c>
      <c r="AJ334" s="141">
        <v>0.54</v>
      </c>
      <c r="AK334" s="46">
        <v>0.86699999999999999</v>
      </c>
      <c r="AL334" s="46">
        <v>169.43977092735801</v>
      </c>
      <c r="AM334" s="141">
        <v>0.47799999999999998</v>
      </c>
      <c r="AN334" s="46">
        <v>10.5</v>
      </c>
      <c r="AO334" s="46">
        <v>2.02</v>
      </c>
      <c r="AP334" s="46">
        <v>3.88</v>
      </c>
      <c r="AQ334" s="46">
        <v>10</v>
      </c>
      <c r="AR334" s="46">
        <v>9.16</v>
      </c>
      <c r="AS334" s="46">
        <v>1.74</v>
      </c>
      <c r="AT334" s="46">
        <v>0.02</v>
      </c>
      <c r="AU334" s="141">
        <v>2.726</v>
      </c>
      <c r="AV334" s="141">
        <v>2.306</v>
      </c>
      <c r="AW334" s="46">
        <v>13.348956600000001</v>
      </c>
      <c r="AX334" s="46">
        <v>0.35899999999999999</v>
      </c>
      <c r="AY334" s="141">
        <v>0.42399999999999999</v>
      </c>
    </row>
    <row r="335" spans="1:51" ht="13.5" customHeight="1" x14ac:dyDescent="0.2">
      <c r="A335" s="40">
        <v>45578</v>
      </c>
      <c r="B335" s="117">
        <v>5842</v>
      </c>
      <c r="C335" s="117">
        <v>1527</v>
      </c>
      <c r="D335" s="117">
        <v>136</v>
      </c>
      <c r="E335" s="117">
        <v>280</v>
      </c>
      <c r="F335" s="117">
        <v>122</v>
      </c>
      <c r="G335" s="117">
        <v>122</v>
      </c>
      <c r="H335" s="117">
        <v>9407.0059999999994</v>
      </c>
      <c r="I335" s="117">
        <v>1446.366</v>
      </c>
      <c r="J335" s="117">
        <v>2623.9760000000001</v>
      </c>
      <c r="K335" s="117">
        <v>11863</v>
      </c>
      <c r="L335" s="117">
        <v>3906.3663477999999</v>
      </c>
      <c r="M335" s="108">
        <v>9089</v>
      </c>
      <c r="N335" s="108">
        <v>363</v>
      </c>
      <c r="O335" s="108">
        <v>9655</v>
      </c>
      <c r="P335" s="108">
        <v>332</v>
      </c>
      <c r="Q335" s="108">
        <v>6920</v>
      </c>
      <c r="R335" s="117">
        <v>2090</v>
      </c>
      <c r="S335" s="67">
        <v>10642</v>
      </c>
      <c r="T335" s="67">
        <v>7869</v>
      </c>
      <c r="U335" s="148">
        <v>138.37559999999999</v>
      </c>
      <c r="V335" s="67">
        <v>700</v>
      </c>
      <c r="W335" s="67">
        <v>8339</v>
      </c>
      <c r="X335" s="117">
        <v>2510</v>
      </c>
      <c r="Y335" s="117"/>
      <c r="Z335" s="117">
        <v>3450</v>
      </c>
      <c r="AA335" s="117"/>
      <c r="AB335" s="67">
        <v>438.18181818181813</v>
      </c>
      <c r="AC335" s="117"/>
      <c r="AD335" s="117">
        <v>3494</v>
      </c>
      <c r="AE335" s="67">
        <v>80.5</v>
      </c>
      <c r="AF335" s="117">
        <v>7272</v>
      </c>
      <c r="AG335" s="147">
        <v>4005.2599999999998</v>
      </c>
      <c r="AH335" s="148">
        <v>43.5</v>
      </c>
      <c r="AI335" s="67">
        <v>5614</v>
      </c>
      <c r="AJ335" s="141">
        <v>0.26500000000000001</v>
      </c>
      <c r="AK335" s="141">
        <v>0.754</v>
      </c>
      <c r="AL335" s="46">
        <v>207.93275765324799</v>
      </c>
      <c r="AM335" s="141">
        <v>0.38800000000000001</v>
      </c>
      <c r="AN335" s="46">
        <v>10.6</v>
      </c>
      <c r="AO335" s="46">
        <v>2.08</v>
      </c>
      <c r="AP335" s="46">
        <v>3.87</v>
      </c>
      <c r="AQ335" s="46">
        <v>24</v>
      </c>
      <c r="AR335" s="46">
        <v>4.9800000000000004</v>
      </c>
      <c r="AS335" s="46">
        <v>1.75</v>
      </c>
      <c r="AT335" s="141">
        <v>0.02</v>
      </c>
      <c r="AU335" s="141">
        <v>4.0609999999999999</v>
      </c>
      <c r="AV335" s="141">
        <v>1.885</v>
      </c>
      <c r="AW335" s="46">
        <v>11.759795100000002</v>
      </c>
      <c r="AX335" s="46">
        <v>0.32600000000000001</v>
      </c>
      <c r="AY335" s="141">
        <v>0.43</v>
      </c>
    </row>
    <row r="336" spans="1:51" ht="13.5" customHeight="1" x14ac:dyDescent="0.2">
      <c r="A336" s="40">
        <v>45579</v>
      </c>
      <c r="B336" s="117">
        <v>5810</v>
      </c>
      <c r="C336" s="117">
        <v>1416</v>
      </c>
      <c r="D336" s="117">
        <v>134</v>
      </c>
      <c r="E336" s="117">
        <v>270</v>
      </c>
      <c r="F336" s="117">
        <v>111</v>
      </c>
      <c r="G336" s="117">
        <v>111</v>
      </c>
      <c r="H336" s="108">
        <v>9333.5470000000005</v>
      </c>
      <c r="I336" s="108">
        <v>1407.403</v>
      </c>
      <c r="J336" s="108">
        <v>2629.9780000000001</v>
      </c>
      <c r="K336" s="108">
        <v>12422</v>
      </c>
      <c r="L336" s="108">
        <v>3882.777235</v>
      </c>
      <c r="M336" s="108">
        <v>9145</v>
      </c>
      <c r="N336" s="108">
        <v>363</v>
      </c>
      <c r="O336" s="108">
        <v>9575</v>
      </c>
      <c r="P336" s="108">
        <v>329</v>
      </c>
      <c r="Q336" s="108">
        <v>6897</v>
      </c>
      <c r="R336" s="67">
        <v>2078</v>
      </c>
      <c r="S336" s="67">
        <v>10678</v>
      </c>
      <c r="T336" s="67">
        <v>7538</v>
      </c>
      <c r="U336" s="148">
        <v>176.11439999999999</v>
      </c>
      <c r="V336" s="67">
        <v>700</v>
      </c>
      <c r="W336" s="67">
        <v>9258</v>
      </c>
      <c r="X336" s="117">
        <v>2562</v>
      </c>
      <c r="Y336" s="41"/>
      <c r="Z336" s="67">
        <v>3601</v>
      </c>
      <c r="AA336" s="41"/>
      <c r="AB336" s="67">
        <v>449.09090909090907</v>
      </c>
      <c r="AC336" s="41"/>
      <c r="AD336" s="147">
        <v>2799</v>
      </c>
      <c r="AE336" s="67">
        <v>135.5</v>
      </c>
      <c r="AF336" s="147">
        <v>8485</v>
      </c>
      <c r="AG336" s="147">
        <v>3934.7</v>
      </c>
      <c r="AH336" s="148">
        <v>43.5</v>
      </c>
      <c r="AI336" s="67">
        <v>5614</v>
      </c>
      <c r="AJ336" s="141">
        <v>0.54</v>
      </c>
      <c r="AK336" s="46">
        <v>0.879</v>
      </c>
      <c r="AL336" s="46">
        <v>219.621912337899</v>
      </c>
      <c r="AM336" s="141">
        <v>0</v>
      </c>
      <c r="AN336" s="46">
        <v>12.2</v>
      </c>
      <c r="AO336" s="46">
        <v>1.98</v>
      </c>
      <c r="AP336" s="46">
        <v>3.79</v>
      </c>
      <c r="AQ336" s="46">
        <v>47</v>
      </c>
      <c r="AR336" s="46">
        <v>11.62</v>
      </c>
      <c r="AS336" s="46">
        <v>1.75</v>
      </c>
      <c r="AT336" s="46">
        <v>0.02</v>
      </c>
      <c r="AU336" s="141">
        <v>4.9489999999999998</v>
      </c>
      <c r="AV336" s="141">
        <v>2.19</v>
      </c>
      <c r="AW336" s="46">
        <v>11.759795100000002</v>
      </c>
      <c r="AX336" s="46">
        <v>0.33400000000000002</v>
      </c>
      <c r="AY336" s="141">
        <v>0.42</v>
      </c>
    </row>
    <row r="337" spans="1:51" ht="13.5" customHeight="1" x14ac:dyDescent="0.2">
      <c r="A337" s="40">
        <v>45580</v>
      </c>
      <c r="B337" s="117">
        <v>5818</v>
      </c>
      <c r="C337" s="117">
        <v>1381</v>
      </c>
      <c r="D337" s="117">
        <v>135</v>
      </c>
      <c r="E337" s="117">
        <v>273</v>
      </c>
      <c r="F337" s="117">
        <v>114</v>
      </c>
      <c r="G337" s="117">
        <v>114</v>
      </c>
      <c r="H337" s="108">
        <v>8745.2219999999998</v>
      </c>
      <c r="I337" s="108">
        <v>1356.4770000000001</v>
      </c>
      <c r="J337" s="108">
        <v>2583.9650000000001</v>
      </c>
      <c r="K337" s="108">
        <v>12488</v>
      </c>
      <c r="L337" s="108">
        <v>3859.9250692400001</v>
      </c>
      <c r="M337" s="108">
        <v>8952</v>
      </c>
      <c r="N337" s="108">
        <v>363</v>
      </c>
      <c r="O337" s="108">
        <v>7499</v>
      </c>
      <c r="P337" s="108">
        <v>165</v>
      </c>
      <c r="Q337" s="108">
        <v>6835</v>
      </c>
      <c r="R337" s="67">
        <v>2132</v>
      </c>
      <c r="S337" s="67">
        <v>10706</v>
      </c>
      <c r="T337" s="67">
        <v>7700</v>
      </c>
      <c r="U337" s="148">
        <v>182.4042</v>
      </c>
      <c r="V337" s="67">
        <v>700</v>
      </c>
      <c r="W337" s="67">
        <v>8959</v>
      </c>
      <c r="X337" s="117">
        <v>2509</v>
      </c>
      <c r="Y337" s="41"/>
      <c r="Z337" s="67">
        <v>3578</v>
      </c>
      <c r="AA337" s="41"/>
      <c r="AB337" s="67">
        <v>470.90909090909088</v>
      </c>
      <c r="AC337" s="41"/>
      <c r="AD337" s="147">
        <v>3201</v>
      </c>
      <c r="AE337" s="67">
        <v>145.5</v>
      </c>
      <c r="AF337" s="147">
        <v>8508</v>
      </c>
      <c r="AG337" s="147">
        <v>3928.33</v>
      </c>
      <c r="AH337" s="148">
        <v>43.5</v>
      </c>
      <c r="AI337" s="67">
        <v>5614</v>
      </c>
      <c r="AJ337" s="141">
        <v>0.54</v>
      </c>
      <c r="AK337" s="46">
        <v>0.871</v>
      </c>
      <c r="AL337" s="46">
        <v>120.387698851889</v>
      </c>
      <c r="AM337" s="141">
        <v>0</v>
      </c>
      <c r="AN337" s="46">
        <v>15.9</v>
      </c>
      <c r="AO337" s="46">
        <v>1.97</v>
      </c>
      <c r="AP337" s="46">
        <v>3.85</v>
      </c>
      <c r="AQ337" s="46">
        <v>54</v>
      </c>
      <c r="AR337" s="46">
        <v>11.51</v>
      </c>
      <c r="AS337" s="46">
        <v>1.75</v>
      </c>
      <c r="AT337" s="46">
        <v>0.02</v>
      </c>
      <c r="AU337" s="141">
        <v>4.9530000000000003</v>
      </c>
      <c r="AV337" s="141">
        <v>2.1520000000000001</v>
      </c>
      <c r="AW337" s="46">
        <v>11.759795100000002</v>
      </c>
      <c r="AX337" s="46">
        <v>0.32800000000000001</v>
      </c>
      <c r="AY337" s="141">
        <v>0.435</v>
      </c>
    </row>
    <row r="338" spans="1:51" ht="13.5" customHeight="1" x14ac:dyDescent="0.2">
      <c r="A338" s="40">
        <v>45581</v>
      </c>
      <c r="B338" s="117">
        <v>5635</v>
      </c>
      <c r="C338" s="117">
        <v>1321</v>
      </c>
      <c r="D338" s="117">
        <v>131</v>
      </c>
      <c r="E338" s="117">
        <v>263</v>
      </c>
      <c r="F338" s="117">
        <v>111</v>
      </c>
      <c r="G338" s="117">
        <v>111</v>
      </c>
      <c r="H338" s="108">
        <v>8809</v>
      </c>
      <c r="I338" s="108">
        <v>1273</v>
      </c>
      <c r="J338" s="108">
        <v>2309</v>
      </c>
      <c r="K338" s="108">
        <v>12533</v>
      </c>
      <c r="L338" s="108">
        <v>3836</v>
      </c>
      <c r="M338" s="108">
        <v>9079</v>
      </c>
      <c r="N338" s="108">
        <v>322</v>
      </c>
      <c r="O338" s="108">
        <v>9507</v>
      </c>
      <c r="P338" s="108">
        <v>334</v>
      </c>
      <c r="Q338" s="108">
        <v>6712</v>
      </c>
      <c r="R338" s="67">
        <v>2361</v>
      </c>
      <c r="S338" s="67">
        <v>10619</v>
      </c>
      <c r="T338" s="67">
        <v>7864</v>
      </c>
      <c r="U338" s="148">
        <v>182.4042</v>
      </c>
      <c r="V338" s="67">
        <v>700</v>
      </c>
      <c r="W338" s="67">
        <v>8997</v>
      </c>
      <c r="X338" s="117">
        <v>2515</v>
      </c>
      <c r="Y338" s="41"/>
      <c r="Z338" s="67">
        <v>3580</v>
      </c>
      <c r="AA338" s="41"/>
      <c r="AB338" s="67">
        <v>465.45454545454544</v>
      </c>
      <c r="AC338" s="41"/>
      <c r="AD338" s="147">
        <v>3486</v>
      </c>
      <c r="AE338" s="67">
        <v>119.5</v>
      </c>
      <c r="AF338" s="147">
        <v>8490</v>
      </c>
      <c r="AG338" s="147">
        <v>3921.47</v>
      </c>
      <c r="AH338" s="148">
        <v>43.5</v>
      </c>
      <c r="AI338" s="67">
        <v>5614</v>
      </c>
      <c r="AJ338" s="141">
        <v>0.54</v>
      </c>
      <c r="AK338" s="46">
        <v>0.85699999999999998</v>
      </c>
      <c r="AL338" s="46">
        <v>194.513184299268</v>
      </c>
      <c r="AM338" s="141">
        <v>0</v>
      </c>
      <c r="AN338" s="46">
        <v>4.83</v>
      </c>
      <c r="AO338" s="46">
        <v>2.13</v>
      </c>
      <c r="AP338" s="46">
        <v>3.89</v>
      </c>
      <c r="AQ338" s="46">
        <v>50.991</v>
      </c>
      <c r="AR338" s="46">
        <v>6.68</v>
      </c>
      <c r="AS338" s="46">
        <v>1.6</v>
      </c>
      <c r="AT338" s="46">
        <v>0.02</v>
      </c>
      <c r="AU338" s="141">
        <v>4.9530000000000003</v>
      </c>
      <c r="AV338" s="141">
        <v>2.3170000000000002</v>
      </c>
      <c r="AW338" s="46">
        <v>11.724480400000001</v>
      </c>
      <c r="AX338" s="46">
        <v>0.34399999999999997</v>
      </c>
      <c r="AY338" s="141">
        <v>0.39600000000000002</v>
      </c>
    </row>
    <row r="339" spans="1:51" ht="13.5" customHeight="1" x14ac:dyDescent="0.2">
      <c r="A339" s="40">
        <v>45582</v>
      </c>
      <c r="B339" s="117">
        <v>5629</v>
      </c>
      <c r="C339" s="117">
        <v>1301</v>
      </c>
      <c r="D339" s="117">
        <v>132</v>
      </c>
      <c r="E339" s="117">
        <v>276</v>
      </c>
      <c r="F339" s="117">
        <v>109</v>
      </c>
      <c r="G339" s="117">
        <v>109</v>
      </c>
      <c r="H339" s="108">
        <v>8346.4850000000006</v>
      </c>
      <c r="I339" s="108">
        <v>1370.077</v>
      </c>
      <c r="J339" s="108">
        <v>2484.3649999999998</v>
      </c>
      <c r="K339" s="108">
        <v>12263</v>
      </c>
      <c r="L339" s="108">
        <v>3876.7856310799998</v>
      </c>
      <c r="M339" s="108">
        <v>9283</v>
      </c>
      <c r="N339" s="108">
        <v>322</v>
      </c>
      <c r="O339" s="108">
        <v>9650</v>
      </c>
      <c r="P339" s="108">
        <v>312</v>
      </c>
      <c r="Q339" s="108">
        <v>6779</v>
      </c>
      <c r="R339" s="67">
        <v>2643</v>
      </c>
      <c r="S339" s="67">
        <v>10637</v>
      </c>
      <c r="T339" s="67">
        <v>7994</v>
      </c>
      <c r="U339" s="148">
        <v>182.4042</v>
      </c>
      <c r="V339" s="67">
        <v>700</v>
      </c>
      <c r="W339" s="67">
        <v>8959</v>
      </c>
      <c r="X339" s="117">
        <v>2489</v>
      </c>
      <c r="Y339" s="41"/>
      <c r="Z339" s="67">
        <v>3568</v>
      </c>
      <c r="AA339" s="41"/>
      <c r="AB339" s="67">
        <v>434.5454545454545</v>
      </c>
      <c r="AC339" s="41"/>
      <c r="AD339" s="147">
        <v>3219</v>
      </c>
      <c r="AE339" s="67">
        <v>122.5</v>
      </c>
      <c r="AF339" s="147">
        <v>6165</v>
      </c>
      <c r="AG339" s="147">
        <v>4009.18</v>
      </c>
      <c r="AH339" s="148">
        <v>43.5</v>
      </c>
      <c r="AI339" s="67">
        <v>5614</v>
      </c>
      <c r="AJ339" s="141">
        <v>0.54</v>
      </c>
      <c r="AK339" s="46">
        <v>0.84199999999999997</v>
      </c>
      <c r="AL339" s="46">
        <v>202.07052297756201</v>
      </c>
      <c r="AM339" s="141">
        <v>0</v>
      </c>
      <c r="AN339" s="46">
        <v>19.89</v>
      </c>
      <c r="AO339" s="46">
        <v>7.86</v>
      </c>
      <c r="AP339" s="46">
        <v>4.18</v>
      </c>
      <c r="AQ339" s="46">
        <v>35</v>
      </c>
      <c r="AR339" s="46">
        <v>12.27</v>
      </c>
      <c r="AS339" s="46">
        <v>1.6</v>
      </c>
      <c r="AT339" s="46">
        <v>0.02</v>
      </c>
      <c r="AU339" s="141">
        <v>3.72</v>
      </c>
      <c r="AV339" s="141">
        <v>2.306</v>
      </c>
      <c r="AW339" s="46">
        <v>11.901053900000001</v>
      </c>
      <c r="AX339" s="46">
        <v>0.34</v>
      </c>
      <c r="AY339" s="141">
        <v>0.44700000000000001</v>
      </c>
    </row>
    <row r="340" spans="1:51" ht="13.5" customHeight="1" x14ac:dyDescent="0.2">
      <c r="A340" s="40">
        <v>45583</v>
      </c>
      <c r="B340" s="117">
        <v>5575</v>
      </c>
      <c r="C340" s="117">
        <v>1526</v>
      </c>
      <c r="D340" s="117">
        <v>127</v>
      </c>
      <c r="E340" s="117">
        <v>263</v>
      </c>
      <c r="F340" s="117">
        <v>124</v>
      </c>
      <c r="G340" s="117">
        <v>124</v>
      </c>
      <c r="H340" s="108">
        <v>8490</v>
      </c>
      <c r="I340" s="108">
        <v>1378</v>
      </c>
      <c r="J340" s="108">
        <v>2535</v>
      </c>
      <c r="K340" s="108">
        <v>12126</v>
      </c>
      <c r="L340" s="108">
        <v>3890</v>
      </c>
      <c r="M340" s="108">
        <v>8532</v>
      </c>
      <c r="N340" s="108">
        <v>321</v>
      </c>
      <c r="O340" s="108">
        <v>9527</v>
      </c>
      <c r="P340" s="108">
        <v>312</v>
      </c>
      <c r="Q340" s="108">
        <v>6261</v>
      </c>
      <c r="R340" s="67">
        <v>2775</v>
      </c>
      <c r="S340" s="67">
        <v>10636</v>
      </c>
      <c r="T340" s="67">
        <v>7722</v>
      </c>
      <c r="U340" s="148">
        <v>138.37559999999999</v>
      </c>
      <c r="V340" s="67">
        <v>700</v>
      </c>
      <c r="W340" s="67">
        <v>8973</v>
      </c>
      <c r="X340" s="117">
        <v>2487</v>
      </c>
      <c r="Y340" s="41"/>
      <c r="Z340" s="67">
        <v>3524</v>
      </c>
      <c r="AA340" s="41"/>
      <c r="AB340" s="67">
        <v>416.36363636363632</v>
      </c>
      <c r="AC340" s="41"/>
      <c r="AD340" s="147">
        <v>2803</v>
      </c>
      <c r="AE340" s="67">
        <v>140.25</v>
      </c>
      <c r="AF340" s="147">
        <v>2426</v>
      </c>
      <c r="AG340" s="147">
        <v>4047.89</v>
      </c>
      <c r="AH340" s="148">
        <v>42.75</v>
      </c>
      <c r="AI340" s="67">
        <v>5614</v>
      </c>
      <c r="AJ340" s="141">
        <v>0.54100000000000004</v>
      </c>
      <c r="AK340" s="46">
        <v>0.875</v>
      </c>
      <c r="AL340" s="46">
        <v>201.187656309537</v>
      </c>
      <c r="AM340" s="141">
        <v>0</v>
      </c>
      <c r="AN340" s="46">
        <v>10.119999999999999</v>
      </c>
      <c r="AO340" s="46">
        <v>14.74</v>
      </c>
      <c r="AP340" s="46">
        <v>3.69</v>
      </c>
      <c r="AQ340" s="46">
        <v>36</v>
      </c>
      <c r="AR340" s="46">
        <v>12.84</v>
      </c>
      <c r="AS340" s="46">
        <v>1.6</v>
      </c>
      <c r="AT340" s="46">
        <v>0.02</v>
      </c>
      <c r="AU340" s="141">
        <v>1.4750000000000001</v>
      </c>
      <c r="AV340" s="141">
        <v>1.857</v>
      </c>
      <c r="AW340" s="46">
        <v>11.901053900000001</v>
      </c>
      <c r="AX340" s="46">
        <v>0.34399999999999997</v>
      </c>
      <c r="AY340" s="141">
        <v>0.44500000000000001</v>
      </c>
    </row>
    <row r="341" spans="1:51" ht="13.5" customHeight="1" x14ac:dyDescent="0.2">
      <c r="A341" s="40">
        <v>45584</v>
      </c>
      <c r="B341" s="117">
        <v>5716</v>
      </c>
      <c r="C341" s="117">
        <v>1512</v>
      </c>
      <c r="D341" s="117">
        <v>133</v>
      </c>
      <c r="E341" s="117">
        <v>271</v>
      </c>
      <c r="F341" s="117">
        <v>123</v>
      </c>
      <c r="G341" s="117">
        <v>123</v>
      </c>
      <c r="H341" s="108">
        <v>8078</v>
      </c>
      <c r="I341" s="108">
        <v>1473</v>
      </c>
      <c r="J341" s="108">
        <v>2771</v>
      </c>
      <c r="K341" s="108">
        <v>11359</v>
      </c>
      <c r="L341" s="108">
        <v>3920</v>
      </c>
      <c r="M341" s="108">
        <v>8379</v>
      </c>
      <c r="N341" s="108">
        <v>322</v>
      </c>
      <c r="O341" s="108">
        <v>9794</v>
      </c>
      <c r="P341" s="108">
        <v>316</v>
      </c>
      <c r="Q341" s="108">
        <v>6772</v>
      </c>
      <c r="R341" s="67">
        <v>2600</v>
      </c>
      <c r="S341" s="67">
        <v>10578</v>
      </c>
      <c r="T341" s="67">
        <v>7906</v>
      </c>
      <c r="U341" s="148">
        <v>138.37559999999999</v>
      </c>
      <c r="V341" s="67">
        <v>700</v>
      </c>
      <c r="W341" s="67">
        <v>8889</v>
      </c>
      <c r="X341" s="117">
        <v>2470</v>
      </c>
      <c r="Y341" s="41"/>
      <c r="Z341" s="67">
        <v>3506</v>
      </c>
      <c r="AA341" s="41"/>
      <c r="AB341" s="67">
        <v>461.81818181818176</v>
      </c>
      <c r="AC341" s="41"/>
      <c r="AD341" s="147">
        <v>2292</v>
      </c>
      <c r="AE341" s="67">
        <v>92.25</v>
      </c>
      <c r="AF341" s="147">
        <v>5150</v>
      </c>
      <c r="AG341" s="147">
        <v>3981.74</v>
      </c>
      <c r="AH341" s="148">
        <v>42.75</v>
      </c>
      <c r="AI341" s="67">
        <v>5614</v>
      </c>
      <c r="AJ341" s="141">
        <v>0.54100000000000004</v>
      </c>
      <c r="AK341" s="46">
        <v>0.85599999999999998</v>
      </c>
      <c r="AL341" s="46">
        <v>202.98870431230802</v>
      </c>
      <c r="AM341" s="141">
        <v>0.34300000000000003</v>
      </c>
      <c r="AN341" s="46">
        <v>10.119999999999999</v>
      </c>
      <c r="AO341" s="46">
        <v>14.54</v>
      </c>
      <c r="AP341" s="46">
        <v>3.69</v>
      </c>
      <c r="AQ341" s="46">
        <v>10</v>
      </c>
      <c r="AR341" s="46">
        <v>12.05</v>
      </c>
      <c r="AS341" s="46">
        <v>1.45</v>
      </c>
      <c r="AT341" s="46">
        <v>0.02</v>
      </c>
      <c r="AU341" s="141">
        <v>3.052</v>
      </c>
      <c r="AV341" s="141">
        <v>1.823</v>
      </c>
      <c r="AW341" s="46">
        <v>11.2300746</v>
      </c>
      <c r="AX341" s="46">
        <v>0.33300000000000002</v>
      </c>
      <c r="AY341" s="141">
        <v>0.44800000000000001</v>
      </c>
    </row>
    <row r="342" spans="1:51" ht="13.5" customHeight="1" x14ac:dyDescent="0.2">
      <c r="A342" s="40">
        <v>45585</v>
      </c>
      <c r="B342" s="117">
        <v>5847</v>
      </c>
      <c r="C342" s="117">
        <v>1501</v>
      </c>
      <c r="D342" s="117">
        <v>131</v>
      </c>
      <c r="E342" s="117">
        <v>265</v>
      </c>
      <c r="F342" s="117">
        <v>123</v>
      </c>
      <c r="G342" s="117">
        <v>123</v>
      </c>
      <c r="H342" s="108">
        <v>8155</v>
      </c>
      <c r="I342" s="108">
        <v>1495</v>
      </c>
      <c r="J342" s="108">
        <v>2811</v>
      </c>
      <c r="K342" s="108">
        <v>11148</v>
      </c>
      <c r="L342" s="108">
        <v>3910</v>
      </c>
      <c r="M342" s="108">
        <v>9040</v>
      </c>
      <c r="N342" s="108">
        <v>303</v>
      </c>
      <c r="O342" s="108">
        <v>8337</v>
      </c>
      <c r="P342" s="108">
        <v>348</v>
      </c>
      <c r="Q342" s="108">
        <v>6766</v>
      </c>
      <c r="R342" s="67">
        <v>2439</v>
      </c>
      <c r="S342" s="117">
        <v>10595</v>
      </c>
      <c r="T342" s="67">
        <v>8084</v>
      </c>
      <c r="U342" s="148">
        <v>138.37559999999999</v>
      </c>
      <c r="V342" s="67">
        <v>700</v>
      </c>
      <c r="W342" s="67">
        <v>8940</v>
      </c>
      <c r="X342" s="117">
        <v>2459</v>
      </c>
      <c r="Y342" s="41"/>
      <c r="Z342" s="67">
        <v>3509</v>
      </c>
      <c r="AA342" s="117"/>
      <c r="AB342" s="67">
        <v>434.5454545454545</v>
      </c>
      <c r="AC342" s="117"/>
      <c r="AD342" s="117">
        <v>2386</v>
      </c>
      <c r="AE342" s="67">
        <v>69.75</v>
      </c>
      <c r="AF342" s="147">
        <v>2431</v>
      </c>
      <c r="AG342" s="147">
        <v>3979.29</v>
      </c>
      <c r="AH342" s="148">
        <v>35.25</v>
      </c>
      <c r="AI342" s="67">
        <v>5614</v>
      </c>
      <c r="AJ342" s="141">
        <v>0.35899999999999999</v>
      </c>
      <c r="AK342" s="141">
        <v>0.84</v>
      </c>
      <c r="AL342" s="46">
        <v>183.81284028280501</v>
      </c>
      <c r="AM342" s="141">
        <v>0.34100000000000003</v>
      </c>
      <c r="AN342" s="46">
        <v>14.76</v>
      </c>
      <c r="AO342" s="46">
        <v>13.22</v>
      </c>
      <c r="AP342" s="46">
        <v>3.72</v>
      </c>
      <c r="AQ342" s="46">
        <v>10</v>
      </c>
      <c r="AR342" s="46">
        <v>11.93</v>
      </c>
      <c r="AS342" s="46">
        <v>1.42</v>
      </c>
      <c r="AT342" s="46">
        <v>0.02</v>
      </c>
      <c r="AU342" s="141">
        <v>1.4179999999999999</v>
      </c>
      <c r="AV342" s="141">
        <v>1.8</v>
      </c>
      <c r="AW342" s="46">
        <v>11.724480400000001</v>
      </c>
      <c r="AX342" s="46">
        <v>0.27300000000000002</v>
      </c>
      <c r="AY342" s="141">
        <v>0.36299999999999999</v>
      </c>
    </row>
    <row r="343" spans="1:51" ht="13.5" customHeight="1" x14ac:dyDescent="0.2">
      <c r="A343" s="40">
        <v>45586</v>
      </c>
      <c r="B343" s="117">
        <v>5889</v>
      </c>
      <c r="C343" s="117">
        <v>1481</v>
      </c>
      <c r="D343" s="117">
        <v>131</v>
      </c>
      <c r="E343" s="117">
        <v>266</v>
      </c>
      <c r="F343" s="117">
        <v>122</v>
      </c>
      <c r="G343" s="117">
        <v>122</v>
      </c>
      <c r="H343" s="108">
        <v>8779</v>
      </c>
      <c r="I343" s="108">
        <v>1462</v>
      </c>
      <c r="J343" s="108">
        <v>2786</v>
      </c>
      <c r="K343" s="108">
        <v>11563</v>
      </c>
      <c r="L343" s="108">
        <v>3886</v>
      </c>
      <c r="M343" s="108">
        <v>9610</v>
      </c>
      <c r="N343" s="108">
        <v>300</v>
      </c>
      <c r="O343" s="108">
        <v>9605</v>
      </c>
      <c r="P343" s="108">
        <v>316</v>
      </c>
      <c r="Q343" s="108">
        <v>6746</v>
      </c>
      <c r="R343" s="67">
        <v>2547</v>
      </c>
      <c r="S343" s="67">
        <v>10539</v>
      </c>
      <c r="T343" s="67">
        <v>8065</v>
      </c>
      <c r="U343" s="148">
        <v>138.37559999999999</v>
      </c>
      <c r="V343" s="67">
        <v>700</v>
      </c>
      <c r="W343" s="67">
        <v>8800</v>
      </c>
      <c r="X343" s="117">
        <v>2454</v>
      </c>
      <c r="Y343" s="41"/>
      <c r="Z343" s="67">
        <v>3528</v>
      </c>
      <c r="AA343" s="41"/>
      <c r="AB343" s="67">
        <v>399.99999999999994</v>
      </c>
      <c r="AC343" s="41"/>
      <c r="AD343" s="147">
        <v>2365</v>
      </c>
      <c r="AE343" s="67">
        <v>114.75</v>
      </c>
      <c r="AF343" s="147">
        <v>3751</v>
      </c>
      <c r="AG343" s="147">
        <v>3980.27</v>
      </c>
      <c r="AH343" s="148">
        <v>44.25</v>
      </c>
      <c r="AI343" s="67">
        <v>5614</v>
      </c>
      <c r="AJ343" s="141">
        <v>0.29899999999999999</v>
      </c>
      <c r="AK343" s="141">
        <v>0.89200000000000002</v>
      </c>
      <c r="AL343" s="46">
        <v>198.998146972835</v>
      </c>
      <c r="AM343" s="141">
        <v>0.502</v>
      </c>
      <c r="AN343" s="141">
        <v>13.64</v>
      </c>
      <c r="AO343" s="141">
        <v>13.1</v>
      </c>
      <c r="AP343" s="141">
        <v>3.7</v>
      </c>
      <c r="AQ343" s="46">
        <v>21</v>
      </c>
      <c r="AR343" s="141">
        <v>12.02</v>
      </c>
      <c r="AS343" s="46">
        <v>1.5</v>
      </c>
      <c r="AT343" s="46">
        <v>0.02</v>
      </c>
      <c r="AU343" s="141">
        <v>1.865</v>
      </c>
      <c r="AV343" s="141">
        <v>2.085</v>
      </c>
      <c r="AW343" s="46">
        <v>11.9363686</v>
      </c>
      <c r="AX343" s="46">
        <v>0.33</v>
      </c>
      <c r="AY343" s="141">
        <v>0.441</v>
      </c>
    </row>
    <row r="344" spans="1:51" ht="13.5" customHeight="1" x14ac:dyDescent="0.2">
      <c r="A344" s="40">
        <v>45587</v>
      </c>
      <c r="B344" s="117">
        <v>5935</v>
      </c>
      <c r="C344" s="117">
        <v>1507</v>
      </c>
      <c r="D344" s="117">
        <v>131</v>
      </c>
      <c r="E344" s="117">
        <v>259</v>
      </c>
      <c r="F344" s="117">
        <v>123</v>
      </c>
      <c r="G344" s="117">
        <v>123</v>
      </c>
      <c r="H344" s="108">
        <v>8619.2900000000009</v>
      </c>
      <c r="I344" s="108">
        <v>1324.087</v>
      </c>
      <c r="J344" s="108">
        <v>2723.4459999999999</v>
      </c>
      <c r="K344" s="108">
        <v>12072</v>
      </c>
      <c r="L344" s="108">
        <v>3798.71057892</v>
      </c>
      <c r="M344" s="108">
        <v>9038</v>
      </c>
      <c r="N344" s="108">
        <v>300</v>
      </c>
      <c r="O344" s="108">
        <v>9270</v>
      </c>
      <c r="P344" s="108">
        <v>285</v>
      </c>
      <c r="Q344" s="108">
        <v>6679</v>
      </c>
      <c r="R344" s="67">
        <v>2499</v>
      </c>
      <c r="S344" s="67">
        <v>10539</v>
      </c>
      <c r="T344" s="67">
        <v>8175</v>
      </c>
      <c r="U344" s="148">
        <v>138.37559999999999</v>
      </c>
      <c r="V344" s="67">
        <v>700</v>
      </c>
      <c r="W344" s="67">
        <v>9071</v>
      </c>
      <c r="X344" s="117">
        <v>2702</v>
      </c>
      <c r="Y344" s="41"/>
      <c r="Z344" s="67">
        <v>3559</v>
      </c>
      <c r="AA344" s="41"/>
      <c r="AB344" s="67">
        <v>338.18181818181813</v>
      </c>
      <c r="AC344" s="41"/>
      <c r="AD344" s="147">
        <v>2356</v>
      </c>
      <c r="AE344" s="67">
        <v>172.25</v>
      </c>
      <c r="AF344" s="147">
        <v>5492</v>
      </c>
      <c r="AG344" s="147">
        <v>4010.16</v>
      </c>
      <c r="AH344" s="148">
        <v>42.75</v>
      </c>
      <c r="AI344" s="67">
        <v>5614</v>
      </c>
      <c r="AJ344" s="141">
        <v>0.312</v>
      </c>
      <c r="AK344" s="141">
        <v>1</v>
      </c>
      <c r="AL344" s="46">
        <v>199.49255230692901</v>
      </c>
      <c r="AM344" s="141">
        <v>0.496</v>
      </c>
      <c r="AN344" s="141">
        <v>14.64</v>
      </c>
      <c r="AO344" s="141">
        <v>12.78</v>
      </c>
      <c r="AP344" s="141">
        <v>3.7</v>
      </c>
      <c r="AQ344" s="141">
        <v>35</v>
      </c>
      <c r="AR344" s="141">
        <v>12.02</v>
      </c>
      <c r="AS344" s="46">
        <v>1.64</v>
      </c>
      <c r="AT344" s="46">
        <v>0.02</v>
      </c>
      <c r="AU344" s="141">
        <v>3.0329999999999999</v>
      </c>
      <c r="AV344" s="141">
        <v>1.9930000000000001</v>
      </c>
      <c r="AW344" s="46">
        <v>12.889865499999999</v>
      </c>
      <c r="AX344" s="46">
        <v>0.32600000000000001</v>
      </c>
      <c r="AY344" s="141">
        <v>0.44900000000000001</v>
      </c>
    </row>
    <row r="345" spans="1:51" ht="13.5" customHeight="1" x14ac:dyDescent="0.2">
      <c r="A345" s="40">
        <v>45588</v>
      </c>
      <c r="B345" s="117">
        <v>5932</v>
      </c>
      <c r="C345" s="117">
        <v>1494</v>
      </c>
      <c r="D345" s="117">
        <v>132</v>
      </c>
      <c r="E345" s="117">
        <v>265</v>
      </c>
      <c r="F345" s="117">
        <v>127</v>
      </c>
      <c r="G345" s="117">
        <v>127</v>
      </c>
      <c r="H345" s="108">
        <v>8490</v>
      </c>
      <c r="I345" s="108">
        <v>1089</v>
      </c>
      <c r="J345" s="108">
        <v>2876</v>
      </c>
      <c r="K345" s="108">
        <v>12390</v>
      </c>
      <c r="L345" s="108">
        <v>3728</v>
      </c>
      <c r="M345" s="108">
        <v>8918</v>
      </c>
      <c r="N345" s="108">
        <v>321</v>
      </c>
      <c r="O345" s="108">
        <v>10099</v>
      </c>
      <c r="P345" s="108">
        <v>285</v>
      </c>
      <c r="Q345" s="108">
        <v>6679</v>
      </c>
      <c r="R345" s="67">
        <v>2445</v>
      </c>
      <c r="S345" s="67">
        <v>10305</v>
      </c>
      <c r="T345" s="67">
        <v>8223</v>
      </c>
      <c r="U345" s="148">
        <v>138.37559999999999</v>
      </c>
      <c r="V345" s="67">
        <v>700</v>
      </c>
      <c r="W345" s="67">
        <v>8844</v>
      </c>
      <c r="X345" s="117">
        <v>2464</v>
      </c>
      <c r="Y345" s="41"/>
      <c r="Z345" s="67">
        <v>3528</v>
      </c>
      <c r="AA345" s="41"/>
      <c r="AB345" s="67">
        <v>387.27272727272725</v>
      </c>
      <c r="AC345" s="41"/>
      <c r="AD345" s="147">
        <v>2244</v>
      </c>
      <c r="AE345" s="67">
        <v>183.5</v>
      </c>
      <c r="AF345" s="147">
        <v>7257</v>
      </c>
      <c r="AG345" s="147">
        <v>4005.2599999999998</v>
      </c>
      <c r="AH345" s="148">
        <v>43.5</v>
      </c>
      <c r="AI345" s="67">
        <v>5614</v>
      </c>
      <c r="AJ345" s="141">
        <v>0.42</v>
      </c>
      <c r="AK345" s="141">
        <v>0.94899999999999995</v>
      </c>
      <c r="AL345" s="46">
        <v>187.90934162244102</v>
      </c>
      <c r="AM345" s="141">
        <v>0.53400000000000003</v>
      </c>
      <c r="AN345" s="141">
        <v>14.34</v>
      </c>
      <c r="AO345" s="141">
        <v>12.39</v>
      </c>
      <c r="AP345" s="141">
        <v>3.45</v>
      </c>
      <c r="AQ345" s="141">
        <v>47</v>
      </c>
      <c r="AR345" s="141">
        <v>11.57</v>
      </c>
      <c r="AS345" s="46">
        <v>1.4</v>
      </c>
      <c r="AT345" s="46">
        <v>0.02</v>
      </c>
      <c r="AU345" s="141">
        <v>4.2190000000000003</v>
      </c>
      <c r="AV345" s="141">
        <v>1.911</v>
      </c>
      <c r="AW345" s="46">
        <v>13.2076978</v>
      </c>
      <c r="AX345" s="46">
        <v>0.32</v>
      </c>
      <c r="AY345" s="141">
        <v>0.45400000000000001</v>
      </c>
    </row>
    <row r="346" spans="1:51" ht="13.5" customHeight="1" x14ac:dyDescent="0.2">
      <c r="A346" s="40">
        <v>45589</v>
      </c>
      <c r="B346" s="117">
        <v>5873</v>
      </c>
      <c r="C346" s="117">
        <v>1484</v>
      </c>
      <c r="D346" s="117">
        <v>133</v>
      </c>
      <c r="E346" s="117">
        <v>251</v>
      </c>
      <c r="F346" s="117">
        <v>121</v>
      </c>
      <c r="G346" s="117">
        <v>121</v>
      </c>
      <c r="H346" s="108">
        <v>8552</v>
      </c>
      <c r="I346" s="108">
        <v>1011</v>
      </c>
      <c r="J346" s="108">
        <v>2735</v>
      </c>
      <c r="K346" s="108">
        <v>12349</v>
      </c>
      <c r="L346" s="108">
        <v>3697</v>
      </c>
      <c r="M346" s="108">
        <v>9012</v>
      </c>
      <c r="N346" s="108">
        <v>289</v>
      </c>
      <c r="O346" s="108">
        <v>10397</v>
      </c>
      <c r="P346" s="108">
        <v>291</v>
      </c>
      <c r="Q346" s="108">
        <v>6679</v>
      </c>
      <c r="R346" s="67">
        <v>2408</v>
      </c>
      <c r="S346" s="67">
        <v>10521</v>
      </c>
      <c r="T346" s="67">
        <v>8296</v>
      </c>
      <c r="U346" s="148">
        <v>138.37559999999999</v>
      </c>
      <c r="V346" s="67">
        <v>700</v>
      </c>
      <c r="W346" s="67">
        <v>8895</v>
      </c>
      <c r="X346" s="117">
        <v>2357</v>
      </c>
      <c r="Y346" s="41"/>
      <c r="Z346" s="67">
        <v>3062</v>
      </c>
      <c r="AA346" s="41"/>
      <c r="AB346" s="67">
        <v>329.09090909090907</v>
      </c>
      <c r="AC346" s="41"/>
      <c r="AD346" s="147">
        <v>2838</v>
      </c>
      <c r="AE346" s="67">
        <v>184.75</v>
      </c>
      <c r="AF346" s="147">
        <v>8514</v>
      </c>
      <c r="AG346" s="147">
        <v>3977.33</v>
      </c>
      <c r="AH346" s="148">
        <v>44.25</v>
      </c>
      <c r="AI346" s="67">
        <v>5614</v>
      </c>
      <c r="AJ346" s="141">
        <v>0.47099999999999997</v>
      </c>
      <c r="AK346" s="141">
        <v>0.90900000000000003</v>
      </c>
      <c r="AL346" s="46">
        <v>197.373672303669</v>
      </c>
      <c r="AM346" s="141">
        <v>0.54700000000000004</v>
      </c>
      <c r="AN346" s="141">
        <v>18.010000000000002</v>
      </c>
      <c r="AO346" s="141">
        <v>11.63</v>
      </c>
      <c r="AP346" s="141">
        <v>3.82</v>
      </c>
      <c r="AQ346" s="141">
        <v>42</v>
      </c>
      <c r="AR346" s="141">
        <v>12.41</v>
      </c>
      <c r="AS346" s="141">
        <v>1.2</v>
      </c>
      <c r="AT346" s="141">
        <v>0.02</v>
      </c>
      <c r="AU346" s="141">
        <v>4.9429999999999996</v>
      </c>
      <c r="AV346" s="141">
        <v>1.87</v>
      </c>
      <c r="AW346" s="46">
        <v>14.267138800000001</v>
      </c>
      <c r="AX346" s="46">
        <v>0.33500000000000002</v>
      </c>
      <c r="AY346" s="141">
        <v>0.45600000000000002</v>
      </c>
    </row>
    <row r="347" spans="1:51" ht="13.5" customHeight="1" x14ac:dyDescent="0.2">
      <c r="A347" s="40">
        <v>45590</v>
      </c>
      <c r="B347" s="117">
        <v>5873</v>
      </c>
      <c r="C347" s="117">
        <v>1436</v>
      </c>
      <c r="D347" s="117">
        <v>133</v>
      </c>
      <c r="E347" s="117">
        <v>266</v>
      </c>
      <c r="F347" s="117">
        <v>123</v>
      </c>
      <c r="G347" s="117">
        <v>123</v>
      </c>
      <c r="H347" s="108">
        <v>8622.8340000000007</v>
      </c>
      <c r="I347" s="108">
        <v>1063.7670000000001</v>
      </c>
      <c r="J347" s="108">
        <v>2792.17</v>
      </c>
      <c r="K347" s="108">
        <v>12213</v>
      </c>
      <c r="L347" s="108">
        <v>3763.5489672399999</v>
      </c>
      <c r="M347" s="108">
        <v>9122</v>
      </c>
      <c r="N347" s="108">
        <v>289</v>
      </c>
      <c r="O347" s="108">
        <v>10031</v>
      </c>
      <c r="P347" s="108">
        <v>269</v>
      </c>
      <c r="Q347" s="108">
        <v>6629</v>
      </c>
      <c r="R347" s="67">
        <v>2342</v>
      </c>
      <c r="S347" s="67">
        <v>10458</v>
      </c>
      <c r="T347" s="67">
        <v>8415</v>
      </c>
      <c r="U347" s="148">
        <v>125.79599999999999</v>
      </c>
      <c r="V347" s="67">
        <v>700</v>
      </c>
      <c r="W347" s="67">
        <v>8948</v>
      </c>
      <c r="X347" s="117">
        <v>2389</v>
      </c>
      <c r="Y347" s="41"/>
      <c r="Z347" s="67">
        <v>3592</v>
      </c>
      <c r="AA347" s="41"/>
      <c r="AB347" s="67">
        <v>489.09090909090907</v>
      </c>
      <c r="AC347" s="41"/>
      <c r="AD347" s="147">
        <v>3247</v>
      </c>
      <c r="AE347" s="67">
        <v>172.24</v>
      </c>
      <c r="AF347" s="147">
        <v>5865</v>
      </c>
      <c r="AG347" s="147">
        <v>3996.93</v>
      </c>
      <c r="AH347" s="148">
        <v>41.76</v>
      </c>
      <c r="AI347" s="67">
        <v>5614</v>
      </c>
      <c r="AJ347" s="141">
        <v>0.40899999999999997</v>
      </c>
      <c r="AK347" s="141">
        <v>0.90100000000000002</v>
      </c>
      <c r="AL347" s="46">
        <v>201.01108297593203</v>
      </c>
      <c r="AM347" s="141">
        <v>0.5</v>
      </c>
      <c r="AN347" s="141">
        <v>16.920000000000002</v>
      </c>
      <c r="AO347" s="141">
        <v>10.97</v>
      </c>
      <c r="AP347" s="141">
        <v>3.77</v>
      </c>
      <c r="AQ347" s="141">
        <v>35</v>
      </c>
      <c r="AR347" s="141">
        <v>12.41</v>
      </c>
      <c r="AS347" s="141">
        <v>1.2</v>
      </c>
      <c r="AT347" s="141">
        <v>0.02</v>
      </c>
      <c r="AU347" s="141">
        <v>3.22</v>
      </c>
      <c r="AV347" s="141">
        <v>1.8959999999999999</v>
      </c>
      <c r="AW347" s="46">
        <v>15.3618945</v>
      </c>
      <c r="AX347" s="46">
        <v>0.33800000000000002</v>
      </c>
      <c r="AY347" s="141">
        <v>0.45500000000000002</v>
      </c>
    </row>
    <row r="348" spans="1:51" ht="13.5" customHeight="1" x14ac:dyDescent="0.2">
      <c r="A348" s="40">
        <v>45591</v>
      </c>
      <c r="B348" s="117">
        <v>5874</v>
      </c>
      <c r="C348" s="117">
        <v>1487</v>
      </c>
      <c r="D348" s="117">
        <v>133</v>
      </c>
      <c r="E348" s="117">
        <v>254</v>
      </c>
      <c r="F348" s="117">
        <v>122</v>
      </c>
      <c r="G348" s="117">
        <v>122</v>
      </c>
      <c r="H348" s="108">
        <v>8849.6980000000003</v>
      </c>
      <c r="I348" s="108">
        <v>1124.1379999999999</v>
      </c>
      <c r="J348" s="108">
        <v>2914.36</v>
      </c>
      <c r="K348" s="108">
        <v>11440</v>
      </c>
      <c r="L348" s="108">
        <v>3780.3792896</v>
      </c>
      <c r="M348" s="108">
        <v>8982</v>
      </c>
      <c r="N348" s="108">
        <v>321</v>
      </c>
      <c r="O348" s="108">
        <v>9949</v>
      </c>
      <c r="P348" s="108">
        <v>317</v>
      </c>
      <c r="Q348" s="108">
        <v>6580</v>
      </c>
      <c r="R348" s="67">
        <v>2372</v>
      </c>
      <c r="S348" s="67">
        <v>10447</v>
      </c>
      <c r="T348" s="67">
        <v>8615</v>
      </c>
      <c r="U348" s="148">
        <v>125.79599999999999</v>
      </c>
      <c r="V348" s="67">
        <v>700</v>
      </c>
      <c r="W348" s="67">
        <v>8850</v>
      </c>
      <c r="X348" s="117">
        <v>2409</v>
      </c>
      <c r="Y348" s="41"/>
      <c r="Z348" s="67">
        <v>3583</v>
      </c>
      <c r="AA348" s="41"/>
      <c r="AB348" s="67">
        <v>414.5454545454545</v>
      </c>
      <c r="AC348" s="41"/>
      <c r="AD348" s="147">
        <v>3399</v>
      </c>
      <c r="AE348" s="67">
        <v>121.96000000000001</v>
      </c>
      <c r="AF348" s="147">
        <v>5664</v>
      </c>
      <c r="AG348" s="147">
        <v>3994.48</v>
      </c>
      <c r="AH348" s="148">
        <v>41.04</v>
      </c>
      <c r="AI348" s="67">
        <v>5614</v>
      </c>
      <c r="AJ348" s="141">
        <v>0.42699999999999999</v>
      </c>
      <c r="AK348" s="141">
        <v>0.89</v>
      </c>
      <c r="AL348" s="46">
        <v>199.421922973487</v>
      </c>
      <c r="AM348" s="141">
        <v>0.51</v>
      </c>
      <c r="AN348" s="141">
        <v>10</v>
      </c>
      <c r="AO348" s="141">
        <v>10</v>
      </c>
      <c r="AP348" s="141">
        <v>3.69</v>
      </c>
      <c r="AQ348" s="141">
        <v>10</v>
      </c>
      <c r="AR348" s="141">
        <v>12.41</v>
      </c>
      <c r="AS348" s="141">
        <v>1.2</v>
      </c>
      <c r="AT348" s="141">
        <v>0.02</v>
      </c>
      <c r="AU348" s="141">
        <v>3.0550000000000002</v>
      </c>
      <c r="AV348" s="141">
        <v>2.0499999999999998</v>
      </c>
      <c r="AW348" s="46">
        <v>15.326579800000001</v>
      </c>
      <c r="AX348" s="46">
        <v>0.33900000000000002</v>
      </c>
      <c r="AY348" s="141">
        <v>0.45700000000000002</v>
      </c>
    </row>
    <row r="349" spans="1:51" ht="13.5" customHeight="1" x14ac:dyDescent="0.2">
      <c r="A349" s="40">
        <v>45592</v>
      </c>
      <c r="B349" s="117">
        <v>5905</v>
      </c>
      <c r="C349" s="117">
        <v>1451</v>
      </c>
      <c r="D349" s="117">
        <v>136</v>
      </c>
      <c r="E349" s="117">
        <v>260</v>
      </c>
      <c r="F349" s="117">
        <v>122</v>
      </c>
      <c r="G349" s="117">
        <v>122</v>
      </c>
      <c r="H349" s="117">
        <v>8659.7630000000008</v>
      </c>
      <c r="I349" s="117">
        <v>1375.364</v>
      </c>
      <c r="J349" s="117">
        <v>3100.4720000000002</v>
      </c>
      <c r="K349" s="117">
        <v>11331</v>
      </c>
      <c r="L349" s="117">
        <v>3753.4520861199999</v>
      </c>
      <c r="M349" s="108">
        <v>7960</v>
      </c>
      <c r="N349" s="108">
        <v>87</v>
      </c>
      <c r="O349" s="108">
        <v>9754</v>
      </c>
      <c r="P349" s="108">
        <v>317</v>
      </c>
      <c r="Q349" s="108">
        <v>6572</v>
      </c>
      <c r="R349" s="67">
        <v>2271</v>
      </c>
      <c r="S349" s="117">
        <v>10356</v>
      </c>
      <c r="T349" s="117">
        <v>8704</v>
      </c>
      <c r="U349" s="148">
        <v>163.53479999999999</v>
      </c>
      <c r="V349" s="67">
        <v>700</v>
      </c>
      <c r="W349" s="67">
        <v>8885</v>
      </c>
      <c r="X349" s="117">
        <v>2525</v>
      </c>
      <c r="Y349" s="117"/>
      <c r="Z349" s="117">
        <v>3595</v>
      </c>
      <c r="AA349" s="117"/>
      <c r="AB349" s="67">
        <v>587.27272727272725</v>
      </c>
      <c r="AC349" s="117"/>
      <c r="AD349" s="117">
        <v>3547</v>
      </c>
      <c r="AE349" s="67">
        <v>88.68</v>
      </c>
      <c r="AF349" s="117">
        <v>5025</v>
      </c>
      <c r="AG349" s="147">
        <v>3992.52</v>
      </c>
      <c r="AH349" s="117">
        <v>40.32</v>
      </c>
      <c r="AI349" s="67">
        <v>5614</v>
      </c>
      <c r="AJ349" s="141">
        <v>0.38600000000000001</v>
      </c>
      <c r="AK349" s="141">
        <v>0.83499999999999996</v>
      </c>
      <c r="AL349" s="46">
        <v>201.68206164363102</v>
      </c>
      <c r="AM349" s="141">
        <v>0.48199999999999998</v>
      </c>
      <c r="AN349" s="141">
        <v>5.3</v>
      </c>
      <c r="AO349" s="141">
        <v>9.9499999999999993</v>
      </c>
      <c r="AP349" s="141">
        <v>3.22</v>
      </c>
      <c r="AQ349" s="141">
        <v>10</v>
      </c>
      <c r="AR349" s="141">
        <v>12.41</v>
      </c>
      <c r="AS349" s="141">
        <v>1.2</v>
      </c>
      <c r="AT349" s="141">
        <v>0.02</v>
      </c>
      <c r="AU349" s="141">
        <v>2.7429999999999999</v>
      </c>
      <c r="AV349" s="141">
        <v>1.74</v>
      </c>
      <c r="AW349" s="46">
        <v>14.549656400000002</v>
      </c>
      <c r="AX349" s="141">
        <v>0.33900000000000002</v>
      </c>
      <c r="AY349" s="141">
        <v>0.45800000000000002</v>
      </c>
    </row>
    <row r="350" spans="1:51" ht="13.5" customHeight="1" x14ac:dyDescent="0.2">
      <c r="A350" s="40">
        <v>45593</v>
      </c>
      <c r="B350" s="117">
        <v>5870</v>
      </c>
      <c r="C350" s="117">
        <v>1484</v>
      </c>
      <c r="D350" s="117">
        <v>134</v>
      </c>
      <c r="E350" s="117">
        <v>254</v>
      </c>
      <c r="F350" s="117">
        <v>127</v>
      </c>
      <c r="G350" s="117">
        <v>127</v>
      </c>
      <c r="H350" s="108">
        <v>8575.1949999999997</v>
      </c>
      <c r="I350" s="108">
        <v>1330.221</v>
      </c>
      <c r="J350" s="108">
        <v>3060.1979999999999</v>
      </c>
      <c r="K350" s="108">
        <v>11597</v>
      </c>
      <c r="L350" s="108">
        <v>3744.58054872</v>
      </c>
      <c r="M350" s="108">
        <v>8034</v>
      </c>
      <c r="N350" s="108">
        <v>0</v>
      </c>
      <c r="O350" s="108">
        <v>10031</v>
      </c>
      <c r="P350" s="108">
        <v>328</v>
      </c>
      <c r="Q350" s="108">
        <v>6546</v>
      </c>
      <c r="R350" s="67">
        <v>2324</v>
      </c>
      <c r="S350" s="67">
        <v>11346</v>
      </c>
      <c r="T350" s="67">
        <v>8352</v>
      </c>
      <c r="U350" s="148">
        <v>163.53479999999999</v>
      </c>
      <c r="V350" s="67">
        <v>700</v>
      </c>
      <c r="W350" s="67">
        <v>8863</v>
      </c>
      <c r="X350" s="117">
        <v>2490</v>
      </c>
      <c r="Y350" s="41"/>
      <c r="Z350" s="67">
        <v>3589</v>
      </c>
      <c r="AA350" s="41"/>
      <c r="AB350" s="67">
        <v>452.72727272727269</v>
      </c>
      <c r="AC350" s="41"/>
      <c r="AD350" s="147">
        <v>3321</v>
      </c>
      <c r="AE350" s="67">
        <v>118.24000000000001</v>
      </c>
      <c r="AF350" s="147">
        <v>6082</v>
      </c>
      <c r="AG350" s="147">
        <v>3985.66</v>
      </c>
      <c r="AH350" s="148">
        <v>41.76</v>
      </c>
      <c r="AI350" s="67">
        <v>5614</v>
      </c>
      <c r="AJ350" s="141">
        <v>0.441</v>
      </c>
      <c r="AK350" s="141">
        <v>0.89300000000000002</v>
      </c>
      <c r="AL350" s="46">
        <v>176.39676027139501</v>
      </c>
      <c r="AM350" s="141">
        <v>0.57899999999999996</v>
      </c>
      <c r="AN350" s="141">
        <v>0</v>
      </c>
      <c r="AO350" s="141">
        <v>9.4700000000000006</v>
      </c>
      <c r="AP350" s="141">
        <v>4.03</v>
      </c>
      <c r="AQ350" s="141">
        <v>22</v>
      </c>
      <c r="AR350" s="141">
        <v>12.41</v>
      </c>
      <c r="AS350" s="141">
        <v>1.25</v>
      </c>
      <c r="AT350" s="141">
        <v>0.02</v>
      </c>
      <c r="AU350" s="141">
        <v>3.4060000000000001</v>
      </c>
      <c r="AV350" s="141">
        <v>2.1059999999999999</v>
      </c>
      <c r="AW350" s="46">
        <v>14.12588</v>
      </c>
      <c r="AX350" s="46">
        <v>0.33800000000000002</v>
      </c>
      <c r="AY350" s="141">
        <v>0.45400000000000001</v>
      </c>
    </row>
    <row r="351" spans="1:51" ht="13.5" customHeight="1" x14ac:dyDescent="0.2">
      <c r="A351" s="40">
        <v>45594</v>
      </c>
      <c r="B351" s="117">
        <v>5879</v>
      </c>
      <c r="C351" s="117">
        <v>1459</v>
      </c>
      <c r="D351" s="117">
        <v>137</v>
      </c>
      <c r="E351" s="117">
        <v>261</v>
      </c>
      <c r="F351" s="117">
        <v>122</v>
      </c>
      <c r="G351" s="117">
        <v>122</v>
      </c>
      <c r="H351" s="108">
        <v>8489.8829999999998</v>
      </c>
      <c r="I351" s="108">
        <v>1088.5709999999999</v>
      </c>
      <c r="J351" s="108">
        <v>2875.62</v>
      </c>
      <c r="K351" s="108">
        <v>12390</v>
      </c>
      <c r="L351" s="108">
        <v>3728.72379976</v>
      </c>
      <c r="M351" s="108">
        <v>8088</v>
      </c>
      <c r="N351" s="108">
        <v>114</v>
      </c>
      <c r="O351" s="108">
        <v>8615</v>
      </c>
      <c r="P351" s="108">
        <v>220</v>
      </c>
      <c r="Q351" s="108">
        <v>6549</v>
      </c>
      <c r="R351" s="67">
        <v>2229</v>
      </c>
      <c r="S351" s="67">
        <v>12089</v>
      </c>
      <c r="T351" s="67">
        <v>8470</v>
      </c>
      <c r="U351" s="148">
        <v>163.53479999999999</v>
      </c>
      <c r="V351" s="67">
        <v>700</v>
      </c>
      <c r="W351" s="67">
        <v>8894</v>
      </c>
      <c r="X351" s="117">
        <v>2389</v>
      </c>
      <c r="Y351" s="41"/>
      <c r="Z351" s="67">
        <v>3587</v>
      </c>
      <c r="AA351" s="41"/>
      <c r="AB351" s="67">
        <v>449.09090909090907</v>
      </c>
      <c r="AC351" s="41"/>
      <c r="AD351" s="147">
        <v>3264</v>
      </c>
      <c r="AE351" s="67">
        <v>157.24</v>
      </c>
      <c r="AF351" s="147">
        <v>7356</v>
      </c>
      <c r="AG351" s="147">
        <v>3988.6</v>
      </c>
      <c r="AH351" s="148">
        <v>41.76</v>
      </c>
      <c r="AI351" s="67">
        <v>5614</v>
      </c>
      <c r="AJ351" s="141">
        <v>0.41599999999999998</v>
      </c>
      <c r="AK351" s="141">
        <v>0.86799999999999999</v>
      </c>
      <c r="AL351" s="46">
        <v>130.770210867863</v>
      </c>
      <c r="AM351" s="141">
        <v>0.57199999999999995</v>
      </c>
      <c r="AN351" s="141">
        <v>0.94</v>
      </c>
      <c r="AO351" s="141">
        <v>9.4700000000000006</v>
      </c>
      <c r="AP351" s="141">
        <v>4.03</v>
      </c>
      <c r="AQ351" s="141">
        <v>46</v>
      </c>
      <c r="AR351" s="141">
        <v>12.41</v>
      </c>
      <c r="AS351" s="141">
        <v>1.25</v>
      </c>
      <c r="AT351" s="141">
        <v>0.02</v>
      </c>
      <c r="AU351" s="141">
        <v>4.2610000000000001</v>
      </c>
      <c r="AV351" s="141">
        <v>1.913</v>
      </c>
      <c r="AW351" s="46">
        <v>14.620285800000001</v>
      </c>
      <c r="AX351" s="46">
        <v>0.34300000000000003</v>
      </c>
      <c r="AY351" s="141">
        <v>0.45600000000000002</v>
      </c>
    </row>
    <row r="352" spans="1:51" ht="13.5" customHeight="1" x14ac:dyDescent="0.2">
      <c r="A352" s="40">
        <v>45595</v>
      </c>
      <c r="B352" s="117">
        <v>5805</v>
      </c>
      <c r="C352" s="117">
        <v>1460</v>
      </c>
      <c r="D352" s="117">
        <v>135</v>
      </c>
      <c r="E352" s="117">
        <v>254</v>
      </c>
      <c r="F352" s="117">
        <v>120</v>
      </c>
      <c r="G352" s="117">
        <v>120</v>
      </c>
      <c r="H352" s="108">
        <v>8472</v>
      </c>
      <c r="I352" s="108">
        <v>1417</v>
      </c>
      <c r="J352" s="108">
        <v>2975</v>
      </c>
      <c r="K352" s="108">
        <v>11960</v>
      </c>
      <c r="L352" s="108">
        <v>4174</v>
      </c>
      <c r="M352" s="108">
        <v>8733</v>
      </c>
      <c r="N352" s="108">
        <v>377</v>
      </c>
      <c r="O352" s="108">
        <v>9574</v>
      </c>
      <c r="P352" s="108">
        <v>314</v>
      </c>
      <c r="Q352" s="108">
        <v>6579</v>
      </c>
      <c r="R352" s="67">
        <v>2264</v>
      </c>
      <c r="S352" s="67">
        <v>11850</v>
      </c>
      <c r="T352" s="67">
        <v>8582</v>
      </c>
      <c r="U352" s="148">
        <v>125.79599999999999</v>
      </c>
      <c r="V352" s="67">
        <v>700</v>
      </c>
      <c r="W352" s="67">
        <v>8850</v>
      </c>
      <c r="X352" s="117">
        <v>2042</v>
      </c>
      <c r="Y352" s="41"/>
      <c r="Z352" s="67">
        <v>3584</v>
      </c>
      <c r="AA352" s="41"/>
      <c r="AB352" s="67">
        <v>536.36363636363637</v>
      </c>
      <c r="AC352" s="41"/>
      <c r="AD352" s="147">
        <v>3250</v>
      </c>
      <c r="AE352" s="67">
        <v>158.24</v>
      </c>
      <c r="AF352" s="147">
        <v>4395</v>
      </c>
      <c r="AG352" s="147">
        <v>3985.17</v>
      </c>
      <c r="AH352" s="148">
        <v>41.76</v>
      </c>
      <c r="AI352" s="67">
        <v>5614</v>
      </c>
      <c r="AJ352" s="141">
        <v>0.42199999999999999</v>
      </c>
      <c r="AK352" s="141">
        <v>0.871</v>
      </c>
      <c r="AL352" s="46">
        <v>198.89220297267201</v>
      </c>
      <c r="AM352" s="141">
        <v>0.55600000000000005</v>
      </c>
      <c r="AN352" s="141">
        <v>4.96</v>
      </c>
      <c r="AO352" s="141">
        <v>8.8699999999999992</v>
      </c>
      <c r="AP352" s="141">
        <v>3.12</v>
      </c>
      <c r="AQ352" s="141">
        <v>36</v>
      </c>
      <c r="AR352" s="141">
        <v>12.41</v>
      </c>
      <c r="AS352" s="141">
        <v>0.32</v>
      </c>
      <c r="AT352" s="141">
        <v>0.02</v>
      </c>
      <c r="AU352" s="141">
        <v>2.4300000000000002</v>
      </c>
      <c r="AV352" s="141">
        <v>1.9410000000000001</v>
      </c>
      <c r="AW352" s="46">
        <v>13.419586000000001</v>
      </c>
      <c r="AX352" s="46">
        <v>0.34499999999999997</v>
      </c>
      <c r="AY352" s="141">
        <v>0.46100000000000002</v>
      </c>
    </row>
    <row r="353" spans="1:51" ht="13.5" customHeight="1" x14ac:dyDescent="0.2">
      <c r="A353" s="40">
        <v>45596</v>
      </c>
      <c r="B353" s="117">
        <v>5760</v>
      </c>
      <c r="C353" s="117">
        <v>1431</v>
      </c>
      <c r="D353" s="117">
        <v>138</v>
      </c>
      <c r="E353" s="117">
        <v>265</v>
      </c>
      <c r="F353" s="117">
        <v>124</v>
      </c>
      <c r="G353" s="117">
        <v>124</v>
      </c>
      <c r="H353" s="108">
        <v>8414.6659999999993</v>
      </c>
      <c r="I353" s="108">
        <v>1422.7860000000001</v>
      </c>
      <c r="J353" s="108">
        <v>2903.2289999999998</v>
      </c>
      <c r="K353" s="108">
        <v>11960</v>
      </c>
      <c r="L353" s="108">
        <v>4018.7921200000001</v>
      </c>
      <c r="M353" s="108">
        <v>7643</v>
      </c>
      <c r="N353" s="108">
        <v>1487</v>
      </c>
      <c r="O353" s="108">
        <v>9499</v>
      </c>
      <c r="P353" s="108">
        <v>314</v>
      </c>
      <c r="Q353" s="108">
        <v>6568</v>
      </c>
      <c r="R353" s="67">
        <v>2390</v>
      </c>
      <c r="S353" s="67">
        <v>11850</v>
      </c>
      <c r="T353" s="67">
        <v>8539</v>
      </c>
      <c r="U353" s="148">
        <v>201.27359999999999</v>
      </c>
      <c r="V353" s="67">
        <v>700</v>
      </c>
      <c r="W353" s="67">
        <v>9028</v>
      </c>
      <c r="X353" s="117">
        <v>1481</v>
      </c>
      <c r="Y353" s="41"/>
      <c r="Z353" s="67">
        <v>3082</v>
      </c>
      <c r="AA353" s="41"/>
      <c r="AB353" s="67">
        <v>461.81818181818176</v>
      </c>
      <c r="AC353" s="41"/>
      <c r="AD353" s="147">
        <v>3800</v>
      </c>
      <c r="AE353" s="67">
        <v>121.68</v>
      </c>
      <c r="AF353" s="147">
        <v>5390</v>
      </c>
      <c r="AG353" s="147">
        <v>3978.7999999999997</v>
      </c>
      <c r="AH353" s="148">
        <v>40.32</v>
      </c>
      <c r="AI353" s="67">
        <v>5614</v>
      </c>
      <c r="AJ353" s="141">
        <v>0.45600000000000002</v>
      </c>
      <c r="AK353" s="141">
        <v>0.874</v>
      </c>
      <c r="AL353" s="46">
        <v>208.78030965455201</v>
      </c>
      <c r="AM353" s="141">
        <v>0.46700000000000003</v>
      </c>
      <c r="AN353" s="141">
        <v>5.4</v>
      </c>
      <c r="AO353" s="141">
        <v>8.8699999999999992</v>
      </c>
      <c r="AP353" s="141">
        <v>3.12</v>
      </c>
      <c r="AQ353" s="141">
        <v>35</v>
      </c>
      <c r="AR353" s="141">
        <v>12.41</v>
      </c>
      <c r="AS353" s="141">
        <v>0.32</v>
      </c>
      <c r="AT353" s="141">
        <v>0.02</v>
      </c>
      <c r="AU353" s="141">
        <v>2.9969999999999999</v>
      </c>
      <c r="AV353" s="141">
        <v>2.5670000000000002</v>
      </c>
      <c r="AW353" s="46">
        <v>14.055250600000001</v>
      </c>
      <c r="AX353" s="46">
        <v>0.34499999999999997</v>
      </c>
      <c r="AY353" s="141">
        <v>0.46</v>
      </c>
    </row>
    <row r="354" spans="1:51" x14ac:dyDescent="0.2">
      <c r="A354" s="50" t="s">
        <v>52</v>
      </c>
      <c r="B354" s="118">
        <f t="shared" ref="B354:G354" si="103">SUM(B323:B353)*B$2</f>
        <v>1350560.8499999999</v>
      </c>
      <c r="C354" s="118">
        <f t="shared" si="103"/>
        <v>330512</v>
      </c>
      <c r="D354" s="118">
        <f t="shared" si="103"/>
        <v>30095.52</v>
      </c>
      <c r="E354" s="118">
        <f t="shared" si="103"/>
        <v>61334.17</v>
      </c>
      <c r="F354" s="118">
        <f t="shared" si="103"/>
        <v>28140.896000000001</v>
      </c>
      <c r="G354" s="118">
        <f t="shared" si="103"/>
        <v>28140.896000000001</v>
      </c>
      <c r="H354" s="119">
        <f>SUM(H323:H353)</f>
        <v>267551.68000000005</v>
      </c>
      <c r="I354" s="118">
        <f>SUM(I323:I353)</f>
        <v>42534.924999999996</v>
      </c>
      <c r="J354" s="118">
        <f>SUM(J323:J353)</f>
        <v>85973.213000000003</v>
      </c>
      <c r="K354" s="118">
        <f>SUM(K323:K353)</f>
        <v>367704</v>
      </c>
      <c r="L354" s="118">
        <f>SUM(L323:L353)</f>
        <v>119319.4831056</v>
      </c>
      <c r="M354" s="118">
        <f t="shared" ref="M354:W354" si="104">SUM(M323:M353)</f>
        <v>279930</v>
      </c>
      <c r="N354" s="118">
        <f t="shared" si="104"/>
        <v>11371</v>
      </c>
      <c r="O354" s="118">
        <f t="shared" si="104"/>
        <v>295741</v>
      </c>
      <c r="P354" s="118">
        <f t="shared" si="104"/>
        <v>9720</v>
      </c>
      <c r="Q354" s="118">
        <f t="shared" si="104"/>
        <v>210243</v>
      </c>
      <c r="R354" s="118">
        <f t="shared" si="104"/>
        <v>79703</v>
      </c>
      <c r="S354" s="118">
        <f t="shared" si="104"/>
        <v>335201</v>
      </c>
      <c r="T354" s="118">
        <f t="shared" si="104"/>
        <v>245117</v>
      </c>
      <c r="U354" s="118">
        <f t="shared" si="104"/>
        <v>4729.9295999999995</v>
      </c>
      <c r="V354" s="118">
        <f t="shared" si="104"/>
        <v>21700</v>
      </c>
      <c r="W354" s="118">
        <f t="shared" si="104"/>
        <v>283077</v>
      </c>
      <c r="X354" s="118">
        <f>SUM(X323:X353)</f>
        <v>76606</v>
      </c>
      <c r="Y354" s="118"/>
      <c r="Z354" s="118">
        <f>SUM(Z323:Z353)</f>
        <v>92124</v>
      </c>
      <c r="AA354" s="118"/>
      <c r="AB354" s="118">
        <f>SUM(AB323:AB353)*AB$2</f>
        <v>97856.436363636371</v>
      </c>
      <c r="AC354" s="118"/>
      <c r="AD354" s="118">
        <f>SUM(AD323:AD353)</f>
        <v>98039</v>
      </c>
      <c r="AE354" s="118">
        <f>SUM(AE323:AE353)*AE$2</f>
        <v>33007.833599999991</v>
      </c>
      <c r="AF354" s="118">
        <f>SUM(AF323:AF353)</f>
        <v>197338</v>
      </c>
      <c r="AG354" s="118">
        <f>SUM(AG323:AG353)*AG$2</f>
        <v>891484.37379999994</v>
      </c>
      <c r="AH354" s="118">
        <f>SUM(AH323:AH353)*$AH$2</f>
        <v>9941.9268594351597</v>
      </c>
      <c r="AI354" s="118">
        <f>SUM(AI323:AI353)</f>
        <v>174034</v>
      </c>
      <c r="AJ354" s="133">
        <f>SUM(AJ323:AJ353)*AJ$2</f>
        <v>507.43644611404909</v>
      </c>
      <c r="AK354" s="122">
        <f>SUM(AK323:AK353)*AK$2</f>
        <v>943.07817478430502</v>
      </c>
      <c r="AL354" s="122">
        <f>SUM(AL323:AL353)</f>
        <v>5654.9022673670097</v>
      </c>
      <c r="AM354" s="122">
        <f>SUM(AM323:AM353)*AM$2</f>
        <v>366.00120589644399</v>
      </c>
      <c r="AN354" s="122">
        <f>SUM(AN323:AN353)</f>
        <v>225.74</v>
      </c>
      <c r="AO354" s="122">
        <f t="shared" ref="AO354:AS354" si="105">SUM(AO323:AO353)</f>
        <v>227.75999999999996</v>
      </c>
      <c r="AP354" s="122">
        <f t="shared" si="105"/>
        <v>116.83</v>
      </c>
      <c r="AQ354" s="122">
        <f>SUM(AQ323:AQ353)</f>
        <v>903.99099999999999</v>
      </c>
      <c r="AR354" s="122">
        <f t="shared" si="105"/>
        <v>363.60000000000025</v>
      </c>
      <c r="AS354" s="122">
        <f t="shared" si="105"/>
        <v>48.79000000000002</v>
      </c>
      <c r="AT354" s="122">
        <f>SUM(AT323:AT353)*AT$2</f>
        <v>21.89511400000001</v>
      </c>
      <c r="AU354" s="122">
        <f>SUM(AU323:AU353)*AU$2</f>
        <v>4005.3579593000004</v>
      </c>
      <c r="AV354" s="122">
        <f>SUM(AV323:AV353)*AV$2</f>
        <v>2182.4131453</v>
      </c>
      <c r="AW354" s="122">
        <f>SUM(AW323:AW353)</f>
        <v>398.31450129999996</v>
      </c>
      <c r="AX354" s="122">
        <f>SUM(AX323:AX353)*$AY$2</f>
        <v>255.67842800000005</v>
      </c>
      <c r="AY354" s="122">
        <f>SUM(AY323:AY353)*$AY$2</f>
        <v>428.36731100000009</v>
      </c>
    </row>
    <row r="355" spans="1:51" x14ac:dyDescent="0.2">
      <c r="A355" s="50" t="s">
        <v>53</v>
      </c>
      <c r="B355" s="120">
        <f t="shared" ref="B355:AG355" si="106">B354/B$2</f>
        <v>179835</v>
      </c>
      <c r="C355" s="120">
        <f>C354/C$2</f>
        <v>45400</v>
      </c>
      <c r="D355" s="120">
        <f t="shared" si="106"/>
        <v>4134</v>
      </c>
      <c r="E355" s="120">
        <f t="shared" si="106"/>
        <v>8167</v>
      </c>
      <c r="F355" s="120">
        <f t="shared" si="106"/>
        <v>3836</v>
      </c>
      <c r="G355" s="120">
        <f t="shared" si="106"/>
        <v>3836</v>
      </c>
      <c r="H355" s="123">
        <f t="shared" si="106"/>
        <v>36193.252431217043</v>
      </c>
      <c r="I355" s="120">
        <f t="shared" si="106"/>
        <v>5695.8067988309986</v>
      </c>
      <c r="J355" s="120">
        <f t="shared" si="106"/>
        <v>11559.356006791495</v>
      </c>
      <c r="K355" s="120">
        <f t="shared" si="106"/>
        <v>46087.957905292504</v>
      </c>
      <c r="L355" s="120">
        <f>L354/L$2</f>
        <v>15671.39165587473</v>
      </c>
      <c r="M355" s="120">
        <f t="shared" si="106"/>
        <v>36930.079155672822</v>
      </c>
      <c r="N355" s="120">
        <f t="shared" si="106"/>
        <v>1454.0920716112532</v>
      </c>
      <c r="O355" s="120">
        <f t="shared" si="106"/>
        <v>39432.133333333331</v>
      </c>
      <c r="P355" s="120">
        <f t="shared" si="106"/>
        <v>1296</v>
      </c>
      <c r="Q355" s="120">
        <f t="shared" si="106"/>
        <v>28258.467741935481</v>
      </c>
      <c r="R355" s="120">
        <f t="shared" si="106"/>
        <v>10218.333333333334</v>
      </c>
      <c r="S355" s="120">
        <f t="shared" si="106"/>
        <v>45084.196368527235</v>
      </c>
      <c r="T355" s="120">
        <f t="shared" si="106"/>
        <v>32967.9892400807</v>
      </c>
      <c r="U355" s="120">
        <f t="shared" si="106"/>
        <v>549.39145924420882</v>
      </c>
      <c r="V355" s="120">
        <f t="shared" si="106"/>
        <v>2753.8071065989848</v>
      </c>
      <c r="W355" s="120">
        <f t="shared" si="106"/>
        <v>37003.529411764706</v>
      </c>
      <c r="X355" s="120">
        <f>X354/X$2</f>
        <v>10106.332453825857</v>
      </c>
      <c r="Y355" s="120"/>
      <c r="Z355" s="120">
        <f>Z354/Z$2</f>
        <v>12638.961487963188</v>
      </c>
      <c r="AA355" s="120"/>
      <c r="AB355" s="120">
        <f>AB354/AB$2</f>
        <v>13441.818181818182</v>
      </c>
      <c r="AC355" s="120"/>
      <c r="AD355" s="120">
        <f>AD354/AD$2</f>
        <v>12954.413319238902</v>
      </c>
      <c r="AE355" s="120">
        <f t="shared" si="106"/>
        <v>3915.5199999999991</v>
      </c>
      <c r="AF355" s="120">
        <f>AF354/AF$2</f>
        <v>24344.682950900569</v>
      </c>
      <c r="AG355" s="120">
        <f t="shared" si="106"/>
        <v>123474.29</v>
      </c>
      <c r="AH355" s="120">
        <f>AH354/AH$2</f>
        <v>1185.48</v>
      </c>
      <c r="AI355" s="120">
        <f>AI354/$AI$2</f>
        <v>22312.051282051281</v>
      </c>
      <c r="AJ355" s="56">
        <f>AJ354/$AJ$2</f>
        <v>14.369000000000002</v>
      </c>
      <c r="AK355" s="57">
        <f>AK354/$AJ$2</f>
        <v>26.704999999999998</v>
      </c>
      <c r="AL355" s="57">
        <f>AL354/$AJ$2</f>
        <v>160.12900000000002</v>
      </c>
      <c r="AM355" s="57">
        <f>AM354/$AJ$2</f>
        <v>10.363999999999999</v>
      </c>
      <c r="AN355" s="57">
        <f>AN354/$AJ$2</f>
        <v>6.3922449497665186</v>
      </c>
      <c r="AO355" s="57">
        <f>AO354/$AJ$2</f>
        <v>6.4494449798831486</v>
      </c>
      <c r="AP355" s="57">
        <f>AP354/$AJ$2</f>
        <v>3.3082571873891307</v>
      </c>
      <c r="AQ355" s="57">
        <f>AQ354/$AJ$2</f>
        <v>25.59817446790283</v>
      </c>
      <c r="AR355" s="57">
        <f>AR354/$AJ$2</f>
        <v>10.296005420993655</v>
      </c>
      <c r="AS355" s="57">
        <f>AS354/$AJ$2</f>
        <v>1.3815789452427951</v>
      </c>
      <c r="AT355" s="57">
        <f>AT354/$AJ$2</f>
        <v>0.62000058426092963</v>
      </c>
      <c r="AU355" s="57">
        <f>AU354/$AJ$2</f>
        <v>113.41910688111348</v>
      </c>
      <c r="AV355" s="57">
        <f>AV354/$AJ$2</f>
        <v>61.799058236679315</v>
      </c>
      <c r="AW355" s="57">
        <f>AW354/$AJ$2</f>
        <v>11.279010628837131</v>
      </c>
      <c r="AX355" s="57">
        <f>AX354/$AJ$2</f>
        <v>7.2400068226598862</v>
      </c>
      <c r="AY355" s="57">
        <f>AY354/$AJ$2</f>
        <v>12.130011430782378</v>
      </c>
    </row>
    <row r="356" spans="1:51" x14ac:dyDescent="0.2">
      <c r="A356" s="50" t="s">
        <v>54</v>
      </c>
      <c r="B356" s="59">
        <f>B357*B2</f>
        <v>1350560.8499999999</v>
      </c>
      <c r="C356" s="59">
        <f t="shared" ref="C356:AI356" si="107">C357*C2</f>
        <v>330512</v>
      </c>
      <c r="D356" s="59">
        <f t="shared" si="107"/>
        <v>30095.52</v>
      </c>
      <c r="E356" s="59">
        <f t="shared" si="107"/>
        <v>61334.17</v>
      </c>
      <c r="F356" s="59">
        <f t="shared" si="107"/>
        <v>28140.896000000001</v>
      </c>
      <c r="G356" s="59">
        <f t="shared" si="107"/>
        <v>28140.896000000001</v>
      </c>
      <c r="H356" s="60">
        <f t="shared" si="107"/>
        <v>267551.68000000005</v>
      </c>
      <c r="I356" s="59">
        <f t="shared" si="107"/>
        <v>42534.924999999996</v>
      </c>
      <c r="J356" s="59">
        <f t="shared" si="107"/>
        <v>85973.213000000003</v>
      </c>
      <c r="K356" s="59">
        <f t="shared" si="107"/>
        <v>367704</v>
      </c>
      <c r="L356" s="59">
        <f t="shared" si="107"/>
        <v>119319.4831056</v>
      </c>
      <c r="M356" s="59">
        <f t="shared" si="107"/>
        <v>279930</v>
      </c>
      <c r="N356" s="59">
        <f t="shared" si="107"/>
        <v>11371</v>
      </c>
      <c r="O356" s="59">
        <f t="shared" si="107"/>
        <v>295741</v>
      </c>
      <c r="P356" s="59">
        <f t="shared" si="107"/>
        <v>9720</v>
      </c>
      <c r="Q356" s="59">
        <f t="shared" si="107"/>
        <v>210243</v>
      </c>
      <c r="R356" s="59">
        <f t="shared" si="107"/>
        <v>79703</v>
      </c>
      <c r="S356" s="59">
        <f t="shared" si="107"/>
        <v>335201</v>
      </c>
      <c r="T356" s="59">
        <f t="shared" si="107"/>
        <v>245117</v>
      </c>
      <c r="U356" s="59">
        <f t="shared" si="107"/>
        <v>4729.9295999999986</v>
      </c>
      <c r="V356" s="59">
        <f t="shared" si="107"/>
        <v>21700</v>
      </c>
      <c r="W356" s="59">
        <f t="shared" si="107"/>
        <v>283077</v>
      </c>
      <c r="X356" s="59">
        <f t="shared" si="107"/>
        <v>76606</v>
      </c>
      <c r="Y356" s="59">
        <f t="shared" si="107"/>
        <v>0</v>
      </c>
      <c r="Z356" s="59">
        <f t="shared" si="107"/>
        <v>92124</v>
      </c>
      <c r="AA356" s="59">
        <f t="shared" si="107"/>
        <v>0</v>
      </c>
      <c r="AB356" s="59">
        <f t="shared" si="107"/>
        <v>97856.436363636371</v>
      </c>
      <c r="AC356" s="59">
        <f t="shared" si="107"/>
        <v>0</v>
      </c>
      <c r="AD356" s="59">
        <f t="shared" si="107"/>
        <v>98039</v>
      </c>
      <c r="AE356" s="59">
        <f t="shared" si="107"/>
        <v>33007.833599999991</v>
      </c>
      <c r="AF356" s="59">
        <f t="shared" si="107"/>
        <v>197338</v>
      </c>
      <c r="AG356" s="59">
        <f t="shared" si="107"/>
        <v>891484.37379999994</v>
      </c>
      <c r="AH356" s="59">
        <f t="shared" si="107"/>
        <v>9941.9268594351597</v>
      </c>
      <c r="AI356" s="59">
        <f t="shared" si="107"/>
        <v>174034</v>
      </c>
      <c r="AJ356" s="61">
        <f>AJ357*AJ2</f>
        <v>507.43644611404909</v>
      </c>
      <c r="AK356" s="61">
        <f>AK357*$AJ$2</f>
        <v>943.07817478430502</v>
      </c>
      <c r="AL356" s="61">
        <f>AL357*$AJ$2</f>
        <v>5654.9022673670097</v>
      </c>
      <c r="AM356" s="61">
        <f>AM357*$AJ$2</f>
        <v>366.00120589644399</v>
      </c>
      <c r="AN356" s="61">
        <f>AN357*$AJ$2</f>
        <v>225.74</v>
      </c>
      <c r="AO356" s="61">
        <f>AO357*$AJ$2</f>
        <v>227.75999999999996</v>
      </c>
      <c r="AP356" s="61">
        <f>AP357*$AJ$2</f>
        <v>116.83</v>
      </c>
      <c r="AQ356" s="61">
        <f>AQ357*$AJ$2</f>
        <v>903.99099999999999</v>
      </c>
      <c r="AR356" s="61">
        <f>AR357*$AJ$2</f>
        <v>363.60000000000025</v>
      </c>
      <c r="AS356" s="61">
        <f>AS357*$AJ$2</f>
        <v>48.79000000000002</v>
      </c>
      <c r="AT356" s="61">
        <f>AT357*$AJ$2</f>
        <v>21.89511400000001</v>
      </c>
      <c r="AU356" s="61">
        <f>AU357*$AJ$2</f>
        <v>4005.3579593000004</v>
      </c>
      <c r="AV356" s="62">
        <f>AV357*$AJ$2</f>
        <v>2182.4131453</v>
      </c>
      <c r="AW356" s="62">
        <f>AW357*$AJ$2</f>
        <v>398.31450129999996</v>
      </c>
      <c r="AX356" s="62">
        <f>AX357*$AJ$2</f>
        <v>255.67842800000005</v>
      </c>
      <c r="AY356" s="62">
        <f>AY354</f>
        <v>428.36731100000009</v>
      </c>
    </row>
    <row r="357" spans="1:51" x14ac:dyDescent="0.2">
      <c r="A357" s="50" t="s">
        <v>55</v>
      </c>
      <c r="B357" s="59">
        <f>B355</f>
        <v>179835</v>
      </c>
      <c r="C357" s="59">
        <f t="shared" ref="C357:AG357" si="108">C355</f>
        <v>45400</v>
      </c>
      <c r="D357" s="59">
        <f t="shared" si="108"/>
        <v>4134</v>
      </c>
      <c r="E357" s="59">
        <f t="shared" si="108"/>
        <v>8167</v>
      </c>
      <c r="F357" s="59">
        <f t="shared" si="108"/>
        <v>3836</v>
      </c>
      <c r="G357" s="59">
        <f t="shared" si="108"/>
        <v>3836</v>
      </c>
      <c r="H357" s="60">
        <f t="shared" si="108"/>
        <v>36193.252431217043</v>
      </c>
      <c r="I357" s="59">
        <f t="shared" si="108"/>
        <v>5695.8067988309986</v>
      </c>
      <c r="J357" s="59">
        <f t="shared" si="108"/>
        <v>11559.356006791495</v>
      </c>
      <c r="K357" s="59">
        <f t="shared" si="108"/>
        <v>46087.957905292504</v>
      </c>
      <c r="L357" s="59">
        <f t="shared" si="108"/>
        <v>15671.39165587473</v>
      </c>
      <c r="M357" s="59">
        <f t="shared" si="108"/>
        <v>36930.079155672822</v>
      </c>
      <c r="N357" s="59">
        <f t="shared" si="108"/>
        <v>1454.0920716112532</v>
      </c>
      <c r="O357" s="59">
        <f t="shared" si="108"/>
        <v>39432.133333333331</v>
      </c>
      <c r="P357" s="59">
        <f t="shared" si="108"/>
        <v>1296</v>
      </c>
      <c r="Q357" s="59">
        <f t="shared" si="108"/>
        <v>28258.467741935481</v>
      </c>
      <c r="R357" s="59">
        <f t="shared" si="108"/>
        <v>10218.333333333334</v>
      </c>
      <c r="S357" s="59">
        <f t="shared" si="108"/>
        <v>45084.196368527235</v>
      </c>
      <c r="T357" s="59">
        <f t="shared" si="108"/>
        <v>32967.9892400807</v>
      </c>
      <c r="U357" s="59">
        <f t="shared" si="108"/>
        <v>549.39145924420882</v>
      </c>
      <c r="V357" s="59">
        <f t="shared" si="108"/>
        <v>2753.8071065989848</v>
      </c>
      <c r="W357" s="59">
        <f t="shared" si="108"/>
        <v>37003.529411764706</v>
      </c>
      <c r="X357" s="59">
        <f t="shared" si="108"/>
        <v>10106.332453825857</v>
      </c>
      <c r="Y357" s="59">
        <f t="shared" si="108"/>
        <v>0</v>
      </c>
      <c r="Z357" s="59">
        <f t="shared" si="108"/>
        <v>12638.961487963188</v>
      </c>
      <c r="AA357" s="59">
        <f t="shared" si="108"/>
        <v>0</v>
      </c>
      <c r="AB357" s="59">
        <f t="shared" si="108"/>
        <v>13441.818181818182</v>
      </c>
      <c r="AC357" s="59">
        <f t="shared" si="108"/>
        <v>0</v>
      </c>
      <c r="AD357" s="59">
        <f t="shared" si="108"/>
        <v>12954.413319238902</v>
      </c>
      <c r="AE357" s="59">
        <f t="shared" si="108"/>
        <v>3915.5199999999991</v>
      </c>
      <c r="AF357" s="59">
        <f>AF355</f>
        <v>24344.682950900569</v>
      </c>
      <c r="AG357" s="59">
        <f t="shared" si="108"/>
        <v>123474.29</v>
      </c>
      <c r="AH357" s="59">
        <f>AH355</f>
        <v>1185.48</v>
      </c>
      <c r="AI357" s="59">
        <f>AI355</f>
        <v>22312.051282051281</v>
      </c>
      <c r="AJ357" s="61">
        <f>AJ355</f>
        <v>14.369000000000002</v>
      </c>
      <c r="AK357" s="61">
        <f t="shared" ref="AK357:AY357" si="109">AK355</f>
        <v>26.704999999999998</v>
      </c>
      <c r="AL357" s="61">
        <f t="shared" si="109"/>
        <v>160.12900000000002</v>
      </c>
      <c r="AM357" s="61">
        <f t="shared" si="109"/>
        <v>10.363999999999999</v>
      </c>
      <c r="AN357" s="61">
        <f t="shared" si="109"/>
        <v>6.3922449497665186</v>
      </c>
      <c r="AO357" s="61">
        <f t="shared" si="109"/>
        <v>6.4494449798831486</v>
      </c>
      <c r="AP357" s="61">
        <f t="shared" si="109"/>
        <v>3.3082571873891307</v>
      </c>
      <c r="AQ357" s="61">
        <f t="shared" si="109"/>
        <v>25.59817446790283</v>
      </c>
      <c r="AR357" s="61">
        <f t="shared" si="109"/>
        <v>10.296005420993655</v>
      </c>
      <c r="AS357" s="61">
        <f t="shared" si="109"/>
        <v>1.3815789452427951</v>
      </c>
      <c r="AT357" s="61">
        <f t="shared" si="109"/>
        <v>0.62000058426092963</v>
      </c>
      <c r="AU357" s="61">
        <f t="shared" si="109"/>
        <v>113.41910688111348</v>
      </c>
      <c r="AV357" s="61">
        <f t="shared" si="109"/>
        <v>61.799058236679315</v>
      </c>
      <c r="AW357" s="61">
        <f t="shared" si="109"/>
        <v>11.279010628837131</v>
      </c>
      <c r="AX357" s="61">
        <f t="shared" si="109"/>
        <v>7.2400068226598862</v>
      </c>
      <c r="AY357" s="61">
        <f t="shared" si="109"/>
        <v>12.130011430782378</v>
      </c>
    </row>
    <row r="358" spans="1:51" s="66" customFormat="1" x14ac:dyDescent="0.2">
      <c r="A358" s="50" t="s">
        <v>56</v>
      </c>
      <c r="B358" s="65">
        <f>B357+B322</f>
        <v>1250073</v>
      </c>
      <c r="C358" s="65">
        <f t="shared" ref="C358:AA358" si="110">C357+C322</f>
        <v>329709</v>
      </c>
      <c r="D358" s="65">
        <f t="shared" si="110"/>
        <v>28194</v>
      </c>
      <c r="E358" s="65">
        <f t="shared" si="110"/>
        <v>47692</v>
      </c>
      <c r="F358" s="65">
        <f t="shared" si="110"/>
        <v>23544</v>
      </c>
      <c r="G358" s="65">
        <f t="shared" si="110"/>
        <v>25551</v>
      </c>
      <c r="H358" s="93">
        <f>H357+H322</f>
        <v>253728.64365824871</v>
      </c>
      <c r="I358" s="65">
        <f t="shared" si="110"/>
        <v>25641.299171103026</v>
      </c>
      <c r="J358" s="65">
        <f t="shared" si="110"/>
        <v>60321.238684711774</v>
      </c>
      <c r="K358" s="65">
        <f t="shared" si="110"/>
        <v>323256.19188300852</v>
      </c>
      <c r="L358" s="65">
        <f t="shared" si="110"/>
        <v>103508.14506114095</v>
      </c>
      <c r="M358" s="65">
        <f t="shared" si="110"/>
        <v>244658.34538258577</v>
      </c>
      <c r="N358" s="65">
        <f t="shared" si="110"/>
        <v>10211.989450127876</v>
      </c>
      <c r="O358" s="65">
        <f t="shared" si="110"/>
        <v>252340.53333333335</v>
      </c>
      <c r="P358" s="65">
        <f t="shared" si="110"/>
        <v>10465.466666666665</v>
      </c>
      <c r="Q358" s="65">
        <f t="shared" si="110"/>
        <v>213356.8548387097</v>
      </c>
      <c r="R358" s="65">
        <f t="shared" si="110"/>
        <v>77116.538461538468</v>
      </c>
      <c r="S358" s="65">
        <f t="shared" si="110"/>
        <v>293264.4250168124</v>
      </c>
      <c r="T358" s="65">
        <f t="shared" si="110"/>
        <v>237153.7323470074</v>
      </c>
      <c r="U358" s="65">
        <f t="shared" si="110"/>
        <v>2937.8196881459771</v>
      </c>
      <c r="V358" s="65">
        <f t="shared" si="110"/>
        <v>21971.827411167516</v>
      </c>
      <c r="W358" s="65">
        <f t="shared" si="110"/>
        <v>210727.97385620914</v>
      </c>
      <c r="X358" s="65">
        <f t="shared" si="110"/>
        <v>105236.42480211079</v>
      </c>
      <c r="Y358" s="65">
        <f t="shared" si="110"/>
        <v>0</v>
      </c>
      <c r="Z358" s="65">
        <f t="shared" si="110"/>
        <v>93035.839476243971</v>
      </c>
      <c r="AA358" s="65">
        <f t="shared" si="110"/>
        <v>0</v>
      </c>
      <c r="AB358" s="65">
        <f>AB357+AB322</f>
        <v>97806.854545454524</v>
      </c>
      <c r="AC358" s="65">
        <f t="shared" ref="AC358:AG358" si="111">AC357+AC322</f>
        <v>0</v>
      </c>
      <c r="AD358" s="65">
        <f t="shared" si="111"/>
        <v>107246.82875264272</v>
      </c>
      <c r="AE358" s="65">
        <f>AE357+AE322</f>
        <v>33689.040000000001</v>
      </c>
      <c r="AF358" s="65">
        <f>AF357+AF322</f>
        <v>203729.33629410315</v>
      </c>
      <c r="AG358" s="65">
        <f t="shared" si="111"/>
        <v>865391.53</v>
      </c>
      <c r="AH358" s="65">
        <f>AH357+AH322</f>
        <v>7328.2575000000015</v>
      </c>
      <c r="AI358" s="65">
        <f>AI357+AI322</f>
        <v>185116.76456410257</v>
      </c>
      <c r="AJ358" s="127">
        <f t="shared" ref="AJ358:AQ358" si="112">AJ357+AJ322</f>
        <v>95.102382000000006</v>
      </c>
      <c r="AK358" s="94">
        <f t="shared" si="112"/>
        <v>224.26326</v>
      </c>
      <c r="AL358" s="94">
        <f t="shared" si="112"/>
        <v>1220.2108773577611</v>
      </c>
      <c r="AM358" s="94">
        <f t="shared" si="112"/>
        <v>79.720200000000006</v>
      </c>
      <c r="AN358" s="94">
        <f t="shared" si="112"/>
        <v>47.346042175890986</v>
      </c>
      <c r="AO358" s="94">
        <f t="shared" si="112"/>
        <v>41.166465239087309</v>
      </c>
      <c r="AP358" s="94">
        <f t="shared" si="112"/>
        <v>41.217435562953618</v>
      </c>
      <c r="AQ358" s="94">
        <f t="shared" si="112"/>
        <v>191.96168701115914</v>
      </c>
      <c r="AR358" s="94">
        <f t="shared" ref="AR358:AY358" si="113">AR357+AR322</f>
        <v>60.657861105704612</v>
      </c>
      <c r="AS358" s="94">
        <f t="shared" si="113"/>
        <v>17.958912227900562</v>
      </c>
      <c r="AT358" s="94">
        <f t="shared" si="113"/>
        <v>3.2731025190127272</v>
      </c>
      <c r="AU358" s="94">
        <f t="shared" si="113"/>
        <v>1025.6562604899905</v>
      </c>
      <c r="AV358" s="94">
        <f t="shared" si="113"/>
        <v>599.66455241383517</v>
      </c>
      <c r="AW358" s="94">
        <f t="shared" si="113"/>
        <v>85.396335432118818</v>
      </c>
      <c r="AX358" s="94">
        <f t="shared" si="113"/>
        <v>59.215476802027283</v>
      </c>
      <c r="AY358" s="94">
        <f t="shared" si="113"/>
        <v>87.785614825252551</v>
      </c>
    </row>
    <row r="359" spans="1:51" ht="13.5" customHeight="1" x14ac:dyDescent="0.2">
      <c r="A359" s="40">
        <v>45597</v>
      </c>
      <c r="B359" s="154">
        <v>5867</v>
      </c>
      <c r="C359" s="154">
        <v>1518</v>
      </c>
      <c r="D359" s="154">
        <v>132</v>
      </c>
      <c r="E359" s="154">
        <v>253</v>
      </c>
      <c r="F359" s="154">
        <v>125</v>
      </c>
      <c r="G359" s="154">
        <v>125</v>
      </c>
      <c r="H359" s="155">
        <v>8293.1910000000007</v>
      </c>
      <c r="I359" s="154">
        <v>1265.9549999999999</v>
      </c>
      <c r="J359" s="154">
        <v>2604.422</v>
      </c>
      <c r="K359" s="154">
        <v>11186</v>
      </c>
      <c r="L359" s="154">
        <v>3698.5629625199999</v>
      </c>
      <c r="M359" s="154">
        <v>8071</v>
      </c>
      <c r="N359" s="154">
        <v>738</v>
      </c>
      <c r="O359" s="154">
        <v>9692</v>
      </c>
      <c r="P359" s="154">
        <v>314</v>
      </c>
      <c r="Q359" s="154">
        <v>6574</v>
      </c>
      <c r="R359" s="154">
        <v>2174</v>
      </c>
      <c r="S359" s="154">
        <v>11929</v>
      </c>
      <c r="T359" s="154">
        <v>8628</v>
      </c>
      <c r="U359" s="154">
        <v>213.85319999999999</v>
      </c>
      <c r="V359" s="154">
        <v>700</v>
      </c>
      <c r="W359" s="154">
        <v>8814</v>
      </c>
      <c r="X359" s="154">
        <v>2901</v>
      </c>
      <c r="Y359" s="154"/>
      <c r="Z359" s="154">
        <v>2945</v>
      </c>
      <c r="AA359" s="154"/>
      <c r="AB359" s="154">
        <v>425.45454545454544</v>
      </c>
      <c r="AC359" s="154"/>
      <c r="AD359" s="154">
        <v>4315</v>
      </c>
      <c r="AE359" s="154">
        <v>134.4</v>
      </c>
      <c r="AF359" s="154">
        <v>7062</v>
      </c>
      <c r="AG359" s="154">
        <v>3948.91</v>
      </c>
      <c r="AH359" s="154">
        <v>39.6</v>
      </c>
      <c r="AI359" s="154">
        <v>6441</v>
      </c>
      <c r="AJ359" s="156">
        <v>0.36699999999999999</v>
      </c>
      <c r="AK359" s="100">
        <v>0.81299999999999994</v>
      </c>
      <c r="AL359" s="46">
        <v>219.621912337899</v>
      </c>
      <c r="AM359" s="156">
        <v>0.30599999999999999</v>
      </c>
      <c r="AN359" s="100">
        <v>6.6</v>
      </c>
      <c r="AO359" s="100">
        <v>7.61</v>
      </c>
      <c r="AP359" s="100">
        <v>4.8</v>
      </c>
      <c r="AQ359" s="100">
        <v>33</v>
      </c>
      <c r="AR359" s="100">
        <v>12.6</v>
      </c>
      <c r="AS359" s="100">
        <v>0.32</v>
      </c>
      <c r="AT359" s="100">
        <v>0.02</v>
      </c>
      <c r="AU359" s="156">
        <v>0.95</v>
      </c>
      <c r="AV359" s="116">
        <v>3.01</v>
      </c>
      <c r="AW359" s="100">
        <v>13.3136419</v>
      </c>
      <c r="AX359" s="100">
        <v>0.34699999999999998</v>
      </c>
      <c r="AY359" s="156">
        <v>0.45800000000000002</v>
      </c>
    </row>
    <row r="360" spans="1:51" ht="13.5" customHeight="1" x14ac:dyDescent="0.2">
      <c r="A360" s="40">
        <v>45598</v>
      </c>
      <c r="B360" s="154">
        <v>5799</v>
      </c>
      <c r="C360" s="154">
        <v>1482</v>
      </c>
      <c r="D360" s="154">
        <v>132</v>
      </c>
      <c r="E360" s="154">
        <v>255</v>
      </c>
      <c r="F360" s="154">
        <v>125</v>
      </c>
      <c r="G360" s="154">
        <v>125</v>
      </c>
      <c r="H360" s="155">
        <v>8219.2440000000006</v>
      </c>
      <c r="I360" s="154">
        <v>646.45699999999999</v>
      </c>
      <c r="J360" s="154">
        <v>1501.367</v>
      </c>
      <c r="K360" s="154">
        <v>11099</v>
      </c>
      <c r="L360" s="154">
        <v>3575.3327817999998</v>
      </c>
      <c r="M360" s="154">
        <v>8213</v>
      </c>
      <c r="N360" s="154">
        <v>593</v>
      </c>
      <c r="O360" s="154">
        <v>7051</v>
      </c>
      <c r="P360" s="154">
        <v>296</v>
      </c>
      <c r="Q360" s="154">
        <v>6560</v>
      </c>
      <c r="R360" s="154">
        <v>2067</v>
      </c>
      <c r="S360" s="154">
        <v>11659</v>
      </c>
      <c r="T360" s="154">
        <v>8661</v>
      </c>
      <c r="U360" s="154">
        <v>100.63679999999999</v>
      </c>
      <c r="V360" s="154">
        <v>700</v>
      </c>
      <c r="W360" s="154">
        <v>8632</v>
      </c>
      <c r="X360" s="154">
        <v>2577</v>
      </c>
      <c r="Y360" s="154"/>
      <c r="Z360" s="154">
        <v>2950</v>
      </c>
      <c r="AA360" s="154"/>
      <c r="AB360" s="154">
        <v>321.81818181818181</v>
      </c>
      <c r="AC360" s="154"/>
      <c r="AD360" s="154">
        <v>3086</v>
      </c>
      <c r="AE360" s="154">
        <v>128.68</v>
      </c>
      <c r="AF360" s="154">
        <v>6562</v>
      </c>
      <c r="AG360" s="154">
        <v>3931.27</v>
      </c>
      <c r="AH360" s="154">
        <v>40.32</v>
      </c>
      <c r="AI360" s="154">
        <v>6380</v>
      </c>
      <c r="AJ360" s="156">
        <v>0.39400000000000002</v>
      </c>
      <c r="AK360" s="100">
        <v>0.85299999999999998</v>
      </c>
      <c r="AL360" s="46">
        <v>193.02996829698603</v>
      </c>
      <c r="AM360" s="156">
        <v>0.48499999999999999</v>
      </c>
      <c r="AN360" s="100">
        <v>8.0399999999999991</v>
      </c>
      <c r="AO360" s="100">
        <v>7.27</v>
      </c>
      <c r="AP360" s="100">
        <v>4.7300000000000004</v>
      </c>
      <c r="AQ360" s="100">
        <v>10</v>
      </c>
      <c r="AR360" s="100">
        <v>12.37</v>
      </c>
      <c r="AS360" s="100">
        <v>0.32</v>
      </c>
      <c r="AT360" s="100">
        <v>0.9</v>
      </c>
      <c r="AU360" s="156">
        <v>3.5390000000000001</v>
      </c>
      <c r="AV360" s="116">
        <v>1.7769999999999999</v>
      </c>
      <c r="AW360" s="100">
        <v>13.348956600000001</v>
      </c>
      <c r="AX360" s="100">
        <v>0.34699999999999998</v>
      </c>
      <c r="AY360" s="156">
        <v>0.46</v>
      </c>
    </row>
    <row r="361" spans="1:51" ht="13.5" customHeight="1" x14ac:dyDescent="0.2">
      <c r="A361" s="40">
        <v>45599</v>
      </c>
      <c r="B361" s="154">
        <v>5782</v>
      </c>
      <c r="C361" s="154">
        <v>1493</v>
      </c>
      <c r="D361" s="154">
        <v>128</v>
      </c>
      <c r="E361" s="154">
        <v>242</v>
      </c>
      <c r="F361" s="154">
        <v>129</v>
      </c>
      <c r="G361" s="154">
        <v>129</v>
      </c>
      <c r="H361" s="155">
        <v>8395.73</v>
      </c>
      <c r="I361" s="154">
        <v>993.548</v>
      </c>
      <c r="J361" s="154">
        <v>2304.6089999999999</v>
      </c>
      <c r="K361" s="154">
        <v>11660</v>
      </c>
      <c r="L361" s="154">
        <v>3890.7120239999999</v>
      </c>
      <c r="M361" s="154">
        <v>8148</v>
      </c>
      <c r="N361" s="154">
        <v>553</v>
      </c>
      <c r="O361" s="154">
        <v>6306</v>
      </c>
      <c r="P361" s="154">
        <v>268</v>
      </c>
      <c r="Q361" s="154">
        <v>6571</v>
      </c>
      <c r="R361" s="154">
        <v>2193</v>
      </c>
      <c r="S361" s="154">
        <v>11957</v>
      </c>
      <c r="T361" s="154">
        <v>8687</v>
      </c>
      <c r="U361" s="154">
        <v>100.63679999999999</v>
      </c>
      <c r="V361" s="154">
        <v>700</v>
      </c>
      <c r="W361" s="154">
        <v>8668</v>
      </c>
      <c r="X361" s="154">
        <v>2485</v>
      </c>
      <c r="Y361" s="154"/>
      <c r="Z361" s="154">
        <v>2958</v>
      </c>
      <c r="AA361" s="154"/>
      <c r="AB361" s="154">
        <v>376.36363636363632</v>
      </c>
      <c r="AC361" s="154"/>
      <c r="AD361" s="154">
        <v>3586</v>
      </c>
      <c r="AE361" s="154">
        <v>85.68</v>
      </c>
      <c r="AF361" s="154">
        <v>3055</v>
      </c>
      <c r="AG361" s="154">
        <v>3951.85</v>
      </c>
      <c r="AH361" s="154">
        <v>40.32</v>
      </c>
      <c r="AI361" s="154">
        <v>6309</v>
      </c>
      <c r="AJ361" s="156">
        <v>0.371</v>
      </c>
      <c r="AK361" s="100">
        <v>0.8</v>
      </c>
      <c r="AL361" s="46">
        <v>199.95164297430199</v>
      </c>
      <c r="AM361" s="156">
        <v>0.49399999999999999</v>
      </c>
      <c r="AN361" s="100">
        <v>8.98</v>
      </c>
      <c r="AO361" s="100">
        <v>7.65</v>
      </c>
      <c r="AP361" s="100">
        <v>4.8499999999999996</v>
      </c>
      <c r="AQ361" s="100">
        <v>10</v>
      </c>
      <c r="AR361" s="100">
        <v>12.51</v>
      </c>
      <c r="AS361" s="100">
        <v>0.8</v>
      </c>
      <c r="AT361" s="100">
        <v>0.02</v>
      </c>
      <c r="AU361" s="156">
        <v>1.905</v>
      </c>
      <c r="AV361" s="116">
        <v>1.6679999999999999</v>
      </c>
      <c r="AW361" s="100">
        <v>13.419586000000001</v>
      </c>
      <c r="AX361" s="100">
        <v>0.33500000000000002</v>
      </c>
      <c r="AY361" s="156">
        <v>0.46400000000000002</v>
      </c>
    </row>
    <row r="362" spans="1:51" ht="13.5" customHeight="1" x14ac:dyDescent="0.2">
      <c r="A362" s="40">
        <v>45600</v>
      </c>
      <c r="B362" s="154">
        <v>5746</v>
      </c>
      <c r="C362" s="154">
        <v>1435</v>
      </c>
      <c r="D362" s="154">
        <v>127</v>
      </c>
      <c r="E362" s="154">
        <v>247</v>
      </c>
      <c r="F362" s="154">
        <v>126</v>
      </c>
      <c r="G362" s="154">
        <v>126</v>
      </c>
      <c r="H362" s="155">
        <v>8308</v>
      </c>
      <c r="I362" s="154">
        <v>916</v>
      </c>
      <c r="J362" s="154">
        <v>2125</v>
      </c>
      <c r="K362" s="154">
        <v>11831</v>
      </c>
      <c r="L362" s="154">
        <v>3796</v>
      </c>
      <c r="M362" s="154">
        <v>8078</v>
      </c>
      <c r="N362" s="154">
        <v>532</v>
      </c>
      <c r="O362" s="154">
        <v>6524</v>
      </c>
      <c r="P362" s="154">
        <v>321</v>
      </c>
      <c r="Q362" s="154">
        <v>6565</v>
      </c>
      <c r="R362" s="154">
        <v>2144</v>
      </c>
      <c r="S362" s="154">
        <v>11691</v>
      </c>
      <c r="T362" s="154">
        <v>8589</v>
      </c>
      <c r="U362" s="154">
        <v>100.63679999999999</v>
      </c>
      <c r="V362" s="154">
        <v>700</v>
      </c>
      <c r="W362" s="154">
        <v>8680</v>
      </c>
      <c r="X362" s="154">
        <v>2865</v>
      </c>
      <c r="Y362" s="154"/>
      <c r="Z362" s="154">
        <v>2971</v>
      </c>
      <c r="AA362" s="154"/>
      <c r="AB362" s="154">
        <v>370.90909090909088</v>
      </c>
      <c r="AC362" s="154"/>
      <c r="AD362" s="154">
        <v>3872</v>
      </c>
      <c r="AE362" s="154">
        <v>79.680000000000007</v>
      </c>
      <c r="AF362" s="154">
        <v>3760</v>
      </c>
      <c r="AG362" s="154">
        <v>3958.22</v>
      </c>
      <c r="AH362" s="154">
        <v>40.32</v>
      </c>
      <c r="AI362" s="154">
        <v>6712</v>
      </c>
      <c r="AJ362" s="156">
        <v>0.437</v>
      </c>
      <c r="AK362" s="100">
        <v>0.92500000000000004</v>
      </c>
      <c r="AL362" s="46">
        <v>201.152341642816</v>
      </c>
      <c r="AM362" s="156">
        <v>0.52700000000000002</v>
      </c>
      <c r="AN362" s="100">
        <v>8.75</v>
      </c>
      <c r="AO362" s="100">
        <v>8.4700000000000006</v>
      </c>
      <c r="AP362" s="100">
        <v>5.08</v>
      </c>
      <c r="AQ362" s="100">
        <v>18</v>
      </c>
      <c r="AR362" s="100">
        <v>12.2</v>
      </c>
      <c r="AS362" s="100">
        <v>1.1000000000000001</v>
      </c>
      <c r="AT362" s="100">
        <v>0.02</v>
      </c>
      <c r="AU362" s="156">
        <v>2.117</v>
      </c>
      <c r="AV362" s="116">
        <v>1.99</v>
      </c>
      <c r="AW362" s="100">
        <v>13.4902154</v>
      </c>
      <c r="AX362" s="100">
        <v>0.34699999999999998</v>
      </c>
      <c r="AY362" s="156">
        <v>0.46700000000000003</v>
      </c>
    </row>
    <row r="363" spans="1:51" ht="13.5" customHeight="1" x14ac:dyDescent="0.2">
      <c r="A363" s="40">
        <v>45601</v>
      </c>
      <c r="B363" s="154">
        <v>5719</v>
      </c>
      <c r="C363" s="154">
        <v>1430</v>
      </c>
      <c r="D363" s="154">
        <v>123</v>
      </c>
      <c r="E363" s="154">
        <v>233</v>
      </c>
      <c r="F363" s="154">
        <v>126</v>
      </c>
      <c r="G363" s="154">
        <v>126</v>
      </c>
      <c r="H363" s="155">
        <v>8273</v>
      </c>
      <c r="I363" s="154">
        <v>1117</v>
      </c>
      <c r="J363" s="154">
        <v>1882</v>
      </c>
      <c r="K363" s="154">
        <v>12157</v>
      </c>
      <c r="L363" s="154">
        <v>3762</v>
      </c>
      <c r="M363" s="154">
        <v>8131</v>
      </c>
      <c r="N363" s="154">
        <v>475</v>
      </c>
      <c r="O363" s="154">
        <v>8607</v>
      </c>
      <c r="P363" s="154">
        <v>321</v>
      </c>
      <c r="Q363" s="154">
        <v>6594</v>
      </c>
      <c r="R363" s="154">
        <v>2144</v>
      </c>
      <c r="S363" s="154">
        <v>11622</v>
      </c>
      <c r="T363" s="154">
        <v>8610</v>
      </c>
      <c r="U363" s="154">
        <v>100.63679999999999</v>
      </c>
      <c r="V363" s="154">
        <v>700</v>
      </c>
      <c r="W363" s="154">
        <v>8640</v>
      </c>
      <c r="X363" s="154">
        <v>2861</v>
      </c>
      <c r="Y363" s="154"/>
      <c r="Z363" s="154">
        <v>2921</v>
      </c>
      <c r="AA363" s="154"/>
      <c r="AB363" s="154">
        <v>325.45454545454544</v>
      </c>
      <c r="AC363" s="154"/>
      <c r="AD363" s="154">
        <v>3572</v>
      </c>
      <c r="AE363" s="154">
        <v>155.68</v>
      </c>
      <c r="AF363" s="154">
        <v>5550</v>
      </c>
      <c r="AG363" s="154">
        <v>3978.31</v>
      </c>
      <c r="AH363" s="154">
        <v>40.32</v>
      </c>
      <c r="AI363" s="154">
        <v>6668</v>
      </c>
      <c r="AJ363" s="156">
        <v>0.432</v>
      </c>
      <c r="AK363" s="100">
        <v>0.71599999999999997</v>
      </c>
      <c r="AL363" s="46">
        <v>205.14289898228901</v>
      </c>
      <c r="AM363" s="156">
        <v>0.52</v>
      </c>
      <c r="AN363" s="100">
        <v>7.67</v>
      </c>
      <c r="AO363" s="100">
        <v>8.34</v>
      </c>
      <c r="AP363" s="100">
        <v>5.12</v>
      </c>
      <c r="AQ363" s="100">
        <v>37</v>
      </c>
      <c r="AR363" s="100">
        <v>12.32</v>
      </c>
      <c r="AS363" s="100">
        <v>1.1000000000000001</v>
      </c>
      <c r="AT363" s="100">
        <v>0.02</v>
      </c>
      <c r="AU363" s="156">
        <v>3.1179999999999999</v>
      </c>
      <c r="AV363" s="116">
        <v>1.4930000000000001</v>
      </c>
      <c r="AW363" s="100">
        <v>14.231824100000001</v>
      </c>
      <c r="AX363" s="100">
        <v>0.34599999999999997</v>
      </c>
      <c r="AY363" s="156">
        <v>0.46800000000000003</v>
      </c>
    </row>
    <row r="364" spans="1:51" ht="13.5" customHeight="1" x14ac:dyDescent="0.2">
      <c r="A364" s="40">
        <v>45602</v>
      </c>
      <c r="B364" s="154">
        <v>5709</v>
      </c>
      <c r="C364" s="154">
        <v>1415</v>
      </c>
      <c r="D364" s="154">
        <v>129</v>
      </c>
      <c r="E364" s="154">
        <v>238</v>
      </c>
      <c r="F364" s="154">
        <v>126</v>
      </c>
      <c r="G364" s="154">
        <v>126</v>
      </c>
      <c r="H364" s="155">
        <v>8387.8709999999992</v>
      </c>
      <c r="I364" s="154">
        <v>1328.9</v>
      </c>
      <c r="J364" s="154">
        <v>2074.3290000000002</v>
      </c>
      <c r="K364" s="154">
        <v>12508</v>
      </c>
      <c r="L364" s="154">
        <v>3984.6030809200001</v>
      </c>
      <c r="M364" s="154">
        <v>8105</v>
      </c>
      <c r="N364" s="154">
        <v>503</v>
      </c>
      <c r="O364" s="154">
        <v>10313</v>
      </c>
      <c r="P364" s="154">
        <v>346</v>
      </c>
      <c r="Q364" s="154">
        <v>6580</v>
      </c>
      <c r="R364" s="154">
        <v>2144</v>
      </c>
      <c r="S364" s="154">
        <v>11521</v>
      </c>
      <c r="T364" s="154">
        <v>8434</v>
      </c>
      <c r="U364" s="154">
        <v>100.63679999999999</v>
      </c>
      <c r="V364" s="154">
        <v>700</v>
      </c>
      <c r="W364" s="154">
        <v>8650</v>
      </c>
      <c r="X364" s="154">
        <v>2863</v>
      </c>
      <c r="Y364" s="154"/>
      <c r="Z364" s="154">
        <v>2932</v>
      </c>
      <c r="AA364" s="154"/>
      <c r="AB364" s="154">
        <v>456.36363636363632</v>
      </c>
      <c r="AC364" s="154"/>
      <c r="AD364" s="154">
        <v>3539</v>
      </c>
      <c r="AE364" s="154">
        <v>152</v>
      </c>
      <c r="AF364" s="154">
        <v>6604</v>
      </c>
      <c r="AG364" s="154">
        <v>3989.58</v>
      </c>
      <c r="AH364" s="154">
        <v>40</v>
      </c>
      <c r="AI364" s="154">
        <v>6361</v>
      </c>
      <c r="AJ364" s="156">
        <v>0.39900000000000002</v>
      </c>
      <c r="AK364" s="100">
        <v>0.86299999999999999</v>
      </c>
      <c r="AL364" s="46">
        <v>197.47961630383202</v>
      </c>
      <c r="AM364" s="156">
        <v>0.51600000000000001</v>
      </c>
      <c r="AN364" s="100">
        <v>6.65</v>
      </c>
      <c r="AO364" s="100">
        <v>8.25</v>
      </c>
      <c r="AP364" s="100">
        <v>5.99</v>
      </c>
      <c r="AQ364" s="100">
        <v>43</v>
      </c>
      <c r="AR364" s="100">
        <v>12.66</v>
      </c>
      <c r="AS364" s="100">
        <v>0.53</v>
      </c>
      <c r="AT364" s="100">
        <v>0.02</v>
      </c>
      <c r="AU364" s="156">
        <v>3.5059999999999998</v>
      </c>
      <c r="AV364" s="116">
        <v>1.7989999999999999</v>
      </c>
      <c r="AW364" s="100">
        <v>14.12588</v>
      </c>
      <c r="AX364" s="100">
        <v>0.33900000000000002</v>
      </c>
      <c r="AY364" s="156">
        <v>0.46700000000000003</v>
      </c>
    </row>
    <row r="365" spans="1:51" ht="13.5" customHeight="1" x14ac:dyDescent="0.2">
      <c r="A365" s="40">
        <v>45603</v>
      </c>
      <c r="B365" s="154">
        <v>5692</v>
      </c>
      <c r="C365" s="154">
        <v>1467</v>
      </c>
      <c r="D365" s="154">
        <v>127</v>
      </c>
      <c r="E365" s="154">
        <v>225</v>
      </c>
      <c r="F365" s="154">
        <v>124</v>
      </c>
      <c r="G365" s="154">
        <v>124</v>
      </c>
      <c r="H365" s="155">
        <v>8308.5570000000007</v>
      </c>
      <c r="I365" s="154">
        <v>1217.5440000000001</v>
      </c>
      <c r="J365" s="154">
        <v>2175.2190000000001</v>
      </c>
      <c r="K365" s="154">
        <v>12858</v>
      </c>
      <c r="L365" s="154">
        <v>3859.2659857200001</v>
      </c>
      <c r="M365" s="154">
        <v>8105</v>
      </c>
      <c r="N365" s="154">
        <v>503</v>
      </c>
      <c r="O365" s="154">
        <v>9264</v>
      </c>
      <c r="P365" s="154">
        <v>366</v>
      </c>
      <c r="Q365" s="154">
        <v>6596</v>
      </c>
      <c r="R365" s="154">
        <v>2144</v>
      </c>
      <c r="S365" s="154">
        <v>11514</v>
      </c>
      <c r="T365" s="154">
        <v>8725</v>
      </c>
      <c r="U365" s="154">
        <v>100.63679999999999</v>
      </c>
      <c r="V365" s="154">
        <v>700</v>
      </c>
      <c r="W365" s="154">
        <v>8964</v>
      </c>
      <c r="X365" s="154">
        <v>2886</v>
      </c>
      <c r="Y365" s="154"/>
      <c r="Z365" s="154">
        <v>2501</v>
      </c>
      <c r="AA365" s="154"/>
      <c r="AB365" s="154">
        <v>387.27272727272725</v>
      </c>
      <c r="AC365" s="154"/>
      <c r="AD365" s="154">
        <v>3613</v>
      </c>
      <c r="AE365" s="154">
        <v>139.75</v>
      </c>
      <c r="AF365" s="154">
        <v>6442</v>
      </c>
      <c r="AG365" s="154">
        <v>3983.21</v>
      </c>
      <c r="AH365" s="154">
        <v>41.25</v>
      </c>
      <c r="AI365" s="154">
        <v>6535</v>
      </c>
      <c r="AJ365" s="156">
        <v>0.41</v>
      </c>
      <c r="AK365" s="100">
        <v>0.872</v>
      </c>
      <c r="AL365" s="46">
        <v>197.93870697120502</v>
      </c>
      <c r="AM365" s="156">
        <v>0.48799999999999999</v>
      </c>
      <c r="AN365" s="100">
        <v>6.65</v>
      </c>
      <c r="AO365" s="100">
        <v>8.31</v>
      </c>
      <c r="AP365" s="100">
        <v>6.13</v>
      </c>
      <c r="AQ365" s="100">
        <v>43</v>
      </c>
      <c r="AR365" s="100">
        <v>12.63</v>
      </c>
      <c r="AS365" s="100">
        <v>0.85</v>
      </c>
      <c r="AT365" s="100">
        <v>0.02</v>
      </c>
      <c r="AU365" s="156">
        <v>3.5059999999999998</v>
      </c>
      <c r="AV365" s="116">
        <v>1.8720000000000001</v>
      </c>
      <c r="AW365" s="100">
        <v>14.0199359</v>
      </c>
      <c r="AX365" s="100">
        <v>0.33900000000000002</v>
      </c>
      <c r="AY365" s="156">
        <v>0.46700000000000003</v>
      </c>
    </row>
    <row r="366" spans="1:51" ht="13.5" customHeight="1" x14ac:dyDescent="0.2">
      <c r="A366" s="40">
        <v>45604</v>
      </c>
      <c r="B366" s="154">
        <v>5705</v>
      </c>
      <c r="C366" s="154">
        <v>1406</v>
      </c>
      <c r="D366" s="154">
        <v>129</v>
      </c>
      <c r="E366" s="154">
        <v>241</v>
      </c>
      <c r="F366" s="154">
        <v>125</v>
      </c>
      <c r="G366" s="154">
        <v>125</v>
      </c>
      <c r="H366" s="155">
        <v>8357.2710000000006</v>
      </c>
      <c r="I366" s="154">
        <v>1302.854</v>
      </c>
      <c r="J366" s="154">
        <v>2299.7570000000001</v>
      </c>
      <c r="K366" s="154">
        <v>12851</v>
      </c>
      <c r="L366" s="154">
        <v>3778.0493098000002</v>
      </c>
      <c r="M366" s="154">
        <v>8026</v>
      </c>
      <c r="N366" s="154">
        <v>383</v>
      </c>
      <c r="O366" s="154">
        <v>9258</v>
      </c>
      <c r="P366" s="154">
        <v>353</v>
      </c>
      <c r="Q366" s="154">
        <v>6562</v>
      </c>
      <c r="R366" s="154">
        <v>2144</v>
      </c>
      <c r="S366" s="154">
        <v>11635</v>
      </c>
      <c r="T366" s="154">
        <v>8486</v>
      </c>
      <c r="U366" s="154">
        <v>90.258629999999997</v>
      </c>
      <c r="V366" s="154">
        <v>700</v>
      </c>
      <c r="W366" s="154">
        <v>9000</v>
      </c>
      <c r="X366" s="154">
        <v>2714</v>
      </c>
      <c r="Y366" s="154"/>
      <c r="Z366" s="154">
        <v>2392</v>
      </c>
      <c r="AA366" s="154"/>
      <c r="AB366" s="154">
        <v>401.81818181818181</v>
      </c>
      <c r="AC366" s="154"/>
      <c r="AD366" s="154">
        <v>3441</v>
      </c>
      <c r="AE366" s="154">
        <v>137.75</v>
      </c>
      <c r="AF366" s="154">
        <v>5432</v>
      </c>
      <c r="AG366" s="154">
        <v>3979.29</v>
      </c>
      <c r="AH366" s="154">
        <v>41.25</v>
      </c>
      <c r="AI366" s="154">
        <v>6497</v>
      </c>
      <c r="AJ366" s="156">
        <v>0.39900000000000002</v>
      </c>
      <c r="AK366" s="100">
        <v>0.86199999999999999</v>
      </c>
      <c r="AL366" s="46">
        <v>183.91878428296801</v>
      </c>
      <c r="AM366" s="156">
        <v>0.5</v>
      </c>
      <c r="AN366" s="100">
        <v>6.74</v>
      </c>
      <c r="AO366" s="100">
        <v>8.34</v>
      </c>
      <c r="AP366" s="100">
        <v>6.13</v>
      </c>
      <c r="AQ366" s="100">
        <v>38.5</v>
      </c>
      <c r="AR366" s="100">
        <v>12.41</v>
      </c>
      <c r="AS366" s="100">
        <v>0.73</v>
      </c>
      <c r="AT366" s="100">
        <v>0.02</v>
      </c>
      <c r="AU366" s="156">
        <v>3.05</v>
      </c>
      <c r="AV366" s="116">
        <v>1.7969999999999999</v>
      </c>
      <c r="AW366" s="100">
        <v>13.8433624</v>
      </c>
      <c r="AX366" s="100">
        <v>0.34300000000000003</v>
      </c>
      <c r="AY366" s="156">
        <v>0.47</v>
      </c>
    </row>
    <row r="367" spans="1:51" ht="13.5" customHeight="1" x14ac:dyDescent="0.2">
      <c r="A367" s="40">
        <v>45605</v>
      </c>
      <c r="B367" s="154">
        <v>5732</v>
      </c>
      <c r="C367" s="154">
        <v>1419</v>
      </c>
      <c r="D367" s="154">
        <v>124</v>
      </c>
      <c r="E367" s="154">
        <v>238</v>
      </c>
      <c r="F367" s="154">
        <v>128</v>
      </c>
      <c r="G367" s="154">
        <v>128</v>
      </c>
      <c r="H367" s="155">
        <v>8214.0499999999993</v>
      </c>
      <c r="I367" s="154">
        <v>1148.9069999999999</v>
      </c>
      <c r="J367" s="154">
        <v>2051.9670000000001</v>
      </c>
      <c r="K367" s="154">
        <v>12683</v>
      </c>
      <c r="L367" s="154">
        <v>3731.8472770799999</v>
      </c>
      <c r="M367" s="154">
        <v>8044</v>
      </c>
      <c r="N367" s="154">
        <v>372</v>
      </c>
      <c r="O367" s="154">
        <v>9440</v>
      </c>
      <c r="P367" s="154">
        <v>349</v>
      </c>
      <c r="Q367" s="154">
        <v>6586</v>
      </c>
      <c r="R367" s="154">
        <v>2144</v>
      </c>
      <c r="S367" s="154">
        <v>11817</v>
      </c>
      <c r="T367" s="154">
        <v>8367</v>
      </c>
      <c r="U367" s="154">
        <v>84.912299999999988</v>
      </c>
      <c r="V367" s="154">
        <v>700</v>
      </c>
      <c r="W367" s="154">
        <v>9007</v>
      </c>
      <c r="X367" s="154">
        <v>2595</v>
      </c>
      <c r="Y367" s="154"/>
      <c r="Z367" s="154">
        <v>2617</v>
      </c>
      <c r="AA367" s="154"/>
      <c r="AB367" s="154">
        <v>410.90909090909088</v>
      </c>
      <c r="AC367" s="154"/>
      <c r="AD367" s="154">
        <v>2784</v>
      </c>
      <c r="AE367" s="154">
        <v>81</v>
      </c>
      <c r="AF367" s="154">
        <v>2502</v>
      </c>
      <c r="AG367" s="154">
        <v>3994.97</v>
      </c>
      <c r="AH367" s="154">
        <v>42</v>
      </c>
      <c r="AI367" s="154">
        <v>6152</v>
      </c>
      <c r="AJ367" s="156">
        <v>0.38200000000000001</v>
      </c>
      <c r="AK367" s="100">
        <v>0.82599999999999996</v>
      </c>
      <c r="AL367" s="46">
        <v>224.03624567802402</v>
      </c>
      <c r="AM367" s="156">
        <v>0.40899999999999997</v>
      </c>
      <c r="AN367" s="100">
        <v>6.14</v>
      </c>
      <c r="AO367" s="100">
        <v>8.0399999999999991</v>
      </c>
      <c r="AP367" s="100">
        <v>6.35</v>
      </c>
      <c r="AQ367" s="100">
        <v>10</v>
      </c>
      <c r="AR367" s="100">
        <v>12.41</v>
      </c>
      <c r="AS367" s="100">
        <v>0.69</v>
      </c>
      <c r="AT367" s="100">
        <v>0.02</v>
      </c>
      <c r="AU367" s="156">
        <v>1.663</v>
      </c>
      <c r="AV367" s="116">
        <v>1.72</v>
      </c>
      <c r="AW367" s="100">
        <v>13.631474200000001</v>
      </c>
      <c r="AX367" s="100">
        <v>0.34599999999999997</v>
      </c>
      <c r="AY367" s="156">
        <v>0.47</v>
      </c>
    </row>
    <row r="368" spans="1:51" ht="13.5" customHeight="1" x14ac:dyDescent="0.2">
      <c r="A368" s="40">
        <v>45606</v>
      </c>
      <c r="B368" s="154">
        <v>5482</v>
      </c>
      <c r="C368" s="154">
        <v>1359</v>
      </c>
      <c r="D368" s="154">
        <v>121</v>
      </c>
      <c r="E368" s="154">
        <v>229</v>
      </c>
      <c r="F368" s="154">
        <v>115</v>
      </c>
      <c r="G368" s="154">
        <v>115</v>
      </c>
      <c r="H368" s="155">
        <v>9809.9750000000004</v>
      </c>
      <c r="I368" s="154">
        <v>1098.037</v>
      </c>
      <c r="J368" s="154">
        <v>1901.0319999999999</v>
      </c>
      <c r="K368" s="154">
        <v>12755</v>
      </c>
      <c r="L368" s="154">
        <v>3660.1005125199999</v>
      </c>
      <c r="M368" s="154">
        <v>8090</v>
      </c>
      <c r="N368" s="154">
        <v>412</v>
      </c>
      <c r="O368" s="154">
        <v>9474</v>
      </c>
      <c r="P368" s="154">
        <v>354</v>
      </c>
      <c r="Q368" s="154">
        <v>6577</v>
      </c>
      <c r="R368" s="154">
        <v>2300</v>
      </c>
      <c r="S368" s="154">
        <v>11882</v>
      </c>
      <c r="T368" s="154">
        <v>8424</v>
      </c>
      <c r="U368" s="154">
        <v>38.996760000000002</v>
      </c>
      <c r="V368" s="154">
        <v>700</v>
      </c>
      <c r="W368" s="154">
        <v>8946</v>
      </c>
      <c r="X368" s="154">
        <v>2482</v>
      </c>
      <c r="Y368" s="154"/>
      <c r="Z368" s="154">
        <v>2901</v>
      </c>
      <c r="AA368" s="154"/>
      <c r="AB368" s="154">
        <v>449.09090909090907</v>
      </c>
      <c r="AC368" s="154"/>
      <c r="AD368" s="154">
        <v>3465</v>
      </c>
      <c r="AE368" s="154">
        <v>66.25</v>
      </c>
      <c r="AF368" s="154">
        <v>2600</v>
      </c>
      <c r="AG368" s="154">
        <v>3971.45</v>
      </c>
      <c r="AH368" s="154">
        <v>42.75</v>
      </c>
      <c r="AI368" s="154">
        <v>6534</v>
      </c>
      <c r="AJ368" s="156">
        <v>0.39</v>
      </c>
      <c r="AK368" s="100">
        <v>0.89500000000000002</v>
      </c>
      <c r="AL368" s="46">
        <v>192.46493362945</v>
      </c>
      <c r="AM368" s="156">
        <v>0.214</v>
      </c>
      <c r="AN368" s="100">
        <v>7.12</v>
      </c>
      <c r="AO368" s="100">
        <v>8.4700000000000006</v>
      </c>
      <c r="AP368" s="100">
        <v>6.06</v>
      </c>
      <c r="AQ368" s="100">
        <v>10</v>
      </c>
      <c r="AR368" s="100">
        <v>12.41</v>
      </c>
      <c r="AS368" s="100">
        <v>0.88</v>
      </c>
      <c r="AT368" s="100">
        <v>0.02</v>
      </c>
      <c r="AU368" s="156">
        <v>1.6220000000000001</v>
      </c>
      <c r="AV368" s="116">
        <v>1.7529999999999999</v>
      </c>
      <c r="AW368" s="100">
        <v>13.348956600000001</v>
      </c>
      <c r="AX368" s="100">
        <v>0.34899999999999998</v>
      </c>
      <c r="AY368" s="156">
        <v>0.47499999999999998</v>
      </c>
    </row>
    <row r="369" spans="1:51" ht="13.5" customHeight="1" x14ac:dyDescent="0.2">
      <c r="A369" s="40">
        <v>45607</v>
      </c>
      <c r="B369" s="154">
        <v>5549</v>
      </c>
      <c r="C369" s="154">
        <v>1449</v>
      </c>
      <c r="D369" s="154">
        <v>124</v>
      </c>
      <c r="E369" s="154">
        <v>235</v>
      </c>
      <c r="F369" s="154">
        <v>118</v>
      </c>
      <c r="G369" s="154">
        <v>118</v>
      </c>
      <c r="H369" s="155">
        <v>8430.8420000000006</v>
      </c>
      <c r="I369" s="154">
        <v>1286.7360000000001</v>
      </c>
      <c r="J369" s="154">
        <v>2227.7260000000001</v>
      </c>
      <c r="K369" s="154">
        <v>12780</v>
      </c>
      <c r="L369" s="154">
        <v>3826.6912109199998</v>
      </c>
      <c r="M369" s="154">
        <v>8295</v>
      </c>
      <c r="N369" s="154">
        <v>340</v>
      </c>
      <c r="O369" s="154">
        <v>9169</v>
      </c>
      <c r="P369" s="154">
        <v>364</v>
      </c>
      <c r="Q369" s="154">
        <v>6594</v>
      </c>
      <c r="R369" s="154">
        <v>2667</v>
      </c>
      <c r="S369" s="154">
        <v>11870</v>
      </c>
      <c r="T369" s="154">
        <v>8727</v>
      </c>
      <c r="U369" s="154">
        <v>38.996760000000002</v>
      </c>
      <c r="V369" s="154">
        <v>700</v>
      </c>
      <c r="W369" s="154">
        <v>8977</v>
      </c>
      <c r="X369" s="154">
        <v>2250</v>
      </c>
      <c r="Y369" s="154"/>
      <c r="Z369" s="154">
        <v>2955</v>
      </c>
      <c r="AA369" s="154"/>
      <c r="AB369" s="154">
        <v>418.18181818181813</v>
      </c>
      <c r="AC369" s="154"/>
      <c r="AD369" s="154">
        <v>3585</v>
      </c>
      <c r="AE369" s="154">
        <v>97.5</v>
      </c>
      <c r="AF369" s="154">
        <v>3205</v>
      </c>
      <c r="AG369" s="154">
        <v>3963.12</v>
      </c>
      <c r="AH369" s="154">
        <v>40.5</v>
      </c>
      <c r="AI369" s="154">
        <v>6310</v>
      </c>
      <c r="AJ369" s="156">
        <v>0.53600000000000003</v>
      </c>
      <c r="AK369" s="100">
        <v>1.046</v>
      </c>
      <c r="AL369" s="46">
        <v>186.53206962032201</v>
      </c>
      <c r="AM369" s="156">
        <v>0.247</v>
      </c>
      <c r="AN369" s="100">
        <v>6</v>
      </c>
      <c r="AO369" s="100">
        <v>9.1199999999999992</v>
      </c>
      <c r="AP369" s="100">
        <v>5.75</v>
      </c>
      <c r="AQ369" s="100">
        <v>10</v>
      </c>
      <c r="AR369" s="100">
        <v>12.41</v>
      </c>
      <c r="AS369" s="100">
        <v>1.02</v>
      </c>
      <c r="AT369" s="100">
        <v>0.02</v>
      </c>
      <c r="AU369" s="156">
        <v>1.8140000000000001</v>
      </c>
      <c r="AV369" s="116">
        <v>2.286</v>
      </c>
      <c r="AW369" s="100">
        <v>13.066439000000001</v>
      </c>
      <c r="AX369" s="100">
        <v>0.34399999999999997</v>
      </c>
      <c r="AY369" s="156">
        <v>0.46300000000000002</v>
      </c>
    </row>
    <row r="370" spans="1:51" ht="13.5" customHeight="1" x14ac:dyDescent="0.2">
      <c r="A370" s="40">
        <v>45608</v>
      </c>
      <c r="B370" s="154">
        <v>5748</v>
      </c>
      <c r="C370" s="154">
        <v>1439</v>
      </c>
      <c r="D370" s="154">
        <v>132</v>
      </c>
      <c r="E370" s="154">
        <v>240</v>
      </c>
      <c r="F370" s="154">
        <v>123</v>
      </c>
      <c r="G370" s="154">
        <v>123</v>
      </c>
      <c r="H370" s="155">
        <v>8120</v>
      </c>
      <c r="I370" s="154">
        <v>1264</v>
      </c>
      <c r="J370" s="154">
        <v>2310</v>
      </c>
      <c r="K370" s="154">
        <v>12722</v>
      </c>
      <c r="L370" s="154">
        <v>3828</v>
      </c>
      <c r="M370" s="154">
        <v>8002</v>
      </c>
      <c r="N370" s="154">
        <v>406</v>
      </c>
      <c r="O370" s="154">
        <v>9361</v>
      </c>
      <c r="P370" s="154">
        <v>351</v>
      </c>
      <c r="Q370" s="154">
        <v>6599</v>
      </c>
      <c r="R370" s="154">
        <v>5052</v>
      </c>
      <c r="S370" s="154">
        <v>11798</v>
      </c>
      <c r="T370" s="154">
        <v>8499</v>
      </c>
      <c r="U370" s="154">
        <v>157.245</v>
      </c>
      <c r="V370" s="154">
        <v>700</v>
      </c>
      <c r="W370" s="154">
        <v>8932</v>
      </c>
      <c r="X370" s="154">
        <v>2410</v>
      </c>
      <c r="Y370" s="154"/>
      <c r="Z370" s="154">
        <v>2958</v>
      </c>
      <c r="AA370" s="154"/>
      <c r="AB370" s="154">
        <v>416.36363636363632</v>
      </c>
      <c r="AC370" s="154"/>
      <c r="AD370" s="154">
        <v>3544</v>
      </c>
      <c r="AE370" s="154">
        <v>149.5</v>
      </c>
      <c r="AF370" s="154">
        <v>6747</v>
      </c>
      <c r="AG370" s="154">
        <v>4004.77</v>
      </c>
      <c r="AH370" s="154">
        <v>40.5</v>
      </c>
      <c r="AI370" s="154">
        <v>5896</v>
      </c>
      <c r="AJ370" s="156">
        <v>0.52100000000000002</v>
      </c>
      <c r="AK370" s="100">
        <v>1.038</v>
      </c>
      <c r="AL370" s="46">
        <v>210.581357657323</v>
      </c>
      <c r="AM370" s="156">
        <v>0.33900000000000002</v>
      </c>
      <c r="AN370" s="100">
        <v>6</v>
      </c>
      <c r="AO370" s="100">
        <v>6.01</v>
      </c>
      <c r="AP370" s="100">
        <v>5.71</v>
      </c>
      <c r="AQ370" s="100">
        <v>22</v>
      </c>
      <c r="AR370" s="100">
        <v>12.41</v>
      </c>
      <c r="AS370" s="100">
        <v>0.9</v>
      </c>
      <c r="AT370" s="100">
        <v>0.02</v>
      </c>
      <c r="AU370" s="156">
        <v>3.84</v>
      </c>
      <c r="AV370" s="116">
        <v>2.2879999999999998</v>
      </c>
      <c r="AW370" s="100">
        <v>14.0199359</v>
      </c>
      <c r="AX370" s="100">
        <v>0.34399999999999997</v>
      </c>
      <c r="AY370" s="156">
        <v>0.46300000000000002</v>
      </c>
    </row>
    <row r="371" spans="1:51" ht="13.5" customHeight="1" x14ac:dyDescent="0.2">
      <c r="A371" s="40">
        <v>45609</v>
      </c>
      <c r="B371" s="154">
        <v>5762</v>
      </c>
      <c r="C371" s="154">
        <v>1458</v>
      </c>
      <c r="D371" s="154">
        <v>129</v>
      </c>
      <c r="E371" s="154">
        <v>234</v>
      </c>
      <c r="F371" s="154">
        <v>125</v>
      </c>
      <c r="G371" s="154">
        <v>125</v>
      </c>
      <c r="H371" s="155">
        <v>7690.4380000000001</v>
      </c>
      <c r="I371" s="154">
        <v>1264.434</v>
      </c>
      <c r="J371" s="154">
        <v>2298.3420000000001</v>
      </c>
      <c r="K371" s="154">
        <v>12571</v>
      </c>
      <c r="L371" s="154">
        <v>3990.9680353200001</v>
      </c>
      <c r="M371" s="154">
        <v>8063</v>
      </c>
      <c r="N371" s="154">
        <v>369</v>
      </c>
      <c r="O371" s="154">
        <v>9217</v>
      </c>
      <c r="P371" s="154">
        <v>325</v>
      </c>
      <c r="Q371" s="154">
        <v>6571</v>
      </c>
      <c r="R371" s="154">
        <v>3982</v>
      </c>
      <c r="S371" s="154">
        <v>11643</v>
      </c>
      <c r="T371" s="154">
        <v>8486</v>
      </c>
      <c r="U371" s="154">
        <v>119.50619999999999</v>
      </c>
      <c r="V371" s="154">
        <v>700</v>
      </c>
      <c r="W371" s="154">
        <v>8499</v>
      </c>
      <c r="X371" s="154">
        <v>2258</v>
      </c>
      <c r="Y371" s="154"/>
      <c r="Z371" s="154">
        <v>2901</v>
      </c>
      <c r="AA371" s="154"/>
      <c r="AB371" s="154">
        <v>365.45454545454544</v>
      </c>
      <c r="AC371" s="154"/>
      <c r="AD371" s="154">
        <v>4229</v>
      </c>
      <c r="AE371" s="154">
        <v>208.5</v>
      </c>
      <c r="AF371" s="154">
        <v>8778</v>
      </c>
      <c r="AG371" s="154">
        <v>4015.5499999999997</v>
      </c>
      <c r="AH371" s="154">
        <v>40.5</v>
      </c>
      <c r="AI371" s="154">
        <v>6485</v>
      </c>
      <c r="AJ371" s="156">
        <v>0.45100000000000001</v>
      </c>
      <c r="AK371" s="100">
        <v>0.94499999999999995</v>
      </c>
      <c r="AL371" s="46">
        <v>214.99569099744801</v>
      </c>
      <c r="AM371" s="156">
        <v>0.35699999999999998</v>
      </c>
      <c r="AN371" s="100">
        <v>5.5</v>
      </c>
      <c r="AO371" s="100">
        <v>6.32</v>
      </c>
      <c r="AP371" s="100">
        <v>5.75</v>
      </c>
      <c r="AQ371" s="100">
        <v>53</v>
      </c>
      <c r="AR371" s="100">
        <v>12.41</v>
      </c>
      <c r="AS371" s="100">
        <v>0.9</v>
      </c>
      <c r="AT371" s="100">
        <v>0.02</v>
      </c>
      <c r="AU371" s="156">
        <v>4.944</v>
      </c>
      <c r="AV371" s="116">
        <v>2.411</v>
      </c>
      <c r="AW371" s="100">
        <v>13.419586000000001</v>
      </c>
      <c r="AX371" s="100">
        <v>0.34399999999999997</v>
      </c>
      <c r="AY371" s="156">
        <v>0.46700000000000003</v>
      </c>
    </row>
    <row r="372" spans="1:51" ht="13.5" customHeight="1" x14ac:dyDescent="0.2">
      <c r="A372" s="40">
        <v>45610</v>
      </c>
      <c r="B372" s="154">
        <v>5638</v>
      </c>
      <c r="C372" s="154">
        <v>1468</v>
      </c>
      <c r="D372" s="154">
        <v>129</v>
      </c>
      <c r="E372" s="154">
        <v>236</v>
      </c>
      <c r="F372" s="154">
        <v>118</v>
      </c>
      <c r="G372" s="154">
        <v>118</v>
      </c>
      <c r="H372" s="155">
        <v>7634.2610000000004</v>
      </c>
      <c r="I372" s="154">
        <v>1233.7840000000001</v>
      </c>
      <c r="J372" s="154">
        <v>2341.9749999999999</v>
      </c>
      <c r="K372" s="154">
        <v>12443</v>
      </c>
      <c r="L372" s="154">
        <v>4295.5780683600005</v>
      </c>
      <c r="M372" s="154">
        <v>7931</v>
      </c>
      <c r="N372" s="154">
        <v>369</v>
      </c>
      <c r="O372" s="154">
        <v>8970</v>
      </c>
      <c r="P372" s="154">
        <v>264</v>
      </c>
      <c r="Q372" s="154">
        <v>6589</v>
      </c>
      <c r="R372" s="154">
        <v>3381</v>
      </c>
      <c r="S372" s="154">
        <v>11647</v>
      </c>
      <c r="T372" s="154">
        <v>8459</v>
      </c>
      <c r="U372" s="154">
        <v>132.08580000000001</v>
      </c>
      <c r="V372" s="154">
        <v>700</v>
      </c>
      <c r="W372" s="154">
        <v>8448</v>
      </c>
      <c r="X372" s="154">
        <v>2472</v>
      </c>
      <c r="Y372" s="154"/>
      <c r="Z372" s="154">
        <v>3486</v>
      </c>
      <c r="AA372" s="154"/>
      <c r="AB372" s="154">
        <v>289.09090909090907</v>
      </c>
      <c r="AC372" s="154"/>
      <c r="AD372" s="154">
        <v>4467</v>
      </c>
      <c r="AE372" s="154">
        <v>222.5</v>
      </c>
      <c r="AF372" s="154">
        <v>8950</v>
      </c>
      <c r="AG372" s="154">
        <v>3971.45</v>
      </c>
      <c r="AH372" s="154">
        <v>40.5</v>
      </c>
      <c r="AI372" s="154">
        <v>6501</v>
      </c>
      <c r="AJ372" s="156">
        <v>0.43099999999999999</v>
      </c>
      <c r="AK372" s="100">
        <v>0.91200000000000003</v>
      </c>
      <c r="AL372" s="46">
        <v>209.451288322251</v>
      </c>
      <c r="AM372" s="156">
        <v>0.253</v>
      </c>
      <c r="AN372" s="100">
        <v>4.3499999999999996</v>
      </c>
      <c r="AO372" s="100">
        <v>5.8</v>
      </c>
      <c r="AP372" s="100">
        <v>5.75</v>
      </c>
      <c r="AQ372" s="100">
        <v>53</v>
      </c>
      <c r="AR372" s="100">
        <v>12.41</v>
      </c>
      <c r="AS372" s="100">
        <v>0.9</v>
      </c>
      <c r="AT372" s="100">
        <v>0.02</v>
      </c>
      <c r="AU372" s="156">
        <v>4.944</v>
      </c>
      <c r="AV372" s="116">
        <v>2.7629999999999999</v>
      </c>
      <c r="AW372" s="100">
        <v>13.419586000000001</v>
      </c>
      <c r="AX372" s="100">
        <v>0.33900000000000002</v>
      </c>
      <c r="AY372" s="156">
        <v>0.46700000000000003</v>
      </c>
    </row>
    <row r="373" spans="1:51" ht="14.25" customHeight="1" x14ac:dyDescent="0.2">
      <c r="A373" s="40">
        <v>45611</v>
      </c>
      <c r="B373" s="154">
        <v>5624</v>
      </c>
      <c r="C373" s="154">
        <v>1459</v>
      </c>
      <c r="D373" s="154">
        <v>129</v>
      </c>
      <c r="E373" s="154">
        <v>235</v>
      </c>
      <c r="F373" s="154">
        <v>124</v>
      </c>
      <c r="G373" s="154">
        <v>124</v>
      </c>
      <c r="H373" s="155">
        <v>7817.299</v>
      </c>
      <c r="I373" s="154">
        <v>979.024</v>
      </c>
      <c r="J373" s="154">
        <v>2405.9290000000001</v>
      </c>
      <c r="K373" s="154">
        <v>12362</v>
      </c>
      <c r="L373" s="154">
        <f>3867.71749524+377</f>
        <v>4244.7174952400001</v>
      </c>
      <c r="M373" s="154">
        <f>8408-N373</f>
        <v>8005</v>
      </c>
      <c r="N373" s="154">
        <v>403</v>
      </c>
      <c r="O373" s="154">
        <v>9298</v>
      </c>
      <c r="P373" s="154">
        <v>278</v>
      </c>
      <c r="Q373" s="41">
        <v>6594</v>
      </c>
      <c r="R373" s="154">
        <v>3286</v>
      </c>
      <c r="S373" s="154">
        <v>11604</v>
      </c>
      <c r="T373" s="154">
        <v>8166</v>
      </c>
      <c r="U373" s="154">
        <f>16*6.2898</f>
        <v>100.63679999999999</v>
      </c>
      <c r="V373" s="154">
        <v>700</v>
      </c>
      <c r="W373" s="154">
        <v>9201</v>
      </c>
      <c r="X373" s="154">
        <v>2465</v>
      </c>
      <c r="Y373" s="154"/>
      <c r="Z373" s="154">
        <v>3512</v>
      </c>
      <c r="AA373" s="154"/>
      <c r="AB373" s="154">
        <f>213/0.55</f>
        <v>387.27272727272725</v>
      </c>
      <c r="AC373" s="154"/>
      <c r="AD373" s="154">
        <v>4443</v>
      </c>
      <c r="AE373" s="154">
        <f>242-AH373</f>
        <v>202</v>
      </c>
      <c r="AF373" s="154">
        <v>9155</v>
      </c>
      <c r="AG373" s="154">
        <f>0.49*8137</f>
        <v>3987.13</v>
      </c>
      <c r="AH373" s="154">
        <v>40</v>
      </c>
      <c r="AI373" s="154">
        <v>6686</v>
      </c>
      <c r="AJ373" s="156">
        <v>0.41</v>
      </c>
      <c r="AK373" s="100">
        <v>0.88300000000000001</v>
      </c>
      <c r="AL373" s="46">
        <f>5942 *35.314666721/10^3</f>
        <v>209.83974965618202</v>
      </c>
      <c r="AM373" s="156">
        <v>0.22500000000000001</v>
      </c>
      <c r="AN373" s="100">
        <v>5.82</v>
      </c>
      <c r="AO373" s="100">
        <v>5.39</v>
      </c>
      <c r="AP373" s="100">
        <v>5.77</v>
      </c>
      <c r="AQ373" s="100">
        <v>52</v>
      </c>
      <c r="AR373" s="100">
        <v>12.41</v>
      </c>
      <c r="AS373" s="100">
        <v>0.88</v>
      </c>
      <c r="AT373" s="100">
        <v>0.02</v>
      </c>
      <c r="AU373" s="156">
        <v>4.952</v>
      </c>
      <c r="AV373" s="116">
        <v>3.1779999999999999</v>
      </c>
      <c r="AW373" s="100">
        <f>35.3147*373/1000</f>
        <v>13.172383100000001</v>
      </c>
      <c r="AX373" s="100">
        <v>0.32800000000000001</v>
      </c>
      <c r="AY373" s="156">
        <v>0.46600000000000003</v>
      </c>
    </row>
    <row r="374" spans="1:51" ht="13.5" customHeight="1" x14ac:dyDescent="0.2">
      <c r="A374" s="40">
        <v>45612</v>
      </c>
      <c r="B374" s="154">
        <v>5573</v>
      </c>
      <c r="C374" s="154">
        <v>1526</v>
      </c>
      <c r="D374" s="154">
        <v>131</v>
      </c>
      <c r="E374" s="154">
        <v>259</v>
      </c>
      <c r="F374" s="154">
        <v>125</v>
      </c>
      <c r="G374" s="154">
        <v>125</v>
      </c>
      <c r="H374" s="67">
        <v>7972.7510000000002</v>
      </c>
      <c r="I374" s="41">
        <v>1035.0260000000001</v>
      </c>
      <c r="J374" s="41">
        <v>2443.1039999999998</v>
      </c>
      <c r="K374" s="41">
        <v>11883</v>
      </c>
      <c r="L374" s="41">
        <f>3949.2453176+377</f>
        <v>4326.2453175999999</v>
      </c>
      <c r="M374" s="154">
        <f>8510-N374</f>
        <v>8141</v>
      </c>
      <c r="N374" s="154">
        <v>369</v>
      </c>
      <c r="O374" s="154">
        <v>9511</v>
      </c>
      <c r="P374" s="154">
        <v>295</v>
      </c>
      <c r="Q374" s="41">
        <v>6591</v>
      </c>
      <c r="R374" s="41">
        <v>4000</v>
      </c>
      <c r="S374" s="41">
        <v>11535</v>
      </c>
      <c r="T374" s="41">
        <v>7520</v>
      </c>
      <c r="U374" s="154">
        <f>16*6.2898</f>
        <v>100.63679999999999</v>
      </c>
      <c r="V374" s="154">
        <v>700</v>
      </c>
      <c r="W374" s="154">
        <v>9338</v>
      </c>
      <c r="X374" s="41">
        <v>2561</v>
      </c>
      <c r="Y374" s="41"/>
      <c r="Z374" s="154">
        <v>3549</v>
      </c>
      <c r="AA374" s="41"/>
      <c r="AB374" s="154">
        <f>226/0.55</f>
        <v>410.90909090909088</v>
      </c>
      <c r="AC374" s="41"/>
      <c r="AD374" s="128">
        <v>4345</v>
      </c>
      <c r="AE374" s="154">
        <f>235-AH374</f>
        <v>195</v>
      </c>
      <c r="AF374" s="128">
        <v>9478</v>
      </c>
      <c r="AG374" s="154">
        <f>0.49*8120</f>
        <v>3978.7999999999997</v>
      </c>
      <c r="AH374" s="154">
        <v>40</v>
      </c>
      <c r="AI374" s="154">
        <v>6961</v>
      </c>
      <c r="AJ374" s="100">
        <v>0.41099999999999998</v>
      </c>
      <c r="AK374" s="100">
        <v>0.89</v>
      </c>
      <c r="AL374" s="46">
        <f>6015 *35.314666721/10^3</f>
        <v>212.41772032681502</v>
      </c>
      <c r="AM374" s="156">
        <v>0.26100000000000001</v>
      </c>
      <c r="AN374" s="100">
        <v>4.99</v>
      </c>
      <c r="AO374" s="100">
        <v>4.99</v>
      </c>
      <c r="AP374" s="100">
        <v>5.62</v>
      </c>
      <c r="AQ374" s="100">
        <v>45</v>
      </c>
      <c r="AR374" s="100">
        <v>12.12</v>
      </c>
      <c r="AS374" s="100">
        <v>1.1599999999999999</v>
      </c>
      <c r="AT374" s="100">
        <v>0.02</v>
      </c>
      <c r="AU374" s="100">
        <v>4.9560000000000004</v>
      </c>
      <c r="AV374" s="100">
        <v>2.1779999999999999</v>
      </c>
      <c r="AW374" s="100">
        <f>35.3147*383/1000</f>
        <v>13.525530099999999</v>
      </c>
      <c r="AX374" s="100">
        <v>0.29499999999999998</v>
      </c>
      <c r="AY374" s="100">
        <v>0.46700000000000003</v>
      </c>
    </row>
    <row r="375" spans="1:51" ht="13.5" customHeight="1" x14ac:dyDescent="0.2">
      <c r="A375" s="40">
        <v>45613</v>
      </c>
      <c r="B375" s="154">
        <v>5661</v>
      </c>
      <c r="C375" s="154">
        <v>1447</v>
      </c>
      <c r="D375" s="154">
        <v>125</v>
      </c>
      <c r="E375" s="154">
        <v>244</v>
      </c>
      <c r="F375" s="154">
        <v>99</v>
      </c>
      <c r="G375" s="154">
        <v>99</v>
      </c>
      <c r="H375" s="154">
        <v>8124.3789999999999</v>
      </c>
      <c r="I375" s="154">
        <v>995.83500000000004</v>
      </c>
      <c r="J375" s="154">
        <v>2350.511</v>
      </c>
      <c r="K375" s="154">
        <v>11850</v>
      </c>
      <c r="L375" s="154">
        <f>3902.23089056+382</f>
        <v>4284.2308905600003</v>
      </c>
      <c r="M375" s="154">
        <f>8810-N375</f>
        <v>8441</v>
      </c>
      <c r="N375" s="154">
        <v>369</v>
      </c>
      <c r="O375" s="154">
        <v>10061</v>
      </c>
      <c r="P375" s="154">
        <v>310</v>
      </c>
      <c r="Q375" s="41">
        <v>6598</v>
      </c>
      <c r="R375" s="154">
        <v>3850</v>
      </c>
      <c r="S375" s="154">
        <v>11546</v>
      </c>
      <c r="T375" s="154">
        <v>7479</v>
      </c>
      <c r="U375" s="154">
        <f>16*6.2898</f>
        <v>100.63679999999999</v>
      </c>
      <c r="V375" s="154">
        <v>700</v>
      </c>
      <c r="W375" s="154">
        <v>9599</v>
      </c>
      <c r="X375" s="154">
        <v>2586</v>
      </c>
      <c r="Y375" s="154"/>
      <c r="Z375" s="154">
        <v>3585</v>
      </c>
      <c r="AA375" s="154"/>
      <c r="AB375" s="154">
        <f>215/0.55</f>
        <v>390.90909090909088</v>
      </c>
      <c r="AC375" s="154"/>
      <c r="AD375" s="154">
        <v>3720</v>
      </c>
      <c r="AE375" s="154">
        <f>208-AH375</f>
        <v>168</v>
      </c>
      <c r="AF375" s="154">
        <v>9615</v>
      </c>
      <c r="AG375" s="154">
        <f>0.49*8180</f>
        <v>4008.2</v>
      </c>
      <c r="AH375" s="154">
        <v>40</v>
      </c>
      <c r="AI375" s="154">
        <v>7285</v>
      </c>
      <c r="AJ375" s="100">
        <v>0.28599999999999998</v>
      </c>
      <c r="AK375" s="100">
        <v>0.61799999999999999</v>
      </c>
      <c r="AL375" s="46">
        <f>5832 *35.314666721/10^3</f>
        <v>205.955136316872</v>
      </c>
      <c r="AM375" s="156">
        <v>0.249</v>
      </c>
      <c r="AN375" s="100">
        <v>4.68</v>
      </c>
      <c r="AO375" s="100">
        <v>5.69</v>
      </c>
      <c r="AP375" s="100">
        <v>5.69</v>
      </c>
      <c r="AQ375" s="100">
        <v>42</v>
      </c>
      <c r="AR375" s="100">
        <v>12.8</v>
      </c>
      <c r="AS375" s="100">
        <v>1.04</v>
      </c>
      <c r="AT375" s="100">
        <v>0.02</v>
      </c>
      <c r="AU375" s="100">
        <v>4.952</v>
      </c>
      <c r="AV375" s="100">
        <v>1.288</v>
      </c>
      <c r="AW375" s="100">
        <f>35.3147*370/1000</f>
        <v>13.066439000000001</v>
      </c>
      <c r="AX375" s="100">
        <v>0.29299999999999998</v>
      </c>
      <c r="AY375" s="100">
        <v>0.437</v>
      </c>
    </row>
    <row r="376" spans="1:51" ht="13.5" customHeight="1" x14ac:dyDescent="0.2">
      <c r="A376" s="40">
        <v>45614</v>
      </c>
      <c r="B376" s="154">
        <v>5492</v>
      </c>
      <c r="C376" s="154">
        <v>1441</v>
      </c>
      <c r="D376" s="154">
        <v>126</v>
      </c>
      <c r="E376" s="154">
        <v>243</v>
      </c>
      <c r="F376" s="154">
        <v>102</v>
      </c>
      <c r="G376" s="154">
        <v>102</v>
      </c>
      <c r="H376" s="154">
        <v>8459.3670000000002</v>
      </c>
      <c r="I376" s="154">
        <v>1080.0989999999999</v>
      </c>
      <c r="J376" s="154">
        <v>2423.3609999999999</v>
      </c>
      <c r="K376" s="154">
        <v>11945</v>
      </c>
      <c r="L376" s="154">
        <f>3852.37170824+375</f>
        <v>4227.3717082399999</v>
      </c>
      <c r="M376" s="154">
        <f>8906-N376</f>
        <v>8565</v>
      </c>
      <c r="N376" s="154">
        <v>341</v>
      </c>
      <c r="O376" s="154">
        <v>9787</v>
      </c>
      <c r="P376" s="154">
        <v>315</v>
      </c>
      <c r="Q376" s="154">
        <v>6599</v>
      </c>
      <c r="R376" s="154">
        <v>3274</v>
      </c>
      <c r="S376" s="154">
        <v>11583</v>
      </c>
      <c r="T376" s="154">
        <v>7580</v>
      </c>
      <c r="U376" s="154">
        <f>20*6.2898</f>
        <v>125.79599999999999</v>
      </c>
      <c r="V376" s="154">
        <v>700</v>
      </c>
      <c r="W376" s="154">
        <v>9674</v>
      </c>
      <c r="X376" s="154">
        <v>2555</v>
      </c>
      <c r="Y376" s="154"/>
      <c r="Z376" s="154">
        <v>3579</v>
      </c>
      <c r="AA376" s="154"/>
      <c r="AB376" s="154">
        <f>224/0.55</f>
        <v>407.27272727272725</v>
      </c>
      <c r="AC376" s="154"/>
      <c r="AD376" s="154">
        <v>3248</v>
      </c>
      <c r="AE376" s="154">
        <v>204</v>
      </c>
      <c r="AF376" s="154">
        <v>9448</v>
      </c>
      <c r="AG376" s="154">
        <f>0.49*8192</f>
        <v>4014.08</v>
      </c>
      <c r="AH376" s="154">
        <v>40</v>
      </c>
      <c r="AI376" s="154">
        <v>7442</v>
      </c>
      <c r="AJ376" s="100">
        <v>0.378</v>
      </c>
      <c r="AK376" s="100">
        <v>0.91800000000000004</v>
      </c>
      <c r="AL376" s="46">
        <f>5811 *35.314666721/10^3</f>
        <v>205.213528315731</v>
      </c>
      <c r="AM376" s="100">
        <v>0.255</v>
      </c>
      <c r="AN376" s="100">
        <v>5.75</v>
      </c>
      <c r="AO376" s="100">
        <v>3.97</v>
      </c>
      <c r="AP376" s="100">
        <v>5.91</v>
      </c>
      <c r="AQ376" s="100">
        <v>25</v>
      </c>
      <c r="AR376" s="100">
        <v>12.9</v>
      </c>
      <c r="AS376" s="100">
        <v>0.89</v>
      </c>
      <c r="AT376" s="100">
        <v>0.02</v>
      </c>
      <c r="AU376" s="100">
        <v>4.952</v>
      </c>
      <c r="AV376" s="100">
        <v>2.153</v>
      </c>
      <c r="AW376" s="100">
        <f>35.3147*370/1000</f>
        <v>13.066439000000001</v>
      </c>
      <c r="AX376" s="100">
        <v>0.29099999999999998</v>
      </c>
      <c r="AY376" s="100">
        <v>0.46100000000000002</v>
      </c>
    </row>
    <row r="377" spans="1:51" ht="12.75" customHeight="1" x14ac:dyDescent="0.2">
      <c r="A377" s="40">
        <v>45615</v>
      </c>
      <c r="B377" s="154">
        <v>5695</v>
      </c>
      <c r="C377" s="154">
        <v>1487</v>
      </c>
      <c r="D377" s="154">
        <v>122</v>
      </c>
      <c r="E377" s="154">
        <v>237</v>
      </c>
      <c r="F377" s="154">
        <v>102</v>
      </c>
      <c r="G377" s="154">
        <v>102</v>
      </c>
      <c r="H377" s="154">
        <v>8203.0470000000005</v>
      </c>
      <c r="I377" s="154">
        <v>1022.376</v>
      </c>
      <c r="J377" s="154">
        <v>2303.335</v>
      </c>
      <c r="K377" s="154">
        <v>12739</v>
      </c>
      <c r="L377" s="154">
        <f>3786.94495628+365</f>
        <v>4151.94495628</v>
      </c>
      <c r="M377" s="154">
        <f>8902-N377</f>
        <v>8543</v>
      </c>
      <c r="N377" s="41">
        <v>359</v>
      </c>
      <c r="O377" s="154">
        <v>9842</v>
      </c>
      <c r="P377" s="154">
        <v>315</v>
      </c>
      <c r="Q377" s="41">
        <v>6587</v>
      </c>
      <c r="R377" s="41">
        <v>3358</v>
      </c>
      <c r="S377" s="41">
        <v>11257</v>
      </c>
      <c r="T377" s="41">
        <v>7921</v>
      </c>
      <c r="U377" s="154">
        <f>26*6.2898</f>
        <v>163.53479999999999</v>
      </c>
      <c r="V377" s="154">
        <v>700</v>
      </c>
      <c r="W377" s="154">
        <v>9664</v>
      </c>
      <c r="X377" s="41">
        <v>2737</v>
      </c>
      <c r="Y377" s="41"/>
      <c r="Z377" s="154">
        <v>3571</v>
      </c>
      <c r="AA377" s="41"/>
      <c r="AB377" s="154">
        <f>214/0.55</f>
        <v>389.09090909090907</v>
      </c>
      <c r="AC377" s="41"/>
      <c r="AD377" s="154">
        <v>3265</v>
      </c>
      <c r="AE377" s="154">
        <f>225-AH377</f>
        <v>185</v>
      </c>
      <c r="AF377" s="128">
        <v>9804</v>
      </c>
      <c r="AG377" s="154">
        <f>0.49*8192</f>
        <v>4014.08</v>
      </c>
      <c r="AH377" s="154">
        <v>40</v>
      </c>
      <c r="AI377" s="154">
        <v>7700</v>
      </c>
      <c r="AJ377" s="100">
        <v>0.36299999999999999</v>
      </c>
      <c r="AK377" s="100">
        <v>0.81799999999999995</v>
      </c>
      <c r="AL377" s="46">
        <f>6296 *35.314666721/10^3</f>
        <v>222.341141675416</v>
      </c>
      <c r="AM377" s="100">
        <v>0.14599999999999999</v>
      </c>
      <c r="AN377" s="100">
        <v>5.74</v>
      </c>
      <c r="AO377" s="100">
        <v>6.21</v>
      </c>
      <c r="AP377" s="100">
        <v>4</v>
      </c>
      <c r="AQ377" s="100">
        <v>44</v>
      </c>
      <c r="AR377" s="100">
        <v>12.9</v>
      </c>
      <c r="AS377" s="100">
        <v>0.89</v>
      </c>
      <c r="AT377" s="100">
        <v>0.02</v>
      </c>
      <c r="AU377" s="100">
        <v>4.9550000000000001</v>
      </c>
      <c r="AV377" s="100">
        <v>2.5049999999999999</v>
      </c>
      <c r="AW377" s="100">
        <f>35.3147*383/1000</f>
        <v>13.525530099999999</v>
      </c>
      <c r="AX377" s="100">
        <v>0.26100000000000001</v>
      </c>
      <c r="AY377" s="100">
        <v>0.42499999999999999</v>
      </c>
    </row>
    <row r="378" spans="1:51" ht="12.75" customHeight="1" x14ac:dyDescent="0.2">
      <c r="A378" s="40">
        <v>45616</v>
      </c>
      <c r="B378" s="154">
        <v>5525</v>
      </c>
      <c r="C378" s="154">
        <v>1448</v>
      </c>
      <c r="D378" s="154">
        <v>127</v>
      </c>
      <c r="E378" s="154">
        <v>248</v>
      </c>
      <c r="F378" s="154">
        <v>99</v>
      </c>
      <c r="G378" s="154">
        <v>99</v>
      </c>
      <c r="H378" s="154">
        <v>8289.51</v>
      </c>
      <c r="I378" s="154">
        <v>958.39499999999998</v>
      </c>
      <c r="J378" s="154">
        <v>2176.415</v>
      </c>
      <c r="K378" s="154">
        <v>12736</v>
      </c>
      <c r="L378" s="154">
        <f>3732.31832036+357</f>
        <v>4089.3183203600001</v>
      </c>
      <c r="M378" s="154">
        <f>9007-N378</f>
        <v>8648</v>
      </c>
      <c r="N378" s="41">
        <v>359</v>
      </c>
      <c r="O378" s="154">
        <v>9852</v>
      </c>
      <c r="P378" s="154">
        <v>322</v>
      </c>
      <c r="Q378" s="41">
        <v>6552</v>
      </c>
      <c r="R378" s="41">
        <v>3429</v>
      </c>
      <c r="S378" s="41">
        <v>11455</v>
      </c>
      <c r="T378" s="41">
        <v>8212</v>
      </c>
      <c r="U378" s="154">
        <f>26*6.2898</f>
        <v>163.53479999999999</v>
      </c>
      <c r="V378" s="154">
        <v>700</v>
      </c>
      <c r="W378" s="154">
        <v>9639</v>
      </c>
      <c r="X378" s="41">
        <v>2670</v>
      </c>
      <c r="Y378" s="41"/>
      <c r="Z378" s="154">
        <v>3567</v>
      </c>
      <c r="AA378" s="41"/>
      <c r="AB378" s="154">
        <f>241/0.55</f>
        <v>438.18181818181813</v>
      </c>
      <c r="AC378" s="41"/>
      <c r="AD378" s="154">
        <v>4014</v>
      </c>
      <c r="AE378" s="154">
        <f>207-AH378</f>
        <v>167</v>
      </c>
      <c r="AF378" s="128">
        <v>9517</v>
      </c>
      <c r="AG378" s="154">
        <f>0.49*8186</f>
        <v>4011.14</v>
      </c>
      <c r="AH378" s="154">
        <v>40</v>
      </c>
      <c r="AI378" s="154">
        <v>7923</v>
      </c>
      <c r="AJ378" s="100">
        <v>0.38800000000000001</v>
      </c>
      <c r="AK378" s="100">
        <v>0.88</v>
      </c>
      <c r="AL378" s="46">
        <f>6460 *35.314666721/10^3</f>
        <v>228.13274701765999</v>
      </c>
      <c r="AM378" s="100">
        <v>0.32200000000000001</v>
      </c>
      <c r="AN378" s="100">
        <v>5.74</v>
      </c>
      <c r="AO378" s="100">
        <v>6.48</v>
      </c>
      <c r="AP378" s="100">
        <v>5.7</v>
      </c>
      <c r="AQ378" s="100">
        <v>44</v>
      </c>
      <c r="AR378" s="100">
        <v>12.9</v>
      </c>
      <c r="AS378" s="100">
        <v>0.89</v>
      </c>
      <c r="AT378" s="100">
        <v>0.02</v>
      </c>
      <c r="AU378" s="100">
        <v>4.9560000000000004</v>
      </c>
      <c r="AV378" s="100">
        <v>3.09</v>
      </c>
      <c r="AW378" s="100">
        <f>35.3147*374/1000</f>
        <v>13.2076978</v>
      </c>
      <c r="AX378" s="100">
        <v>0</v>
      </c>
      <c r="AY378" s="100">
        <v>0.13300000000000001</v>
      </c>
    </row>
    <row r="379" spans="1:51" ht="13.5" customHeight="1" x14ac:dyDescent="0.2">
      <c r="A379" s="40">
        <v>45617</v>
      </c>
      <c r="B379" s="154">
        <v>5528</v>
      </c>
      <c r="C379" s="154">
        <v>1490</v>
      </c>
      <c r="D379" s="154">
        <v>125</v>
      </c>
      <c r="E379" s="154">
        <v>244</v>
      </c>
      <c r="F379" s="154">
        <v>98</v>
      </c>
      <c r="G379" s="154">
        <v>98</v>
      </c>
      <c r="H379" s="67">
        <v>8258.3490000000002</v>
      </c>
      <c r="I379" s="41">
        <v>1002.5119999999999</v>
      </c>
      <c r="J379" s="41">
        <v>2251.982</v>
      </c>
      <c r="K379" s="41">
        <v>12718</v>
      </c>
      <c r="L379" s="41">
        <f>3679.47205768+350</f>
        <v>4029.47205768</v>
      </c>
      <c r="M379" s="154">
        <f>9202-N379</f>
        <v>8821</v>
      </c>
      <c r="N379" s="41">
        <v>381</v>
      </c>
      <c r="O379" s="154">
        <v>9889</v>
      </c>
      <c r="P379" s="154">
        <v>327</v>
      </c>
      <c r="Q379" s="41">
        <v>6579</v>
      </c>
      <c r="R379" s="41">
        <v>3832</v>
      </c>
      <c r="S379" s="41">
        <v>11487</v>
      </c>
      <c r="T379" s="41">
        <v>7668</v>
      </c>
      <c r="U379" s="154">
        <f>26*6.2898</f>
        <v>163.53479999999999</v>
      </c>
      <c r="V379" s="154">
        <v>700</v>
      </c>
      <c r="W379" s="154">
        <v>9644</v>
      </c>
      <c r="X379" s="41">
        <v>2713</v>
      </c>
      <c r="Y379" s="41"/>
      <c r="Z379" s="154">
        <v>3536</v>
      </c>
      <c r="AA379" s="41"/>
      <c r="AB379" s="154">
        <f>238/0.55</f>
        <v>432.72727272727269</v>
      </c>
      <c r="AC379" s="41"/>
      <c r="AD379" s="154">
        <v>3750</v>
      </c>
      <c r="AE379" s="154">
        <f>203-AH379</f>
        <v>163</v>
      </c>
      <c r="AF379" s="128">
        <v>9083</v>
      </c>
      <c r="AG379" s="154">
        <f>0.49*8190</f>
        <v>4013.1</v>
      </c>
      <c r="AH379" s="154">
        <v>40</v>
      </c>
      <c r="AI379" s="154">
        <v>7575</v>
      </c>
      <c r="AJ379" s="100">
        <v>0.41899999999999998</v>
      </c>
      <c r="AK379" s="100">
        <v>1</v>
      </c>
      <c r="AL379" s="46">
        <f>6383 *35.314666721/10^3</f>
        <v>225.413517680143</v>
      </c>
      <c r="AM379" s="100">
        <v>0.246</v>
      </c>
      <c r="AN379" s="100">
        <v>7.3</v>
      </c>
      <c r="AO379" s="100">
        <v>5.56</v>
      </c>
      <c r="AP379" s="100">
        <v>5.7</v>
      </c>
      <c r="AQ379" s="100">
        <v>44</v>
      </c>
      <c r="AR379" s="100">
        <v>12.9</v>
      </c>
      <c r="AS379" s="100">
        <v>1.1200000000000001</v>
      </c>
      <c r="AT379" s="100">
        <v>0.02</v>
      </c>
      <c r="AU379" s="100">
        <v>4.9550000000000001</v>
      </c>
      <c r="AV379" s="100">
        <v>2.9660000000000002</v>
      </c>
      <c r="AW379" s="100">
        <f>35.3147*374/1000</f>
        <v>13.2076978</v>
      </c>
      <c r="AX379" s="100">
        <v>0.26700000000000002</v>
      </c>
      <c r="AY379" s="100">
        <v>0.28999999999999998</v>
      </c>
    </row>
    <row r="380" spans="1:51" ht="13.5" customHeight="1" x14ac:dyDescent="0.2">
      <c r="A380" s="40">
        <v>45618</v>
      </c>
      <c r="B380" s="154">
        <v>5542</v>
      </c>
      <c r="C380" s="154">
        <v>1464</v>
      </c>
      <c r="D380" s="154">
        <v>126</v>
      </c>
      <c r="E380" s="154">
        <v>250</v>
      </c>
      <c r="F380" s="154">
        <v>117</v>
      </c>
      <c r="G380" s="154">
        <v>117</v>
      </c>
      <c r="H380" s="154">
        <v>7919.0969999999998</v>
      </c>
      <c r="I380" s="154">
        <v>869.86099999999999</v>
      </c>
      <c r="J380" s="154">
        <v>2410.348</v>
      </c>
      <c r="K380" s="154">
        <v>12777</v>
      </c>
      <c r="L380" s="154">
        <f>3684.3067446+350</f>
        <v>4034.3067446</v>
      </c>
      <c r="M380" s="154">
        <v>9017</v>
      </c>
      <c r="N380" s="41">
        <v>309</v>
      </c>
      <c r="O380" s="154">
        <v>9818</v>
      </c>
      <c r="P380" s="154">
        <v>330</v>
      </c>
      <c r="Q380" s="154">
        <v>6580</v>
      </c>
      <c r="R380" s="154">
        <v>3640</v>
      </c>
      <c r="S380" s="154">
        <v>11462</v>
      </c>
      <c r="T380" s="154">
        <v>7607</v>
      </c>
      <c r="U380" s="154">
        <f t="shared" ref="U380:U385" si="114">26*6.2898</f>
        <v>163.53479999999999</v>
      </c>
      <c r="V380" s="154">
        <v>700</v>
      </c>
      <c r="W380" s="154">
        <v>9647</v>
      </c>
      <c r="X380" s="154">
        <v>2702</v>
      </c>
      <c r="Y380" s="154"/>
      <c r="Z380" s="154">
        <v>3505</v>
      </c>
      <c r="AA380" s="154"/>
      <c r="AB380" s="154">
        <f>226/0.55</f>
        <v>410.90909090909088</v>
      </c>
      <c r="AC380" s="154"/>
      <c r="AD380" s="154">
        <v>3094</v>
      </c>
      <c r="AE380" s="154">
        <f>196-AH380</f>
        <v>154</v>
      </c>
      <c r="AF380" s="154">
        <v>8998</v>
      </c>
      <c r="AG380" s="154">
        <f>0.49*8163</f>
        <v>3999.87</v>
      </c>
      <c r="AH380" s="154">
        <f t="shared" ref="AH380:AH385" si="115">56*0.75</f>
        <v>42</v>
      </c>
      <c r="AI380" s="154">
        <v>7576</v>
      </c>
      <c r="AJ380" s="100">
        <v>0.38900000000000001</v>
      </c>
      <c r="AK380" s="100">
        <v>0.88500000000000001</v>
      </c>
      <c r="AL380" s="46">
        <f>6433 *35.314666721/10^3</f>
        <v>227.17925101619301</v>
      </c>
      <c r="AM380" s="100">
        <v>0.34699999999999998</v>
      </c>
      <c r="AN380" s="100">
        <v>8.15</v>
      </c>
      <c r="AO380" s="100">
        <v>5.72</v>
      </c>
      <c r="AP380" s="100">
        <v>5.65</v>
      </c>
      <c r="AQ380" s="100">
        <v>44</v>
      </c>
      <c r="AR380" s="100">
        <v>12.9</v>
      </c>
      <c r="AS380" s="100">
        <v>1.1200000000000001</v>
      </c>
      <c r="AT380" s="100">
        <v>0.02</v>
      </c>
      <c r="AU380" s="100">
        <v>4.9560000000000004</v>
      </c>
      <c r="AV380" s="100">
        <v>2.8769999999999998</v>
      </c>
      <c r="AW380" s="100">
        <f>35.3147*374/1000</f>
        <v>13.2076978</v>
      </c>
      <c r="AX380" s="100">
        <v>0.32</v>
      </c>
      <c r="AY380" s="100">
        <v>0.47199999999999998</v>
      </c>
    </row>
    <row r="381" spans="1:51" ht="13.5" customHeight="1" x14ac:dyDescent="0.2">
      <c r="A381" s="40">
        <v>45619</v>
      </c>
      <c r="B381" s="154">
        <v>5577</v>
      </c>
      <c r="C381" s="154">
        <v>1491</v>
      </c>
      <c r="D381" s="154">
        <v>127</v>
      </c>
      <c r="E381" s="154">
        <v>242</v>
      </c>
      <c r="F381" s="154">
        <v>108</v>
      </c>
      <c r="G381" s="154">
        <v>108</v>
      </c>
      <c r="H381" s="67">
        <v>7959.8239999999996</v>
      </c>
      <c r="I381" s="41">
        <v>1012.9589999999999</v>
      </c>
      <c r="J381" s="41">
        <v>2882.748</v>
      </c>
      <c r="K381" s="41">
        <v>12706</v>
      </c>
      <c r="L381" s="41">
        <f>3729.5146036+357</f>
        <v>4086.5146036000001</v>
      </c>
      <c r="M381" s="154">
        <v>9026</v>
      </c>
      <c r="N381" s="41">
        <v>381</v>
      </c>
      <c r="O381" s="154">
        <v>9893</v>
      </c>
      <c r="P381" s="154">
        <v>338</v>
      </c>
      <c r="Q381" s="41">
        <v>6593</v>
      </c>
      <c r="R381" s="41">
        <v>3297</v>
      </c>
      <c r="S381" s="41">
        <v>11514</v>
      </c>
      <c r="T381" s="41">
        <v>7977</v>
      </c>
      <c r="U381" s="154">
        <f t="shared" si="114"/>
        <v>163.53479999999999</v>
      </c>
      <c r="V381" s="154">
        <v>700</v>
      </c>
      <c r="W381" s="154">
        <v>9689</v>
      </c>
      <c r="X381" s="41">
        <v>2618</v>
      </c>
      <c r="Y381" s="41"/>
      <c r="Z381" s="154">
        <v>3478</v>
      </c>
      <c r="AA381" s="41"/>
      <c r="AB381" s="154">
        <f>223/0.55</f>
        <v>405.45454545454544</v>
      </c>
      <c r="AC381" s="41"/>
      <c r="AD381" s="154">
        <v>2353</v>
      </c>
      <c r="AE381" s="154">
        <f>197-AH381</f>
        <v>155</v>
      </c>
      <c r="AF381" s="128">
        <v>8683</v>
      </c>
      <c r="AG381" s="154">
        <f>0.49*8113</f>
        <v>3975.37</v>
      </c>
      <c r="AH381" s="154">
        <f t="shared" si="115"/>
        <v>42</v>
      </c>
      <c r="AI381" s="154">
        <v>7583</v>
      </c>
      <c r="AJ381" s="100">
        <v>0.32500000000000001</v>
      </c>
      <c r="AK381" s="100">
        <v>0.73099999999999998</v>
      </c>
      <c r="AL381" s="46">
        <f>6335 *35.314666721/10^3</f>
        <v>223.71841367753501</v>
      </c>
      <c r="AM381" s="100">
        <v>0.19800000000000001</v>
      </c>
      <c r="AN381" s="100">
        <v>8.06</v>
      </c>
      <c r="AO381" s="100">
        <v>5.54</v>
      </c>
      <c r="AP381" s="100">
        <v>5.83</v>
      </c>
      <c r="AQ381" s="100">
        <v>12</v>
      </c>
      <c r="AR381" s="100">
        <v>12.9</v>
      </c>
      <c r="AS381" s="100">
        <v>1.1200000000000001</v>
      </c>
      <c r="AT381" s="100">
        <v>0.02</v>
      </c>
      <c r="AU381" s="100">
        <v>4.9560000000000004</v>
      </c>
      <c r="AV381" s="100">
        <v>1.522</v>
      </c>
      <c r="AW381" s="100">
        <f>35.3147*370/1000</f>
        <v>13.066439000000001</v>
      </c>
      <c r="AX381" s="100">
        <v>0.33</v>
      </c>
      <c r="AY381" s="100">
        <v>0.47799999999999998</v>
      </c>
    </row>
    <row r="382" spans="1:51" ht="13.5" customHeight="1" x14ac:dyDescent="0.2">
      <c r="A382" s="40">
        <v>45620</v>
      </c>
      <c r="B382" s="154">
        <v>5583</v>
      </c>
      <c r="C382" s="154">
        <v>1478</v>
      </c>
      <c r="D382" s="154">
        <v>131</v>
      </c>
      <c r="E382" s="154">
        <v>250</v>
      </c>
      <c r="F382" s="154">
        <v>121</v>
      </c>
      <c r="G382" s="154">
        <v>121</v>
      </c>
      <c r="H382" s="67">
        <v>7880.0230000000001</v>
      </c>
      <c r="I382" s="41">
        <v>945.73500000000001</v>
      </c>
      <c r="J382" s="41">
        <v>2691.4389999999999</v>
      </c>
      <c r="K382" s="41">
        <v>12685</v>
      </c>
      <c r="L382" s="41">
        <f>3645.98287904+345</f>
        <v>3990.9828790400002</v>
      </c>
      <c r="M382" s="154">
        <f>9022-N382</f>
        <v>8641</v>
      </c>
      <c r="N382" s="41">
        <v>381</v>
      </c>
      <c r="O382" s="154">
        <v>9888</v>
      </c>
      <c r="P382" s="154">
        <v>341</v>
      </c>
      <c r="Q382" s="41">
        <v>6578</v>
      </c>
      <c r="R382" s="41">
        <v>3250</v>
      </c>
      <c r="S382" s="41">
        <v>11576</v>
      </c>
      <c r="T382" s="41">
        <v>8283</v>
      </c>
      <c r="U382" s="154">
        <f t="shared" si="114"/>
        <v>163.53479999999999</v>
      </c>
      <c r="V382" s="154">
        <v>700</v>
      </c>
      <c r="W382" s="154">
        <v>9430</v>
      </c>
      <c r="X382" s="41">
        <v>2528</v>
      </c>
      <c r="Y382" s="41"/>
      <c r="Z382" s="154">
        <v>3445</v>
      </c>
      <c r="AA382" s="41"/>
      <c r="AB382" s="154">
        <f>238/0.55</f>
        <v>432.72727272727269</v>
      </c>
      <c r="AC382" s="41"/>
      <c r="AD382" s="154">
        <v>2638</v>
      </c>
      <c r="AE382" s="154">
        <f>115-AH382</f>
        <v>73</v>
      </c>
      <c r="AF382" s="128">
        <v>6317</v>
      </c>
      <c r="AG382" s="154">
        <f>0.49*8124</f>
        <v>3980.7599999999998</v>
      </c>
      <c r="AH382" s="154">
        <f t="shared" si="115"/>
        <v>42</v>
      </c>
      <c r="AI382" s="154">
        <v>7416</v>
      </c>
      <c r="AJ382" s="100">
        <v>0.34499999999999997</v>
      </c>
      <c r="AK382" s="100">
        <v>0.77700000000000002</v>
      </c>
      <c r="AL382" s="46">
        <f>5760 *35.314666721/10^3</f>
        <v>203.41248031296001</v>
      </c>
      <c r="AM382" s="100">
        <v>0</v>
      </c>
      <c r="AN382" s="100">
        <v>8.56</v>
      </c>
      <c r="AO382" s="100">
        <v>5.49</v>
      </c>
      <c r="AP382" s="100">
        <v>5.94</v>
      </c>
      <c r="AQ382" s="100">
        <v>11</v>
      </c>
      <c r="AR382" s="100">
        <v>12.9</v>
      </c>
      <c r="AS382" s="100">
        <v>0.99</v>
      </c>
      <c r="AT382" s="100">
        <v>0.02</v>
      </c>
      <c r="AU382" s="100">
        <v>3.113</v>
      </c>
      <c r="AV382" s="100">
        <v>1.6180000000000001</v>
      </c>
      <c r="AW382" s="100">
        <f>35.3147*362/1000</f>
        <v>12.783921400000001</v>
      </c>
      <c r="AX382" s="100">
        <v>0.30399999999999999</v>
      </c>
      <c r="AY382" s="100">
        <v>0.47799999999999998</v>
      </c>
    </row>
    <row r="383" spans="1:51" ht="13.5" customHeight="1" x14ac:dyDescent="0.2">
      <c r="A383" s="40">
        <v>45621</v>
      </c>
      <c r="B383" s="154">
        <v>5516</v>
      </c>
      <c r="C383" s="154">
        <v>1466</v>
      </c>
      <c r="D383" s="154">
        <v>128</v>
      </c>
      <c r="E383" s="154">
        <v>227</v>
      </c>
      <c r="F383" s="154">
        <v>117</v>
      </c>
      <c r="G383" s="154">
        <v>117</v>
      </c>
      <c r="H383" s="67">
        <v>7792.6310000000003</v>
      </c>
      <c r="I383" s="41">
        <v>889.42600000000004</v>
      </c>
      <c r="J383" s="41">
        <v>2492.17</v>
      </c>
      <c r="K383" s="41">
        <v>12630</v>
      </c>
      <c r="L383" s="41">
        <f>3640.71772424+344</f>
        <v>3984.7177242399998</v>
      </c>
      <c r="M383" s="154">
        <f>8964-N383</f>
        <v>8580</v>
      </c>
      <c r="N383" s="41">
        <v>384</v>
      </c>
      <c r="O383" s="154">
        <v>9924</v>
      </c>
      <c r="P383" s="154">
        <v>357</v>
      </c>
      <c r="Q383" s="41">
        <v>6596</v>
      </c>
      <c r="R383" s="41">
        <v>3129</v>
      </c>
      <c r="S383" s="41">
        <v>11409</v>
      </c>
      <c r="T383" s="41">
        <v>8119</v>
      </c>
      <c r="U383" s="154">
        <f t="shared" si="114"/>
        <v>163.53479999999999</v>
      </c>
      <c r="V383" s="154">
        <v>700</v>
      </c>
      <c r="W383" s="154">
        <v>9700</v>
      </c>
      <c r="X383" s="41">
        <v>3097</v>
      </c>
      <c r="Y383" s="41"/>
      <c r="Z383" s="154">
        <v>3450</v>
      </c>
      <c r="AA383" s="41"/>
      <c r="AB383" s="154">
        <f>213/0.55</f>
        <v>387.27272727272725</v>
      </c>
      <c r="AC383" s="41"/>
      <c r="AD383" s="154">
        <v>3098</v>
      </c>
      <c r="AE383" s="154">
        <f>120-AH383</f>
        <v>78</v>
      </c>
      <c r="AF383" s="128">
        <v>4315</v>
      </c>
      <c r="AG383" s="154">
        <f>0.49*8025</f>
        <v>3932.25</v>
      </c>
      <c r="AH383" s="154">
        <f t="shared" si="115"/>
        <v>42</v>
      </c>
      <c r="AI383" s="154">
        <v>7482</v>
      </c>
      <c r="AJ383" s="100">
        <v>0.41</v>
      </c>
      <c r="AK383" s="100">
        <v>0.998</v>
      </c>
      <c r="AL383" s="46">
        <f>6167 *35.314666721/10^3</f>
        <v>217.78554966840701</v>
      </c>
      <c r="AM383" s="100">
        <v>0</v>
      </c>
      <c r="AN383" s="100">
        <v>7.84</v>
      </c>
      <c r="AO383" s="100">
        <v>5.98</v>
      </c>
      <c r="AP383" s="100">
        <v>5.94</v>
      </c>
      <c r="AQ383" s="100">
        <v>10</v>
      </c>
      <c r="AR383" s="100">
        <v>12.9</v>
      </c>
      <c r="AS383" s="100">
        <v>2.0099999999999998</v>
      </c>
      <c r="AT383" s="100">
        <v>0.02</v>
      </c>
      <c r="AU383" s="100">
        <v>2.1080000000000001</v>
      </c>
      <c r="AV383" s="100">
        <v>2.1760000000000002</v>
      </c>
      <c r="AW383" s="100">
        <f>35.3147*373/1000</f>
        <v>13.172383100000001</v>
      </c>
      <c r="AX383" s="100">
        <v>0.28799999999999998</v>
      </c>
      <c r="AY383" s="100">
        <v>0.47699999999999998</v>
      </c>
    </row>
    <row r="384" spans="1:51" ht="13.5" customHeight="1" x14ac:dyDescent="0.2">
      <c r="A384" s="40">
        <v>45622</v>
      </c>
      <c r="B384" s="154">
        <v>5612</v>
      </c>
      <c r="C384" s="154">
        <v>1471</v>
      </c>
      <c r="D384" s="154">
        <v>133</v>
      </c>
      <c r="E384" s="154">
        <v>236</v>
      </c>
      <c r="F384" s="154">
        <v>106</v>
      </c>
      <c r="G384" s="154">
        <v>106</v>
      </c>
      <c r="H384" s="67">
        <v>7738.04</v>
      </c>
      <c r="I384" s="41">
        <v>735.23099999999999</v>
      </c>
      <c r="J384" s="41">
        <v>2165.1480000000001</v>
      </c>
      <c r="K384" s="41">
        <v>12198</v>
      </c>
      <c r="L384" s="41">
        <f>3539.26351752+329</f>
        <v>3868.2635175199998</v>
      </c>
      <c r="M384" s="154">
        <f>8701-N384</f>
        <v>8345</v>
      </c>
      <c r="N384" s="41">
        <v>356</v>
      </c>
      <c r="O384" s="154">
        <v>9931</v>
      </c>
      <c r="P384" s="154">
        <v>357</v>
      </c>
      <c r="Q384" s="41">
        <v>6588</v>
      </c>
      <c r="R384" s="41">
        <v>3051</v>
      </c>
      <c r="S384" s="41">
        <v>11285</v>
      </c>
      <c r="T384" s="41">
        <v>8705</v>
      </c>
      <c r="U384" s="154">
        <f t="shared" si="114"/>
        <v>163.53479999999999</v>
      </c>
      <c r="V384" s="154">
        <v>700</v>
      </c>
      <c r="W384" s="154">
        <v>9676</v>
      </c>
      <c r="X384" s="41">
        <v>3480</v>
      </c>
      <c r="Y384" s="41"/>
      <c r="Z384" s="154">
        <v>3475</v>
      </c>
      <c r="AA384" s="41"/>
      <c r="AB384" s="154">
        <f>166/0.55</f>
        <v>301.81818181818181</v>
      </c>
      <c r="AC384" s="41"/>
      <c r="AD384" s="154">
        <v>3085</v>
      </c>
      <c r="AE384" s="154">
        <f>175-AH384</f>
        <v>133</v>
      </c>
      <c r="AF384" s="128">
        <v>8725</v>
      </c>
      <c r="AG384" s="154">
        <f>0.49*8009</f>
        <v>3924.41</v>
      </c>
      <c r="AH384" s="154">
        <f t="shared" si="115"/>
        <v>42</v>
      </c>
      <c r="AI384" s="154">
        <v>7303</v>
      </c>
      <c r="AJ384" s="100">
        <v>0.433</v>
      </c>
      <c r="AK384" s="100">
        <v>1.139</v>
      </c>
      <c r="AL384" s="46">
        <f>6173 *35.314666721/10^3</f>
        <v>217.997437668733</v>
      </c>
      <c r="AM384" s="100">
        <v>0</v>
      </c>
      <c r="AN384" s="100">
        <v>7.72</v>
      </c>
      <c r="AO384" s="100">
        <v>5.53</v>
      </c>
      <c r="AP384" s="100">
        <v>5.87</v>
      </c>
      <c r="AQ384" s="100">
        <v>41</v>
      </c>
      <c r="AR384" s="100">
        <v>12.9</v>
      </c>
      <c r="AS384" s="100">
        <v>3.21</v>
      </c>
      <c r="AT384" s="100">
        <v>0.02</v>
      </c>
      <c r="AU384" s="100">
        <v>4.75</v>
      </c>
      <c r="AV384" s="100">
        <v>2.6269999999999998</v>
      </c>
      <c r="AW384" s="100">
        <f>35.3147*421/1000</f>
        <v>14.867488700000001</v>
      </c>
      <c r="AX384" s="100">
        <v>0.309</v>
      </c>
      <c r="AY384" s="100">
        <v>0.47599999999999998</v>
      </c>
    </row>
    <row r="385" spans="1:51" ht="13.5" customHeight="1" x14ac:dyDescent="0.2">
      <c r="A385" s="40">
        <v>45623</v>
      </c>
      <c r="B385" s="154">
        <v>5517</v>
      </c>
      <c r="C385" s="154">
        <v>1486</v>
      </c>
      <c r="D385" s="154">
        <v>129</v>
      </c>
      <c r="E385" s="154">
        <v>231</v>
      </c>
      <c r="F385" s="154">
        <v>109</v>
      </c>
      <c r="G385" s="154">
        <v>109</v>
      </c>
      <c r="H385" s="67">
        <v>7974.3909999999996</v>
      </c>
      <c r="I385" s="41">
        <v>812.91</v>
      </c>
      <c r="J385" s="41">
        <v>2399.5639999999999</v>
      </c>
      <c r="K385" s="41">
        <v>12975</v>
      </c>
      <c r="L385" s="41">
        <f>3572.05416816+334</f>
        <v>3906.0541681599998</v>
      </c>
      <c r="M385" s="154">
        <f>8662-N385</f>
        <v>8306</v>
      </c>
      <c r="N385" s="41">
        <v>356</v>
      </c>
      <c r="O385" s="154">
        <v>10250</v>
      </c>
      <c r="P385" s="154">
        <v>357</v>
      </c>
      <c r="Q385" s="41">
        <v>6597</v>
      </c>
      <c r="R385" s="41">
        <v>3009</v>
      </c>
      <c r="S385" s="41">
        <v>11307</v>
      </c>
      <c r="T385" s="41">
        <v>8962</v>
      </c>
      <c r="U385" s="154">
        <f t="shared" si="114"/>
        <v>163.53479999999999</v>
      </c>
      <c r="V385" s="154">
        <v>700</v>
      </c>
      <c r="W385" s="154">
        <v>9399</v>
      </c>
      <c r="X385" s="41">
        <v>4827</v>
      </c>
      <c r="Y385" s="41"/>
      <c r="Z385" s="154">
        <v>3479</v>
      </c>
      <c r="AA385" s="41"/>
      <c r="AB385" s="154">
        <f>254/0.55</f>
        <v>461.81818181818176</v>
      </c>
      <c r="AC385" s="41"/>
      <c r="AD385" s="154">
        <v>3854</v>
      </c>
      <c r="AE385" s="154">
        <f>175-AH385</f>
        <v>133</v>
      </c>
      <c r="AF385" s="128">
        <v>8915</v>
      </c>
      <c r="AG385" s="154">
        <f>0.49*8018</f>
        <v>3928.8199999999997</v>
      </c>
      <c r="AH385" s="154">
        <f t="shared" si="115"/>
        <v>42</v>
      </c>
      <c r="AI385" s="154">
        <v>7242</v>
      </c>
      <c r="AJ385" s="100">
        <v>0.38800000000000001</v>
      </c>
      <c r="AK385" s="100">
        <v>0.90100000000000002</v>
      </c>
      <c r="AL385" s="46">
        <f>6070 *35.314666721/10^3</f>
        <v>214.36002699647</v>
      </c>
      <c r="AM385" s="100">
        <v>0</v>
      </c>
      <c r="AN385" s="100">
        <v>7.72</v>
      </c>
      <c r="AO385" s="100">
        <v>5.53</v>
      </c>
      <c r="AP385" s="100">
        <v>5.87</v>
      </c>
      <c r="AQ385" s="100">
        <v>44</v>
      </c>
      <c r="AR385" s="100">
        <v>11.19</v>
      </c>
      <c r="AS385" s="100">
        <v>7.18</v>
      </c>
      <c r="AT385" s="100">
        <v>0.02</v>
      </c>
      <c r="AU385" s="100">
        <v>4.952</v>
      </c>
      <c r="AV385" s="100">
        <v>2.9</v>
      </c>
      <c r="AW385" s="100">
        <f>35.3147*414/1000</f>
        <v>14.620285800000001</v>
      </c>
      <c r="AX385" s="100">
        <v>0.35799999999999998</v>
      </c>
      <c r="AY385" s="100">
        <v>0.47399999999999998</v>
      </c>
    </row>
    <row r="386" spans="1:51" ht="13.5" customHeight="1" x14ac:dyDescent="0.2">
      <c r="A386" s="40">
        <v>45624</v>
      </c>
      <c r="B386" s="154">
        <v>5547</v>
      </c>
      <c r="C386" s="154">
        <v>1436</v>
      </c>
      <c r="D386" s="154">
        <v>134</v>
      </c>
      <c r="E386" s="154">
        <v>237</v>
      </c>
      <c r="F386" s="154">
        <v>106</v>
      </c>
      <c r="G386" s="154">
        <v>106</v>
      </c>
      <c r="H386" s="67">
        <v>8030.3729999999996</v>
      </c>
      <c r="I386" s="41">
        <v>819.75599999999997</v>
      </c>
      <c r="J386" s="41">
        <v>2435.5230000000001</v>
      </c>
      <c r="K386" s="41">
        <v>13253</v>
      </c>
      <c r="L386" s="41">
        <v>3729.6908312400001</v>
      </c>
      <c r="M386" s="154">
        <v>8352</v>
      </c>
      <c r="N386" s="41">
        <v>356</v>
      </c>
      <c r="O386" s="154">
        <v>9890</v>
      </c>
      <c r="P386" s="154">
        <v>361</v>
      </c>
      <c r="Q386" s="41">
        <v>6558</v>
      </c>
      <c r="R386" s="41">
        <v>3015</v>
      </c>
      <c r="S386" s="41">
        <v>11327</v>
      </c>
      <c r="T386" s="41">
        <v>8507</v>
      </c>
      <c r="U386" s="154">
        <v>163.53479999999999</v>
      </c>
      <c r="V386" s="154">
        <v>700</v>
      </c>
      <c r="W386" s="154">
        <v>9307</v>
      </c>
      <c r="X386" s="41">
        <v>4372</v>
      </c>
      <c r="Y386" s="41"/>
      <c r="Z386" s="154">
        <v>3468</v>
      </c>
      <c r="AA386" s="41"/>
      <c r="AB386" s="154">
        <v>529.09090909090901</v>
      </c>
      <c r="AC386" s="41"/>
      <c r="AD386" s="154">
        <v>3247</v>
      </c>
      <c r="AE386" s="154">
        <v>163</v>
      </c>
      <c r="AF386" s="128">
        <v>8979</v>
      </c>
      <c r="AG386" s="154">
        <v>3924.9</v>
      </c>
      <c r="AH386" s="154">
        <v>42</v>
      </c>
      <c r="AI386" s="154">
        <v>7194</v>
      </c>
      <c r="AJ386" s="100">
        <v>0.39</v>
      </c>
      <c r="AK386" s="100">
        <v>0.93</v>
      </c>
      <c r="AL386" s="46">
        <v>176.57333360500002</v>
      </c>
      <c r="AM386" s="100">
        <v>0.23200000000000001</v>
      </c>
      <c r="AN386" s="100">
        <v>7.72</v>
      </c>
      <c r="AO386" s="100">
        <v>5.53</v>
      </c>
      <c r="AP386" s="100">
        <v>5.87</v>
      </c>
      <c r="AQ386" s="100">
        <v>34</v>
      </c>
      <c r="AR386" s="100">
        <v>1.67</v>
      </c>
      <c r="AS386" s="100">
        <v>4.83</v>
      </c>
      <c r="AT386" s="100">
        <v>0.02</v>
      </c>
      <c r="AU386" s="100">
        <v>4.952</v>
      </c>
      <c r="AV386" s="100">
        <v>2.98</v>
      </c>
      <c r="AW386" s="100">
        <v>14.796859299999999</v>
      </c>
      <c r="AX386" s="100">
        <v>0.36599999999999999</v>
      </c>
      <c r="AY386" s="100">
        <v>0.48</v>
      </c>
    </row>
    <row r="387" spans="1:51" ht="13.5" customHeight="1" x14ac:dyDescent="0.2">
      <c r="A387" s="40">
        <v>45625</v>
      </c>
      <c r="B387" s="154">
        <v>5567</v>
      </c>
      <c r="C387" s="154">
        <v>1408</v>
      </c>
      <c r="D387" s="154">
        <v>129</v>
      </c>
      <c r="E387" s="154">
        <v>237</v>
      </c>
      <c r="F387" s="154">
        <v>104</v>
      </c>
      <c r="G387" s="154">
        <v>104</v>
      </c>
      <c r="H387" s="67">
        <v>7975.3019999999997</v>
      </c>
      <c r="I387" s="41">
        <v>775.71400000000006</v>
      </c>
      <c r="J387" s="41">
        <v>2270.63</v>
      </c>
      <c r="K387" s="41">
        <v>13262</v>
      </c>
      <c r="L387" s="41">
        <v>3904.4990702</v>
      </c>
      <c r="M387" s="154">
        <v>8355</v>
      </c>
      <c r="N387" s="41">
        <v>356</v>
      </c>
      <c r="O387" s="154">
        <v>9088</v>
      </c>
      <c r="P387" s="154">
        <v>332</v>
      </c>
      <c r="Q387" s="41">
        <v>6589</v>
      </c>
      <c r="R387" s="41">
        <v>3009</v>
      </c>
      <c r="S387" s="41">
        <v>11275</v>
      </c>
      <c r="T387" s="41">
        <v>8420</v>
      </c>
      <c r="U387" s="154">
        <v>169.82459999999998</v>
      </c>
      <c r="V387" s="154">
        <v>701</v>
      </c>
      <c r="W387" s="154">
        <v>8845</v>
      </c>
      <c r="X387" s="41">
        <v>4451</v>
      </c>
      <c r="Y387" s="41"/>
      <c r="Z387" s="154">
        <v>3468</v>
      </c>
      <c r="AA387" s="41"/>
      <c r="AB387" s="154">
        <v>305.45454545454544</v>
      </c>
      <c r="AC387" s="41"/>
      <c r="AD387" s="154">
        <v>3909</v>
      </c>
      <c r="AE387" s="154">
        <v>170</v>
      </c>
      <c r="AF387" s="128">
        <v>9124</v>
      </c>
      <c r="AG387" s="154">
        <v>3935.68</v>
      </c>
      <c r="AH387" s="154">
        <v>42</v>
      </c>
      <c r="AI387" s="154">
        <v>7107</v>
      </c>
      <c r="AJ387" s="100">
        <v>0.38800000000000001</v>
      </c>
      <c r="AK387" s="100">
        <v>0.90400000000000003</v>
      </c>
      <c r="AL387" s="46">
        <v>200.94045364249001</v>
      </c>
      <c r="AM387" s="100">
        <v>0.375</v>
      </c>
      <c r="AN387" s="100">
        <v>8.16</v>
      </c>
      <c r="AO387" s="100">
        <v>5.57</v>
      </c>
      <c r="AP387" s="100">
        <v>5.76</v>
      </c>
      <c r="AQ387" s="100">
        <v>44</v>
      </c>
      <c r="AR387" s="100">
        <v>8.6999999999999993</v>
      </c>
      <c r="AS387" s="100">
        <v>3.99</v>
      </c>
      <c r="AT387" s="100">
        <v>0.02</v>
      </c>
      <c r="AU387" s="100">
        <v>4.952</v>
      </c>
      <c r="AV387" s="100">
        <v>2.9039999999999999</v>
      </c>
      <c r="AW387" s="100">
        <v>14.337768200000001</v>
      </c>
      <c r="AX387" s="100">
        <v>0.38300000000000001</v>
      </c>
      <c r="AY387" s="100">
        <v>0.48299999999999998</v>
      </c>
    </row>
    <row r="388" spans="1:51" ht="13.5" customHeight="1" x14ac:dyDescent="0.2">
      <c r="A388" s="40">
        <v>45626</v>
      </c>
      <c r="B388" s="154">
        <v>5636</v>
      </c>
      <c r="C388" s="154">
        <v>1404</v>
      </c>
      <c r="D388" s="154">
        <v>133</v>
      </c>
      <c r="E388" s="154">
        <v>255</v>
      </c>
      <c r="F388" s="154">
        <v>104</v>
      </c>
      <c r="G388" s="154">
        <v>104</v>
      </c>
      <c r="H388" s="67">
        <v>8027.857</v>
      </c>
      <c r="I388" s="41">
        <v>820.05100000000004</v>
      </c>
      <c r="J388" s="41">
        <v>2346.3649999999998</v>
      </c>
      <c r="K388" s="41">
        <v>13251</v>
      </c>
      <c r="L388" s="41">
        <v>3888.8541988799998</v>
      </c>
      <c r="M388" s="154">
        <v>8362</v>
      </c>
      <c r="N388" s="41">
        <v>356</v>
      </c>
      <c r="O388" s="154">
        <v>8922</v>
      </c>
      <c r="P388" s="154">
        <v>332</v>
      </c>
      <c r="Q388" s="41">
        <v>6577</v>
      </c>
      <c r="R388" s="41">
        <v>2973</v>
      </c>
      <c r="S388" s="41">
        <v>9344</v>
      </c>
      <c r="T388" s="41">
        <v>8341</v>
      </c>
      <c r="U388" s="154">
        <v>81.767399999999995</v>
      </c>
      <c r="V388" s="154">
        <v>702</v>
      </c>
      <c r="W388" s="154">
        <v>9332</v>
      </c>
      <c r="X388" s="41">
        <v>4100</v>
      </c>
      <c r="Y388" s="41"/>
      <c r="Z388" s="154">
        <v>3468</v>
      </c>
      <c r="AA388" s="41"/>
      <c r="AB388" s="154">
        <v>456.36363636363632</v>
      </c>
      <c r="AC388" s="41"/>
      <c r="AD388" s="154">
        <v>3657</v>
      </c>
      <c r="AE388" s="154">
        <v>99</v>
      </c>
      <c r="AF388" s="128">
        <v>6065</v>
      </c>
      <c r="AG388" s="154">
        <v>3944.5</v>
      </c>
      <c r="AH388" s="154">
        <v>42</v>
      </c>
      <c r="AI388" s="154">
        <v>6719</v>
      </c>
      <c r="AJ388" s="100">
        <v>0.39700000000000002</v>
      </c>
      <c r="AK388" s="100">
        <v>1.014</v>
      </c>
      <c r="AL388" s="46">
        <v>204.54254964803201</v>
      </c>
      <c r="AM388" s="100">
        <v>0.313</v>
      </c>
      <c r="AN388" s="100">
        <v>8.65</v>
      </c>
      <c r="AO388" s="100">
        <v>5.47</v>
      </c>
      <c r="AP388" s="100">
        <v>4.66</v>
      </c>
      <c r="AQ388" s="100">
        <v>12.36</v>
      </c>
      <c r="AR388" s="100">
        <v>9.99</v>
      </c>
      <c r="AS388" s="100">
        <v>2.5499999999999998</v>
      </c>
      <c r="AT388" s="100">
        <v>0.02</v>
      </c>
      <c r="AU388" s="100">
        <v>3.2309999999999999</v>
      </c>
      <c r="AV388" s="100">
        <v>3</v>
      </c>
      <c r="AW388" s="100">
        <v>12.7486067</v>
      </c>
      <c r="AX388" s="100">
        <v>0.39600000000000002</v>
      </c>
      <c r="AY388" s="100">
        <v>0.48599999999999999</v>
      </c>
    </row>
    <row r="389" spans="1:51" x14ac:dyDescent="0.2">
      <c r="A389" s="50" t="s">
        <v>52</v>
      </c>
      <c r="B389" s="118">
        <f t="shared" ref="B389:G389" si="116">SUM(B359:B388)*B$2</f>
        <v>1270128.75</v>
      </c>
      <c r="C389" s="118">
        <f t="shared" si="116"/>
        <v>317699.20000000001</v>
      </c>
      <c r="D389" s="118">
        <f t="shared" si="116"/>
        <v>27962.48</v>
      </c>
      <c r="E389" s="118">
        <f t="shared" si="116"/>
        <v>54229.71</v>
      </c>
      <c r="F389" s="118">
        <f t="shared" si="116"/>
        <v>25485.264000000003</v>
      </c>
      <c r="G389" s="118">
        <f t="shared" si="116"/>
        <v>25485.264000000003</v>
      </c>
      <c r="H389" s="119">
        <f t="shared" ref="H389:W389" si="117">SUM(H359:H388)</f>
        <v>244864.66999999995</v>
      </c>
      <c r="I389" s="118">
        <f t="shared" si="117"/>
        <v>30839.065999999999</v>
      </c>
      <c r="J389" s="118">
        <f t="shared" si="117"/>
        <v>68546.316999999995</v>
      </c>
      <c r="K389" s="118">
        <f t="shared" si="117"/>
        <v>374074</v>
      </c>
      <c r="L389" s="118">
        <f>SUM(L359:L388)</f>
        <v>118424.89573240004</v>
      </c>
      <c r="M389" s="118">
        <f t="shared" si="117"/>
        <v>249450</v>
      </c>
      <c r="N389" s="118">
        <f t="shared" si="117"/>
        <v>12364</v>
      </c>
      <c r="O389" s="118">
        <f t="shared" si="117"/>
        <v>278490</v>
      </c>
      <c r="P389" s="118">
        <f t="shared" si="117"/>
        <v>9859</v>
      </c>
      <c r="Q389" s="118">
        <f t="shared" si="117"/>
        <v>197474</v>
      </c>
      <c r="R389" s="118">
        <f t="shared" si="117"/>
        <v>90082</v>
      </c>
      <c r="S389" s="118">
        <f t="shared" si="117"/>
        <v>345151</v>
      </c>
      <c r="T389" s="118">
        <f t="shared" si="117"/>
        <v>249249</v>
      </c>
      <c r="U389" s="118">
        <f t="shared" si="117"/>
        <v>3794.3218499999994</v>
      </c>
      <c r="V389" s="118">
        <f t="shared" si="117"/>
        <v>21003</v>
      </c>
      <c r="W389" s="118">
        <f t="shared" si="117"/>
        <v>274641</v>
      </c>
      <c r="X389" s="118">
        <f>SUM(X359:X388)</f>
        <v>87081</v>
      </c>
      <c r="Y389" s="118"/>
      <c r="Z389" s="118">
        <f>SUM(Z359:Z388)</f>
        <v>96523</v>
      </c>
      <c r="AA389" s="118"/>
      <c r="AB389" s="118">
        <f>SUM(AB359:AB388)*AB$2</f>
        <v>87082.036363636362</v>
      </c>
      <c r="AC389" s="118"/>
      <c r="AD389" s="118">
        <f>SUM(AD359:AD388)</f>
        <v>106818</v>
      </c>
      <c r="AE389" s="118">
        <f>SUM(AE359:AE388)*AE$2</f>
        <v>36087.734100000001</v>
      </c>
      <c r="AF389" s="118">
        <f>SUM(AF359:AF388)</f>
        <v>213470</v>
      </c>
      <c r="AG389" s="118">
        <f>SUM(AG359:AG388)*AG$2</f>
        <v>860732.58879999979</v>
      </c>
      <c r="AH389" s="118">
        <f>SUM(AH359:AH388)*$AH$2</f>
        <v>10299.607444982712</v>
      </c>
      <c r="AI389" s="118">
        <f>SUM(AI359:AI388)</f>
        <v>206975</v>
      </c>
      <c r="AJ389" s="133">
        <f>SUM(AJ359:AJ388)*AJ$2</f>
        <v>425.18858732084004</v>
      </c>
      <c r="AK389" s="122">
        <f>SUM(AK359:AK388)*AK$2</f>
        <v>941.20649744809225</v>
      </c>
      <c r="AL389" s="122">
        <f>SUM(AL359:AL388)</f>
        <v>6232.1204949217536</v>
      </c>
      <c r="AM389" s="122">
        <f>SUM(AM359:AM388)*AM$2</f>
        <v>311.61661914610403</v>
      </c>
      <c r="AN389" s="122">
        <f t="shared" ref="AN389:AS389" si="118">SUM(AN359:AN388)</f>
        <v>207.79</v>
      </c>
      <c r="AO389" s="122">
        <f t="shared" si="118"/>
        <v>196.65</v>
      </c>
      <c r="AP389" s="122">
        <f t="shared" si="118"/>
        <v>167.98000000000002</v>
      </c>
      <c r="AQ389" s="122">
        <f t="shared" si="118"/>
        <v>938.86</v>
      </c>
      <c r="AR389" s="122">
        <f t="shared" si="118"/>
        <v>359.13999999999987</v>
      </c>
      <c r="AS389" s="122">
        <f t="shared" si="118"/>
        <v>44.910000000000004</v>
      </c>
      <c r="AT389" s="122">
        <f>SUM(AT359:AT388)*$AY$2</f>
        <v>52.265756000000017</v>
      </c>
      <c r="AU389" s="122">
        <f>SUM(AU359:AU388)*$AY$2</f>
        <v>3996.4233402</v>
      </c>
      <c r="AV389" s="122">
        <f>SUM(AV359:AV388)*AV$2</f>
        <v>2422.1999583000006</v>
      </c>
      <c r="AW389" s="122">
        <f>SUM(AW359:AW388)</f>
        <v>407.07254690000008</v>
      </c>
      <c r="AX389" s="122">
        <f>SUM(AX359:AX388)*AX$2</f>
        <v>338.95049060000008</v>
      </c>
      <c r="AY389" s="122">
        <f>SUM(AY359:AY388)*$AY$2</f>
        <v>477.06628230000001</v>
      </c>
    </row>
    <row r="390" spans="1:51" x14ac:dyDescent="0.2">
      <c r="A390" s="50" t="s">
        <v>53</v>
      </c>
      <c r="B390" s="120">
        <f t="shared" ref="B390:AG390" si="119">B389/B$2</f>
        <v>169125</v>
      </c>
      <c r="C390" s="120">
        <f t="shared" si="119"/>
        <v>43640</v>
      </c>
      <c r="D390" s="120">
        <f t="shared" si="119"/>
        <v>3841</v>
      </c>
      <c r="E390" s="120">
        <f t="shared" si="119"/>
        <v>7221</v>
      </c>
      <c r="F390" s="120">
        <f t="shared" si="119"/>
        <v>3474.0000000000005</v>
      </c>
      <c r="G390" s="120">
        <f t="shared" si="119"/>
        <v>3474.0000000000005</v>
      </c>
      <c r="H390" s="123">
        <f t="shared" si="119"/>
        <v>33124.250286137823</v>
      </c>
      <c r="I390" s="120">
        <f t="shared" si="119"/>
        <v>4129.6266960009425</v>
      </c>
      <c r="J390" s="120">
        <f t="shared" si="119"/>
        <v>9216.2576401254646</v>
      </c>
      <c r="K390" s="120">
        <f t="shared" si="119"/>
        <v>46886.372640668546</v>
      </c>
      <c r="L390" s="120">
        <f>L389/L$2</f>
        <v>15553.896769617058</v>
      </c>
      <c r="M390" s="120">
        <f t="shared" si="119"/>
        <v>32908.970976253295</v>
      </c>
      <c r="N390" s="120">
        <f t="shared" si="119"/>
        <v>1581.0741687979539</v>
      </c>
      <c r="O390" s="120">
        <f t="shared" si="119"/>
        <v>37132</v>
      </c>
      <c r="P390" s="120">
        <f t="shared" si="119"/>
        <v>1314.5333333333333</v>
      </c>
      <c r="Q390" s="120">
        <f t="shared" si="119"/>
        <v>26542.204301075268</v>
      </c>
      <c r="R390" s="120">
        <f t="shared" si="119"/>
        <v>11548.974358974359</v>
      </c>
      <c r="S390" s="120">
        <f t="shared" si="119"/>
        <v>46422.461331540013</v>
      </c>
      <c r="T390" s="120">
        <f t="shared" si="119"/>
        <v>33523.739071956959</v>
      </c>
      <c r="U390" s="120">
        <f t="shared" si="119"/>
        <v>440.71861408120873</v>
      </c>
      <c r="V390" s="120">
        <f t="shared" si="119"/>
        <v>2665.3553299492387</v>
      </c>
      <c r="W390" s="120">
        <f t="shared" si="119"/>
        <v>35900.784313725489</v>
      </c>
      <c r="X390" s="120">
        <f>X389/X$2</f>
        <v>11488.25857519789</v>
      </c>
      <c r="Y390" s="120"/>
      <c r="Z390" s="120">
        <f>Z389/Z$2</f>
        <v>13242.482737426411</v>
      </c>
      <c r="AA390" s="120"/>
      <c r="AB390" s="120">
        <f>AB389/AB$2</f>
        <v>11961.818181818182</v>
      </c>
      <c r="AC390" s="120"/>
      <c r="AD390" s="120">
        <f>AD389/AD$2</f>
        <v>14114.429175475689</v>
      </c>
      <c r="AE390" s="120">
        <f t="shared" si="119"/>
        <v>4280.87</v>
      </c>
      <c r="AF390" s="120">
        <f>AF389/AF$2</f>
        <v>26334.813718233407</v>
      </c>
      <c r="AG390" s="120">
        <f t="shared" si="119"/>
        <v>119215.03999999998</v>
      </c>
      <c r="AH390" s="120">
        <f>AH389/AH$2</f>
        <v>1228.1300000000001</v>
      </c>
      <c r="AI390" s="120">
        <f>AI389/$AI$2</f>
        <v>26535.25641025641</v>
      </c>
      <c r="AJ390" s="56">
        <f>AJ389/$AJ$2</f>
        <v>12.040000000000001</v>
      </c>
      <c r="AK390" s="57">
        <f>AK389/$AJ$2</f>
        <v>26.652000000000005</v>
      </c>
      <c r="AL390" s="57">
        <f>AL389/$AJ$2</f>
        <v>176.47399999999999</v>
      </c>
      <c r="AM390" s="57">
        <f>AM389/$AJ$2</f>
        <v>8.8239999999999998</v>
      </c>
      <c r="AN390" s="57">
        <f>AN389/$AJ$2</f>
        <v>5.8839575534330857</v>
      </c>
      <c r="AO390" s="57">
        <f>AO389/$AJ$2</f>
        <v>5.5685078823938419</v>
      </c>
      <c r="AP390" s="57">
        <f>AP389/$AJ$2</f>
        <v>4.7566638905899703</v>
      </c>
      <c r="AQ390" s="57">
        <f>AQ389/$AJ$2</f>
        <v>26.58555459173294</v>
      </c>
      <c r="AR390" s="57">
        <f>AR389/$AJ$2</f>
        <v>10.169712285191578</v>
      </c>
      <c r="AS390" s="57">
        <f>AS389/$AJ$2</f>
        <v>1.2717095804643146</v>
      </c>
      <c r="AT390" s="57">
        <f>AT389/$AJ$2</f>
        <v>1.4800013946873802</v>
      </c>
      <c r="AU390" s="57">
        <f>AU389/$AJ$2</f>
        <v>113.16610664269732</v>
      </c>
      <c r="AV390" s="57">
        <f>AV389/$AJ$2</f>
        <v>68.589064635278859</v>
      </c>
      <c r="AW390" s="57">
        <f>AW389/$AJ$2</f>
        <v>11.527010862541507</v>
      </c>
      <c r="AX390" s="57">
        <f>AX389/$AJ$2</f>
        <v>9.5980090447361324</v>
      </c>
      <c r="AY390" s="57">
        <f>AY389/$AJ$2</f>
        <v>13.509012730291767</v>
      </c>
    </row>
    <row r="391" spans="1:51" x14ac:dyDescent="0.2">
      <c r="A391" s="50" t="s">
        <v>54</v>
      </c>
      <c r="B391" s="59">
        <f t="shared" ref="B391:AH392" si="120">B389</f>
        <v>1270128.75</v>
      </c>
      <c r="C391" s="59">
        <f t="shared" si="120"/>
        <v>317699.20000000001</v>
      </c>
      <c r="D391" s="59">
        <f t="shared" si="120"/>
        <v>27962.48</v>
      </c>
      <c r="E391" s="59">
        <f t="shared" si="120"/>
        <v>54229.71</v>
      </c>
      <c r="F391" s="59">
        <f t="shared" si="120"/>
        <v>25485.264000000003</v>
      </c>
      <c r="G391" s="59">
        <f t="shared" si="120"/>
        <v>25485.264000000003</v>
      </c>
      <c r="H391" s="60">
        <f t="shared" si="120"/>
        <v>244864.66999999995</v>
      </c>
      <c r="I391" s="59">
        <f t="shared" si="120"/>
        <v>30839.065999999999</v>
      </c>
      <c r="J391" s="59">
        <f t="shared" si="120"/>
        <v>68546.316999999995</v>
      </c>
      <c r="K391" s="59">
        <f t="shared" si="120"/>
        <v>374074</v>
      </c>
      <c r="L391" s="59">
        <f>L389</f>
        <v>118424.89573240004</v>
      </c>
      <c r="M391" s="59">
        <f t="shared" si="120"/>
        <v>249450</v>
      </c>
      <c r="N391" s="59">
        <f t="shared" si="120"/>
        <v>12364</v>
      </c>
      <c r="O391" s="59">
        <f t="shared" si="120"/>
        <v>278490</v>
      </c>
      <c r="P391" s="59">
        <f t="shared" si="120"/>
        <v>9859</v>
      </c>
      <c r="Q391" s="59">
        <f t="shared" si="120"/>
        <v>197474</v>
      </c>
      <c r="R391" s="59">
        <f t="shared" si="120"/>
        <v>90082</v>
      </c>
      <c r="S391" s="59">
        <f t="shared" si="120"/>
        <v>345151</v>
      </c>
      <c r="T391" s="59">
        <f t="shared" si="120"/>
        <v>249249</v>
      </c>
      <c r="U391" s="59">
        <f t="shared" si="120"/>
        <v>3794.3218499999994</v>
      </c>
      <c r="V391" s="59">
        <f t="shared" si="120"/>
        <v>21003</v>
      </c>
      <c r="W391" s="59">
        <f t="shared" si="120"/>
        <v>274641</v>
      </c>
      <c r="X391" s="59">
        <f t="shared" si="120"/>
        <v>87081</v>
      </c>
      <c r="Y391" s="59">
        <f t="shared" si="120"/>
        <v>0</v>
      </c>
      <c r="Z391" s="59">
        <f>Z389</f>
        <v>96523</v>
      </c>
      <c r="AA391" s="59">
        <f t="shared" si="120"/>
        <v>0</v>
      </c>
      <c r="AB391" s="59">
        <f>AB389</f>
        <v>87082.036363636362</v>
      </c>
      <c r="AC391" s="59">
        <f t="shared" si="120"/>
        <v>0</v>
      </c>
      <c r="AD391" s="59">
        <f t="shared" si="120"/>
        <v>106818</v>
      </c>
      <c r="AE391" s="59">
        <f t="shared" si="120"/>
        <v>36087.734100000001</v>
      </c>
      <c r="AF391" s="59">
        <f>AF389</f>
        <v>213470</v>
      </c>
      <c r="AG391" s="59">
        <f t="shared" si="120"/>
        <v>860732.58879999979</v>
      </c>
      <c r="AH391" s="59">
        <f t="shared" si="120"/>
        <v>10299.607444982712</v>
      </c>
      <c r="AI391" s="59">
        <f>AI389</f>
        <v>206975</v>
      </c>
      <c r="AJ391" s="61">
        <f>AJ389</f>
        <v>425.18858732084004</v>
      </c>
      <c r="AK391" s="62">
        <f t="shared" ref="AK391:AY392" si="121">AK389</f>
        <v>941.20649744809225</v>
      </c>
      <c r="AL391" s="62">
        <f t="shared" si="121"/>
        <v>6232.1204949217536</v>
      </c>
      <c r="AM391" s="62">
        <f t="shared" si="121"/>
        <v>311.61661914610403</v>
      </c>
      <c r="AN391" s="62">
        <f t="shared" si="121"/>
        <v>207.79</v>
      </c>
      <c r="AO391" s="62">
        <f t="shared" si="121"/>
        <v>196.65</v>
      </c>
      <c r="AP391" s="62">
        <f t="shared" si="121"/>
        <v>167.98000000000002</v>
      </c>
      <c r="AQ391" s="62">
        <f t="shared" si="121"/>
        <v>938.86</v>
      </c>
      <c r="AR391" s="62">
        <f t="shared" si="121"/>
        <v>359.13999999999987</v>
      </c>
      <c r="AS391" s="62">
        <f t="shared" si="121"/>
        <v>44.910000000000004</v>
      </c>
      <c r="AT391" s="62">
        <f>AT389</f>
        <v>52.265756000000017</v>
      </c>
      <c r="AU391" s="62">
        <f t="shared" si="121"/>
        <v>3996.4233402</v>
      </c>
      <c r="AV391" s="62">
        <f t="shared" si="121"/>
        <v>2422.1999583000006</v>
      </c>
      <c r="AW391" s="62">
        <f>AW389</f>
        <v>407.07254690000008</v>
      </c>
      <c r="AX391" s="62">
        <f>AX389</f>
        <v>338.95049060000008</v>
      </c>
      <c r="AY391" s="62">
        <f t="shared" si="121"/>
        <v>477.06628230000001</v>
      </c>
    </row>
    <row r="392" spans="1:51" x14ac:dyDescent="0.2">
      <c r="A392" s="50" t="s">
        <v>55</v>
      </c>
      <c r="B392" s="59">
        <f t="shared" si="120"/>
        <v>169125</v>
      </c>
      <c r="C392" s="59">
        <f t="shared" si="120"/>
        <v>43640</v>
      </c>
      <c r="D392" s="59">
        <f t="shared" si="120"/>
        <v>3841</v>
      </c>
      <c r="E392" s="59">
        <f t="shared" si="120"/>
        <v>7221</v>
      </c>
      <c r="F392" s="59">
        <f t="shared" si="120"/>
        <v>3474.0000000000005</v>
      </c>
      <c r="G392" s="59">
        <f t="shared" si="120"/>
        <v>3474.0000000000005</v>
      </c>
      <c r="H392" s="60">
        <f t="shared" si="120"/>
        <v>33124.250286137823</v>
      </c>
      <c r="I392" s="59">
        <f t="shared" si="120"/>
        <v>4129.6266960009425</v>
      </c>
      <c r="J392" s="59">
        <f t="shared" si="120"/>
        <v>9216.2576401254646</v>
      </c>
      <c r="K392" s="59">
        <f t="shared" si="120"/>
        <v>46886.372640668546</v>
      </c>
      <c r="L392" s="59">
        <f>L390</f>
        <v>15553.896769617058</v>
      </c>
      <c r="M392" s="59">
        <f t="shared" si="120"/>
        <v>32908.970976253295</v>
      </c>
      <c r="N392" s="59">
        <f t="shared" si="120"/>
        <v>1581.0741687979539</v>
      </c>
      <c r="O392" s="59">
        <f t="shared" si="120"/>
        <v>37132</v>
      </c>
      <c r="P392" s="59">
        <f t="shared" si="120"/>
        <v>1314.5333333333333</v>
      </c>
      <c r="Q392" s="59">
        <f t="shared" si="120"/>
        <v>26542.204301075268</v>
      </c>
      <c r="R392" s="59">
        <f t="shared" si="120"/>
        <v>11548.974358974359</v>
      </c>
      <c r="S392" s="59">
        <f t="shared" si="120"/>
        <v>46422.461331540013</v>
      </c>
      <c r="T392" s="59">
        <f t="shared" si="120"/>
        <v>33523.739071956959</v>
      </c>
      <c r="U392" s="59">
        <f t="shared" si="120"/>
        <v>440.71861408120873</v>
      </c>
      <c r="V392" s="59">
        <f t="shared" si="120"/>
        <v>2665.3553299492387</v>
      </c>
      <c r="W392" s="59">
        <f t="shared" si="120"/>
        <v>35900.784313725489</v>
      </c>
      <c r="X392" s="59">
        <f t="shared" si="120"/>
        <v>11488.25857519789</v>
      </c>
      <c r="Y392" s="59">
        <f t="shared" si="120"/>
        <v>0</v>
      </c>
      <c r="Z392" s="59">
        <f>Z390</f>
        <v>13242.482737426411</v>
      </c>
      <c r="AA392" s="59">
        <f t="shared" si="120"/>
        <v>0</v>
      </c>
      <c r="AB392" s="59">
        <f>AB390</f>
        <v>11961.818181818182</v>
      </c>
      <c r="AC392" s="59">
        <f t="shared" si="120"/>
        <v>0</v>
      </c>
      <c r="AD392" s="59">
        <f t="shared" si="120"/>
        <v>14114.429175475689</v>
      </c>
      <c r="AE392" s="59">
        <f t="shared" si="120"/>
        <v>4280.87</v>
      </c>
      <c r="AF392" s="59">
        <f>AF390</f>
        <v>26334.813718233407</v>
      </c>
      <c r="AG392" s="59">
        <f t="shared" si="120"/>
        <v>119215.03999999998</v>
      </c>
      <c r="AH392" s="59">
        <f t="shared" si="120"/>
        <v>1228.1300000000001</v>
      </c>
      <c r="AI392" s="59">
        <f>AI390</f>
        <v>26535.25641025641</v>
      </c>
      <c r="AJ392" s="61">
        <f>AJ390</f>
        <v>12.040000000000001</v>
      </c>
      <c r="AK392" s="62">
        <f t="shared" si="121"/>
        <v>26.652000000000005</v>
      </c>
      <c r="AL392" s="62">
        <f t="shared" si="121"/>
        <v>176.47399999999999</v>
      </c>
      <c r="AM392" s="62">
        <f t="shared" si="121"/>
        <v>8.8239999999999998</v>
      </c>
      <c r="AN392" s="62">
        <f t="shared" si="121"/>
        <v>5.8839575534330857</v>
      </c>
      <c r="AO392" s="62">
        <f t="shared" si="121"/>
        <v>5.5685078823938419</v>
      </c>
      <c r="AP392" s="62">
        <f t="shared" si="121"/>
        <v>4.7566638905899703</v>
      </c>
      <c r="AQ392" s="62">
        <f t="shared" si="121"/>
        <v>26.58555459173294</v>
      </c>
      <c r="AR392" s="62">
        <f t="shared" si="121"/>
        <v>10.169712285191578</v>
      </c>
      <c r="AS392" s="62">
        <f t="shared" si="121"/>
        <v>1.2717095804643146</v>
      </c>
      <c r="AT392" s="62">
        <f>AT390</f>
        <v>1.4800013946873802</v>
      </c>
      <c r="AU392" s="62">
        <f t="shared" si="121"/>
        <v>113.16610664269732</v>
      </c>
      <c r="AV392" s="62">
        <f t="shared" si="121"/>
        <v>68.589064635278859</v>
      </c>
      <c r="AW392" s="62">
        <f>AW391/$AJ$2</f>
        <v>11.527010862541507</v>
      </c>
      <c r="AX392" s="62">
        <f>AX390</f>
        <v>9.5980090447361324</v>
      </c>
      <c r="AY392" s="62">
        <f t="shared" si="121"/>
        <v>13.509012730291767</v>
      </c>
    </row>
    <row r="393" spans="1:51" s="66" customFormat="1" x14ac:dyDescent="0.2">
      <c r="A393" s="50" t="s">
        <v>56</v>
      </c>
      <c r="B393" s="59">
        <f t="shared" ref="B393:AG393" si="122">B392+B358</f>
        <v>1419198</v>
      </c>
      <c r="C393" s="59">
        <f t="shared" si="122"/>
        <v>373349</v>
      </c>
      <c r="D393" s="59">
        <f t="shared" si="122"/>
        <v>32035</v>
      </c>
      <c r="E393" s="65">
        <f t="shared" si="122"/>
        <v>54913</v>
      </c>
      <c r="F393" s="59">
        <f t="shared" si="122"/>
        <v>27018</v>
      </c>
      <c r="G393" s="59">
        <f t="shared" si="122"/>
        <v>29025</v>
      </c>
      <c r="H393" s="60">
        <f t="shared" si="122"/>
        <v>286852.89394438651</v>
      </c>
      <c r="I393" s="59">
        <f t="shared" si="122"/>
        <v>29770.925867103968</v>
      </c>
      <c r="J393" s="59">
        <f t="shared" si="122"/>
        <v>69537.496324837237</v>
      </c>
      <c r="K393" s="59">
        <f t="shared" si="122"/>
        <v>370142.56452367705</v>
      </c>
      <c r="L393" s="59">
        <f>L392+L358</f>
        <v>119062.04183075801</v>
      </c>
      <c r="M393" s="59">
        <f t="shared" si="122"/>
        <v>277567.31635883905</v>
      </c>
      <c r="N393" s="59">
        <f t="shared" si="122"/>
        <v>11793.063618925829</v>
      </c>
      <c r="O393" s="59">
        <f t="shared" si="122"/>
        <v>289472.53333333333</v>
      </c>
      <c r="P393" s="59">
        <f t="shared" si="122"/>
        <v>11779.999999999998</v>
      </c>
      <c r="Q393" s="59">
        <f t="shared" si="122"/>
        <v>239899.05913978495</v>
      </c>
      <c r="R393" s="59">
        <f t="shared" si="122"/>
        <v>88665.512820512828</v>
      </c>
      <c r="S393" s="59">
        <f t="shared" si="122"/>
        <v>339686.88634835242</v>
      </c>
      <c r="T393" s="59">
        <f t="shared" si="122"/>
        <v>270677.47141896439</v>
      </c>
      <c r="U393" s="59">
        <f t="shared" si="122"/>
        <v>3378.5383022271858</v>
      </c>
      <c r="V393" s="59">
        <f t="shared" si="122"/>
        <v>24637.182741116754</v>
      </c>
      <c r="W393" s="59">
        <f t="shared" si="122"/>
        <v>246628.75816993462</v>
      </c>
      <c r="X393" s="59">
        <f>X392+X358</f>
        <v>116724.68337730868</v>
      </c>
      <c r="Y393" s="59"/>
      <c r="Z393" s="59">
        <f>Z392+Z358</f>
        <v>106278.32221367038</v>
      </c>
      <c r="AA393" s="59"/>
      <c r="AB393" s="59">
        <f>AB392+AB358</f>
        <v>109768.6727272727</v>
      </c>
      <c r="AC393" s="59"/>
      <c r="AD393" s="59">
        <f>AD392+AD358</f>
        <v>121361.2579281184</v>
      </c>
      <c r="AE393" s="59">
        <f t="shared" si="122"/>
        <v>37969.910000000003</v>
      </c>
      <c r="AF393" s="59">
        <f>AF392+AF358</f>
        <v>230064.15001233655</v>
      </c>
      <c r="AG393" s="59">
        <f t="shared" si="122"/>
        <v>984606.57000000007</v>
      </c>
      <c r="AH393" s="59">
        <f>AH392+AH358</f>
        <v>8556.3875000000007</v>
      </c>
      <c r="AI393" s="59">
        <f>AI392+AI358</f>
        <v>211652.02097435898</v>
      </c>
      <c r="AJ393" s="56">
        <f t="shared" ref="AJ393:AV393" si="123">AJ392+AJ358</f>
        <v>107.14238200000001</v>
      </c>
      <c r="AK393" s="57">
        <f t="shared" si="123"/>
        <v>250.91526000000002</v>
      </c>
      <c r="AL393" s="57">
        <f t="shared" si="123"/>
        <v>1396.684877357761</v>
      </c>
      <c r="AM393" s="57">
        <f t="shared" si="123"/>
        <v>88.544200000000004</v>
      </c>
      <c r="AN393" s="57">
        <f t="shared" si="123"/>
        <v>53.229999729324071</v>
      </c>
      <c r="AO393" s="57">
        <f t="shared" si="123"/>
        <v>46.734973121481147</v>
      </c>
      <c r="AP393" s="57">
        <f t="shared" si="123"/>
        <v>45.974099453543587</v>
      </c>
      <c r="AQ393" s="57">
        <f t="shared" si="123"/>
        <v>218.54724160289209</v>
      </c>
      <c r="AR393" s="57">
        <f t="shared" si="123"/>
        <v>70.827573390896191</v>
      </c>
      <c r="AS393" s="57">
        <f t="shared" si="123"/>
        <v>19.230621808364877</v>
      </c>
      <c r="AT393" s="57">
        <f>AT392+AT358</f>
        <v>4.753103913700107</v>
      </c>
      <c r="AU393" s="57">
        <f t="shared" si="123"/>
        <v>1138.8223671326878</v>
      </c>
      <c r="AV393" s="57">
        <f t="shared" si="123"/>
        <v>668.25361704911404</v>
      </c>
      <c r="AW393" s="57">
        <f>AW392+AW358</f>
        <v>96.92334629466032</v>
      </c>
      <c r="AX393" s="57">
        <f>AX392+AX358</f>
        <v>68.813485846763413</v>
      </c>
      <c r="AY393" s="57">
        <f>AY392+AY358</f>
        <v>101.29462755554432</v>
      </c>
    </row>
    <row r="394" spans="1:51" ht="13.5" customHeight="1" x14ac:dyDescent="0.2">
      <c r="A394" s="40">
        <v>45627</v>
      </c>
      <c r="B394" s="154">
        <v>5574</v>
      </c>
      <c r="C394" s="154">
        <v>1418</v>
      </c>
      <c r="D394" s="154">
        <v>125</v>
      </c>
      <c r="E394" s="154">
        <v>233</v>
      </c>
      <c r="F394" s="154">
        <v>101</v>
      </c>
      <c r="G394" s="154">
        <v>101</v>
      </c>
      <c r="H394" s="67">
        <v>7975.3019999999997</v>
      </c>
      <c r="I394" s="41">
        <v>775.71400000000006</v>
      </c>
      <c r="J394" s="41">
        <v>2270.63</v>
      </c>
      <c r="K394" s="41">
        <v>13262</v>
      </c>
      <c r="L394" s="41">
        <v>3904.4990702</v>
      </c>
      <c r="M394" s="154">
        <v>8285</v>
      </c>
      <c r="N394" s="41">
        <v>365</v>
      </c>
      <c r="O394" s="154">
        <v>9450</v>
      </c>
      <c r="P394" s="154">
        <v>353</v>
      </c>
      <c r="Q394" s="41">
        <v>6577</v>
      </c>
      <c r="R394" s="41">
        <v>2830</v>
      </c>
      <c r="S394" s="41">
        <v>10639</v>
      </c>
      <c r="T394" s="41">
        <v>8278</v>
      </c>
      <c r="U394" s="154">
        <v>81.767399999999995</v>
      </c>
      <c r="V394" s="41">
        <v>700</v>
      </c>
      <c r="W394" s="153">
        <v>9140</v>
      </c>
      <c r="X394" s="41">
        <v>4406</v>
      </c>
      <c r="Y394" s="41"/>
      <c r="Z394" s="153">
        <v>3456</v>
      </c>
      <c r="AA394" s="41"/>
      <c r="AB394" s="41">
        <v>414.5454545454545</v>
      </c>
      <c r="AC394" s="41"/>
      <c r="AD394" s="128">
        <v>4525</v>
      </c>
      <c r="AE394" s="154">
        <v>61</v>
      </c>
      <c r="AF394" s="41">
        <v>4910</v>
      </c>
      <c r="AG394" s="154">
        <v>3952.34</v>
      </c>
      <c r="AH394" s="154">
        <v>42</v>
      </c>
      <c r="AI394" s="154">
        <v>6589</v>
      </c>
      <c r="AJ394" s="100">
        <v>0.317</v>
      </c>
      <c r="AK394" s="100">
        <v>0.78500000000000003</v>
      </c>
      <c r="AL394" s="100">
        <v>204.40129098114801</v>
      </c>
      <c r="AM394" s="100">
        <v>0.34899999999999998</v>
      </c>
      <c r="AN394" s="100">
        <v>8.82</v>
      </c>
      <c r="AO394" s="100">
        <v>5.6</v>
      </c>
      <c r="AP394" s="100">
        <v>4.97</v>
      </c>
      <c r="AQ394" s="100">
        <v>11</v>
      </c>
      <c r="AR394" s="100">
        <v>10.1</v>
      </c>
      <c r="AS394" s="100">
        <v>3.3</v>
      </c>
      <c r="AT394" s="100">
        <v>0.02</v>
      </c>
      <c r="AU394" s="100">
        <v>2.5670000000000002</v>
      </c>
      <c r="AV394" s="100">
        <v>1.59</v>
      </c>
      <c r="AW394" s="100">
        <v>11.9363686</v>
      </c>
      <c r="AX394" s="100">
        <v>0.39900000000000002</v>
      </c>
      <c r="AY394" s="100">
        <v>0.48399999999999999</v>
      </c>
    </row>
    <row r="395" spans="1:51" ht="13.5" customHeight="1" x14ac:dyDescent="0.2">
      <c r="A395" s="40">
        <v>45628</v>
      </c>
      <c r="B395" s="154">
        <v>5639</v>
      </c>
      <c r="C395" s="154">
        <v>1394</v>
      </c>
      <c r="D395" s="154">
        <v>131</v>
      </c>
      <c r="E395" s="154">
        <v>246</v>
      </c>
      <c r="F395" s="154">
        <v>104</v>
      </c>
      <c r="G395" s="154">
        <v>104</v>
      </c>
      <c r="H395" s="67">
        <v>8027.857</v>
      </c>
      <c r="I395" s="41">
        <v>820.05100000000004</v>
      </c>
      <c r="J395" s="41">
        <v>2346.3649999999998</v>
      </c>
      <c r="K395" s="41">
        <v>13251</v>
      </c>
      <c r="L395" s="41">
        <v>3888.8541988799998</v>
      </c>
      <c r="M395" s="154">
        <v>8353</v>
      </c>
      <c r="N395" s="41">
        <v>365</v>
      </c>
      <c r="O395" s="154">
        <v>9556</v>
      </c>
      <c r="P395" s="154">
        <v>356</v>
      </c>
      <c r="Q395" s="41">
        <v>6519</v>
      </c>
      <c r="R395" s="41">
        <v>3009</v>
      </c>
      <c r="S395" s="41">
        <v>10935</v>
      </c>
      <c r="T395" s="41">
        <v>8458</v>
      </c>
      <c r="U395" s="154">
        <v>81.767399999999995</v>
      </c>
      <c r="V395" s="41">
        <v>700</v>
      </c>
      <c r="W395" s="153">
        <v>9145</v>
      </c>
      <c r="X395" s="41">
        <v>5514</v>
      </c>
      <c r="Y395" s="41"/>
      <c r="Z395" s="153">
        <v>3442</v>
      </c>
      <c r="AA395" s="41"/>
      <c r="AB395" s="41">
        <v>412.72727272727269</v>
      </c>
      <c r="AC395" s="41"/>
      <c r="AD395" s="128">
        <v>4125</v>
      </c>
      <c r="AE395" s="154">
        <v>128</v>
      </c>
      <c r="AF395" s="41">
        <v>9072</v>
      </c>
      <c r="AG395" s="154">
        <v>3938.62</v>
      </c>
      <c r="AH395" s="154">
        <v>42</v>
      </c>
      <c r="AI395" s="154">
        <v>6538</v>
      </c>
      <c r="AJ395" s="100">
        <v>0.39800000000000002</v>
      </c>
      <c r="AK395" s="100">
        <v>0.96299999999999997</v>
      </c>
      <c r="AL395" s="100">
        <v>211.28765099174302</v>
      </c>
      <c r="AM395" s="100">
        <v>0.34799999999999998</v>
      </c>
      <c r="AN395" s="100">
        <v>9.89</v>
      </c>
      <c r="AO395" s="100">
        <v>5.63</v>
      </c>
      <c r="AP395" s="100">
        <v>5.55</v>
      </c>
      <c r="AQ395" s="100">
        <v>34</v>
      </c>
      <c r="AR395" s="100">
        <v>9.9499999999999993</v>
      </c>
      <c r="AS395" s="100">
        <v>3.7</v>
      </c>
      <c r="AT395" s="100">
        <v>0.02</v>
      </c>
      <c r="AU395" s="100">
        <v>4.4939999999999998</v>
      </c>
      <c r="AV395" s="100">
        <v>2.1150000000000002</v>
      </c>
      <c r="AW395" s="100">
        <v>12.5014038</v>
      </c>
      <c r="AX395" s="100">
        <v>0.40400000000000003</v>
      </c>
      <c r="AY395" s="100">
        <v>0.48299999999999998</v>
      </c>
    </row>
    <row r="396" spans="1:51" ht="13.5" customHeight="1" x14ac:dyDescent="0.2">
      <c r="A396" s="40">
        <v>45629</v>
      </c>
      <c r="B396" s="154">
        <v>5590</v>
      </c>
      <c r="C396" s="154">
        <v>1427</v>
      </c>
      <c r="D396" s="154">
        <v>130</v>
      </c>
      <c r="E396" s="154">
        <v>238</v>
      </c>
      <c r="F396" s="154">
        <v>105</v>
      </c>
      <c r="G396" s="154">
        <v>105</v>
      </c>
      <c r="H396" s="67">
        <v>8044.3050000000003</v>
      </c>
      <c r="I396" s="41">
        <v>814.08699999999999</v>
      </c>
      <c r="J396" s="41">
        <v>2389.1120000000001</v>
      </c>
      <c r="K396" s="41">
        <v>13196</v>
      </c>
      <c r="L396" s="41">
        <v>3768.0001389200002</v>
      </c>
      <c r="M396" s="154">
        <v>8502</v>
      </c>
      <c r="N396" s="41">
        <v>366</v>
      </c>
      <c r="O396" s="154">
        <v>10275</v>
      </c>
      <c r="P396" s="154">
        <v>331</v>
      </c>
      <c r="Q396" s="41">
        <v>6495</v>
      </c>
      <c r="R396" s="41">
        <v>3003</v>
      </c>
      <c r="S396" s="41">
        <v>11146</v>
      </c>
      <c r="T396" s="41">
        <v>8440</v>
      </c>
      <c r="U396" s="154">
        <v>75.477599999999995</v>
      </c>
      <c r="V396" s="41">
        <v>700</v>
      </c>
      <c r="W396" s="153">
        <v>9145</v>
      </c>
      <c r="X396" s="41">
        <v>4857</v>
      </c>
      <c r="Y396" s="41"/>
      <c r="Z396" s="153">
        <v>3240</v>
      </c>
      <c r="AA396" s="41"/>
      <c r="AB396" s="41">
        <v>416.36363636363632</v>
      </c>
      <c r="AC396" s="41"/>
      <c r="AD396" s="128">
        <v>4607</v>
      </c>
      <c r="AE396" s="154">
        <v>161</v>
      </c>
      <c r="AF396" s="41">
        <v>9098</v>
      </c>
      <c r="AG396" s="154">
        <v>3933.72</v>
      </c>
      <c r="AH396" s="154">
        <v>42</v>
      </c>
      <c r="AI396" s="154">
        <v>6630</v>
      </c>
      <c r="AJ396" s="100">
        <v>0.35899999999999999</v>
      </c>
      <c r="AK396" s="100">
        <v>0.80900000000000005</v>
      </c>
      <c r="AL396" s="100">
        <v>209.76912032274001</v>
      </c>
      <c r="AM396" s="100">
        <v>0.378</v>
      </c>
      <c r="AN396" s="100">
        <v>10.57</v>
      </c>
      <c r="AO396" s="100">
        <v>5.78</v>
      </c>
      <c r="AP396" s="100">
        <v>5.68</v>
      </c>
      <c r="AQ396" s="100">
        <v>47</v>
      </c>
      <c r="AR396" s="100">
        <v>10.25</v>
      </c>
      <c r="AS396" s="100">
        <v>3.22</v>
      </c>
      <c r="AT396" s="100">
        <v>0.02</v>
      </c>
      <c r="AU396" s="100">
        <v>4.952</v>
      </c>
      <c r="AV396" s="100">
        <v>2.8109999999999999</v>
      </c>
      <c r="AW396" s="100">
        <v>12.995809600000001</v>
      </c>
      <c r="AX396" s="100">
        <v>0.38700000000000001</v>
      </c>
      <c r="AY396" s="100">
        <v>0.48020000000000002</v>
      </c>
    </row>
    <row r="397" spans="1:51" ht="13.5" customHeight="1" x14ac:dyDescent="0.2">
      <c r="A397" s="40">
        <v>45630</v>
      </c>
      <c r="B397" s="154">
        <v>5537</v>
      </c>
      <c r="C397" s="154">
        <v>1393</v>
      </c>
      <c r="D397" s="154">
        <v>130</v>
      </c>
      <c r="E397" s="154">
        <v>240</v>
      </c>
      <c r="F397" s="154">
        <v>117</v>
      </c>
      <c r="G397" s="154">
        <v>117</v>
      </c>
      <c r="H397" s="67">
        <v>8042</v>
      </c>
      <c r="I397" s="41">
        <v>832</v>
      </c>
      <c r="J397" s="41">
        <v>2467</v>
      </c>
      <c r="K397" s="41">
        <v>13190</v>
      </c>
      <c r="L397" s="41">
        <v>3751</v>
      </c>
      <c r="M397" s="154">
        <v>8580</v>
      </c>
      <c r="N397" s="41">
        <v>384</v>
      </c>
      <c r="O397" s="154">
        <v>10102</v>
      </c>
      <c r="P397" s="154">
        <v>360</v>
      </c>
      <c r="Q397" s="41">
        <v>6488</v>
      </c>
      <c r="R397" s="41">
        <v>2883</v>
      </c>
      <c r="S397" s="41">
        <v>11090</v>
      </c>
      <c r="T397" s="41">
        <v>8585</v>
      </c>
      <c r="U397" s="154">
        <v>50.318399999999997</v>
      </c>
      <c r="V397" s="41">
        <v>700</v>
      </c>
      <c r="W397" s="153">
        <v>9016</v>
      </c>
      <c r="X397" s="41">
        <v>4480</v>
      </c>
      <c r="Y397" s="41"/>
      <c r="Z397" s="153">
        <v>3136</v>
      </c>
      <c r="AA397" s="41"/>
      <c r="AB397" s="41">
        <v>379.99999999999994</v>
      </c>
      <c r="AC397" s="41"/>
      <c r="AD397" s="128">
        <v>4719</v>
      </c>
      <c r="AE397" s="154">
        <v>180</v>
      </c>
      <c r="AF397" s="41">
        <v>9036</v>
      </c>
      <c r="AG397" s="154">
        <v>3933.72</v>
      </c>
      <c r="AH397" s="154">
        <v>42</v>
      </c>
      <c r="AI397" s="154">
        <v>6679</v>
      </c>
      <c r="AJ397" s="100">
        <v>0.38300000000000001</v>
      </c>
      <c r="AK397" s="100">
        <v>0.86099999999999999</v>
      </c>
      <c r="AL397" s="100">
        <v>222.83554700951001</v>
      </c>
      <c r="AM397" s="100">
        <v>0.32800000000000001</v>
      </c>
      <c r="AN397" s="100">
        <v>8.15</v>
      </c>
      <c r="AO397" s="100">
        <v>5.72</v>
      </c>
      <c r="AP397" s="100">
        <v>5.65</v>
      </c>
      <c r="AQ397" s="100">
        <v>44</v>
      </c>
      <c r="AR397" s="100">
        <v>10.37</v>
      </c>
      <c r="AS397" s="100">
        <v>2.84</v>
      </c>
      <c r="AT397" s="100">
        <v>0.02</v>
      </c>
      <c r="AU397" s="100">
        <v>4.95</v>
      </c>
      <c r="AV397" s="100">
        <v>3.2530000000000001</v>
      </c>
      <c r="AW397" s="100">
        <v>13.278327200000001</v>
      </c>
      <c r="AX397" s="100">
        <v>0.39500000000000002</v>
      </c>
      <c r="AY397" s="100">
        <v>0.47899999999999998</v>
      </c>
    </row>
    <row r="398" spans="1:51" ht="13.5" customHeight="1" x14ac:dyDescent="0.2">
      <c r="A398" s="40">
        <v>45631</v>
      </c>
      <c r="B398" s="154">
        <v>5484</v>
      </c>
      <c r="C398" s="154">
        <v>1443</v>
      </c>
      <c r="D398" s="154">
        <v>129</v>
      </c>
      <c r="E398" s="154">
        <v>231</v>
      </c>
      <c r="F398" s="154">
        <v>117</v>
      </c>
      <c r="G398" s="154">
        <v>117</v>
      </c>
      <c r="H398" s="67">
        <v>7880.9</v>
      </c>
      <c r="I398" s="41">
        <v>1077.5509999999999</v>
      </c>
      <c r="J398" s="41">
        <v>2455.1509999999998</v>
      </c>
      <c r="K398" s="41">
        <v>13142</v>
      </c>
      <c r="L398" s="41">
        <v>3757.1829692400001</v>
      </c>
      <c r="M398" s="154">
        <v>8087</v>
      </c>
      <c r="N398" s="41">
        <v>414</v>
      </c>
      <c r="O398" s="154">
        <v>9966</v>
      </c>
      <c r="P398" s="154">
        <v>369</v>
      </c>
      <c r="Q398" s="41">
        <v>6499</v>
      </c>
      <c r="R398" s="41">
        <v>2931</v>
      </c>
      <c r="S398" s="41">
        <v>10830</v>
      </c>
      <c r="T398" s="41">
        <v>8389</v>
      </c>
      <c r="U398" s="154">
        <v>37.738799999999998</v>
      </c>
      <c r="V398" s="41">
        <v>700</v>
      </c>
      <c r="W398" s="153">
        <v>9213</v>
      </c>
      <c r="X398" s="41">
        <v>4652</v>
      </c>
      <c r="Y398" s="41"/>
      <c r="Z398" s="153">
        <v>3405</v>
      </c>
      <c r="AA398" s="41"/>
      <c r="AB398" s="41">
        <v>407.27272727272725</v>
      </c>
      <c r="AC398" s="41"/>
      <c r="AD398" s="128">
        <v>4687</v>
      </c>
      <c r="AE398" s="154">
        <v>179</v>
      </c>
      <c r="AF398" s="41">
        <v>9135</v>
      </c>
      <c r="AG398" s="154">
        <v>3934.21</v>
      </c>
      <c r="AH398" s="154">
        <v>42</v>
      </c>
      <c r="AI398" s="154">
        <v>7200</v>
      </c>
      <c r="AJ398" s="100">
        <v>0.39</v>
      </c>
      <c r="AK398" s="100">
        <v>0.89700000000000002</v>
      </c>
      <c r="AL398" s="100">
        <v>214.88974699728502</v>
      </c>
      <c r="AM398" s="100">
        <v>0.35899999999999999</v>
      </c>
      <c r="AN398" s="100">
        <v>10.41</v>
      </c>
      <c r="AO398" s="100">
        <v>5.6</v>
      </c>
      <c r="AP398" s="100">
        <v>5.16</v>
      </c>
      <c r="AQ398" s="100">
        <v>46</v>
      </c>
      <c r="AR398" s="100">
        <v>12.4</v>
      </c>
      <c r="AS398" s="100">
        <v>3.23</v>
      </c>
      <c r="AT398" s="100">
        <v>0.02</v>
      </c>
      <c r="AU398" s="100">
        <v>4.95</v>
      </c>
      <c r="AV398" s="100">
        <v>3.4060000000000001</v>
      </c>
      <c r="AW398" s="100">
        <v>13.666788900000002</v>
      </c>
      <c r="AX398" s="100">
        <v>0.378</v>
      </c>
      <c r="AY398" s="100">
        <v>0.47799999999999998</v>
      </c>
    </row>
    <row r="399" spans="1:51" ht="13.5" customHeight="1" x14ac:dyDescent="0.2">
      <c r="A399" s="40">
        <v>45632</v>
      </c>
      <c r="B399" s="154">
        <v>5534</v>
      </c>
      <c r="C399" s="154">
        <v>1403</v>
      </c>
      <c r="D399" s="154">
        <v>134</v>
      </c>
      <c r="E399" s="154">
        <v>243</v>
      </c>
      <c r="F399" s="154">
        <v>103</v>
      </c>
      <c r="G399" s="154">
        <v>103</v>
      </c>
      <c r="H399" s="67">
        <v>8031.2939999999999</v>
      </c>
      <c r="I399" s="41">
        <v>1022.745</v>
      </c>
      <c r="J399" s="41">
        <v>2415.8009999999999</v>
      </c>
      <c r="K399" s="41">
        <v>13122</v>
      </c>
      <c r="L399" s="41">
        <v>3754.3556771600001</v>
      </c>
      <c r="M399" s="154">
        <v>8087</v>
      </c>
      <c r="N399" s="41">
        <v>414</v>
      </c>
      <c r="O399" s="154">
        <v>10073</v>
      </c>
      <c r="P399" s="154">
        <v>361</v>
      </c>
      <c r="Q399" s="41">
        <v>6521</v>
      </c>
      <c r="R399" s="41">
        <v>3058</v>
      </c>
      <c r="S399" s="41">
        <v>10890</v>
      </c>
      <c r="T399" s="41">
        <v>8437</v>
      </c>
      <c r="U399" s="154">
        <v>50.318399999999997</v>
      </c>
      <c r="V399" s="41">
        <v>700</v>
      </c>
      <c r="W399" s="153">
        <v>9290</v>
      </c>
      <c r="X399" s="41">
        <v>4455</v>
      </c>
      <c r="Y399" s="41"/>
      <c r="Z399" s="153">
        <v>3405</v>
      </c>
      <c r="AA399" s="41"/>
      <c r="AB399" s="41">
        <v>383.63636363636363</v>
      </c>
      <c r="AC399" s="41"/>
      <c r="AD399" s="128">
        <v>4842</v>
      </c>
      <c r="AE399" s="154">
        <v>165</v>
      </c>
      <c r="AF399" s="41">
        <v>9198</v>
      </c>
      <c r="AG399" s="154">
        <v>3933.72</v>
      </c>
      <c r="AH399" s="154">
        <v>42</v>
      </c>
      <c r="AI399" s="154">
        <v>6300</v>
      </c>
      <c r="AJ399" s="100">
        <v>0.39100000000000001</v>
      </c>
      <c r="AK399" s="100">
        <v>0.9</v>
      </c>
      <c r="AL399" s="100">
        <v>223.08274967655703</v>
      </c>
      <c r="AM399" s="100">
        <v>0.32200000000000001</v>
      </c>
      <c r="AN399" s="100">
        <v>9.9700000000000006</v>
      </c>
      <c r="AO399" s="100">
        <v>11</v>
      </c>
      <c r="AP399" s="100">
        <v>5.53</v>
      </c>
      <c r="AQ399" s="100">
        <v>46</v>
      </c>
      <c r="AR399" s="100">
        <v>12.64</v>
      </c>
      <c r="AS399" s="100">
        <v>2.5099999999999998</v>
      </c>
      <c r="AT399" s="100">
        <v>0.02</v>
      </c>
      <c r="AU399" s="100">
        <v>4.9539999999999997</v>
      </c>
      <c r="AV399" s="100">
        <v>3.4489999999999998</v>
      </c>
      <c r="AW399" s="100">
        <v>13.278327200000001</v>
      </c>
      <c r="AX399" s="100">
        <v>0.38300000000000001</v>
      </c>
      <c r="AY399" s="100">
        <v>0.46899999999999997</v>
      </c>
    </row>
    <row r="400" spans="1:51" ht="13.5" customHeight="1" x14ac:dyDescent="0.2">
      <c r="A400" s="40">
        <v>45633</v>
      </c>
      <c r="B400" s="154">
        <v>5559</v>
      </c>
      <c r="C400" s="154">
        <v>1407</v>
      </c>
      <c r="D400" s="154">
        <v>127</v>
      </c>
      <c r="E400" s="154">
        <v>227</v>
      </c>
      <c r="F400" s="154">
        <v>93</v>
      </c>
      <c r="G400" s="154">
        <v>93</v>
      </c>
      <c r="H400" s="67">
        <v>7760.2839999999997</v>
      </c>
      <c r="I400" s="41">
        <v>992.79600000000005</v>
      </c>
      <c r="J400" s="41">
        <v>2665.114</v>
      </c>
      <c r="K400" s="41">
        <v>12739</v>
      </c>
      <c r="L400" s="41">
        <v>3744.9563952799999</v>
      </c>
      <c r="M400" s="154">
        <v>7954</v>
      </c>
      <c r="N400" s="41">
        <v>414</v>
      </c>
      <c r="O400" s="154">
        <v>9991</v>
      </c>
      <c r="P400" s="154">
        <v>385</v>
      </c>
      <c r="Q400" s="41">
        <v>6545</v>
      </c>
      <c r="R400" s="41">
        <v>3201</v>
      </c>
      <c r="S400" s="41">
        <v>11146</v>
      </c>
      <c r="T400" s="41">
        <v>8559</v>
      </c>
      <c r="U400" s="154">
        <v>50.318399999999997</v>
      </c>
      <c r="V400" s="41">
        <v>700</v>
      </c>
      <c r="W400" s="153">
        <v>9328</v>
      </c>
      <c r="X400" s="41">
        <v>4654</v>
      </c>
      <c r="Y400" s="41"/>
      <c r="Z400" s="153">
        <v>3405</v>
      </c>
      <c r="AA400" s="41"/>
      <c r="AB400" s="41">
        <v>387.27272727272725</v>
      </c>
      <c r="AC400" s="41"/>
      <c r="AD400" s="128">
        <v>4970</v>
      </c>
      <c r="AE400" s="154">
        <v>174</v>
      </c>
      <c r="AF400" s="41">
        <v>9167</v>
      </c>
      <c r="AG400" s="154">
        <v>3933.72</v>
      </c>
      <c r="AH400" s="154">
        <v>42</v>
      </c>
      <c r="AI400" s="154">
        <v>7039</v>
      </c>
      <c r="AJ400" s="100">
        <v>0.376</v>
      </c>
      <c r="AK400" s="100">
        <v>0.9</v>
      </c>
      <c r="AL400" s="100">
        <v>224.31876301179202</v>
      </c>
      <c r="AM400" s="100">
        <v>0.35899999999999999</v>
      </c>
      <c r="AN400" s="100">
        <v>14.53</v>
      </c>
      <c r="AO400" s="100">
        <v>18.440000000000001</v>
      </c>
      <c r="AP400" s="100">
        <v>5.66</v>
      </c>
      <c r="AQ400" s="100">
        <v>45</v>
      </c>
      <c r="AR400" s="100">
        <v>11.96</v>
      </c>
      <c r="AS400" s="100">
        <v>3.04</v>
      </c>
      <c r="AT400" s="100">
        <v>0.02</v>
      </c>
      <c r="AU400" s="100">
        <v>4.9530000000000003</v>
      </c>
      <c r="AV400" s="100">
        <v>3.2320000000000002</v>
      </c>
      <c r="AW400" s="100">
        <v>13.3842713</v>
      </c>
      <c r="AX400" s="100">
        <v>0.39200000000000002</v>
      </c>
      <c r="AY400" s="100">
        <v>0.46899999999999997</v>
      </c>
    </row>
    <row r="401" spans="1:51" ht="13.5" customHeight="1" x14ac:dyDescent="0.2">
      <c r="A401" s="40">
        <v>45634</v>
      </c>
      <c r="B401" s="154">
        <v>5403</v>
      </c>
      <c r="C401" s="154">
        <v>1451</v>
      </c>
      <c r="D401" s="154">
        <v>131</v>
      </c>
      <c r="E401" s="154">
        <v>250</v>
      </c>
      <c r="F401" s="154">
        <v>102</v>
      </c>
      <c r="G401" s="154">
        <v>102</v>
      </c>
      <c r="H401" s="67">
        <v>7889.942</v>
      </c>
      <c r="I401" s="41">
        <v>949.54100000000005</v>
      </c>
      <c r="J401" s="41">
        <v>2474.6680000000001</v>
      </c>
      <c r="K401" s="41">
        <v>13212</v>
      </c>
      <c r="L401" s="41">
        <v>3775.31558116</v>
      </c>
      <c r="M401" s="154">
        <v>8455</v>
      </c>
      <c r="N401" s="41">
        <v>413</v>
      </c>
      <c r="O401" s="154">
        <v>9920</v>
      </c>
      <c r="P401" s="154">
        <v>389</v>
      </c>
      <c r="Q401" s="41">
        <v>6545</v>
      </c>
      <c r="R401" s="41">
        <v>3358</v>
      </c>
      <c r="S401" s="41">
        <v>11096</v>
      </c>
      <c r="T401" s="41">
        <v>8444</v>
      </c>
      <c r="U401" s="154">
        <v>75.477599999999995</v>
      </c>
      <c r="V401" s="41">
        <v>700</v>
      </c>
      <c r="W401" s="153">
        <v>9328</v>
      </c>
      <c r="X401" s="41">
        <v>4299</v>
      </c>
      <c r="Y401" s="41"/>
      <c r="Z401" s="153">
        <v>3405</v>
      </c>
      <c r="AA401" s="41"/>
      <c r="AB401" s="41">
        <v>414.5454545454545</v>
      </c>
      <c r="AC401" s="41"/>
      <c r="AD401" s="128">
        <v>4616</v>
      </c>
      <c r="AE401" s="154">
        <v>171</v>
      </c>
      <c r="AF401" s="41">
        <v>9206</v>
      </c>
      <c r="AG401" s="154">
        <v>3933.72</v>
      </c>
      <c r="AH401" s="154">
        <v>42</v>
      </c>
      <c r="AI401" s="154">
        <v>6823</v>
      </c>
      <c r="AJ401" s="100">
        <v>0.41099999999999998</v>
      </c>
      <c r="AK401" s="100">
        <v>0.997</v>
      </c>
      <c r="AL401" s="100">
        <v>224.38939234523403</v>
      </c>
      <c r="AM401" s="100">
        <v>0.36799999999999999</v>
      </c>
      <c r="AN401" s="100">
        <v>13.66</v>
      </c>
      <c r="AO401" s="100">
        <v>17.64</v>
      </c>
      <c r="AP401" s="100">
        <v>5.66</v>
      </c>
      <c r="AQ401" s="100">
        <v>25</v>
      </c>
      <c r="AR401" s="100">
        <v>11.96</v>
      </c>
      <c r="AS401" s="100">
        <v>2.71</v>
      </c>
      <c r="AT401" s="100">
        <v>0.02</v>
      </c>
      <c r="AU401" s="100">
        <v>4.9539999999999997</v>
      </c>
      <c r="AV401" s="100">
        <v>2.1619999999999999</v>
      </c>
      <c r="AW401" s="100">
        <v>13.419586000000001</v>
      </c>
      <c r="AX401" s="100">
        <v>0.38800000000000001</v>
      </c>
      <c r="AY401" s="100">
        <v>0.47199999999999998</v>
      </c>
    </row>
    <row r="402" spans="1:51" ht="13.5" customHeight="1" x14ac:dyDescent="0.2">
      <c r="A402" s="40">
        <v>45635</v>
      </c>
      <c r="B402" s="154">
        <v>5460</v>
      </c>
      <c r="C402" s="154">
        <v>1413</v>
      </c>
      <c r="D402" s="154">
        <v>125</v>
      </c>
      <c r="E402" s="154">
        <v>239</v>
      </c>
      <c r="F402" s="154">
        <v>97</v>
      </c>
      <c r="G402" s="154">
        <v>97</v>
      </c>
      <c r="H402" s="67">
        <v>9815.6309999999994</v>
      </c>
      <c r="I402" s="41">
        <v>759.00099999999998</v>
      </c>
      <c r="J402" s="41">
        <v>2153.127</v>
      </c>
      <c r="K402" s="41">
        <v>13236</v>
      </c>
      <c r="L402" s="41">
        <v>3637.1617798799998</v>
      </c>
      <c r="M402" s="154">
        <v>8575</v>
      </c>
      <c r="N402" s="41">
        <v>413</v>
      </c>
      <c r="O402" s="154">
        <v>9919</v>
      </c>
      <c r="P402" s="154">
        <v>390</v>
      </c>
      <c r="Q402" s="41">
        <v>6532</v>
      </c>
      <c r="R402" s="41">
        <v>3274</v>
      </c>
      <c r="S402" s="41">
        <v>11098</v>
      </c>
      <c r="T402" s="41">
        <v>8685</v>
      </c>
      <c r="U402" s="154">
        <v>75.477599999999995</v>
      </c>
      <c r="V402" s="41">
        <v>700</v>
      </c>
      <c r="W402" s="153">
        <v>9396</v>
      </c>
      <c r="X402" s="41">
        <v>4091</v>
      </c>
      <c r="Y402" s="41"/>
      <c r="Z402" s="153">
        <v>3518</v>
      </c>
      <c r="AA402" s="41"/>
      <c r="AB402" s="41">
        <v>358.18181818181813</v>
      </c>
      <c r="AC402" s="41"/>
      <c r="AD402" s="128">
        <v>4556</v>
      </c>
      <c r="AE402" s="154">
        <v>165</v>
      </c>
      <c r="AF402" s="41">
        <v>9265</v>
      </c>
      <c r="AG402" s="154">
        <v>3952.83</v>
      </c>
      <c r="AH402" s="154">
        <v>42</v>
      </c>
      <c r="AI402" s="154">
        <v>6832</v>
      </c>
      <c r="AJ402" s="100">
        <v>0.41799999999999998</v>
      </c>
      <c r="AK402" s="100">
        <v>1.05</v>
      </c>
      <c r="AL402" s="100">
        <v>225.48414701358502</v>
      </c>
      <c r="AM402" s="100">
        <v>0.32400000000000001</v>
      </c>
      <c r="AN402" s="100">
        <v>13</v>
      </c>
      <c r="AO402" s="100">
        <v>16.53</v>
      </c>
      <c r="AP402" s="100">
        <v>5.93</v>
      </c>
      <c r="AQ402" s="100">
        <v>32</v>
      </c>
      <c r="AR402" s="100">
        <v>11.96</v>
      </c>
      <c r="AS402" s="100">
        <v>2.71</v>
      </c>
      <c r="AT402" s="100">
        <v>0.02</v>
      </c>
      <c r="AU402" s="100">
        <v>4.9539999999999997</v>
      </c>
      <c r="AV402" s="100">
        <v>3.06</v>
      </c>
      <c r="AW402" s="100">
        <v>13.808047700000001</v>
      </c>
      <c r="AX402" s="100">
        <v>0.38</v>
      </c>
      <c r="AY402" s="100">
        <v>0.47499999999999998</v>
      </c>
    </row>
    <row r="403" spans="1:51" ht="13.5" customHeight="1" x14ac:dyDescent="0.2">
      <c r="A403" s="40">
        <v>45636</v>
      </c>
      <c r="B403" s="154">
        <v>5360</v>
      </c>
      <c r="C403" s="154">
        <v>1373</v>
      </c>
      <c r="D403" s="154">
        <v>129</v>
      </c>
      <c r="E403" s="154">
        <v>223</v>
      </c>
      <c r="F403" s="154">
        <v>99</v>
      </c>
      <c r="G403" s="154">
        <v>99</v>
      </c>
      <c r="H403" s="67">
        <v>8588</v>
      </c>
      <c r="I403" s="41">
        <v>789</v>
      </c>
      <c r="J403" s="41">
        <v>2328</v>
      </c>
      <c r="K403" s="41">
        <v>13229</v>
      </c>
      <c r="L403" s="41">
        <v>3672</v>
      </c>
      <c r="M403" s="154">
        <v>8659</v>
      </c>
      <c r="N403" s="41">
        <v>372</v>
      </c>
      <c r="O403" s="154">
        <v>10229</v>
      </c>
      <c r="P403" s="154">
        <v>374</v>
      </c>
      <c r="Q403" s="41">
        <v>6169</v>
      </c>
      <c r="R403" s="41">
        <v>3213</v>
      </c>
      <c r="S403" s="41">
        <v>11181</v>
      </c>
      <c r="T403" s="41">
        <v>8608</v>
      </c>
      <c r="U403" s="154">
        <v>75.477599999999995</v>
      </c>
      <c r="V403" s="41">
        <v>700</v>
      </c>
      <c r="W403" s="153">
        <v>9202</v>
      </c>
      <c r="X403" s="41">
        <v>4166</v>
      </c>
      <c r="Y403" s="41"/>
      <c r="Z403" s="153">
        <v>3521</v>
      </c>
      <c r="AA403" s="41"/>
      <c r="AB403" s="41">
        <v>429.09090909090907</v>
      </c>
      <c r="AC403" s="41"/>
      <c r="AD403" s="128">
        <v>4557</v>
      </c>
      <c r="AE403" s="154">
        <v>181</v>
      </c>
      <c r="AF403" s="41">
        <v>9266</v>
      </c>
      <c r="AG403" s="154">
        <v>3954.2999999999997</v>
      </c>
      <c r="AH403" s="154">
        <v>42</v>
      </c>
      <c r="AI403" s="154">
        <v>6697</v>
      </c>
      <c r="AJ403" s="100">
        <v>0.39200000000000002</v>
      </c>
      <c r="AK403" s="100">
        <v>0.90200000000000002</v>
      </c>
      <c r="AL403" s="100">
        <v>224.95442701277</v>
      </c>
      <c r="AM403" s="100">
        <v>0.439</v>
      </c>
      <c r="AN403" s="100">
        <v>12.01</v>
      </c>
      <c r="AO403" s="100">
        <v>15.45</v>
      </c>
      <c r="AP403" s="100">
        <v>6</v>
      </c>
      <c r="AQ403" s="100">
        <v>39</v>
      </c>
      <c r="AR403" s="100">
        <v>10.67</v>
      </c>
      <c r="AS403" s="100">
        <v>2.4</v>
      </c>
      <c r="AT403" s="100">
        <v>0.02</v>
      </c>
      <c r="AU403" s="100">
        <v>4.9539999999999997</v>
      </c>
      <c r="AV403" s="100">
        <v>3.4350000000000001</v>
      </c>
      <c r="AW403" s="100">
        <v>13.808047700000001</v>
      </c>
      <c r="AX403" s="100">
        <v>0.38200000000000001</v>
      </c>
      <c r="AY403" s="100">
        <v>0.47799999999999998</v>
      </c>
    </row>
    <row r="404" spans="1:51" ht="14.25" customHeight="1" x14ac:dyDescent="0.2">
      <c r="A404" s="40">
        <v>45637</v>
      </c>
      <c r="B404" s="154">
        <v>5395</v>
      </c>
      <c r="C404" s="154">
        <v>1389</v>
      </c>
      <c r="D404" s="154">
        <v>124</v>
      </c>
      <c r="E404" s="154">
        <v>211</v>
      </c>
      <c r="F404" s="154">
        <v>98</v>
      </c>
      <c r="G404" s="154">
        <v>98</v>
      </c>
      <c r="H404" s="67">
        <v>8588.1810000000005</v>
      </c>
      <c r="I404" s="41">
        <v>788.98</v>
      </c>
      <c r="J404" s="41">
        <v>2327.547</v>
      </c>
      <c r="K404" s="41">
        <v>13229</v>
      </c>
      <c r="L404" s="41">
        <v>3675.7669110400002</v>
      </c>
      <c r="M404" s="154">
        <v>8836</v>
      </c>
      <c r="N404" s="41">
        <v>372</v>
      </c>
      <c r="O404" s="154">
        <v>9557</v>
      </c>
      <c r="P404" s="154">
        <v>381</v>
      </c>
      <c r="Q404" s="41">
        <v>5652</v>
      </c>
      <c r="R404" s="41">
        <v>3159</v>
      </c>
      <c r="S404" s="41">
        <v>11124</v>
      </c>
      <c r="T404" s="41">
        <v>8752</v>
      </c>
      <c r="U404" s="154">
        <v>75.477599999999995</v>
      </c>
      <c r="V404" s="41">
        <v>700</v>
      </c>
      <c r="W404" s="153">
        <v>9230</v>
      </c>
      <c r="X404" s="41">
        <v>3994</v>
      </c>
      <c r="Y404" s="41"/>
      <c r="Z404" s="153">
        <v>3517</v>
      </c>
      <c r="AA404" s="41"/>
      <c r="AB404" s="41">
        <v>507.27272727272725</v>
      </c>
      <c r="AC404" s="41"/>
      <c r="AD404" s="128">
        <v>4871</v>
      </c>
      <c r="AE404" s="154">
        <v>175</v>
      </c>
      <c r="AF404" s="41">
        <v>9886</v>
      </c>
      <c r="AG404" s="154">
        <v>3976.84</v>
      </c>
      <c r="AH404" s="154">
        <v>42</v>
      </c>
      <c r="AI404" s="154">
        <v>6718</v>
      </c>
      <c r="AJ404" s="100">
        <v>0.39100000000000001</v>
      </c>
      <c r="AK404" s="100">
        <v>0.89800000000000002</v>
      </c>
      <c r="AL404" s="100">
        <v>224.60128034556001</v>
      </c>
      <c r="AM404" s="100">
        <v>0.4</v>
      </c>
      <c r="AN404" s="100">
        <v>12.01</v>
      </c>
      <c r="AO404" s="100">
        <v>14.95</v>
      </c>
      <c r="AP404" s="100">
        <v>5.9</v>
      </c>
      <c r="AQ404" s="100">
        <v>32</v>
      </c>
      <c r="AR404" s="100">
        <v>9.85</v>
      </c>
      <c r="AS404" s="100">
        <v>2.4700000000000002</v>
      </c>
      <c r="AT404" s="100">
        <v>0.02</v>
      </c>
      <c r="AU404" s="100">
        <v>4.9539999999999997</v>
      </c>
      <c r="AV404" s="100">
        <v>3.4460000000000002</v>
      </c>
      <c r="AW404" s="100">
        <v>13.808047700000001</v>
      </c>
      <c r="AX404" s="100">
        <v>0.38200000000000001</v>
      </c>
      <c r="AY404" s="100">
        <v>0.47899999999999998</v>
      </c>
    </row>
    <row r="405" spans="1:51" ht="13.5" customHeight="1" x14ac:dyDescent="0.2">
      <c r="A405" s="40">
        <v>45638</v>
      </c>
      <c r="B405" s="154">
        <v>5395</v>
      </c>
      <c r="C405" s="154">
        <v>1389</v>
      </c>
      <c r="D405" s="154">
        <v>124</v>
      </c>
      <c r="E405" s="154">
        <v>211</v>
      </c>
      <c r="F405" s="154">
        <v>98</v>
      </c>
      <c r="G405" s="154">
        <v>98</v>
      </c>
      <c r="H405" s="67">
        <v>8263.4680000000008</v>
      </c>
      <c r="I405" s="41">
        <v>808.17399999999998</v>
      </c>
      <c r="J405" s="41">
        <v>2306.1239999999998</v>
      </c>
      <c r="K405" s="41">
        <v>13226</v>
      </c>
      <c r="L405" s="41">
        <v>3699.16474776</v>
      </c>
      <c r="M405" s="154">
        <v>8737</v>
      </c>
      <c r="N405" s="41">
        <v>372</v>
      </c>
      <c r="O405" s="154">
        <v>9557</v>
      </c>
      <c r="P405" s="154">
        <v>394</v>
      </c>
      <c r="Q405" s="41">
        <v>5695</v>
      </c>
      <c r="R405" s="41">
        <v>3166</v>
      </c>
      <c r="S405" s="41">
        <v>11079</v>
      </c>
      <c r="T405" s="41">
        <v>8772</v>
      </c>
      <c r="U405" s="154">
        <v>75.477599999999995</v>
      </c>
      <c r="V405" s="41">
        <v>700</v>
      </c>
      <c r="W405" s="153">
        <v>9310</v>
      </c>
      <c r="X405" s="41">
        <v>3988</v>
      </c>
      <c r="Y405" s="41"/>
      <c r="Z405" s="153">
        <v>3522</v>
      </c>
      <c r="AA405" s="41"/>
      <c r="AB405" s="41">
        <v>356.36363636363632</v>
      </c>
      <c r="AC405" s="41"/>
      <c r="AD405" s="128">
        <v>4871</v>
      </c>
      <c r="AE405" s="154">
        <v>191</v>
      </c>
      <c r="AF405" s="41">
        <v>9802</v>
      </c>
      <c r="AG405" s="154">
        <v>3959.2</v>
      </c>
      <c r="AH405" s="154">
        <v>42</v>
      </c>
      <c r="AI405" s="154">
        <v>6618</v>
      </c>
      <c r="AJ405" s="100">
        <v>0.38500000000000001</v>
      </c>
      <c r="AK405" s="100">
        <v>0.86599999999999999</v>
      </c>
      <c r="AL405" s="100">
        <v>224.74253901244401</v>
      </c>
      <c r="AM405" s="100">
        <v>0.42399999999999999</v>
      </c>
      <c r="AN405" s="100">
        <v>12.18</v>
      </c>
      <c r="AO405" s="100">
        <v>14.49</v>
      </c>
      <c r="AP405" s="100">
        <v>5.75</v>
      </c>
      <c r="AQ405" s="100">
        <v>45</v>
      </c>
      <c r="AR405" s="100">
        <v>10.34</v>
      </c>
      <c r="AS405" s="100">
        <v>2.4700000000000002</v>
      </c>
      <c r="AT405" s="100">
        <v>0.02</v>
      </c>
      <c r="AU405" s="100">
        <v>4.9550000000000001</v>
      </c>
      <c r="AV405" s="100">
        <v>3.319</v>
      </c>
      <c r="AW405" s="100">
        <v>13.525530099999999</v>
      </c>
      <c r="AX405" s="100">
        <v>0.38400000000000001</v>
      </c>
      <c r="AY405" s="100">
        <v>0.47599999999999998</v>
      </c>
    </row>
    <row r="406" spans="1:51" ht="13.5" customHeight="1" x14ac:dyDescent="0.2">
      <c r="A406" s="40">
        <v>45639</v>
      </c>
      <c r="B406" s="154">
        <v>5653</v>
      </c>
      <c r="C406" s="154">
        <v>1450</v>
      </c>
      <c r="D406" s="154">
        <v>126</v>
      </c>
      <c r="E406" s="154">
        <v>226</v>
      </c>
      <c r="F406" s="154">
        <v>122</v>
      </c>
      <c r="G406" s="154">
        <v>122</v>
      </c>
      <c r="H406" s="67">
        <v>8237</v>
      </c>
      <c r="I406" s="41">
        <v>838</v>
      </c>
      <c r="J406" s="41">
        <v>2400</v>
      </c>
      <c r="K406" s="41">
        <v>13262</v>
      </c>
      <c r="L406" s="41">
        <v>3696</v>
      </c>
      <c r="M406" s="154">
        <v>8726.3037499999991</v>
      </c>
      <c r="N406" s="41">
        <v>392.69625000000002</v>
      </c>
      <c r="O406" s="154">
        <v>10213</v>
      </c>
      <c r="P406" s="154">
        <v>355</v>
      </c>
      <c r="Q406" s="41">
        <v>5664</v>
      </c>
      <c r="R406" s="41">
        <v>3153</v>
      </c>
      <c r="S406" s="41">
        <v>11080</v>
      </c>
      <c r="T406" s="41">
        <v>8717</v>
      </c>
      <c r="U406" s="154">
        <v>75.477599999999995</v>
      </c>
      <c r="V406" s="41">
        <v>700</v>
      </c>
      <c r="W406" s="153">
        <v>9226</v>
      </c>
      <c r="X406" s="41">
        <v>3911.8</v>
      </c>
      <c r="Y406" s="41"/>
      <c r="Z406" s="153">
        <v>3510</v>
      </c>
      <c r="AA406" s="41"/>
      <c r="AB406" s="41">
        <v>336.36363636363632</v>
      </c>
      <c r="AC406" s="41"/>
      <c r="AD406" s="128">
        <v>4950</v>
      </c>
      <c r="AE406" s="154">
        <v>175</v>
      </c>
      <c r="AF406" s="41">
        <v>9836</v>
      </c>
      <c r="AG406" s="154">
        <v>3997.91</v>
      </c>
      <c r="AH406" s="154">
        <v>42</v>
      </c>
      <c r="AI406" s="154">
        <v>6776</v>
      </c>
      <c r="AJ406" s="100">
        <v>0.39100000000000001</v>
      </c>
      <c r="AK406" s="100">
        <v>0.89900000000000002</v>
      </c>
      <c r="AL406" s="100">
        <v>224.60128034556001</v>
      </c>
      <c r="AM406" s="100">
        <v>0.39200000000000002</v>
      </c>
      <c r="AN406" s="100">
        <v>11.614899999999999</v>
      </c>
      <c r="AO406" s="100">
        <v>13.68</v>
      </c>
      <c r="AP406" s="100">
        <v>5.88</v>
      </c>
      <c r="AQ406" s="100">
        <v>45</v>
      </c>
      <c r="AR406" s="100">
        <v>10.130000000000001</v>
      </c>
      <c r="AS406" s="100">
        <v>2.23</v>
      </c>
      <c r="AT406" s="100">
        <v>0.02</v>
      </c>
      <c r="AU406" s="100">
        <v>4.9539999999999997</v>
      </c>
      <c r="AV406" s="100">
        <v>3.4470000000000001</v>
      </c>
      <c r="AW406" s="100">
        <v>12.995809600000001</v>
      </c>
      <c r="AX406" s="100">
        <v>0.38200000000000001</v>
      </c>
      <c r="AY406" s="100">
        <v>0.47899999999999998</v>
      </c>
    </row>
    <row r="407" spans="1:51" ht="13.5" customHeight="1" x14ac:dyDescent="0.2">
      <c r="A407" s="40">
        <v>45640</v>
      </c>
      <c r="B407" s="154">
        <v>5438</v>
      </c>
      <c r="C407" s="154">
        <v>1358</v>
      </c>
      <c r="D407" s="154">
        <v>119</v>
      </c>
      <c r="E407" s="154">
        <v>243</v>
      </c>
      <c r="F407" s="154">
        <v>114</v>
      </c>
      <c r="G407" s="154">
        <v>114</v>
      </c>
      <c r="H407" s="67">
        <v>8333</v>
      </c>
      <c r="I407" s="41">
        <v>797</v>
      </c>
      <c r="J407" s="41">
        <v>2443</v>
      </c>
      <c r="K407" s="41">
        <v>13174</v>
      </c>
      <c r="L407" s="41">
        <v>3698</v>
      </c>
      <c r="M407" s="154">
        <v>8747.99</v>
      </c>
      <c r="N407" s="41">
        <v>368.01</v>
      </c>
      <c r="O407" s="154">
        <v>9992.5</v>
      </c>
      <c r="P407" s="154">
        <v>349</v>
      </c>
      <c r="Q407" s="41">
        <v>5690</v>
      </c>
      <c r="R407" s="41">
        <v>3051</v>
      </c>
      <c r="S407" s="41">
        <v>11041</v>
      </c>
      <c r="T407" s="41">
        <v>8821.1529927208339</v>
      </c>
      <c r="U407" s="154">
        <v>10.06368</v>
      </c>
      <c r="V407" s="41">
        <v>700</v>
      </c>
      <c r="W407" s="153">
        <v>9242</v>
      </c>
      <c r="X407" s="41">
        <v>3874.3</v>
      </c>
      <c r="Y407" s="41"/>
      <c r="Z407" s="153">
        <v>3505</v>
      </c>
      <c r="AA407" s="41"/>
      <c r="AB407" s="41">
        <v>367.27272727272725</v>
      </c>
      <c r="AC407" s="41"/>
      <c r="AD407" s="128">
        <v>4816</v>
      </c>
      <c r="AE407" s="154">
        <v>192</v>
      </c>
      <c r="AF407" s="41">
        <v>9815</v>
      </c>
      <c r="AG407" s="154">
        <v>3999.38</v>
      </c>
      <c r="AH407" s="154">
        <v>42</v>
      </c>
      <c r="AI407" s="154">
        <v>6650</v>
      </c>
      <c r="AJ407" s="100">
        <v>0.38500000000000001</v>
      </c>
      <c r="AK407" s="100">
        <v>0.86599999999999999</v>
      </c>
      <c r="AL407" s="100">
        <v>224.74253901244401</v>
      </c>
      <c r="AM407" s="100">
        <v>0.33700000000000002</v>
      </c>
      <c r="AN407" s="100">
        <v>11.403600000000001</v>
      </c>
      <c r="AO407" s="100">
        <v>13.31</v>
      </c>
      <c r="AP407" s="100">
        <v>5.99</v>
      </c>
      <c r="AQ407" s="100">
        <v>37</v>
      </c>
      <c r="AR407" s="100">
        <v>10.39</v>
      </c>
      <c r="AS407" s="100">
        <v>1.87</v>
      </c>
      <c r="AT407" s="100">
        <v>0.02</v>
      </c>
      <c r="AU407" s="100">
        <v>4.9539999999999997</v>
      </c>
      <c r="AV407" s="100">
        <v>3.32</v>
      </c>
      <c r="AW407" s="100">
        <v>13.525530099999999</v>
      </c>
      <c r="AX407" s="100">
        <v>0.38400000000000001</v>
      </c>
      <c r="AY407" s="100">
        <v>0.47599999999999998</v>
      </c>
    </row>
    <row r="408" spans="1:51" ht="13.5" customHeight="1" x14ac:dyDescent="0.2">
      <c r="A408" s="40">
        <v>45641</v>
      </c>
      <c r="B408" s="154">
        <v>5566</v>
      </c>
      <c r="C408" s="154">
        <v>1289</v>
      </c>
      <c r="D408" s="154">
        <v>130</v>
      </c>
      <c r="E408" s="154">
        <v>248</v>
      </c>
      <c r="F408" s="154">
        <v>112</v>
      </c>
      <c r="G408" s="154">
        <v>112</v>
      </c>
      <c r="H408" s="67">
        <v>8391</v>
      </c>
      <c r="I408" s="41">
        <v>826</v>
      </c>
      <c r="J408" s="41">
        <v>2416</v>
      </c>
      <c r="K408" s="41">
        <v>13160</v>
      </c>
      <c r="L408" s="41">
        <v>3767</v>
      </c>
      <c r="M408" s="154">
        <v>8715.5662500000126</v>
      </c>
      <c r="N408" s="41">
        <v>403.35374999999999</v>
      </c>
      <c r="O408" s="154">
        <v>9643</v>
      </c>
      <c r="P408" s="154">
        <v>349</v>
      </c>
      <c r="Q408" s="41">
        <v>5631</v>
      </c>
      <c r="R408" s="41">
        <v>3045</v>
      </c>
      <c r="S408" s="41">
        <v>10964</v>
      </c>
      <c r="T408" s="41">
        <v>8776</v>
      </c>
      <c r="U408" s="154">
        <v>48.431460000000001</v>
      </c>
      <c r="V408" s="41">
        <v>700</v>
      </c>
      <c r="W408" s="153">
        <v>9307</v>
      </c>
      <c r="X408" s="41">
        <v>3854.9</v>
      </c>
      <c r="Y408" s="41"/>
      <c r="Z408" s="153">
        <v>3508</v>
      </c>
      <c r="AA408" s="41"/>
      <c r="AB408" s="41">
        <v>398.18181818181813</v>
      </c>
      <c r="AC408" s="41"/>
      <c r="AD408" s="128">
        <v>4890</v>
      </c>
      <c r="AE408" s="154">
        <v>191</v>
      </c>
      <c r="AF408" s="41">
        <v>9783</v>
      </c>
      <c r="AG408" s="154">
        <v>4000.36</v>
      </c>
      <c r="AH408" s="154">
        <v>42</v>
      </c>
      <c r="AI408" s="154">
        <v>6736.7520000000004</v>
      </c>
      <c r="AJ408" s="100">
        <v>0.437</v>
      </c>
      <c r="AK408" s="100">
        <v>1.07</v>
      </c>
      <c r="AL408" s="100">
        <v>185.472629618692</v>
      </c>
      <c r="AM408" s="100">
        <v>0.08</v>
      </c>
      <c r="AN408" s="100">
        <v>11.776499999999999</v>
      </c>
      <c r="AO408" s="100">
        <v>12.75</v>
      </c>
      <c r="AP408" s="100">
        <v>5.76</v>
      </c>
      <c r="AQ408" s="100">
        <v>10</v>
      </c>
      <c r="AR408" s="46">
        <v>9.2200000000000006</v>
      </c>
      <c r="AS408" s="157">
        <v>1.81</v>
      </c>
      <c r="AT408" s="100">
        <v>0.02</v>
      </c>
      <c r="AU408" s="100">
        <v>4.9539999999999997</v>
      </c>
      <c r="AV408" s="100">
        <v>3.8839999999999999</v>
      </c>
      <c r="AW408" s="100">
        <v>13.702103600000001</v>
      </c>
      <c r="AX408" s="100">
        <v>0.39</v>
      </c>
      <c r="AY408" s="100">
        <v>0.47399999999999998</v>
      </c>
    </row>
    <row r="409" spans="1:51" ht="13.5" customHeight="1" x14ac:dyDescent="0.2">
      <c r="A409" s="40">
        <v>45642</v>
      </c>
      <c r="B409" s="154">
        <v>5551</v>
      </c>
      <c r="C409" s="154">
        <v>1432</v>
      </c>
      <c r="D409" s="154">
        <v>131</v>
      </c>
      <c r="E409" s="154">
        <v>251</v>
      </c>
      <c r="F409" s="154">
        <v>108</v>
      </c>
      <c r="G409" s="154">
        <v>108</v>
      </c>
      <c r="H409" s="67">
        <v>8209.6560000000009</v>
      </c>
      <c r="I409" s="41">
        <v>776.51800000000003</v>
      </c>
      <c r="J409" s="41">
        <v>2350.1669999999999</v>
      </c>
      <c r="K409" s="41">
        <v>13210</v>
      </c>
      <c r="L409" s="41">
        <v>3754.6589999999997</v>
      </c>
      <c r="M409" s="154">
        <v>8864.59</v>
      </c>
      <c r="N409" s="41">
        <v>385.41</v>
      </c>
      <c r="O409" s="154">
        <v>10187</v>
      </c>
      <c r="P409" s="154">
        <v>364</v>
      </c>
      <c r="Q409" s="41">
        <v>6025</v>
      </c>
      <c r="R409" s="41">
        <v>2925</v>
      </c>
      <c r="S409" s="41">
        <v>10889</v>
      </c>
      <c r="T409" s="128">
        <v>8784</v>
      </c>
      <c r="U409" s="154">
        <v>48.431460000000001</v>
      </c>
      <c r="V409" s="41">
        <v>700</v>
      </c>
      <c r="W409" s="153">
        <v>9277</v>
      </c>
      <c r="X409" s="41">
        <v>3701</v>
      </c>
      <c r="Y409" s="41"/>
      <c r="Z409" s="153">
        <v>3516</v>
      </c>
      <c r="AA409" s="41"/>
      <c r="AB409" s="41">
        <v>378.18181818181813</v>
      </c>
      <c r="AC409" s="41"/>
      <c r="AD409" s="128">
        <v>4873</v>
      </c>
      <c r="AE409" s="154">
        <v>169</v>
      </c>
      <c r="AF409" s="41">
        <v>9687</v>
      </c>
      <c r="AG409" s="154">
        <v>3999.38</v>
      </c>
      <c r="AH409" s="154">
        <v>42</v>
      </c>
      <c r="AI409" s="154">
        <v>6992.5691999999999</v>
      </c>
      <c r="AJ409" s="100">
        <v>0.38300000000000001</v>
      </c>
      <c r="AK409" s="100">
        <v>0.92800000000000005</v>
      </c>
      <c r="AL409" s="100">
        <v>191.93521362863501</v>
      </c>
      <c r="AM409" s="100">
        <v>0.36699999999999999</v>
      </c>
      <c r="AN409" s="100">
        <v>11.776499999999999</v>
      </c>
      <c r="AO409" s="100">
        <v>12.75</v>
      </c>
      <c r="AP409" s="100">
        <v>5.76</v>
      </c>
      <c r="AQ409" s="100">
        <v>10</v>
      </c>
      <c r="AR409" s="46">
        <v>10.8</v>
      </c>
      <c r="AS409" s="157">
        <v>1.61</v>
      </c>
      <c r="AT409" s="100">
        <v>0.02</v>
      </c>
      <c r="AU409" s="100">
        <v>4.9539999999999997</v>
      </c>
      <c r="AV409" s="100">
        <v>2.6779999999999999</v>
      </c>
      <c r="AW409" s="100">
        <v>13.702103600000001</v>
      </c>
      <c r="AX409" s="100">
        <v>0.37</v>
      </c>
      <c r="AY409" s="100">
        <v>0.47099999999999997</v>
      </c>
    </row>
    <row r="410" spans="1:51" ht="13.5" customHeight="1" x14ac:dyDescent="0.2">
      <c r="A410" s="40">
        <v>45643</v>
      </c>
      <c r="B410" s="154">
        <v>5553</v>
      </c>
      <c r="C410" s="154">
        <v>1417</v>
      </c>
      <c r="D410" s="154">
        <v>125</v>
      </c>
      <c r="E410" s="154">
        <v>246</v>
      </c>
      <c r="F410" s="154">
        <v>98</v>
      </c>
      <c r="G410" s="154">
        <v>98</v>
      </c>
      <c r="H410" s="67">
        <v>8202.7690000000002</v>
      </c>
      <c r="I410" s="41">
        <v>809.096</v>
      </c>
      <c r="J410" s="41">
        <v>2447.2089999999998</v>
      </c>
      <c r="K410" s="41">
        <v>13229</v>
      </c>
      <c r="L410" s="41">
        <v>3747.9260000000004</v>
      </c>
      <c r="M410" s="154">
        <v>9113.0862500000003</v>
      </c>
      <c r="N410" s="41">
        <v>392.91374999999999</v>
      </c>
      <c r="O410" s="154">
        <v>10133</v>
      </c>
      <c r="P410" s="154">
        <v>366</v>
      </c>
      <c r="Q410" s="41">
        <v>5696</v>
      </c>
      <c r="R410" s="41">
        <v>2937</v>
      </c>
      <c r="S410" s="41">
        <v>10868</v>
      </c>
      <c r="T410" s="41">
        <v>8588</v>
      </c>
      <c r="U410" s="154">
        <v>75.477599999999995</v>
      </c>
      <c r="V410" s="41">
        <v>700</v>
      </c>
      <c r="W410" s="153">
        <v>9177</v>
      </c>
      <c r="X410" s="41">
        <v>3697</v>
      </c>
      <c r="Y410" s="41"/>
      <c r="Z410" s="153">
        <v>3528</v>
      </c>
      <c r="AA410" s="41"/>
      <c r="AB410" s="41">
        <v>379.99999999999994</v>
      </c>
      <c r="AC410" s="41"/>
      <c r="AD410" s="128">
        <v>3433</v>
      </c>
      <c r="AE410" s="154">
        <v>177</v>
      </c>
      <c r="AF410" s="41">
        <v>9848</v>
      </c>
      <c r="AG410" s="154">
        <v>3996.44</v>
      </c>
      <c r="AH410" s="154">
        <v>42</v>
      </c>
      <c r="AI410" s="154">
        <v>7209.8904000000002</v>
      </c>
      <c r="AJ410" s="100">
        <v>0.42299999999999999</v>
      </c>
      <c r="AK410" s="100">
        <v>1.0269999999999999</v>
      </c>
      <c r="AL410" s="100">
        <v>205.00164031540501</v>
      </c>
      <c r="AM410" s="100">
        <v>0.28000000000000003</v>
      </c>
      <c r="AN410" s="100">
        <v>11.776499999999999</v>
      </c>
      <c r="AO410" s="100">
        <v>12.75</v>
      </c>
      <c r="AP410" s="100">
        <v>5.76</v>
      </c>
      <c r="AQ410" s="100">
        <v>10</v>
      </c>
      <c r="AR410" s="46">
        <v>10.57</v>
      </c>
      <c r="AS410" s="157">
        <v>1.96</v>
      </c>
      <c r="AT410" s="100">
        <v>0.02</v>
      </c>
      <c r="AU410" s="100">
        <v>4.9539999999999997</v>
      </c>
      <c r="AV410" s="100">
        <v>2.048</v>
      </c>
      <c r="AW410" s="100">
        <v>13.702103600000001</v>
      </c>
      <c r="AX410" s="100">
        <v>0.36399999999999999</v>
      </c>
      <c r="AY410" s="100">
        <v>0.47499999999999998</v>
      </c>
    </row>
    <row r="411" spans="1:51" ht="13.5" customHeight="1" x14ac:dyDescent="0.2">
      <c r="A411" s="40">
        <v>45644</v>
      </c>
      <c r="B411" s="154">
        <v>5644</v>
      </c>
      <c r="C411" s="154">
        <v>1394</v>
      </c>
      <c r="D411" s="154">
        <v>128</v>
      </c>
      <c r="E411" s="154">
        <v>249</v>
      </c>
      <c r="F411" s="154">
        <v>95</v>
      </c>
      <c r="G411" s="154">
        <v>95</v>
      </c>
      <c r="H411" s="67">
        <v>8171.8289999999997</v>
      </c>
      <c r="I411" s="41">
        <v>835.20100000000002</v>
      </c>
      <c r="J411" s="41">
        <v>2512.9029999999998</v>
      </c>
      <c r="K411" s="41">
        <v>13171</v>
      </c>
      <c r="L411" s="41">
        <v>3726.2546993599999</v>
      </c>
      <c r="M411" s="154">
        <v>8360</v>
      </c>
      <c r="N411" s="41">
        <v>392</v>
      </c>
      <c r="O411" s="154">
        <v>9907</v>
      </c>
      <c r="P411" s="154">
        <v>366</v>
      </c>
      <c r="Q411" s="41">
        <v>5630</v>
      </c>
      <c r="R411" s="41">
        <v>3021</v>
      </c>
      <c r="S411" s="41">
        <v>10926</v>
      </c>
      <c r="T411" s="41">
        <v>8565</v>
      </c>
      <c r="U411" s="154">
        <v>48.431460000000001</v>
      </c>
      <c r="V411" s="41">
        <v>700</v>
      </c>
      <c r="W411" s="153">
        <v>9167</v>
      </c>
      <c r="X411" s="41">
        <v>3799</v>
      </c>
      <c r="Y411" s="41"/>
      <c r="Z411" s="153">
        <v>3521</v>
      </c>
      <c r="AA411" s="41"/>
      <c r="AB411" s="41">
        <v>369.09090909090907</v>
      </c>
      <c r="AC411" s="41"/>
      <c r="AD411" s="128">
        <v>2961</v>
      </c>
      <c r="AE411" s="154">
        <v>164</v>
      </c>
      <c r="AF411" s="41">
        <v>9752</v>
      </c>
      <c r="AG411" s="154">
        <v>3999.87</v>
      </c>
      <c r="AH411" s="154">
        <v>42</v>
      </c>
      <c r="AI411" s="154">
        <v>8014.8899999999994</v>
      </c>
      <c r="AJ411" s="100">
        <v>0.42299999999999999</v>
      </c>
      <c r="AK411" s="100">
        <v>1.028</v>
      </c>
      <c r="AL411" s="100">
        <v>206.20233898391899</v>
      </c>
      <c r="AM411" s="100">
        <v>0.3</v>
      </c>
      <c r="AN411" s="100">
        <v>12.28</v>
      </c>
      <c r="AO411" s="100">
        <v>11.86</v>
      </c>
      <c r="AP411" s="100">
        <v>6.02</v>
      </c>
      <c r="AQ411" s="100">
        <v>10</v>
      </c>
      <c r="AR411" s="46">
        <v>10.7</v>
      </c>
      <c r="AS411" s="157">
        <v>1.46</v>
      </c>
      <c r="AT411" s="100">
        <v>0.02</v>
      </c>
      <c r="AU411" s="100">
        <v>4.9539999999999997</v>
      </c>
      <c r="AV411" s="100">
        <v>2.0569999999999999</v>
      </c>
      <c r="AW411" s="100">
        <v>13.4549007</v>
      </c>
      <c r="AX411" s="100">
        <v>0.36399999999999999</v>
      </c>
      <c r="AY411" s="100">
        <v>0.47499999999999998</v>
      </c>
    </row>
    <row r="412" spans="1:51" ht="13.5" customHeight="1" x14ac:dyDescent="0.2">
      <c r="A412" s="40">
        <v>45645</v>
      </c>
      <c r="B412" s="154">
        <v>5575</v>
      </c>
      <c r="C412" s="154">
        <v>1407</v>
      </c>
      <c r="D412" s="154">
        <v>120</v>
      </c>
      <c r="E412" s="154">
        <v>238</v>
      </c>
      <c r="F412" s="154">
        <v>95</v>
      </c>
      <c r="G412" s="154">
        <v>95</v>
      </c>
      <c r="H412" s="67">
        <v>8189.2910000000002</v>
      </c>
      <c r="I412" s="41">
        <v>790.40700000000004</v>
      </c>
      <c r="J412" s="41">
        <v>2562.884</v>
      </c>
      <c r="K412" s="41">
        <v>13140</v>
      </c>
      <c r="L412" s="41">
        <v>3746.1512185199999</v>
      </c>
      <c r="M412" s="154">
        <v>8371</v>
      </c>
      <c r="N412" s="41">
        <v>394</v>
      </c>
      <c r="O412" s="154">
        <v>10002</v>
      </c>
      <c r="P412" s="154">
        <v>365</v>
      </c>
      <c r="Q412" s="41">
        <v>5597</v>
      </c>
      <c r="R412" s="41">
        <v>3063</v>
      </c>
      <c r="S412" s="41">
        <v>10953</v>
      </c>
      <c r="T412" s="41">
        <v>8652</v>
      </c>
      <c r="U412" s="154">
        <v>106.92659999999999</v>
      </c>
      <c r="V412" s="41">
        <v>700</v>
      </c>
      <c r="W412" s="153">
        <v>9313</v>
      </c>
      <c r="X412" s="41">
        <v>4123</v>
      </c>
      <c r="Y412" s="41"/>
      <c r="Z412" s="153">
        <v>3521</v>
      </c>
      <c r="AA412" s="41"/>
      <c r="AB412" s="41">
        <v>376.36363636363632</v>
      </c>
      <c r="AC412" s="41"/>
      <c r="AD412" s="128">
        <v>3477</v>
      </c>
      <c r="AE412" s="154">
        <v>142</v>
      </c>
      <c r="AF412" s="41">
        <v>9732</v>
      </c>
      <c r="AG412" s="154">
        <v>3999.87</v>
      </c>
      <c r="AH412" s="154">
        <v>42</v>
      </c>
      <c r="AI412" s="154">
        <v>7673.1140000000005</v>
      </c>
      <c r="AJ412" s="100">
        <v>0.54300000000000004</v>
      </c>
      <c r="AK412" s="100">
        <v>1.355</v>
      </c>
      <c r="AL412" s="100">
        <v>205.99045098359301</v>
      </c>
      <c r="AM412" s="100">
        <v>0.35</v>
      </c>
      <c r="AN412" s="100">
        <v>12.28</v>
      </c>
      <c r="AO412" s="100">
        <v>11.57</v>
      </c>
      <c r="AP412" s="100">
        <v>6.5</v>
      </c>
      <c r="AQ412" s="100">
        <v>10</v>
      </c>
      <c r="AR412" s="46">
        <v>10.93</v>
      </c>
      <c r="AS412" s="157">
        <v>1.59</v>
      </c>
      <c r="AT412" s="100">
        <v>0.02</v>
      </c>
      <c r="AU412" s="100">
        <v>4.9470000000000001</v>
      </c>
      <c r="AV412" s="100">
        <v>2.7709999999999999</v>
      </c>
      <c r="AW412" s="100">
        <v>14.267138800000001</v>
      </c>
      <c r="AX412" s="100">
        <v>0.37</v>
      </c>
      <c r="AY412" s="100">
        <v>0.46650000000000003</v>
      </c>
    </row>
    <row r="413" spans="1:51" ht="13.5" customHeight="1" x14ac:dyDescent="0.2">
      <c r="A413" s="40">
        <v>45646</v>
      </c>
      <c r="B413" s="154">
        <v>5530</v>
      </c>
      <c r="C413" s="154">
        <v>1413</v>
      </c>
      <c r="D413" s="154">
        <v>127</v>
      </c>
      <c r="E413" s="154">
        <v>237</v>
      </c>
      <c r="F413" s="154">
        <v>99</v>
      </c>
      <c r="G413" s="154">
        <v>99</v>
      </c>
      <c r="H413" s="158">
        <v>8263</v>
      </c>
      <c r="I413" s="158">
        <v>782</v>
      </c>
      <c r="J413" s="158">
        <v>2535</v>
      </c>
      <c r="K413" s="158">
        <v>13122</v>
      </c>
      <c r="L413" s="158">
        <v>3700</v>
      </c>
      <c r="M413" s="154">
        <v>7735</v>
      </c>
      <c r="N413" s="41">
        <v>394</v>
      </c>
      <c r="O413" s="154">
        <v>10023</v>
      </c>
      <c r="P413" s="154">
        <v>366</v>
      </c>
      <c r="Q413" s="41">
        <v>5588</v>
      </c>
      <c r="R413" s="154">
        <v>2799</v>
      </c>
      <c r="S413" s="154">
        <v>10963</v>
      </c>
      <c r="T413" s="41">
        <v>8501</v>
      </c>
      <c r="U413" s="154">
        <v>106.92659999999999</v>
      </c>
      <c r="V413" s="41">
        <v>700</v>
      </c>
      <c r="W413" s="153">
        <v>9271</v>
      </c>
      <c r="X413" s="41">
        <v>4170</v>
      </c>
      <c r="Y413" s="41"/>
      <c r="Z413" s="153">
        <v>3526</v>
      </c>
      <c r="AA413" s="154"/>
      <c r="AB413" s="41">
        <v>383.63636363636363</v>
      </c>
      <c r="AC413" s="154"/>
      <c r="AD413" s="154">
        <v>3697</v>
      </c>
      <c r="AE413" s="154">
        <v>134</v>
      </c>
      <c r="AF413" s="154">
        <v>9780</v>
      </c>
      <c r="AG413" s="154">
        <v>3999.87</v>
      </c>
      <c r="AH413" s="154">
        <v>42</v>
      </c>
      <c r="AI413" s="154">
        <v>7303.7183999999997</v>
      </c>
      <c r="AJ413" s="100">
        <v>0.377</v>
      </c>
      <c r="AK413" s="100">
        <v>0.91200000000000003</v>
      </c>
      <c r="AL413" s="100">
        <v>208.85093898799403</v>
      </c>
      <c r="AM413" s="100">
        <v>0.32600000000000001</v>
      </c>
      <c r="AN413" s="100">
        <v>1.1200000000000001</v>
      </c>
      <c r="AO413" s="46">
        <v>11.67</v>
      </c>
      <c r="AP413" s="46">
        <v>6.04</v>
      </c>
      <c r="AQ413" s="100">
        <v>10</v>
      </c>
      <c r="AR413" s="46">
        <v>10.97</v>
      </c>
      <c r="AS413" s="157">
        <v>1.82</v>
      </c>
      <c r="AT413" s="100">
        <v>0.02</v>
      </c>
      <c r="AU413" s="100">
        <v>4.9139999999999997</v>
      </c>
      <c r="AV413" s="100">
        <v>1.821</v>
      </c>
      <c r="AW413" s="100">
        <v>13.808047700000001</v>
      </c>
      <c r="AX413" s="100">
        <v>0.36699999999999999</v>
      </c>
      <c r="AY413" s="100">
        <v>0.46899999999999997</v>
      </c>
    </row>
    <row r="414" spans="1:51" ht="13.5" customHeight="1" x14ac:dyDescent="0.2">
      <c r="A414" s="40">
        <v>45647</v>
      </c>
      <c r="B414" s="154">
        <v>5776</v>
      </c>
      <c r="C414" s="154">
        <v>1444</v>
      </c>
      <c r="D414" s="154">
        <v>125</v>
      </c>
      <c r="E414" s="154">
        <v>227</v>
      </c>
      <c r="F414" s="154">
        <v>116</v>
      </c>
      <c r="G414" s="154">
        <v>116</v>
      </c>
      <c r="H414" s="158">
        <v>8200</v>
      </c>
      <c r="I414" s="158">
        <v>793</v>
      </c>
      <c r="J414" s="158">
        <v>2608</v>
      </c>
      <c r="K414" s="158">
        <v>13115</v>
      </c>
      <c r="L414" s="158">
        <v>3697</v>
      </c>
      <c r="M414" s="154">
        <v>8463</v>
      </c>
      <c r="N414" s="41">
        <v>349</v>
      </c>
      <c r="O414" s="154">
        <v>10105</v>
      </c>
      <c r="P414" s="154">
        <v>368</v>
      </c>
      <c r="Q414" s="41">
        <v>5597</v>
      </c>
      <c r="R414" s="41">
        <v>2835</v>
      </c>
      <c r="S414" s="41">
        <v>10897</v>
      </c>
      <c r="T414" s="41">
        <v>8502</v>
      </c>
      <c r="U414" s="154">
        <v>18.869399999999999</v>
      </c>
      <c r="V414" s="41">
        <v>700</v>
      </c>
      <c r="W414" s="153">
        <v>9166</v>
      </c>
      <c r="X414" s="41">
        <v>3839</v>
      </c>
      <c r="Y414" s="41"/>
      <c r="Z414" s="153">
        <v>3530</v>
      </c>
      <c r="AA414" s="41"/>
      <c r="AB414" s="41">
        <v>372.72727272727269</v>
      </c>
      <c r="AC414" s="41"/>
      <c r="AD414" s="128">
        <v>3318</v>
      </c>
      <c r="AE414" s="154">
        <v>175</v>
      </c>
      <c r="AF414" s="41">
        <v>9765</v>
      </c>
      <c r="AG414" s="154">
        <v>3996.44</v>
      </c>
      <c r="AH414" s="154">
        <v>42</v>
      </c>
      <c r="AI414" s="154">
        <v>7061.1823999999997</v>
      </c>
      <c r="AJ414" s="100">
        <v>0.34200000000000003</v>
      </c>
      <c r="AK414" s="100">
        <v>0.81200000000000006</v>
      </c>
      <c r="AL414" s="100">
        <v>206.27296831736103</v>
      </c>
      <c r="AM414" s="100">
        <v>0.35899999999999999</v>
      </c>
      <c r="AN414" s="100">
        <v>1.1200000000000001</v>
      </c>
      <c r="AO414" s="46">
        <v>11.36</v>
      </c>
      <c r="AP414" s="46">
        <v>6.32</v>
      </c>
      <c r="AQ414" s="100">
        <v>10</v>
      </c>
      <c r="AR414" s="46">
        <v>10.94</v>
      </c>
      <c r="AS414" s="157">
        <v>1.08</v>
      </c>
      <c r="AT414" s="100">
        <v>0.02</v>
      </c>
      <c r="AU414" s="100">
        <v>4.9370000000000003</v>
      </c>
      <c r="AV414" s="100">
        <v>1.603</v>
      </c>
      <c r="AW414" s="100">
        <v>13.2076978</v>
      </c>
      <c r="AX414" s="100">
        <v>0.34599999999999997</v>
      </c>
      <c r="AY414" s="100">
        <v>0.47299999999999998</v>
      </c>
    </row>
    <row r="415" spans="1:51" ht="13.5" customHeight="1" x14ac:dyDescent="0.2">
      <c r="A415" s="40">
        <v>45648</v>
      </c>
      <c r="B415" s="154">
        <v>5695</v>
      </c>
      <c r="C415" s="154">
        <v>1418</v>
      </c>
      <c r="D415" s="154">
        <v>125</v>
      </c>
      <c r="E415" s="154">
        <v>227</v>
      </c>
      <c r="F415" s="154">
        <v>104</v>
      </c>
      <c r="G415" s="154">
        <v>104</v>
      </c>
      <c r="H415" s="158">
        <v>8119</v>
      </c>
      <c r="I415" s="158">
        <v>791</v>
      </c>
      <c r="J415" s="158">
        <v>2602</v>
      </c>
      <c r="K415" s="158">
        <v>13111</v>
      </c>
      <c r="L415" s="158">
        <v>3659</v>
      </c>
      <c r="M415" s="154">
        <v>7362</v>
      </c>
      <c r="N415" s="41">
        <v>346</v>
      </c>
      <c r="O415" s="154">
        <v>10099</v>
      </c>
      <c r="P415" s="154">
        <v>346</v>
      </c>
      <c r="Q415" s="41">
        <v>5800</v>
      </c>
      <c r="R415" s="41">
        <v>2853</v>
      </c>
      <c r="S415" s="41">
        <v>10818</v>
      </c>
      <c r="T415" s="41">
        <v>8568</v>
      </c>
      <c r="U415" s="154">
        <v>6.2897999999999996</v>
      </c>
      <c r="V415" s="41">
        <v>700</v>
      </c>
      <c r="W415" s="153">
        <v>9133</v>
      </c>
      <c r="X415" s="41">
        <v>3903</v>
      </c>
      <c r="Y415" s="41"/>
      <c r="Z415" s="153">
        <v>3517</v>
      </c>
      <c r="AA415" s="41"/>
      <c r="AB415" s="41">
        <v>374.5454545454545</v>
      </c>
      <c r="AC415" s="41"/>
      <c r="AD415" s="128">
        <v>3216</v>
      </c>
      <c r="AE415" s="154">
        <v>143</v>
      </c>
      <c r="AF415" s="41">
        <v>9768</v>
      </c>
      <c r="AG415" s="154">
        <v>3994.97</v>
      </c>
      <c r="AH415" s="154">
        <v>42</v>
      </c>
      <c r="AI415" s="154">
        <v>7228.1563999999998</v>
      </c>
      <c r="AJ415" s="100">
        <v>0.54300000000000004</v>
      </c>
      <c r="AK415" s="100">
        <v>0.81399999999999995</v>
      </c>
      <c r="AL415" s="100">
        <v>189.78101895865402</v>
      </c>
      <c r="AM415" s="100">
        <v>0.34100000000000003</v>
      </c>
      <c r="AN415" s="100">
        <v>0.82</v>
      </c>
      <c r="AO415" s="46">
        <v>11.17</v>
      </c>
      <c r="AP415" s="46">
        <v>6.5</v>
      </c>
      <c r="AQ415" s="100">
        <v>10</v>
      </c>
      <c r="AR415" s="46">
        <v>10.89</v>
      </c>
      <c r="AS415" s="157">
        <v>1.49</v>
      </c>
      <c r="AT415" s="100">
        <v>0.02</v>
      </c>
      <c r="AU415" s="100">
        <v>4.9390000000000001</v>
      </c>
      <c r="AV415" s="100">
        <v>1.607</v>
      </c>
      <c r="AW415" s="100">
        <v>13.243012500000001</v>
      </c>
      <c r="AX415" s="100">
        <v>0.36199999999999999</v>
      </c>
      <c r="AY415" s="100">
        <v>0.47599999999999998</v>
      </c>
    </row>
    <row r="416" spans="1:51" ht="13.5" customHeight="1" x14ac:dyDescent="0.2">
      <c r="A416" s="40">
        <v>45649</v>
      </c>
      <c r="B416" s="154">
        <v>5746</v>
      </c>
      <c r="C416" s="154">
        <v>1418</v>
      </c>
      <c r="D416" s="154">
        <v>125</v>
      </c>
      <c r="E416" s="154">
        <v>227</v>
      </c>
      <c r="F416" s="154">
        <v>104</v>
      </c>
      <c r="G416" s="154">
        <v>104</v>
      </c>
      <c r="H416" s="158">
        <v>8625</v>
      </c>
      <c r="I416" s="158">
        <v>710</v>
      </c>
      <c r="J416" s="158">
        <v>2311</v>
      </c>
      <c r="K416" s="158">
        <v>13116</v>
      </c>
      <c r="L416" s="158">
        <v>3619</v>
      </c>
      <c r="M416" s="154">
        <v>7657</v>
      </c>
      <c r="N416" s="41">
        <v>346</v>
      </c>
      <c r="O416" s="154">
        <v>10196</v>
      </c>
      <c r="P416" s="154">
        <v>370</v>
      </c>
      <c r="Q416" s="41">
        <v>5860</v>
      </c>
      <c r="R416" s="41">
        <v>2823</v>
      </c>
      <c r="S416" s="41">
        <v>10739</v>
      </c>
      <c r="T416" s="41">
        <v>8680</v>
      </c>
      <c r="U416" s="154">
        <v>50.318399999999997</v>
      </c>
      <c r="V416" s="41">
        <v>700</v>
      </c>
      <c r="W416" s="153">
        <v>9228</v>
      </c>
      <c r="X416" s="41">
        <v>4127</v>
      </c>
      <c r="Y416" s="41"/>
      <c r="Z416" s="153">
        <v>3521</v>
      </c>
      <c r="AA416" s="41"/>
      <c r="AB416" s="41">
        <v>374.5454545454545</v>
      </c>
      <c r="AC416" s="41"/>
      <c r="AD416" s="128">
        <v>3226</v>
      </c>
      <c r="AE416" s="154">
        <v>143</v>
      </c>
      <c r="AF416" s="41">
        <v>9708</v>
      </c>
      <c r="AG416" s="154">
        <v>3996.44</v>
      </c>
      <c r="AH416" s="154">
        <v>42</v>
      </c>
      <c r="AI416" s="154">
        <v>7228</v>
      </c>
      <c r="AJ416" s="100">
        <v>0.46700000000000003</v>
      </c>
      <c r="AK416" s="100">
        <v>1.1259999999999999</v>
      </c>
      <c r="AL416" s="100">
        <v>211.49953899206903</v>
      </c>
      <c r="AM416" s="100">
        <v>0.31</v>
      </c>
      <c r="AN416" s="100">
        <v>3.8</v>
      </c>
      <c r="AO416" s="46">
        <v>11.08</v>
      </c>
      <c r="AP416" s="46">
        <v>6.35</v>
      </c>
      <c r="AQ416" s="100">
        <v>18.23</v>
      </c>
      <c r="AR416" s="46">
        <v>11.05</v>
      </c>
      <c r="AS416" s="157">
        <v>1.45</v>
      </c>
      <c r="AT416" s="100">
        <v>0.02</v>
      </c>
      <c r="AU416" s="100">
        <v>4.9379999999999997</v>
      </c>
      <c r="AV416" s="100">
        <v>2.4460000000000002</v>
      </c>
      <c r="AW416" s="100">
        <v>14.267138800000001</v>
      </c>
      <c r="AX416" s="100">
        <v>0.36199999999999999</v>
      </c>
      <c r="AY416" s="100">
        <v>0.47599999999999998</v>
      </c>
    </row>
    <row r="417" spans="1:51" ht="13.5" customHeight="1" x14ac:dyDescent="0.2">
      <c r="A417" s="40">
        <v>45650</v>
      </c>
      <c r="B417" s="154">
        <v>5687</v>
      </c>
      <c r="C417" s="154">
        <v>1418</v>
      </c>
      <c r="D417" s="154">
        <v>125</v>
      </c>
      <c r="E417" s="154">
        <v>227</v>
      </c>
      <c r="F417" s="154">
        <v>104</v>
      </c>
      <c r="G417" s="154">
        <v>104</v>
      </c>
      <c r="H417" s="158">
        <v>8821</v>
      </c>
      <c r="I417" s="158">
        <v>728</v>
      </c>
      <c r="J417" s="158">
        <v>2299</v>
      </c>
      <c r="K417" s="158">
        <v>13128</v>
      </c>
      <c r="L417" s="158">
        <v>3682</v>
      </c>
      <c r="M417" s="154">
        <v>7657</v>
      </c>
      <c r="N417" s="41">
        <v>346</v>
      </c>
      <c r="O417" s="154">
        <v>9233</v>
      </c>
      <c r="P417" s="154">
        <v>370</v>
      </c>
      <c r="Q417" s="41">
        <v>3879</v>
      </c>
      <c r="R417" s="41">
        <v>2721</v>
      </c>
      <c r="S417" s="41">
        <v>10926</v>
      </c>
      <c r="T417" s="41">
        <v>8608</v>
      </c>
      <c r="U417" s="154">
        <v>83.025359999999992</v>
      </c>
      <c r="V417" s="41">
        <v>700</v>
      </c>
      <c r="W417" s="153">
        <v>9139</v>
      </c>
      <c r="X417" s="41">
        <v>3628</v>
      </c>
      <c r="Y417" s="41"/>
      <c r="Z417" s="153">
        <v>3521</v>
      </c>
      <c r="AA417" s="41"/>
      <c r="AB417" s="41">
        <v>363.63636363636363</v>
      </c>
      <c r="AC417" s="41"/>
      <c r="AD417" s="128">
        <v>3226</v>
      </c>
      <c r="AE417" s="154">
        <v>127</v>
      </c>
      <c r="AF417" s="41">
        <v>9822</v>
      </c>
      <c r="AG417" s="154">
        <v>3993.5</v>
      </c>
      <c r="AH417" s="154">
        <v>42</v>
      </c>
      <c r="AI417" s="154">
        <v>7598.8</v>
      </c>
      <c r="AJ417" s="100">
        <v>0.39</v>
      </c>
      <c r="AK417" s="100">
        <v>1.0649999999999999</v>
      </c>
      <c r="AL417" s="100">
        <v>209.592546989135</v>
      </c>
      <c r="AM417" s="100">
        <v>0.35099999999999998</v>
      </c>
      <c r="AN417" s="100">
        <v>9.58</v>
      </c>
      <c r="AO417" s="46">
        <v>10.91</v>
      </c>
      <c r="AP417" s="46">
        <v>6.26</v>
      </c>
      <c r="AQ417" s="100">
        <v>43</v>
      </c>
      <c r="AR417" s="46">
        <v>11</v>
      </c>
      <c r="AS417" s="157">
        <v>1.18</v>
      </c>
      <c r="AT417" s="100">
        <v>0.02</v>
      </c>
      <c r="AU417" s="100">
        <v>4.9470000000000001</v>
      </c>
      <c r="AV417" s="100">
        <v>2.3439999999999999</v>
      </c>
      <c r="AW417" s="100">
        <v>13.702103600000001</v>
      </c>
      <c r="AX417" s="100">
        <v>0.316</v>
      </c>
      <c r="AY417" s="100">
        <v>0.41</v>
      </c>
    </row>
    <row r="418" spans="1:51" ht="13.5" customHeight="1" x14ac:dyDescent="0.2">
      <c r="A418" s="40">
        <v>45651</v>
      </c>
      <c r="B418" s="154">
        <v>5643</v>
      </c>
      <c r="C418" s="154">
        <v>1418</v>
      </c>
      <c r="D418" s="154">
        <v>125</v>
      </c>
      <c r="E418" s="154">
        <v>227</v>
      </c>
      <c r="F418" s="154">
        <v>104</v>
      </c>
      <c r="G418" s="154">
        <v>104</v>
      </c>
      <c r="H418" s="67">
        <v>8406.9480000000003</v>
      </c>
      <c r="I418" s="41">
        <v>662.18200000000002</v>
      </c>
      <c r="J418" s="41">
        <v>2158.3589999999999</v>
      </c>
      <c r="K418" s="41">
        <v>13119</v>
      </c>
      <c r="L418" s="41">
        <v>3675.4478754400002</v>
      </c>
      <c r="M418" s="154">
        <v>8269</v>
      </c>
      <c r="N418" s="41">
        <v>346</v>
      </c>
      <c r="O418" s="154">
        <v>9767</v>
      </c>
      <c r="P418" s="154">
        <v>370</v>
      </c>
      <c r="Q418" s="41">
        <v>3570</v>
      </c>
      <c r="R418" s="41">
        <v>2727</v>
      </c>
      <c r="S418" s="41">
        <v>10855</v>
      </c>
      <c r="T418" s="41">
        <v>8534</v>
      </c>
      <c r="U418" s="154">
        <v>62.897999999999996</v>
      </c>
      <c r="V418" s="41">
        <v>700</v>
      </c>
      <c r="W418" s="153">
        <v>9117</v>
      </c>
      <c r="X418" s="41">
        <v>3905</v>
      </c>
      <c r="Y418" s="41"/>
      <c r="Z418" s="153">
        <v>3530</v>
      </c>
      <c r="AA418" s="41"/>
      <c r="AB418" s="41">
        <v>343.63636363636363</v>
      </c>
      <c r="AC418" s="41"/>
      <c r="AD418" s="128">
        <v>4388</v>
      </c>
      <c r="AE418" s="154">
        <v>193</v>
      </c>
      <c r="AF418" s="41">
        <v>9726</v>
      </c>
      <c r="AG418" s="154">
        <v>3995.46</v>
      </c>
      <c r="AH418" s="154">
        <v>42</v>
      </c>
      <c r="AI418" s="154">
        <v>7201</v>
      </c>
      <c r="AJ418" s="100">
        <v>0.41499999999999998</v>
      </c>
      <c r="AK418" s="100">
        <v>0.99299999999999999</v>
      </c>
      <c r="AL418" s="100">
        <v>211.888000326</v>
      </c>
      <c r="AM418" s="100">
        <v>0.29099999999999998</v>
      </c>
      <c r="AN418" s="100">
        <v>9.58</v>
      </c>
      <c r="AO418" s="100">
        <v>10.91</v>
      </c>
      <c r="AP418" s="100">
        <v>6.26</v>
      </c>
      <c r="AQ418" s="100">
        <v>45</v>
      </c>
      <c r="AR418" s="100">
        <v>10.77</v>
      </c>
      <c r="AS418" s="100">
        <v>1.18</v>
      </c>
      <c r="AT418" s="100">
        <v>0.02</v>
      </c>
      <c r="AU418" s="100">
        <v>4.9420000000000002</v>
      </c>
      <c r="AV418" s="100">
        <v>3.3889999999999998</v>
      </c>
      <c r="AW418" s="100">
        <v>13.419586000000001</v>
      </c>
      <c r="AX418" s="100">
        <v>0.36899999999999999</v>
      </c>
      <c r="AY418" s="100">
        <v>0.47099999999999997</v>
      </c>
    </row>
    <row r="419" spans="1:51" ht="13.5" customHeight="1" x14ac:dyDescent="0.2">
      <c r="A419" s="40">
        <v>45652</v>
      </c>
      <c r="B419" s="154">
        <v>5586</v>
      </c>
      <c r="C419" s="154">
        <v>1418</v>
      </c>
      <c r="D419" s="154">
        <v>125</v>
      </c>
      <c r="E419" s="154">
        <v>227</v>
      </c>
      <c r="F419" s="154">
        <v>104</v>
      </c>
      <c r="G419" s="154">
        <v>104</v>
      </c>
      <c r="H419" s="67">
        <v>8591.9169999999995</v>
      </c>
      <c r="I419" s="41">
        <v>754.01800000000003</v>
      </c>
      <c r="J419" s="41">
        <v>2457.4740000000002</v>
      </c>
      <c r="K419" s="41">
        <v>13103</v>
      </c>
      <c r="L419" s="41">
        <v>3686.1224882400002</v>
      </c>
      <c r="M419" s="154">
        <v>8629</v>
      </c>
      <c r="N419" s="41">
        <v>397</v>
      </c>
      <c r="O419" s="154">
        <v>9767</v>
      </c>
      <c r="P419" s="154">
        <v>370</v>
      </c>
      <c r="Q419" s="41">
        <v>3559</v>
      </c>
      <c r="R419" s="41">
        <v>2895</v>
      </c>
      <c r="S419" s="41">
        <v>10897</v>
      </c>
      <c r="T419" s="41">
        <v>8760</v>
      </c>
      <c r="U419" s="154">
        <v>69.187799999999996</v>
      </c>
      <c r="V419" s="41">
        <v>700</v>
      </c>
      <c r="W419" s="153">
        <v>9075</v>
      </c>
      <c r="X419" s="41">
        <v>3762</v>
      </c>
      <c r="Y419" s="41"/>
      <c r="Z419" s="153">
        <v>3530</v>
      </c>
      <c r="AA419" s="41"/>
      <c r="AB419" s="41">
        <v>358.18181818181813</v>
      </c>
      <c r="AC419" s="41"/>
      <c r="AD419" s="128">
        <v>4406</v>
      </c>
      <c r="AE419" s="154">
        <v>185</v>
      </c>
      <c r="AF419" s="41">
        <v>9311</v>
      </c>
      <c r="AG419" s="154">
        <v>3995.46</v>
      </c>
      <c r="AH419" s="154">
        <v>42</v>
      </c>
      <c r="AI419" s="154">
        <v>7500</v>
      </c>
      <c r="AJ419" s="100">
        <v>0.41499999999999998</v>
      </c>
      <c r="AK419" s="100">
        <v>0.92200000000000004</v>
      </c>
      <c r="AL419" s="100">
        <v>211.92331499272103</v>
      </c>
      <c r="AM419" s="100">
        <v>0.375</v>
      </c>
      <c r="AN419" s="100">
        <v>6.26</v>
      </c>
      <c r="AO419" s="100">
        <v>10.91</v>
      </c>
      <c r="AP419" s="100">
        <v>6.26</v>
      </c>
      <c r="AQ419" s="100">
        <v>45</v>
      </c>
      <c r="AR419" s="100">
        <v>10.61</v>
      </c>
      <c r="AS419" s="100">
        <v>1.28</v>
      </c>
      <c r="AT419" s="100">
        <v>0.02</v>
      </c>
      <c r="AU419" s="100">
        <v>4.9420000000000002</v>
      </c>
      <c r="AV419" s="100">
        <v>2.9169999999999998</v>
      </c>
      <c r="AW419" s="100">
        <v>13.419586000000001</v>
      </c>
      <c r="AX419" s="100">
        <v>0.36899999999999999</v>
      </c>
      <c r="AY419" s="100">
        <v>0.47099999999999997</v>
      </c>
    </row>
    <row r="420" spans="1:51" ht="13.5" customHeight="1" x14ac:dyDescent="0.2">
      <c r="A420" s="40">
        <v>45653</v>
      </c>
      <c r="B420" s="154">
        <f>7261-(C420+D420+E420+F420)</f>
        <v>5387</v>
      </c>
      <c r="C420" s="154">
        <v>1418</v>
      </c>
      <c r="D420" s="154">
        <v>125</v>
      </c>
      <c r="E420" s="154">
        <v>227</v>
      </c>
      <c r="F420" s="154">
        <v>104</v>
      </c>
      <c r="G420" s="154">
        <v>104</v>
      </c>
      <c r="H420" s="67">
        <v>8489.82</v>
      </c>
      <c r="I420" s="41">
        <v>737.82100000000003</v>
      </c>
      <c r="J420" s="41">
        <v>2458.8270000000002</v>
      </c>
      <c r="K420" s="41">
        <v>13106</v>
      </c>
      <c r="L420" s="41">
        <f>3388.1830918+305</f>
        <v>3693.1830918000001</v>
      </c>
      <c r="M420" s="154">
        <v>8985</v>
      </c>
      <c r="N420" s="41">
        <v>537</v>
      </c>
      <c r="O420" s="154">
        <v>9947</v>
      </c>
      <c r="P420" s="154">
        <v>349</v>
      </c>
      <c r="Q420" s="41">
        <v>3485</v>
      </c>
      <c r="R420" s="41">
        <v>2889</v>
      </c>
      <c r="S420" s="41">
        <v>10783</v>
      </c>
      <c r="T420" s="41">
        <v>8491</v>
      </c>
      <c r="U420" s="154">
        <v>75.477599999999995</v>
      </c>
      <c r="V420" s="41">
        <v>700</v>
      </c>
      <c r="W420" s="153">
        <v>9155</v>
      </c>
      <c r="X420" s="41">
        <v>4044</v>
      </c>
      <c r="Y420" s="41"/>
      <c r="Z420" s="153">
        <v>3532</v>
      </c>
      <c r="AA420" s="41"/>
      <c r="AB420" s="41">
        <f>216/0.55</f>
        <v>392.72727272727269</v>
      </c>
      <c r="AC420" s="41"/>
      <c r="AD420" s="128">
        <v>4405</v>
      </c>
      <c r="AE420" s="154">
        <f>195-AH420</f>
        <v>153</v>
      </c>
      <c r="AF420" s="41">
        <v>9330</v>
      </c>
      <c r="AG420" s="154">
        <v>3954.2999999999997</v>
      </c>
      <c r="AH420" s="154">
        <v>42</v>
      </c>
      <c r="AI420" s="154">
        <v>7466</v>
      </c>
      <c r="AJ420" s="100">
        <v>0.39100000000000001</v>
      </c>
      <c r="AK420" s="100">
        <v>0.93200000000000005</v>
      </c>
      <c r="AL420" s="100">
        <f>6200 *35.314666721/10^3</f>
        <v>218.95093367019999</v>
      </c>
      <c r="AM420" s="100">
        <v>0.439</v>
      </c>
      <c r="AN420" s="100">
        <v>6.26</v>
      </c>
      <c r="AO420" s="100">
        <v>8.7200000000000006</v>
      </c>
      <c r="AP420" s="100">
        <v>6.04</v>
      </c>
      <c r="AQ420" s="100">
        <v>44</v>
      </c>
      <c r="AR420" s="100">
        <v>9.94</v>
      </c>
      <c r="AS420" s="100">
        <v>1.28</v>
      </c>
      <c r="AT420" s="100">
        <v>0.02</v>
      </c>
      <c r="AU420" s="100">
        <v>4.9450000000000003</v>
      </c>
      <c r="AV420" s="100">
        <v>3.0979999999999999</v>
      </c>
      <c r="AW420" s="100">
        <f>35.3147*372/1000</f>
        <v>13.1370684</v>
      </c>
      <c r="AX420" s="100">
        <v>0.36699999999999999</v>
      </c>
      <c r="AY420" s="100">
        <v>0.47699999999999998</v>
      </c>
    </row>
    <row r="421" spans="1:51" ht="13.5" customHeight="1" x14ac:dyDescent="0.2">
      <c r="A421" s="40">
        <v>45654</v>
      </c>
      <c r="B421" s="154">
        <f>7527-(C421+D421+E421+F421)</f>
        <v>5653</v>
      </c>
      <c r="C421" s="154">
        <v>1418</v>
      </c>
      <c r="D421" s="154">
        <v>125</v>
      </c>
      <c r="E421" s="154">
        <v>227</v>
      </c>
      <c r="F421" s="154">
        <v>104</v>
      </c>
      <c r="G421" s="154">
        <v>104</v>
      </c>
      <c r="H421" s="67">
        <v>8410.6769999999997</v>
      </c>
      <c r="I421" s="41">
        <v>761.14300000000003</v>
      </c>
      <c r="J421" s="41">
        <v>2450.9110000000001</v>
      </c>
      <c r="K421" s="41">
        <v>13118</v>
      </c>
      <c r="L421" s="41">
        <f>3374.85605072+303</f>
        <v>3677.85605072</v>
      </c>
      <c r="M421" s="154">
        <v>8612</v>
      </c>
      <c r="N421" s="41">
        <v>462</v>
      </c>
      <c r="O421" s="154">
        <v>9373</v>
      </c>
      <c r="P421" s="154">
        <v>349</v>
      </c>
      <c r="Q421" s="41">
        <v>5156</v>
      </c>
      <c r="R421" s="41">
        <v>2853</v>
      </c>
      <c r="S421" s="41">
        <v>10825</v>
      </c>
      <c r="T421" s="41">
        <v>8402</v>
      </c>
      <c r="U421" s="154">
        <f>13*6.2898</f>
        <v>81.767399999999995</v>
      </c>
      <c r="V421" s="41">
        <v>700</v>
      </c>
      <c r="W421" s="153">
        <v>9078</v>
      </c>
      <c r="X421" s="41">
        <v>3918</v>
      </c>
      <c r="Y421" s="41"/>
      <c r="Z421" s="153">
        <v>3534</v>
      </c>
      <c r="AA421" s="41"/>
      <c r="AB421" s="41">
        <f>198/0.55</f>
        <v>359.99999999999994</v>
      </c>
      <c r="AC421" s="41"/>
      <c r="AD421" s="128">
        <v>4119</v>
      </c>
      <c r="AE421" s="154">
        <f>319-AH421</f>
        <v>296.5</v>
      </c>
      <c r="AF421" s="41">
        <v>9378</v>
      </c>
      <c r="AG421" s="154">
        <v>3954.2999999999997</v>
      </c>
      <c r="AH421" s="154">
        <f>0.75*30</f>
        <v>22.5</v>
      </c>
      <c r="AI421" s="154">
        <v>7659</v>
      </c>
      <c r="AJ421" s="100">
        <v>0.36499999999999999</v>
      </c>
      <c r="AK421" s="100">
        <v>0.86599999999999999</v>
      </c>
      <c r="AL421" s="100">
        <f>6235 *35.314666721/10^3</f>
        <v>220.186947005435</v>
      </c>
      <c r="AM421" s="100">
        <v>0.42099999999999999</v>
      </c>
      <c r="AN421" s="100">
        <v>6.26</v>
      </c>
      <c r="AO421" s="100">
        <v>8.7200000000000006</v>
      </c>
      <c r="AP421" s="100">
        <v>5.96</v>
      </c>
      <c r="AQ421" s="100">
        <v>44</v>
      </c>
      <c r="AR421" s="100">
        <v>10</v>
      </c>
      <c r="AS421" s="100">
        <v>1.28</v>
      </c>
      <c r="AT421" s="100">
        <v>0.02</v>
      </c>
      <c r="AU421" s="100">
        <v>4.9370000000000003</v>
      </c>
      <c r="AV421" s="100">
        <v>2.8490000000000002</v>
      </c>
      <c r="AW421" s="100">
        <f>35.3147*372/1000</f>
        <v>13.1370684</v>
      </c>
      <c r="AX421" s="100">
        <v>0.36099999999999999</v>
      </c>
      <c r="AY421" s="100">
        <v>0.48099999999999998</v>
      </c>
    </row>
    <row r="422" spans="1:51" ht="13.5" customHeight="1" x14ac:dyDescent="0.2">
      <c r="A422" s="40">
        <v>45655</v>
      </c>
      <c r="B422" s="154">
        <f>7473-(C422+D422+E422+F422)</f>
        <v>5599</v>
      </c>
      <c r="C422" s="154">
        <v>1418</v>
      </c>
      <c r="D422" s="154">
        <v>125</v>
      </c>
      <c r="E422" s="154">
        <v>227</v>
      </c>
      <c r="F422" s="154">
        <v>104</v>
      </c>
      <c r="G422" s="154">
        <v>104</v>
      </c>
      <c r="H422" s="67">
        <v>8377.5319999999992</v>
      </c>
      <c r="I422" s="41">
        <v>787.66300000000001</v>
      </c>
      <c r="J422" s="41">
        <v>2536.3040000000001</v>
      </c>
      <c r="K422" s="41">
        <v>13121</v>
      </c>
      <c r="L422" s="41">
        <f>3342.2551996+307</f>
        <v>3649.2551996000002</v>
      </c>
      <c r="M422" s="154">
        <v>8519</v>
      </c>
      <c r="N422" s="41">
        <v>391</v>
      </c>
      <c r="O422" s="154">
        <v>10366</v>
      </c>
      <c r="P422" s="154">
        <v>375</v>
      </c>
      <c r="Q422" s="41">
        <v>6859</v>
      </c>
      <c r="R422" s="41">
        <v>2937</v>
      </c>
      <c r="S422" s="41">
        <v>10833</v>
      </c>
      <c r="T422" s="41">
        <v>8525</v>
      </c>
      <c r="U422" s="154">
        <f>8*6.2898</f>
        <v>50.318399999999997</v>
      </c>
      <c r="V422" s="41">
        <v>700</v>
      </c>
      <c r="W422" s="153">
        <v>9083</v>
      </c>
      <c r="X422" s="41">
        <v>3847</v>
      </c>
      <c r="Y422" s="41"/>
      <c r="Z422" s="153">
        <v>3536</v>
      </c>
      <c r="AA422" s="41"/>
      <c r="AB422" s="41">
        <f>190/0.55</f>
        <v>345.45454545454544</v>
      </c>
      <c r="AC422" s="41"/>
      <c r="AD422" s="128">
        <v>3897</v>
      </c>
      <c r="AE422" s="154">
        <f>889-AH422</f>
        <v>850</v>
      </c>
      <c r="AF422" s="41">
        <v>7412</v>
      </c>
      <c r="AG422" s="154">
        <v>3954.2999999999997</v>
      </c>
      <c r="AH422" s="154">
        <f>0.75*52</f>
        <v>39</v>
      </c>
      <c r="AI422" s="154">
        <v>7659</v>
      </c>
      <c r="AJ422" s="100">
        <v>0.36799999999999999</v>
      </c>
      <c r="AK422" s="100">
        <v>0.88300000000000001</v>
      </c>
      <c r="AL422" s="100">
        <f>5439 *35.314666721/10^3</f>
        <v>192.07647229551901</v>
      </c>
      <c r="AM422" s="100">
        <v>0.379</v>
      </c>
      <c r="AN422" s="100">
        <v>6.26</v>
      </c>
      <c r="AO422" s="100">
        <v>8.7200000000000006</v>
      </c>
      <c r="AP422" s="100">
        <v>6.16</v>
      </c>
      <c r="AQ422" s="100">
        <v>24</v>
      </c>
      <c r="AR422" s="100">
        <v>10</v>
      </c>
      <c r="AS422" s="100">
        <v>1.28</v>
      </c>
      <c r="AT422" s="100">
        <v>0.02</v>
      </c>
      <c r="AU422" s="100">
        <v>3.891</v>
      </c>
      <c r="AV422" s="100">
        <v>2.4809999999999999</v>
      </c>
      <c r="AW422" s="100">
        <f>35.3147*372/1000</f>
        <v>13.1370684</v>
      </c>
      <c r="AX422" s="100">
        <v>0.21099999999999999</v>
      </c>
      <c r="AY422" s="100">
        <v>0.34699999999999998</v>
      </c>
    </row>
    <row r="423" spans="1:51" ht="13.5" customHeight="1" x14ac:dyDescent="0.2">
      <c r="A423" s="40">
        <v>45656</v>
      </c>
      <c r="B423" s="154">
        <f>7850-(C423+D423+E423+F423)</f>
        <v>5976</v>
      </c>
      <c r="C423" s="154">
        <v>1418</v>
      </c>
      <c r="D423" s="154">
        <v>125</v>
      </c>
      <c r="E423" s="154">
        <v>227</v>
      </c>
      <c r="F423" s="154">
        <v>104</v>
      </c>
      <c r="G423" s="154">
        <v>104</v>
      </c>
      <c r="H423" s="67">
        <v>8297.027</v>
      </c>
      <c r="I423" s="41">
        <v>807.70699999999999</v>
      </c>
      <c r="J423" s="41">
        <v>2526.3049999999998</v>
      </c>
      <c r="K423" s="41">
        <v>13101</v>
      </c>
      <c r="L423" s="41">
        <v>3634.5594532</v>
      </c>
      <c r="M423" s="154">
        <v>8629</v>
      </c>
      <c r="N423" s="41">
        <v>397</v>
      </c>
      <c r="O423" s="154">
        <v>9915</v>
      </c>
      <c r="P423" s="154">
        <v>394</v>
      </c>
      <c r="Q423" s="41">
        <v>7129</v>
      </c>
      <c r="R423" s="41">
        <v>2979</v>
      </c>
      <c r="S423" s="41">
        <v>10824</v>
      </c>
      <c r="T423" s="41">
        <v>8407</v>
      </c>
      <c r="U423" s="154">
        <f>13*6.2898</f>
        <v>81.767399999999995</v>
      </c>
      <c r="V423" s="41">
        <v>700</v>
      </c>
      <c r="W423" s="153">
        <v>9124</v>
      </c>
      <c r="X423" s="41">
        <v>3952</v>
      </c>
      <c r="Y423" s="41"/>
      <c r="Z423" s="153">
        <v>3301</v>
      </c>
      <c r="AA423" s="41"/>
      <c r="AB423" s="41">
        <f>195/0.55</f>
        <v>354.5454545454545</v>
      </c>
      <c r="AC423" s="41"/>
      <c r="AD423" s="128">
        <v>4156</v>
      </c>
      <c r="AE423" s="154">
        <f>370-AH423</f>
        <v>347.5</v>
      </c>
      <c r="AF423" s="41">
        <v>9240</v>
      </c>
      <c r="AG423" s="154">
        <v>3954.2999999999997</v>
      </c>
      <c r="AH423" s="154">
        <f>0.75*30</f>
        <v>22.5</v>
      </c>
      <c r="AI423" s="154">
        <v>7659</v>
      </c>
      <c r="AJ423" s="100">
        <v>0.40300000000000002</v>
      </c>
      <c r="AK423" s="100">
        <v>0.97599999999999998</v>
      </c>
      <c r="AL423" s="100">
        <f>5716 *35.314666721/10^3</f>
        <v>201.85863497723602</v>
      </c>
      <c r="AM423" s="100">
        <v>0.40100000000000002</v>
      </c>
      <c r="AN423" s="100">
        <v>6.26</v>
      </c>
      <c r="AO423" s="100">
        <v>8.7200000000000006</v>
      </c>
      <c r="AP423" s="100">
        <v>6.16</v>
      </c>
      <c r="AQ423" s="100">
        <v>10</v>
      </c>
      <c r="AR423" s="100">
        <v>10</v>
      </c>
      <c r="AS423" s="100">
        <v>1.28</v>
      </c>
      <c r="AT423" s="100">
        <v>0.02</v>
      </c>
      <c r="AU423" s="100">
        <v>4.9329999999999998</v>
      </c>
      <c r="AV423" s="100">
        <v>2.129</v>
      </c>
      <c r="AW423" s="100">
        <f>35.3147*351/1000</f>
        <v>12.395459700000002</v>
      </c>
      <c r="AX423" s="100">
        <v>0.16800000000000001</v>
      </c>
      <c r="AY423" s="100">
        <v>0.33</v>
      </c>
    </row>
    <row r="424" spans="1:51" ht="13.5" customHeight="1" x14ac:dyDescent="0.2">
      <c r="A424" s="40">
        <v>45657</v>
      </c>
      <c r="B424" s="154">
        <f>10154-(C424+D424+E424+F424)</f>
        <v>8280</v>
      </c>
      <c r="C424" s="154">
        <v>1418</v>
      </c>
      <c r="D424" s="154">
        <v>125</v>
      </c>
      <c r="E424" s="154">
        <v>227</v>
      </c>
      <c r="F424" s="154">
        <v>104</v>
      </c>
      <c r="G424" s="154">
        <v>104</v>
      </c>
      <c r="H424" s="159">
        <v>9471.7270000000008</v>
      </c>
      <c r="I424" s="139">
        <v>796.55600000000004</v>
      </c>
      <c r="J424" s="139">
        <v>2589.5279999999998</v>
      </c>
      <c r="K424" s="139">
        <v>13135</v>
      </c>
      <c r="L424" s="139">
        <f>3341.98277368+307</f>
        <v>3648.9827736799998</v>
      </c>
      <c r="M424" s="154">
        <v>8376.1744711538468</v>
      </c>
      <c r="N424" s="41">
        <v>381.39937500000002</v>
      </c>
      <c r="O424" s="154">
        <v>9917.788461538461</v>
      </c>
      <c r="P424" s="154">
        <v>366.03846153846155</v>
      </c>
      <c r="Q424" s="41">
        <v>7295</v>
      </c>
      <c r="R424" s="41">
        <v>3880</v>
      </c>
      <c r="S424" s="41">
        <v>10767</v>
      </c>
      <c r="T424" s="41">
        <v>8594.7366535661859</v>
      </c>
      <c r="U424" s="154">
        <f>4*6.2898</f>
        <v>25.159199999999998</v>
      </c>
      <c r="V424" s="41">
        <v>700</v>
      </c>
      <c r="W424" s="153">
        <v>9140</v>
      </c>
      <c r="X424" s="41">
        <v>3860</v>
      </c>
      <c r="Y424" s="41">
        <v>0</v>
      </c>
      <c r="Z424" s="153">
        <v>3471.3846153846152</v>
      </c>
      <c r="AA424" s="41">
        <v>0</v>
      </c>
      <c r="AB424" s="41">
        <f>247/0.55</f>
        <v>449.09090909090907</v>
      </c>
      <c r="AC424" s="41">
        <v>0</v>
      </c>
      <c r="AD424" s="128">
        <v>3851</v>
      </c>
      <c r="AE424" s="154">
        <f>259-AH424</f>
        <v>229.75</v>
      </c>
      <c r="AF424" s="41">
        <v>9584</v>
      </c>
      <c r="AG424" s="154">
        <v>3973.1650000000004</v>
      </c>
      <c r="AH424" s="154">
        <f>0.75*39</f>
        <v>29.25</v>
      </c>
      <c r="AI424" s="154">
        <v>7659</v>
      </c>
      <c r="AJ424" s="100">
        <v>0.42499999999999999</v>
      </c>
      <c r="AK424" s="100">
        <v>1.05</v>
      </c>
      <c r="AL424" s="100">
        <f>5992 *35.314666721/10^3</f>
        <v>211.60548299223203</v>
      </c>
      <c r="AM424" s="100">
        <v>0.57999999999999996</v>
      </c>
      <c r="AN424" s="100">
        <v>9.630307692307694</v>
      </c>
      <c r="AO424" s="100">
        <v>14</v>
      </c>
      <c r="AP424" s="100">
        <v>5.8884615384615371</v>
      </c>
      <c r="AQ424" s="100">
        <v>29.201153846153847</v>
      </c>
      <c r="AR424" s="100">
        <v>10.847692307692306</v>
      </c>
      <c r="AS424" s="100">
        <v>2.1773076923076924</v>
      </c>
      <c r="AT424" s="100">
        <v>2.0000000000000004E-2</v>
      </c>
      <c r="AU424" s="100">
        <v>4.9409999999999998</v>
      </c>
      <c r="AV424" s="100">
        <v>3.5369999999999999</v>
      </c>
      <c r="AW424" s="100">
        <f>35.3147*293/1000</f>
        <v>10.347207100000002</v>
      </c>
      <c r="AX424" s="100">
        <v>0.35499999999999998</v>
      </c>
      <c r="AY424" s="100">
        <v>0.46700000000000003</v>
      </c>
    </row>
    <row r="425" spans="1:51" x14ac:dyDescent="0.2">
      <c r="A425" s="160" t="s">
        <v>52</v>
      </c>
      <c r="B425" s="120">
        <f t="shared" ref="B425:G425" si="124">SUM(B394:B424)*B$2</f>
        <v>1317764.68</v>
      </c>
      <c r="C425" s="120">
        <f t="shared" si="124"/>
        <v>318019.52</v>
      </c>
      <c r="D425" s="120">
        <f t="shared" si="124"/>
        <v>28537.600000000002</v>
      </c>
      <c r="E425" s="118">
        <f t="shared" si="124"/>
        <v>54274.77</v>
      </c>
      <c r="F425" s="120">
        <f t="shared" si="124"/>
        <v>23717.288</v>
      </c>
      <c r="G425" s="120">
        <f t="shared" si="124"/>
        <v>23717.288</v>
      </c>
      <c r="H425" s="123">
        <f t="shared" ref="H425:W425" si="125">SUM(H394:H424)</f>
        <v>258715.35699999999</v>
      </c>
      <c r="I425" s="120">
        <f>SUM(I394:I424)</f>
        <v>25212.951999999997</v>
      </c>
      <c r="J425" s="120">
        <f t="shared" si="125"/>
        <v>75263.509999999995</v>
      </c>
      <c r="K425" s="120">
        <f t="shared" si="125"/>
        <v>407775</v>
      </c>
      <c r="L425" s="120">
        <f>SUM(L394:L424)</f>
        <v>115186.65532008</v>
      </c>
      <c r="M425" s="120">
        <f t="shared" si="125"/>
        <v>260901.71072115385</v>
      </c>
      <c r="N425" s="120">
        <f t="shared" si="125"/>
        <v>12084.783125000002</v>
      </c>
      <c r="O425" s="120">
        <f t="shared" si="125"/>
        <v>307381.28846153844</v>
      </c>
      <c r="P425" s="120">
        <f t="shared" si="125"/>
        <v>11350.038461538461</v>
      </c>
      <c r="Q425" s="120">
        <f t="shared" si="125"/>
        <v>179947</v>
      </c>
      <c r="R425" s="120">
        <f t="shared" si="125"/>
        <v>93471</v>
      </c>
      <c r="S425" s="120">
        <f t="shared" si="125"/>
        <v>339102</v>
      </c>
      <c r="T425" s="120">
        <f t="shared" si="125"/>
        <v>265882.88964628702</v>
      </c>
      <c r="U425" s="120">
        <f t="shared" si="125"/>
        <v>1930.3396199999995</v>
      </c>
      <c r="V425" s="120">
        <f t="shared" si="125"/>
        <v>21700</v>
      </c>
      <c r="W425" s="120">
        <f t="shared" si="125"/>
        <v>285161</v>
      </c>
      <c r="X425" s="120">
        <f>SUM(X394:X424)</f>
        <v>127472</v>
      </c>
      <c r="Y425" s="120"/>
      <c r="Z425" s="120">
        <f>SUM(Z394:Z424)</f>
        <v>107630.38461538461</v>
      </c>
      <c r="AA425" s="120"/>
      <c r="AB425" s="120">
        <f>SUM(AB394:AB424)*AB$2</f>
        <v>86962.909090909088</v>
      </c>
      <c r="AC425" s="120"/>
      <c r="AD425" s="120">
        <f>SUM(AD394:AD424)</f>
        <v>131251</v>
      </c>
      <c r="AE425" s="120">
        <f>SUM(AE394:AE424)*AE$2</f>
        <v>51572.6325</v>
      </c>
      <c r="AF425" s="161">
        <f>SUM(AF394:AF424)</f>
        <v>288318</v>
      </c>
      <c r="AG425" s="120">
        <f>SUM(AG394:AG424)*AG$2</f>
        <v>888728.9691000001</v>
      </c>
      <c r="AH425" s="120">
        <f>SUM(AH394:AH424)*AH$2</f>
        <v>10459.95569341575</v>
      </c>
      <c r="AI425" s="120">
        <f>SUM(AI394:AI424)</f>
        <v>219939.07279999999</v>
      </c>
      <c r="AJ425" s="57">
        <f>SUM(AJ394:AJ424)*AJ$2</f>
        <v>441.32739001233699</v>
      </c>
      <c r="AK425" s="122">
        <f>SUM(AK394:AK424)*AK$2</f>
        <v>1036.5560975947922</v>
      </c>
      <c r="AL425" s="122">
        <f>SUM(AL394:AL424)</f>
        <v>6573.1895461131744</v>
      </c>
      <c r="AM425" s="122">
        <f>SUM(AM394:AM424)*AM$2</f>
        <v>391.18056326851695</v>
      </c>
      <c r="AN425" s="122">
        <f t="shared" ref="AN425:AR425" si="126">SUM(AN394:AN424)</f>
        <v>285.05830769230772</v>
      </c>
      <c r="AO425" s="122">
        <f t="shared" si="126"/>
        <v>352.39000000000016</v>
      </c>
      <c r="AP425" s="122">
        <f t="shared" si="126"/>
        <v>183.3084615384615</v>
      </c>
      <c r="AQ425" s="122">
        <f t="shared" si="126"/>
        <v>910.43115384615385</v>
      </c>
      <c r="AR425" s="122">
        <f t="shared" si="126"/>
        <v>332.20769230769224</v>
      </c>
      <c r="AS425" s="122">
        <f>SUM(AS394:AS424)</f>
        <v>63.907307692307697</v>
      </c>
      <c r="AT425" s="122">
        <f>SUM(AT394:AT424)*AT$2</f>
        <v>21.89511400000001</v>
      </c>
      <c r="AU425" s="122">
        <f>SUM(AU394:AU424)*AU$2</f>
        <v>5278.417579599999</v>
      </c>
      <c r="AV425" s="122">
        <f>SUM(AV394:AV424)*AV$2</f>
        <v>3026.6110488000004</v>
      </c>
      <c r="AW425" s="122">
        <f>SUM(AW394:AW424)</f>
        <v>411.98129019999982</v>
      </c>
      <c r="AX425" s="122">
        <f>SUM(AX394:AX424)*AX$2</f>
        <v>396.61939570000004</v>
      </c>
      <c r="AY425" s="57">
        <f>SUM(AY394:AY424)*AY$2</f>
        <v>508.06199449000007</v>
      </c>
    </row>
    <row r="426" spans="1:51" x14ac:dyDescent="0.2">
      <c r="A426" s="160" t="s">
        <v>53</v>
      </c>
      <c r="B426" s="120">
        <f t="shared" ref="B426:AG426" si="127">B425/B$2</f>
        <v>175468</v>
      </c>
      <c r="C426" s="120">
        <f t="shared" si="127"/>
        <v>43684</v>
      </c>
      <c r="D426" s="120">
        <f t="shared" si="127"/>
        <v>3920</v>
      </c>
      <c r="E426" s="120">
        <f t="shared" si="127"/>
        <v>7227</v>
      </c>
      <c r="F426" s="120">
        <f t="shared" si="127"/>
        <v>3233</v>
      </c>
      <c r="G426" s="120">
        <f t="shared" si="127"/>
        <v>3233</v>
      </c>
      <c r="H426" s="123">
        <f t="shared" si="127"/>
        <v>34997.912267766107</v>
      </c>
      <c r="I426" s="120">
        <f>I425/I$2</f>
        <v>3376.239723478991</v>
      </c>
      <c r="J426" s="120">
        <f t="shared" si="127"/>
        <v>10119.404359247475</v>
      </c>
      <c r="K426" s="120">
        <f t="shared" si="127"/>
        <v>51110.450348189443</v>
      </c>
      <c r="L426" s="120">
        <f>L425/L$2</f>
        <v>15128.587067827319</v>
      </c>
      <c r="M426" s="120">
        <f t="shared" si="127"/>
        <v>34419.750754769637</v>
      </c>
      <c r="N426" s="120">
        <f t="shared" si="127"/>
        <v>1545.3686860613811</v>
      </c>
      <c r="O426" s="120">
        <f t="shared" si="127"/>
        <v>40984.171794871792</v>
      </c>
      <c r="P426" s="120">
        <f t="shared" si="127"/>
        <v>1513.3384615384614</v>
      </c>
      <c r="Q426" s="120">
        <f t="shared" si="127"/>
        <v>24186.424731182793</v>
      </c>
      <c r="R426" s="120">
        <f t="shared" si="127"/>
        <v>11983.461538461539</v>
      </c>
      <c r="S426" s="120">
        <f t="shared" si="127"/>
        <v>45608.876933423002</v>
      </c>
      <c r="T426" s="120">
        <f t="shared" si="127"/>
        <v>35760.980450072231</v>
      </c>
      <c r="U426" s="120">
        <f t="shared" si="127"/>
        <v>224.21308356655277</v>
      </c>
      <c r="V426" s="120">
        <f t="shared" si="127"/>
        <v>2753.8071065989848</v>
      </c>
      <c r="W426" s="120">
        <f t="shared" si="127"/>
        <v>37275.947712418296</v>
      </c>
      <c r="X426" s="120">
        <f>X425/X$2</f>
        <v>16816.88654353562</v>
      </c>
      <c r="Y426" s="120"/>
      <c r="Z426" s="120">
        <f>Z425/Z$2</f>
        <v>14766.361491994612</v>
      </c>
      <c r="AA426" s="120"/>
      <c r="AB426" s="120">
        <f>AB425/AB$2</f>
        <v>11945.454545454544</v>
      </c>
      <c r="AC426" s="120"/>
      <c r="AD426" s="120">
        <f>AD425/AD$2</f>
        <v>17342.8911205074</v>
      </c>
      <c r="AE426" s="120">
        <f t="shared" si="127"/>
        <v>6117.75</v>
      </c>
      <c r="AF426" s="161">
        <f>AF425/AF$2</f>
        <v>35568.467801628423</v>
      </c>
      <c r="AG426" s="120">
        <f t="shared" si="127"/>
        <v>123092.65500000001</v>
      </c>
      <c r="AH426" s="120">
        <f>AH425/AH$2</f>
        <v>1247.25</v>
      </c>
      <c r="AI426" s="120">
        <f>AI425/$AI$2</f>
        <v>28197.317025641027</v>
      </c>
      <c r="AJ426" s="57">
        <f>AJ425/$AJ$2</f>
        <v>12.497</v>
      </c>
      <c r="AK426" s="57">
        <f>AK425/$AJ$2</f>
        <v>29.352000000000004</v>
      </c>
      <c r="AL426" s="57">
        <f>AL425/$AJ$2</f>
        <v>186.13200000000006</v>
      </c>
      <c r="AM426" s="57">
        <f>AM425/$AJ$2</f>
        <v>11.076999999999998</v>
      </c>
      <c r="AN426" s="57">
        <f>AN425/$AJ$2</f>
        <v>8.0719523688098889</v>
      </c>
      <c r="AO426" s="57">
        <f>AO425/$AJ$2</f>
        <v>9.9785735706929408</v>
      </c>
      <c r="AP426" s="57">
        <f>AP425/$AJ$2</f>
        <v>5.1907175844719617</v>
      </c>
      <c r="AQ426" s="57">
        <f>AQ425/$AJ$2</f>
        <v>25.780539316395771</v>
      </c>
      <c r="AR426" s="57">
        <f>AR425/$AJ$2</f>
        <v>9.4070742598894093</v>
      </c>
      <c r="AS426" s="57">
        <f>AS425/$AJ$2</f>
        <v>1.8096534280558556</v>
      </c>
      <c r="AT426" s="57">
        <f>AT425/$AJ$2</f>
        <v>0.62000058426092963</v>
      </c>
      <c r="AU426" s="57">
        <f>AU425/$AJ$2</f>
        <v>149.46814085211705</v>
      </c>
      <c r="AV426" s="57">
        <f>AV425/$AJ$2</f>
        <v>85.70408076370758</v>
      </c>
      <c r="AW426" s="57">
        <f>AW425/$AJ$2</f>
        <v>11.66601099352903</v>
      </c>
      <c r="AX426" s="57">
        <f>AX425/$AJ$2</f>
        <v>11.23101058360403</v>
      </c>
      <c r="AY426" s="57">
        <f>AY425/$AJ$2</f>
        <v>14.386713557397925</v>
      </c>
    </row>
    <row r="427" spans="1:51" x14ac:dyDescent="0.2">
      <c r="A427" s="160" t="s">
        <v>54</v>
      </c>
      <c r="B427" s="59">
        <f t="shared" ref="B427:W428" si="128">B425</f>
        <v>1317764.68</v>
      </c>
      <c r="C427" s="59">
        <f t="shared" si="128"/>
        <v>318019.52</v>
      </c>
      <c r="D427" s="59">
        <f t="shared" si="128"/>
        <v>28537.600000000002</v>
      </c>
      <c r="E427" s="59">
        <f t="shared" si="128"/>
        <v>54274.77</v>
      </c>
      <c r="F427" s="59">
        <f t="shared" si="128"/>
        <v>23717.288</v>
      </c>
      <c r="G427" s="59">
        <f t="shared" si="128"/>
        <v>23717.288</v>
      </c>
      <c r="H427" s="60">
        <f t="shared" si="128"/>
        <v>258715.35699999999</v>
      </c>
      <c r="I427" s="59">
        <f t="shared" si="128"/>
        <v>25212.951999999997</v>
      </c>
      <c r="J427" s="59">
        <f t="shared" si="128"/>
        <v>75263.509999999995</v>
      </c>
      <c r="K427" s="59">
        <f t="shared" si="128"/>
        <v>407775</v>
      </c>
      <c r="L427" s="59">
        <f t="shared" si="128"/>
        <v>115186.65532008</v>
      </c>
      <c r="M427" s="59">
        <f t="shared" si="128"/>
        <v>260901.71072115385</v>
      </c>
      <c r="N427" s="59">
        <f t="shared" si="128"/>
        <v>12084.783125000002</v>
      </c>
      <c r="O427" s="59">
        <f t="shared" si="128"/>
        <v>307381.28846153844</v>
      </c>
      <c r="P427" s="59">
        <f t="shared" si="128"/>
        <v>11350.038461538461</v>
      </c>
      <c r="Q427" s="59">
        <f t="shared" si="128"/>
        <v>179947</v>
      </c>
      <c r="R427" s="59">
        <f t="shared" si="128"/>
        <v>93471</v>
      </c>
      <c r="S427" s="59">
        <f t="shared" si="128"/>
        <v>339102</v>
      </c>
      <c r="T427" s="59">
        <f t="shared" si="128"/>
        <v>265882.88964628702</v>
      </c>
      <c r="U427" s="59">
        <f t="shared" si="128"/>
        <v>1930.3396199999995</v>
      </c>
      <c r="V427" s="59">
        <f t="shared" si="128"/>
        <v>21700</v>
      </c>
      <c r="W427" s="59">
        <f t="shared" si="128"/>
        <v>285161</v>
      </c>
      <c r="X427" s="59">
        <f>X425</f>
        <v>127472</v>
      </c>
      <c r="Y427" s="59">
        <f>Y425</f>
        <v>0</v>
      </c>
      <c r="Z427" s="59">
        <f>Z425</f>
        <v>107630.38461538461</v>
      </c>
      <c r="AA427" s="59"/>
      <c r="AB427" s="59">
        <f>AB425</f>
        <v>86962.909090909088</v>
      </c>
      <c r="AC427" s="59"/>
      <c r="AD427" s="59">
        <f>AD425</f>
        <v>131251</v>
      </c>
      <c r="AE427" s="59">
        <f t="shared" ref="AE427:AG427" si="129">AE425</f>
        <v>51572.6325</v>
      </c>
      <c r="AF427" s="149">
        <f>AF425</f>
        <v>288318</v>
      </c>
      <c r="AG427" s="59">
        <f t="shared" si="129"/>
        <v>888728.9691000001</v>
      </c>
      <c r="AH427" s="59">
        <f>AH425</f>
        <v>10459.95569341575</v>
      </c>
      <c r="AI427" s="59">
        <f>AI425</f>
        <v>219939.07279999999</v>
      </c>
      <c r="AJ427" s="62">
        <f>AJ425</f>
        <v>441.32739001233699</v>
      </c>
      <c r="AK427" s="62">
        <f t="shared" ref="AK427:AY428" si="130">AK425</f>
        <v>1036.5560975947922</v>
      </c>
      <c r="AL427" s="62">
        <f t="shared" si="130"/>
        <v>6573.1895461131744</v>
      </c>
      <c r="AM427" s="62">
        <f t="shared" si="130"/>
        <v>391.18056326851695</v>
      </c>
      <c r="AN427" s="62">
        <f t="shared" si="130"/>
        <v>285.05830769230772</v>
      </c>
      <c r="AO427" s="62">
        <f t="shared" si="130"/>
        <v>352.39000000000016</v>
      </c>
      <c r="AP427" s="62">
        <f t="shared" si="130"/>
        <v>183.3084615384615</v>
      </c>
      <c r="AQ427" s="62">
        <f t="shared" si="130"/>
        <v>910.43115384615385</v>
      </c>
      <c r="AR427" s="62">
        <f t="shared" si="130"/>
        <v>332.20769230769224</v>
      </c>
      <c r="AS427" s="62">
        <f t="shared" si="130"/>
        <v>63.907307692307697</v>
      </c>
      <c r="AT427" s="62">
        <f t="shared" si="130"/>
        <v>21.89511400000001</v>
      </c>
      <c r="AU427" s="62">
        <f t="shared" si="130"/>
        <v>5278.417579599999</v>
      </c>
      <c r="AV427" s="62">
        <f t="shared" si="130"/>
        <v>3026.6110488000004</v>
      </c>
      <c r="AW427" s="62">
        <f t="shared" si="130"/>
        <v>411.98129019999982</v>
      </c>
      <c r="AX427" s="62">
        <f t="shared" si="130"/>
        <v>396.61939570000004</v>
      </c>
      <c r="AY427" s="62">
        <f t="shared" si="130"/>
        <v>508.06199449000007</v>
      </c>
    </row>
    <row r="428" spans="1:51" x14ac:dyDescent="0.2">
      <c r="A428" s="160" t="s">
        <v>55</v>
      </c>
      <c r="B428" s="59">
        <f t="shared" si="128"/>
        <v>175468</v>
      </c>
      <c r="C428" s="59">
        <f t="shared" si="128"/>
        <v>43684</v>
      </c>
      <c r="D428" s="59">
        <f t="shared" si="128"/>
        <v>3920</v>
      </c>
      <c r="E428" s="59">
        <f t="shared" si="128"/>
        <v>7227</v>
      </c>
      <c r="F428" s="59">
        <f t="shared" si="128"/>
        <v>3233</v>
      </c>
      <c r="G428" s="59">
        <f t="shared" si="128"/>
        <v>3233</v>
      </c>
      <c r="H428" s="60">
        <f t="shared" si="128"/>
        <v>34997.912267766107</v>
      </c>
      <c r="I428" s="59">
        <f t="shared" si="128"/>
        <v>3376.239723478991</v>
      </c>
      <c r="J428" s="59">
        <f t="shared" si="128"/>
        <v>10119.404359247475</v>
      </c>
      <c r="K428" s="59">
        <f t="shared" si="128"/>
        <v>51110.450348189443</v>
      </c>
      <c r="L428" s="59">
        <f t="shared" si="128"/>
        <v>15128.587067827319</v>
      </c>
      <c r="M428" s="59">
        <f t="shared" si="128"/>
        <v>34419.750754769637</v>
      </c>
      <c r="N428" s="59">
        <f t="shared" si="128"/>
        <v>1545.3686860613811</v>
      </c>
      <c r="O428" s="59">
        <f t="shared" si="128"/>
        <v>40984.171794871792</v>
      </c>
      <c r="P428" s="59">
        <f t="shared" si="128"/>
        <v>1513.3384615384614</v>
      </c>
      <c r="Q428" s="59">
        <f t="shared" si="128"/>
        <v>24186.424731182793</v>
      </c>
      <c r="R428" s="59">
        <f t="shared" si="128"/>
        <v>11983.461538461539</v>
      </c>
      <c r="S428" s="59">
        <f t="shared" si="128"/>
        <v>45608.876933423002</v>
      </c>
      <c r="T428" s="59">
        <f t="shared" si="128"/>
        <v>35760.980450072231</v>
      </c>
      <c r="U428" s="59">
        <f t="shared" si="128"/>
        <v>224.21308356655277</v>
      </c>
      <c r="V428" s="59">
        <f t="shared" si="128"/>
        <v>2753.8071065989848</v>
      </c>
      <c r="W428" s="59">
        <f t="shared" si="128"/>
        <v>37275.947712418296</v>
      </c>
      <c r="X428" s="59">
        <f>X426</f>
        <v>16816.88654353562</v>
      </c>
      <c r="Y428" s="59">
        <f>Y426</f>
        <v>0</v>
      </c>
      <c r="Z428" s="59">
        <f>Z427/Z2</f>
        <v>14766.361491994612</v>
      </c>
      <c r="AA428" s="59"/>
      <c r="AB428" s="59">
        <f>AB427/AB2</f>
        <v>11945.454545454544</v>
      </c>
      <c r="AC428" s="59"/>
      <c r="AD428" s="59">
        <f t="shared" ref="AD428:AG428" si="131">AD427/AD2</f>
        <v>17342.8911205074</v>
      </c>
      <c r="AE428" s="59">
        <f t="shared" si="131"/>
        <v>6117.75</v>
      </c>
      <c r="AF428" s="149">
        <f>AF427/AF2</f>
        <v>35568.467801628423</v>
      </c>
      <c r="AG428" s="59">
        <f t="shared" si="131"/>
        <v>123092.65500000001</v>
      </c>
      <c r="AH428" s="59">
        <f>AH427/AH2</f>
        <v>1247.25</v>
      </c>
      <c r="AI428" s="59">
        <f>AI426</f>
        <v>28197.317025641027</v>
      </c>
      <c r="AJ428" s="62">
        <f>AJ426</f>
        <v>12.497</v>
      </c>
      <c r="AK428" s="162">
        <f t="shared" si="130"/>
        <v>29.352000000000004</v>
      </c>
      <c r="AL428" s="162">
        <f t="shared" si="130"/>
        <v>186.13200000000006</v>
      </c>
      <c r="AM428" s="162">
        <f t="shared" si="130"/>
        <v>11.076999999999998</v>
      </c>
      <c r="AN428" s="162">
        <f t="shared" si="130"/>
        <v>8.0719523688098889</v>
      </c>
      <c r="AO428" s="162">
        <f t="shared" si="130"/>
        <v>9.9785735706929408</v>
      </c>
      <c r="AP428" s="162">
        <f t="shared" si="130"/>
        <v>5.1907175844719617</v>
      </c>
      <c r="AQ428" s="162">
        <f t="shared" si="130"/>
        <v>25.780539316395771</v>
      </c>
      <c r="AR428" s="162">
        <f t="shared" si="130"/>
        <v>9.4070742598894093</v>
      </c>
      <c r="AS428" s="162">
        <f t="shared" si="130"/>
        <v>1.8096534280558556</v>
      </c>
      <c r="AT428" s="162">
        <f t="shared" si="130"/>
        <v>0.62000058426092963</v>
      </c>
      <c r="AU428" s="162">
        <f t="shared" si="130"/>
        <v>149.46814085211705</v>
      </c>
      <c r="AV428" s="162">
        <f t="shared" si="130"/>
        <v>85.70408076370758</v>
      </c>
      <c r="AW428" s="162">
        <f t="shared" si="130"/>
        <v>11.66601099352903</v>
      </c>
      <c r="AX428" s="162">
        <f t="shared" si="130"/>
        <v>11.23101058360403</v>
      </c>
      <c r="AY428" s="162">
        <f t="shared" si="130"/>
        <v>14.386713557397925</v>
      </c>
    </row>
    <row r="429" spans="1:51" s="66" customFormat="1" x14ac:dyDescent="0.2">
      <c r="A429" s="160" t="s">
        <v>56</v>
      </c>
      <c r="B429" s="55">
        <f t="shared" ref="B429:Q429" si="132">B428+B393</f>
        <v>1594666</v>
      </c>
      <c r="C429" s="55">
        <f t="shared" si="132"/>
        <v>417033</v>
      </c>
      <c r="D429" s="55">
        <f t="shared" si="132"/>
        <v>35955</v>
      </c>
      <c r="E429" s="55">
        <f t="shared" si="132"/>
        <v>62140</v>
      </c>
      <c r="F429" s="55">
        <f t="shared" si="132"/>
        <v>30251</v>
      </c>
      <c r="G429" s="55">
        <f t="shared" si="132"/>
        <v>32258</v>
      </c>
      <c r="H429" s="163">
        <f t="shared" si="132"/>
        <v>321850.80621215259</v>
      </c>
      <c r="I429" s="55">
        <f t="shared" si="132"/>
        <v>33147.165590582961</v>
      </c>
      <c r="J429" s="55">
        <f t="shared" si="132"/>
        <v>79656.900684084714</v>
      </c>
      <c r="K429" s="55">
        <f t="shared" si="132"/>
        <v>421253.0148718665</v>
      </c>
      <c r="L429" s="55">
        <f t="shared" si="132"/>
        <v>134190.62889858533</v>
      </c>
      <c r="M429" s="55">
        <f t="shared" si="132"/>
        <v>311987.0671136087</v>
      </c>
      <c r="N429" s="55">
        <f t="shared" si="132"/>
        <v>13338.432304987211</v>
      </c>
      <c r="O429" s="55">
        <f t="shared" si="132"/>
        <v>330456.70512820513</v>
      </c>
      <c r="P429" s="55">
        <f t="shared" si="132"/>
        <v>13293.33846153846</v>
      </c>
      <c r="Q429" s="55">
        <f t="shared" si="132"/>
        <v>264085.48387096776</v>
      </c>
      <c r="R429" s="55">
        <f>R428+R393</f>
        <v>100648.97435897437</v>
      </c>
      <c r="S429" s="55">
        <f t="shared" ref="S429:W429" si="133">S428+S393</f>
        <v>385295.76328177541</v>
      </c>
      <c r="T429" s="55">
        <f t="shared" si="133"/>
        <v>306438.45186903659</v>
      </c>
      <c r="U429" s="55">
        <f t="shared" si="133"/>
        <v>3602.7513857937383</v>
      </c>
      <c r="V429" s="57">
        <f t="shared" si="133"/>
        <v>27390.98984771574</v>
      </c>
      <c r="W429" s="55">
        <f t="shared" si="133"/>
        <v>283904.70588235289</v>
      </c>
      <c r="X429" s="55">
        <f>X428+X393</f>
        <v>133541.56992084431</v>
      </c>
      <c r="Y429" s="55">
        <f>Y428+Y393</f>
        <v>0</v>
      </c>
      <c r="Z429" s="55">
        <f>Z428+Z393</f>
        <v>121044.683705665</v>
      </c>
      <c r="AA429" s="55"/>
      <c r="AB429" s="55">
        <f>AB428+AB393</f>
        <v>121714.12727272724</v>
      </c>
      <c r="AC429" s="55"/>
      <c r="AD429" s="55">
        <f>AD428+AD393</f>
        <v>138704.14904862581</v>
      </c>
      <c r="AE429" s="55">
        <f t="shared" ref="AE429:AG429" si="134">AE428+AE393</f>
        <v>44087.66</v>
      </c>
      <c r="AF429" s="164">
        <f>AF428+AF393</f>
        <v>265632.61781396496</v>
      </c>
      <c r="AG429" s="55">
        <f t="shared" si="134"/>
        <v>1107699.2250000001</v>
      </c>
      <c r="AH429" s="55">
        <f>AH428+AH393</f>
        <v>9803.6375000000007</v>
      </c>
      <c r="AI429" s="55">
        <f>AI428+AI393</f>
        <v>239849.33800000002</v>
      </c>
      <c r="AJ429" s="57">
        <f>AJ428+AJ393</f>
        <v>119.63938200000001</v>
      </c>
      <c r="AK429" s="57">
        <f t="shared" ref="AK429:AY429" si="135">AK428+AK393</f>
        <v>280.26726000000002</v>
      </c>
      <c r="AL429" s="57">
        <f t="shared" si="135"/>
        <v>1582.8168773577611</v>
      </c>
      <c r="AM429" s="57">
        <f t="shared" si="135"/>
        <v>99.621200000000002</v>
      </c>
      <c r="AN429" s="57">
        <f t="shared" si="135"/>
        <v>61.30195209813396</v>
      </c>
      <c r="AO429" s="57">
        <f t="shared" si="135"/>
        <v>56.713546692174091</v>
      </c>
      <c r="AP429" s="57">
        <f t="shared" si="135"/>
        <v>51.164817038015549</v>
      </c>
      <c r="AQ429" s="57">
        <f t="shared" si="135"/>
        <v>244.32778091928785</v>
      </c>
      <c r="AR429" s="57">
        <f t="shared" si="135"/>
        <v>80.234647650785604</v>
      </c>
      <c r="AS429" s="57">
        <f t="shared" si="135"/>
        <v>21.040275236420733</v>
      </c>
      <c r="AT429" s="57">
        <f t="shared" si="135"/>
        <v>5.3731044979610365</v>
      </c>
      <c r="AU429" s="57">
        <f t="shared" si="135"/>
        <v>1288.2905079848049</v>
      </c>
      <c r="AV429" s="57">
        <f t="shared" si="135"/>
        <v>753.95769781282161</v>
      </c>
      <c r="AW429" s="57">
        <f t="shared" si="135"/>
        <v>108.58935728818935</v>
      </c>
      <c r="AX429" s="57">
        <f t="shared" si="135"/>
        <v>80.044496430367445</v>
      </c>
      <c r="AY429" s="57">
        <f t="shared" si="135"/>
        <v>115.68134111294225</v>
      </c>
    </row>
    <row r="430" spans="1:51" x14ac:dyDescent="0.2">
      <c r="H430" s="167"/>
      <c r="I430" s="168"/>
      <c r="J430" s="168"/>
      <c r="K430" s="168"/>
      <c r="L430" s="168"/>
      <c r="O430" s="170"/>
      <c r="P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K430" s="175"/>
      <c r="AL430" s="175"/>
    </row>
    <row r="431" spans="1:51" x14ac:dyDescent="0.2">
      <c r="H431" s="167"/>
      <c r="I431" s="168"/>
      <c r="J431" s="168"/>
      <c r="K431" s="168"/>
      <c r="L431" s="168"/>
      <c r="N431" s="169"/>
      <c r="P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H431" s="180"/>
      <c r="AI431" s="180"/>
      <c r="AK431" s="175"/>
      <c r="AL431" s="175"/>
    </row>
    <row r="432" spans="1:51" x14ac:dyDescent="0.2">
      <c r="C432" s="181"/>
      <c r="D432" s="181"/>
      <c r="E432" s="181"/>
      <c r="F432" s="182"/>
      <c r="G432" s="182"/>
      <c r="H432" s="167"/>
      <c r="I432" s="168"/>
      <c r="J432" s="168"/>
      <c r="K432" s="168"/>
      <c r="L432" s="168"/>
      <c r="N432" s="169"/>
      <c r="P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K432" s="175"/>
      <c r="AL432" s="175"/>
    </row>
    <row r="433" spans="3:38" x14ac:dyDescent="0.2">
      <c r="C433" s="181"/>
      <c r="D433" s="181"/>
      <c r="E433" s="181"/>
      <c r="F433" s="182"/>
      <c r="G433" s="182"/>
      <c r="H433" s="167"/>
      <c r="I433" s="168"/>
      <c r="J433" s="168"/>
      <c r="K433" s="168"/>
      <c r="L433" s="168"/>
      <c r="N433" s="169"/>
      <c r="P433" s="169"/>
      <c r="T433" s="168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K433" s="175"/>
      <c r="AL433" s="175"/>
    </row>
    <row r="434" spans="3:38" x14ac:dyDescent="0.2">
      <c r="C434" s="181"/>
      <c r="D434" s="181"/>
      <c r="E434" s="181"/>
      <c r="F434" s="182"/>
      <c r="G434" s="182"/>
      <c r="H434" s="167"/>
      <c r="I434" s="168"/>
      <c r="J434" s="168"/>
      <c r="K434" s="168"/>
      <c r="L434" s="168"/>
      <c r="N434" s="169"/>
      <c r="P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K434" s="175"/>
      <c r="AL434" s="175"/>
    </row>
    <row r="435" spans="3:38" x14ac:dyDescent="0.2">
      <c r="C435" s="181"/>
      <c r="D435" s="181"/>
      <c r="E435" s="181"/>
      <c r="F435" s="182"/>
      <c r="G435" s="182"/>
      <c r="H435" s="167"/>
      <c r="I435" s="168"/>
      <c r="J435" s="168"/>
      <c r="K435" s="168"/>
      <c r="L435" s="168"/>
      <c r="N435" s="169"/>
      <c r="P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K435" s="175"/>
      <c r="AL435" s="175"/>
    </row>
    <row r="436" spans="3:38" x14ac:dyDescent="0.2">
      <c r="C436" s="181"/>
      <c r="D436" s="181"/>
      <c r="E436" s="181"/>
      <c r="F436" s="182"/>
      <c r="G436" s="182"/>
      <c r="H436" s="167"/>
      <c r="I436" s="168"/>
      <c r="J436" s="168"/>
      <c r="K436" s="168"/>
      <c r="L436" s="168"/>
      <c r="N436" s="169"/>
      <c r="P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K436" s="175"/>
      <c r="AL436" s="175"/>
    </row>
    <row r="437" spans="3:38" x14ac:dyDescent="0.2">
      <c r="C437" s="181"/>
      <c r="D437" s="181"/>
      <c r="E437" s="181"/>
      <c r="F437" s="182"/>
      <c r="G437" s="182"/>
      <c r="H437" s="167"/>
      <c r="I437" s="168"/>
      <c r="J437" s="168"/>
      <c r="K437" s="168"/>
      <c r="L437" s="168"/>
      <c r="N437" s="169"/>
      <c r="P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K437" s="175"/>
      <c r="AL437" s="175"/>
    </row>
    <row r="438" spans="3:38" x14ac:dyDescent="0.2">
      <c r="C438" s="181"/>
      <c r="D438" s="181"/>
      <c r="E438" s="181"/>
      <c r="F438" s="182"/>
      <c r="G438" s="182"/>
      <c r="H438" s="167"/>
      <c r="I438" s="168"/>
      <c r="J438" s="168"/>
      <c r="K438" s="168"/>
      <c r="L438" s="168"/>
      <c r="N438" s="169"/>
      <c r="P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K438" s="175"/>
      <c r="AL438" s="175"/>
    </row>
    <row r="439" spans="3:38" x14ac:dyDescent="0.2">
      <c r="C439" s="181"/>
      <c r="D439" s="181"/>
      <c r="E439" s="181"/>
      <c r="F439" s="182"/>
      <c r="G439" s="182"/>
      <c r="AK439" s="175"/>
      <c r="AL439" s="175"/>
    </row>
    <row r="440" spans="3:38" x14ac:dyDescent="0.2">
      <c r="C440" s="181"/>
      <c r="D440" s="181"/>
      <c r="E440" s="181"/>
      <c r="F440" s="182"/>
      <c r="G440" s="182"/>
      <c r="O440" s="170"/>
      <c r="AK440" s="175"/>
      <c r="AL440" s="175"/>
    </row>
    <row r="441" spans="3:38" x14ac:dyDescent="0.2">
      <c r="C441" s="181"/>
      <c r="D441" s="181"/>
      <c r="E441" s="181"/>
      <c r="F441" s="182"/>
      <c r="G441" s="182"/>
      <c r="O441" s="170"/>
      <c r="AK441" s="175"/>
      <c r="AL441" s="175"/>
    </row>
    <row r="442" spans="3:38" x14ac:dyDescent="0.2">
      <c r="C442" s="181"/>
      <c r="D442" s="181"/>
      <c r="E442" s="181"/>
      <c r="F442" s="182"/>
      <c r="G442" s="182"/>
      <c r="O442" s="170"/>
      <c r="AK442" s="175"/>
      <c r="AL442" s="175"/>
    </row>
    <row r="443" spans="3:38" x14ac:dyDescent="0.2">
      <c r="C443" s="181"/>
      <c r="D443" s="181"/>
      <c r="E443" s="181"/>
      <c r="F443" s="182"/>
      <c r="G443" s="182"/>
      <c r="O443" s="170"/>
      <c r="AK443" s="175"/>
      <c r="AL443" s="175"/>
    </row>
    <row r="444" spans="3:38" x14ac:dyDescent="0.2">
      <c r="O444" s="170"/>
      <c r="AK444" s="175"/>
      <c r="AL444" s="175"/>
    </row>
    <row r="445" spans="3:38" x14ac:dyDescent="0.2">
      <c r="O445" s="170"/>
      <c r="AK445" s="175"/>
      <c r="AL445" s="175"/>
    </row>
    <row r="446" spans="3:38" x14ac:dyDescent="0.2">
      <c r="AK446" s="175"/>
      <c r="AL446" s="175"/>
    </row>
    <row r="447" spans="3:38" x14ac:dyDescent="0.2">
      <c r="AK447" s="175"/>
      <c r="AL447" s="175"/>
    </row>
    <row r="448" spans="3:38" x14ac:dyDescent="0.2">
      <c r="AK448" s="175"/>
      <c r="AL448" s="175"/>
    </row>
    <row r="449" spans="15:38" x14ac:dyDescent="0.2">
      <c r="AK449" s="175"/>
      <c r="AL449" s="175"/>
    </row>
    <row r="450" spans="15:38" x14ac:dyDescent="0.2">
      <c r="AK450" s="175"/>
      <c r="AL450" s="175"/>
    </row>
    <row r="451" spans="15:38" x14ac:dyDescent="0.2">
      <c r="AK451" s="175"/>
      <c r="AL451" s="175"/>
    </row>
    <row r="452" spans="15:38" x14ac:dyDescent="0.2">
      <c r="AK452" s="175"/>
      <c r="AL452" s="175"/>
    </row>
    <row r="453" spans="15:38" x14ac:dyDescent="0.2">
      <c r="AK453" s="175"/>
      <c r="AL453" s="175"/>
    </row>
    <row r="454" spans="15:38" x14ac:dyDescent="0.2">
      <c r="AK454" s="175"/>
      <c r="AL454" s="175"/>
    </row>
    <row r="455" spans="15:38" x14ac:dyDescent="0.2">
      <c r="O455" s="170"/>
      <c r="AK455" s="175"/>
      <c r="AL455" s="175"/>
    </row>
    <row r="456" spans="15:38" x14ac:dyDescent="0.2">
      <c r="O456" s="170"/>
      <c r="AK456" s="175"/>
      <c r="AL456" s="175"/>
    </row>
    <row r="457" spans="15:38" x14ac:dyDescent="0.2">
      <c r="O457" s="170"/>
      <c r="AK457" s="175"/>
      <c r="AL457" s="175"/>
    </row>
    <row r="458" spans="15:38" x14ac:dyDescent="0.2">
      <c r="O458" s="170"/>
      <c r="AK458" s="175"/>
      <c r="AL458" s="175"/>
    </row>
    <row r="459" spans="15:38" x14ac:dyDescent="0.2">
      <c r="O459" s="170"/>
      <c r="AK459" s="175"/>
      <c r="AL459" s="175"/>
    </row>
    <row r="460" spans="15:38" x14ac:dyDescent="0.2">
      <c r="O460" s="170"/>
      <c r="AK460" s="175"/>
      <c r="AL460" s="175"/>
    </row>
    <row r="461" spans="15:38" x14ac:dyDescent="0.2">
      <c r="AK461" s="175"/>
      <c r="AL461" s="175"/>
    </row>
    <row r="462" spans="15:38" x14ac:dyDescent="0.2">
      <c r="AK462" s="175"/>
      <c r="AL462" s="175"/>
    </row>
    <row r="463" spans="15:38" x14ac:dyDescent="0.2">
      <c r="AK463" s="175"/>
      <c r="AL463" s="175"/>
    </row>
    <row r="464" spans="15:38" x14ac:dyDescent="0.2">
      <c r="AK464" s="175"/>
      <c r="AL464" s="175"/>
    </row>
    <row r="465" spans="15:38" x14ac:dyDescent="0.2">
      <c r="AK465" s="175"/>
      <c r="AL465" s="175"/>
    </row>
    <row r="466" spans="15:38" x14ac:dyDescent="0.2">
      <c r="AK466" s="175"/>
      <c r="AL466" s="175"/>
    </row>
    <row r="467" spans="15:38" x14ac:dyDescent="0.2">
      <c r="AK467" s="175"/>
      <c r="AL467" s="175"/>
    </row>
    <row r="468" spans="15:38" x14ac:dyDescent="0.2">
      <c r="AK468" s="175"/>
      <c r="AL468" s="175"/>
    </row>
    <row r="469" spans="15:38" x14ac:dyDescent="0.2">
      <c r="AK469" s="175"/>
      <c r="AL469" s="175"/>
    </row>
    <row r="470" spans="15:38" x14ac:dyDescent="0.2">
      <c r="O470" s="170"/>
      <c r="AK470" s="175"/>
      <c r="AL470" s="175"/>
    </row>
    <row r="471" spans="15:38" x14ac:dyDescent="0.2">
      <c r="O471" s="170"/>
      <c r="AK471" s="175"/>
      <c r="AL471" s="175"/>
    </row>
    <row r="472" spans="15:38" x14ac:dyDescent="0.2">
      <c r="O472" s="170"/>
      <c r="AK472" s="175"/>
      <c r="AL472" s="175"/>
    </row>
    <row r="473" spans="15:38" x14ac:dyDescent="0.2">
      <c r="O473" s="170"/>
      <c r="AK473" s="175"/>
      <c r="AL473" s="175"/>
    </row>
    <row r="474" spans="15:38" x14ac:dyDescent="0.2">
      <c r="O474" s="170"/>
      <c r="AK474" s="175"/>
      <c r="AL474" s="175"/>
    </row>
    <row r="475" spans="15:38" x14ac:dyDescent="0.2">
      <c r="O475" s="170"/>
      <c r="AK475" s="175"/>
      <c r="AL475" s="175"/>
    </row>
    <row r="476" spans="15:38" x14ac:dyDescent="0.2">
      <c r="AK476" s="175"/>
      <c r="AL476" s="175"/>
    </row>
    <row r="477" spans="15:38" x14ac:dyDescent="0.2">
      <c r="AK477" s="175"/>
      <c r="AL477" s="175"/>
    </row>
    <row r="478" spans="15:38" x14ac:dyDescent="0.2">
      <c r="AK478" s="175"/>
      <c r="AL478" s="175"/>
    </row>
    <row r="479" spans="15:38" x14ac:dyDescent="0.2">
      <c r="AK479" s="175"/>
      <c r="AL479" s="175"/>
    </row>
    <row r="480" spans="15:38" x14ac:dyDescent="0.2">
      <c r="AK480" s="175"/>
      <c r="AL480" s="175"/>
    </row>
    <row r="481" spans="15:38" x14ac:dyDescent="0.2">
      <c r="AK481" s="175"/>
      <c r="AL481" s="175"/>
    </row>
    <row r="482" spans="15:38" x14ac:dyDescent="0.2">
      <c r="AK482" s="175"/>
      <c r="AL482" s="175"/>
    </row>
    <row r="483" spans="15:38" x14ac:dyDescent="0.2">
      <c r="AK483" s="175"/>
      <c r="AL483" s="175"/>
    </row>
    <row r="484" spans="15:38" x14ac:dyDescent="0.2">
      <c r="AK484" s="175"/>
      <c r="AL484" s="175"/>
    </row>
    <row r="485" spans="15:38" x14ac:dyDescent="0.2">
      <c r="O485" s="170"/>
      <c r="AK485" s="175"/>
      <c r="AL485" s="175"/>
    </row>
    <row r="486" spans="15:38" x14ac:dyDescent="0.2">
      <c r="O486" s="170"/>
      <c r="AK486" s="175"/>
      <c r="AL486" s="175"/>
    </row>
    <row r="487" spans="15:38" x14ac:dyDescent="0.2">
      <c r="O487" s="170"/>
      <c r="AK487" s="175"/>
      <c r="AL487" s="175"/>
    </row>
    <row r="488" spans="15:38" x14ac:dyDescent="0.2">
      <c r="O488" s="170"/>
      <c r="AK488" s="175"/>
      <c r="AL488" s="175"/>
    </row>
    <row r="489" spans="15:38" x14ac:dyDescent="0.2">
      <c r="O489" s="170"/>
      <c r="AK489" s="175"/>
      <c r="AL489" s="175"/>
    </row>
    <row r="490" spans="15:38" x14ac:dyDescent="0.2">
      <c r="O490" s="170"/>
      <c r="AK490" s="175"/>
      <c r="AL490" s="175"/>
    </row>
    <row r="491" spans="15:38" x14ac:dyDescent="0.2">
      <c r="AK491" s="175"/>
      <c r="AL491" s="175"/>
    </row>
    <row r="492" spans="15:38" x14ac:dyDescent="0.2">
      <c r="AK492" s="175"/>
      <c r="AL492" s="175"/>
    </row>
    <row r="493" spans="15:38" x14ac:dyDescent="0.2">
      <c r="AK493" s="175"/>
      <c r="AL493" s="175"/>
    </row>
    <row r="494" spans="15:38" x14ac:dyDescent="0.2">
      <c r="AK494" s="175"/>
      <c r="AL494" s="175"/>
    </row>
    <row r="495" spans="15:38" x14ac:dyDescent="0.2">
      <c r="AK495" s="175"/>
      <c r="AL495" s="175"/>
    </row>
    <row r="496" spans="15:38" x14ac:dyDescent="0.2">
      <c r="AK496" s="175"/>
      <c r="AL496" s="175"/>
    </row>
    <row r="497" spans="15:38" x14ac:dyDescent="0.2">
      <c r="AK497" s="175"/>
      <c r="AL497" s="175"/>
    </row>
    <row r="498" spans="15:38" x14ac:dyDescent="0.2">
      <c r="AK498" s="175"/>
      <c r="AL498" s="175"/>
    </row>
    <row r="499" spans="15:38" x14ac:dyDescent="0.2">
      <c r="AK499" s="175"/>
      <c r="AL499" s="175"/>
    </row>
    <row r="500" spans="15:38" x14ac:dyDescent="0.2">
      <c r="O500" s="170"/>
      <c r="AK500" s="175"/>
      <c r="AL500" s="175"/>
    </row>
    <row r="501" spans="15:38" x14ac:dyDescent="0.2">
      <c r="O501" s="170"/>
      <c r="AK501" s="175"/>
      <c r="AL501" s="175"/>
    </row>
    <row r="502" spans="15:38" x14ac:dyDescent="0.2">
      <c r="O502" s="170"/>
      <c r="AK502" s="175"/>
      <c r="AL502" s="175"/>
    </row>
    <row r="503" spans="15:38" x14ac:dyDescent="0.2">
      <c r="O503" s="170"/>
      <c r="AK503" s="175"/>
      <c r="AL503" s="175"/>
    </row>
    <row r="504" spans="15:38" x14ac:dyDescent="0.2">
      <c r="O504" s="170"/>
      <c r="AK504" s="175"/>
      <c r="AL504" s="175"/>
    </row>
    <row r="505" spans="15:38" x14ac:dyDescent="0.2">
      <c r="O505" s="170"/>
      <c r="AK505" s="175"/>
      <c r="AL505" s="175"/>
    </row>
    <row r="506" spans="15:38" x14ac:dyDescent="0.2">
      <c r="AK506" s="175"/>
      <c r="AL506" s="175"/>
    </row>
    <row r="507" spans="15:38" x14ac:dyDescent="0.2">
      <c r="AK507" s="175"/>
      <c r="AL507" s="175"/>
    </row>
    <row r="508" spans="15:38" x14ac:dyDescent="0.2">
      <c r="AK508" s="175"/>
      <c r="AL508" s="175"/>
    </row>
    <row r="509" spans="15:38" x14ac:dyDescent="0.2">
      <c r="AK509" s="175"/>
      <c r="AL509" s="175"/>
    </row>
    <row r="510" spans="15:38" x14ac:dyDescent="0.2">
      <c r="AK510" s="175"/>
      <c r="AL510" s="175"/>
    </row>
    <row r="511" spans="15:38" x14ac:dyDescent="0.2">
      <c r="AK511" s="175"/>
      <c r="AL511" s="175"/>
    </row>
    <row r="512" spans="15:38" x14ac:dyDescent="0.2">
      <c r="AK512" s="175"/>
      <c r="AL512" s="175"/>
    </row>
    <row r="513" spans="15:38" x14ac:dyDescent="0.2">
      <c r="AK513" s="175"/>
      <c r="AL513" s="175"/>
    </row>
    <row r="514" spans="15:38" x14ac:dyDescent="0.2">
      <c r="AK514" s="175"/>
      <c r="AL514" s="175"/>
    </row>
    <row r="515" spans="15:38" x14ac:dyDescent="0.2">
      <c r="O515" s="170"/>
      <c r="AK515" s="175"/>
      <c r="AL515" s="175"/>
    </row>
    <row r="516" spans="15:38" x14ac:dyDescent="0.2">
      <c r="O516" s="170"/>
      <c r="AK516" s="175"/>
      <c r="AL516" s="175"/>
    </row>
    <row r="517" spans="15:38" x14ac:dyDescent="0.2">
      <c r="O517" s="170"/>
      <c r="AK517" s="175"/>
      <c r="AL517" s="175"/>
    </row>
    <row r="518" spans="15:38" x14ac:dyDescent="0.2">
      <c r="O518" s="170"/>
      <c r="AK518" s="175"/>
      <c r="AL518" s="175"/>
    </row>
    <row r="519" spans="15:38" x14ac:dyDescent="0.2">
      <c r="O519" s="170"/>
      <c r="AK519" s="175"/>
      <c r="AL519" s="175"/>
    </row>
    <row r="520" spans="15:38" x14ac:dyDescent="0.2">
      <c r="O520" s="170"/>
      <c r="AK520" s="175"/>
      <c r="AL520" s="175"/>
    </row>
    <row r="521" spans="15:38" x14ac:dyDescent="0.2">
      <c r="AK521" s="175"/>
      <c r="AL521" s="175"/>
    </row>
    <row r="522" spans="15:38" x14ac:dyDescent="0.2">
      <c r="AK522" s="175"/>
      <c r="AL522" s="175"/>
    </row>
    <row r="523" spans="15:38" x14ac:dyDescent="0.2">
      <c r="AK523" s="175"/>
      <c r="AL523" s="175"/>
    </row>
    <row r="524" spans="15:38" x14ac:dyDescent="0.2">
      <c r="AK524" s="175"/>
      <c r="AL524" s="175"/>
    </row>
    <row r="525" spans="15:38" x14ac:dyDescent="0.2">
      <c r="AK525" s="175"/>
      <c r="AL525" s="175"/>
    </row>
    <row r="526" spans="15:38" x14ac:dyDescent="0.2">
      <c r="AK526" s="175"/>
      <c r="AL526" s="175"/>
    </row>
    <row r="527" spans="15:38" x14ac:dyDescent="0.2">
      <c r="AK527" s="175"/>
      <c r="AL527" s="175"/>
    </row>
    <row r="528" spans="15:38" x14ac:dyDescent="0.2">
      <c r="AK528" s="175"/>
      <c r="AL528" s="175"/>
    </row>
    <row r="529" spans="15:38" x14ac:dyDescent="0.2">
      <c r="AK529" s="175"/>
      <c r="AL529" s="175"/>
    </row>
    <row r="530" spans="15:38" x14ac:dyDescent="0.2">
      <c r="O530" s="170"/>
      <c r="AK530" s="175"/>
      <c r="AL530" s="175"/>
    </row>
    <row r="531" spans="15:38" x14ac:dyDescent="0.2">
      <c r="O531" s="170"/>
      <c r="AK531" s="175"/>
      <c r="AL531" s="175"/>
    </row>
    <row r="532" spans="15:38" x14ac:dyDescent="0.2">
      <c r="O532" s="170"/>
      <c r="AK532" s="175"/>
      <c r="AL532" s="175"/>
    </row>
    <row r="533" spans="15:38" x14ac:dyDescent="0.2">
      <c r="O533" s="170"/>
      <c r="AK533" s="175"/>
      <c r="AL533" s="175"/>
    </row>
    <row r="534" spans="15:38" x14ac:dyDescent="0.2">
      <c r="O534" s="170"/>
      <c r="AK534" s="175"/>
      <c r="AL534" s="175"/>
    </row>
    <row r="535" spans="15:38" x14ac:dyDescent="0.2">
      <c r="O535" s="170"/>
      <c r="AK535" s="175"/>
      <c r="AL535" s="175"/>
    </row>
    <row r="536" spans="15:38" x14ac:dyDescent="0.2">
      <c r="AK536" s="175"/>
      <c r="AL536" s="175"/>
    </row>
    <row r="537" spans="15:38" x14ac:dyDescent="0.2">
      <c r="AK537" s="175"/>
      <c r="AL537" s="175"/>
    </row>
    <row r="538" spans="15:38" x14ac:dyDescent="0.2">
      <c r="AK538" s="175"/>
      <c r="AL538" s="175"/>
    </row>
    <row r="539" spans="15:38" x14ac:dyDescent="0.2">
      <c r="AK539" s="175"/>
      <c r="AL539" s="175"/>
    </row>
    <row r="540" spans="15:38" x14ac:dyDescent="0.2">
      <c r="AK540" s="175"/>
      <c r="AL540" s="175"/>
    </row>
    <row r="541" spans="15:38" x14ac:dyDescent="0.2">
      <c r="AK541" s="175"/>
      <c r="AL541" s="175"/>
    </row>
    <row r="542" spans="15:38" x14ac:dyDescent="0.2">
      <c r="AK542" s="175"/>
      <c r="AL542" s="175"/>
    </row>
    <row r="543" spans="15:38" x14ac:dyDescent="0.2">
      <c r="AK543" s="175"/>
      <c r="AL543" s="175"/>
    </row>
    <row r="544" spans="15:38" x14ac:dyDescent="0.2">
      <c r="AK544" s="175"/>
      <c r="AL544" s="175"/>
    </row>
    <row r="545" spans="15:38" x14ac:dyDescent="0.2">
      <c r="O545" s="170"/>
      <c r="AK545" s="175"/>
      <c r="AL545" s="175"/>
    </row>
    <row r="546" spans="15:38" x14ac:dyDescent="0.2">
      <c r="O546" s="170"/>
      <c r="AK546" s="175"/>
      <c r="AL546" s="175"/>
    </row>
    <row r="547" spans="15:38" x14ac:dyDescent="0.2">
      <c r="O547" s="170"/>
      <c r="AK547" s="175"/>
      <c r="AL547" s="175"/>
    </row>
    <row r="548" spans="15:38" x14ac:dyDescent="0.2">
      <c r="O548" s="170"/>
      <c r="AK548" s="175"/>
      <c r="AL548" s="175"/>
    </row>
    <row r="549" spans="15:38" x14ac:dyDescent="0.2">
      <c r="O549" s="170"/>
      <c r="AK549" s="175"/>
      <c r="AL549" s="175"/>
    </row>
    <row r="550" spans="15:38" x14ac:dyDescent="0.2">
      <c r="O550" s="170"/>
      <c r="AK550" s="175"/>
      <c r="AL550" s="175"/>
    </row>
    <row r="551" spans="15:38" x14ac:dyDescent="0.2">
      <c r="AK551" s="175"/>
      <c r="AL551" s="175"/>
    </row>
    <row r="552" spans="15:38" x14ac:dyDescent="0.2">
      <c r="AK552" s="175"/>
      <c r="AL552" s="175"/>
    </row>
    <row r="553" spans="15:38" x14ac:dyDescent="0.2">
      <c r="AL553" s="177"/>
    </row>
    <row r="554" spans="15:38" x14ac:dyDescent="0.2">
      <c r="AL554" s="177"/>
    </row>
    <row r="555" spans="15:38" x14ac:dyDescent="0.2">
      <c r="AL555" s="177"/>
    </row>
    <row r="556" spans="15:38" x14ac:dyDescent="0.2">
      <c r="AL556" s="177"/>
    </row>
    <row r="557" spans="15:38" x14ac:dyDescent="0.2">
      <c r="AL557" s="177"/>
    </row>
    <row r="558" spans="15:38" x14ac:dyDescent="0.2">
      <c r="AL558" s="177"/>
    </row>
    <row r="559" spans="15:38" x14ac:dyDescent="0.2">
      <c r="AL559" s="177"/>
    </row>
    <row r="560" spans="15:38" x14ac:dyDescent="0.2">
      <c r="O560" s="170"/>
      <c r="AL560" s="177"/>
    </row>
    <row r="561" spans="15:38" x14ac:dyDescent="0.2">
      <c r="O561" s="170"/>
      <c r="AL561" s="177"/>
    </row>
    <row r="562" spans="15:38" x14ac:dyDescent="0.2">
      <c r="O562" s="170"/>
      <c r="AL562" s="177"/>
    </row>
    <row r="563" spans="15:38" x14ac:dyDescent="0.2">
      <c r="O563" s="170"/>
      <c r="AL563" s="177"/>
    </row>
    <row r="564" spans="15:38" x14ac:dyDescent="0.2">
      <c r="O564" s="170"/>
      <c r="AL564" s="177"/>
    </row>
    <row r="565" spans="15:38" x14ac:dyDescent="0.2">
      <c r="O565" s="170"/>
      <c r="AL565" s="177"/>
    </row>
    <row r="566" spans="15:38" x14ac:dyDescent="0.2">
      <c r="AL566" s="177"/>
    </row>
    <row r="567" spans="15:38" x14ac:dyDescent="0.2">
      <c r="AL567" s="177"/>
    </row>
    <row r="568" spans="15:38" x14ac:dyDescent="0.2">
      <c r="AL568" s="177"/>
    </row>
    <row r="569" spans="15:38" x14ac:dyDescent="0.2">
      <c r="AL569" s="177"/>
    </row>
    <row r="570" spans="15:38" x14ac:dyDescent="0.2">
      <c r="AL570" s="177"/>
    </row>
    <row r="571" spans="15:38" x14ac:dyDescent="0.2">
      <c r="AL571" s="177"/>
    </row>
    <row r="572" spans="15:38" x14ac:dyDescent="0.2">
      <c r="AL572" s="177"/>
    </row>
    <row r="573" spans="15:38" x14ac:dyDescent="0.2">
      <c r="AL573" s="177"/>
    </row>
    <row r="574" spans="15:38" x14ac:dyDescent="0.2">
      <c r="AL574" s="177"/>
    </row>
    <row r="575" spans="15:38" x14ac:dyDescent="0.2">
      <c r="O575" s="170"/>
      <c r="AL575" s="177"/>
    </row>
    <row r="576" spans="15:38" x14ac:dyDescent="0.2">
      <c r="O576" s="170"/>
      <c r="AL576" s="177"/>
    </row>
    <row r="577" spans="15:38" x14ac:dyDescent="0.2">
      <c r="O577" s="170"/>
      <c r="AL577" s="177"/>
    </row>
    <row r="578" spans="15:38" x14ac:dyDescent="0.2">
      <c r="O578" s="170"/>
      <c r="AL578" s="177"/>
    </row>
    <row r="579" spans="15:38" x14ac:dyDescent="0.2">
      <c r="O579" s="170"/>
      <c r="AL579" s="177"/>
    </row>
    <row r="580" spans="15:38" x14ac:dyDescent="0.2">
      <c r="O580" s="170"/>
      <c r="AL580" s="177"/>
    </row>
    <row r="581" spans="15:38" x14ac:dyDescent="0.2">
      <c r="AL581" s="177"/>
    </row>
    <row r="582" spans="15:38" x14ac:dyDescent="0.2">
      <c r="AL582" s="177"/>
    </row>
    <row r="583" spans="15:38" x14ac:dyDescent="0.2">
      <c r="AL583" s="177"/>
    </row>
    <row r="584" spans="15:38" x14ac:dyDescent="0.2">
      <c r="AL584" s="177"/>
    </row>
    <row r="585" spans="15:38" x14ac:dyDescent="0.2">
      <c r="AL585" s="177"/>
    </row>
    <row r="586" spans="15:38" x14ac:dyDescent="0.2">
      <c r="AL586" s="177"/>
    </row>
    <row r="587" spans="15:38" x14ac:dyDescent="0.2">
      <c r="AL587" s="177"/>
    </row>
    <row r="588" spans="15:38" x14ac:dyDescent="0.2">
      <c r="AL588" s="177"/>
    </row>
    <row r="589" spans="15:38" x14ac:dyDescent="0.2">
      <c r="AL589" s="177"/>
    </row>
    <row r="590" spans="15:38" x14ac:dyDescent="0.2">
      <c r="O590" s="170"/>
      <c r="AL590" s="177"/>
    </row>
    <row r="591" spans="15:38" x14ac:dyDescent="0.2">
      <c r="O591" s="170"/>
      <c r="AL591" s="177"/>
    </row>
    <row r="592" spans="15:38" x14ac:dyDescent="0.2">
      <c r="O592" s="170"/>
      <c r="AL592" s="177"/>
    </row>
    <row r="593" spans="15:38" x14ac:dyDescent="0.2">
      <c r="O593" s="170"/>
      <c r="AL593" s="177"/>
    </row>
    <row r="594" spans="15:38" x14ac:dyDescent="0.2">
      <c r="O594" s="170"/>
      <c r="AL594" s="177"/>
    </row>
    <row r="595" spans="15:38" x14ac:dyDescent="0.2">
      <c r="O595" s="170"/>
      <c r="AL595" s="177"/>
    </row>
    <row r="596" spans="15:38" x14ac:dyDescent="0.2">
      <c r="AL596" s="177"/>
    </row>
    <row r="597" spans="15:38" x14ac:dyDescent="0.2">
      <c r="AL597" s="177"/>
    </row>
    <row r="598" spans="15:38" x14ac:dyDescent="0.2">
      <c r="AL598" s="177"/>
    </row>
    <row r="599" spans="15:38" x14ac:dyDescent="0.2">
      <c r="AL599" s="177"/>
    </row>
    <row r="600" spans="15:38" x14ac:dyDescent="0.2">
      <c r="AL600" s="177"/>
    </row>
    <row r="601" spans="15:38" x14ac:dyDescent="0.2">
      <c r="AL601" s="177"/>
    </row>
    <row r="602" spans="15:38" x14ac:dyDescent="0.2">
      <c r="AL602" s="177"/>
    </row>
    <row r="603" spans="15:38" x14ac:dyDescent="0.2">
      <c r="AL603" s="177"/>
    </row>
    <row r="604" spans="15:38" x14ac:dyDescent="0.2">
      <c r="AL604" s="177"/>
    </row>
    <row r="605" spans="15:38" x14ac:dyDescent="0.2">
      <c r="O605" s="170"/>
      <c r="AL605" s="177"/>
    </row>
    <row r="606" spans="15:38" x14ac:dyDescent="0.2">
      <c r="O606" s="170"/>
      <c r="AL606" s="177"/>
    </row>
    <row r="607" spans="15:38" x14ac:dyDescent="0.2">
      <c r="O607" s="170"/>
      <c r="AL607" s="177"/>
    </row>
    <row r="608" spans="15:38" x14ac:dyDescent="0.2">
      <c r="O608" s="170"/>
      <c r="AL608" s="177"/>
    </row>
    <row r="609" spans="15:38" x14ac:dyDescent="0.2">
      <c r="O609" s="170"/>
      <c r="AL609" s="177"/>
    </row>
    <row r="610" spans="15:38" x14ac:dyDescent="0.2">
      <c r="O610" s="170"/>
      <c r="AL610" s="177"/>
    </row>
    <row r="611" spans="15:38" x14ac:dyDescent="0.2">
      <c r="AL611" s="177"/>
    </row>
    <row r="612" spans="15:38" x14ac:dyDescent="0.2">
      <c r="AL612" s="177"/>
    </row>
    <row r="613" spans="15:38" x14ac:dyDescent="0.2">
      <c r="AL613" s="177"/>
    </row>
    <row r="614" spans="15:38" x14ac:dyDescent="0.2">
      <c r="AL614" s="177"/>
    </row>
    <row r="615" spans="15:38" x14ac:dyDescent="0.2">
      <c r="AL615" s="177"/>
    </row>
    <row r="616" spans="15:38" x14ac:dyDescent="0.2">
      <c r="AL616" s="177"/>
    </row>
    <row r="617" spans="15:38" x14ac:dyDescent="0.2">
      <c r="AL617" s="177"/>
    </row>
    <row r="618" spans="15:38" x14ac:dyDescent="0.2">
      <c r="AL618" s="177"/>
    </row>
    <row r="619" spans="15:38" x14ac:dyDescent="0.2">
      <c r="AL619" s="177"/>
    </row>
    <row r="620" spans="15:38" x14ac:dyDescent="0.2">
      <c r="O620" s="170"/>
      <c r="AL620" s="177"/>
    </row>
    <row r="621" spans="15:38" x14ac:dyDescent="0.2">
      <c r="O621" s="170"/>
      <c r="AL621" s="177"/>
    </row>
    <row r="622" spans="15:38" x14ac:dyDescent="0.2">
      <c r="O622" s="170"/>
      <c r="AL622" s="177"/>
    </row>
    <row r="623" spans="15:38" x14ac:dyDescent="0.2">
      <c r="O623" s="170"/>
      <c r="AL623" s="177"/>
    </row>
    <row r="624" spans="15:38" x14ac:dyDescent="0.2">
      <c r="O624" s="170"/>
      <c r="AL624" s="177"/>
    </row>
    <row r="625" spans="15:38" x14ac:dyDescent="0.2">
      <c r="O625" s="170"/>
      <c r="AL625" s="177"/>
    </row>
    <row r="626" spans="15:38" x14ac:dyDescent="0.2">
      <c r="AL626" s="177"/>
    </row>
    <row r="627" spans="15:38" x14ac:dyDescent="0.2">
      <c r="AL627" s="177"/>
    </row>
    <row r="628" spans="15:38" x14ac:dyDescent="0.2">
      <c r="AL628" s="177"/>
    </row>
    <row r="629" spans="15:38" x14ac:dyDescent="0.2">
      <c r="AL629" s="177"/>
    </row>
    <row r="630" spans="15:38" x14ac:dyDescent="0.2">
      <c r="AL630" s="177"/>
    </row>
    <row r="631" spans="15:38" x14ac:dyDescent="0.2">
      <c r="AL631" s="177"/>
    </row>
    <row r="632" spans="15:38" x14ac:dyDescent="0.2">
      <c r="AL632" s="177"/>
    </row>
    <row r="633" spans="15:38" x14ac:dyDescent="0.2">
      <c r="AL633" s="177"/>
    </row>
    <row r="634" spans="15:38" x14ac:dyDescent="0.2">
      <c r="AL634" s="177"/>
    </row>
    <row r="635" spans="15:38" x14ac:dyDescent="0.2">
      <c r="O635" s="170"/>
      <c r="AL635" s="177"/>
    </row>
    <row r="636" spans="15:38" x14ac:dyDescent="0.2">
      <c r="O636" s="170"/>
      <c r="AL636" s="177"/>
    </row>
    <row r="637" spans="15:38" x14ac:dyDescent="0.2">
      <c r="O637" s="170"/>
      <c r="AL637" s="177"/>
    </row>
    <row r="638" spans="15:38" x14ac:dyDescent="0.2">
      <c r="O638" s="170"/>
      <c r="AL638" s="177"/>
    </row>
    <row r="639" spans="15:38" x14ac:dyDescent="0.2">
      <c r="O639" s="170"/>
      <c r="AL639" s="177"/>
    </row>
    <row r="640" spans="15:38" x14ac:dyDescent="0.2">
      <c r="O640" s="170"/>
      <c r="AL640" s="177"/>
    </row>
    <row r="641" spans="15:38" x14ac:dyDescent="0.2">
      <c r="AL641" s="177"/>
    </row>
    <row r="642" spans="15:38" x14ac:dyDescent="0.2">
      <c r="AL642" s="177"/>
    </row>
    <row r="643" spans="15:38" x14ac:dyDescent="0.2">
      <c r="AL643" s="177"/>
    </row>
    <row r="644" spans="15:38" x14ac:dyDescent="0.2">
      <c r="AL644" s="177"/>
    </row>
    <row r="645" spans="15:38" x14ac:dyDescent="0.2">
      <c r="AL645" s="177"/>
    </row>
    <row r="646" spans="15:38" x14ac:dyDescent="0.2">
      <c r="AL646" s="177"/>
    </row>
    <row r="647" spans="15:38" x14ac:dyDescent="0.2">
      <c r="AL647" s="177"/>
    </row>
    <row r="648" spans="15:38" x14ac:dyDescent="0.2">
      <c r="AL648" s="177"/>
    </row>
    <row r="649" spans="15:38" x14ac:dyDescent="0.2">
      <c r="AL649" s="177"/>
    </row>
    <row r="650" spans="15:38" x14ac:dyDescent="0.2">
      <c r="O650" s="170"/>
      <c r="AL650" s="177"/>
    </row>
    <row r="651" spans="15:38" x14ac:dyDescent="0.2">
      <c r="O651" s="170"/>
      <c r="AL651" s="177"/>
    </row>
    <row r="652" spans="15:38" x14ac:dyDescent="0.2">
      <c r="O652" s="170"/>
      <c r="AL652" s="177"/>
    </row>
    <row r="653" spans="15:38" x14ac:dyDescent="0.2">
      <c r="O653" s="170"/>
      <c r="AL653" s="177"/>
    </row>
    <row r="654" spans="15:38" x14ac:dyDescent="0.2">
      <c r="O654" s="170"/>
      <c r="AL654" s="177"/>
    </row>
    <row r="655" spans="15:38" x14ac:dyDescent="0.2">
      <c r="O655" s="170"/>
      <c r="AL655" s="177"/>
    </row>
    <row r="656" spans="15:38" x14ac:dyDescent="0.2">
      <c r="AL656" s="177"/>
    </row>
    <row r="657" spans="15:38" x14ac:dyDescent="0.2">
      <c r="AL657" s="177"/>
    </row>
    <row r="658" spans="15:38" x14ac:dyDescent="0.2">
      <c r="AL658" s="177"/>
    </row>
    <row r="659" spans="15:38" x14ac:dyDescent="0.2">
      <c r="AL659" s="177"/>
    </row>
    <row r="660" spans="15:38" x14ac:dyDescent="0.2">
      <c r="AL660" s="177"/>
    </row>
    <row r="661" spans="15:38" x14ac:dyDescent="0.2">
      <c r="AL661" s="177"/>
    </row>
    <row r="662" spans="15:38" x14ac:dyDescent="0.2">
      <c r="AL662" s="177"/>
    </row>
    <row r="663" spans="15:38" x14ac:dyDescent="0.2">
      <c r="AL663" s="177"/>
    </row>
    <row r="664" spans="15:38" x14ac:dyDescent="0.2">
      <c r="AL664" s="177"/>
    </row>
    <row r="665" spans="15:38" x14ac:dyDescent="0.2">
      <c r="O665" s="170"/>
      <c r="AL665" s="177"/>
    </row>
    <row r="666" spans="15:38" x14ac:dyDescent="0.2">
      <c r="O666" s="170"/>
      <c r="AL666" s="177"/>
    </row>
    <row r="667" spans="15:38" x14ac:dyDescent="0.2">
      <c r="O667" s="170"/>
      <c r="AL667" s="177"/>
    </row>
    <row r="668" spans="15:38" x14ac:dyDescent="0.2">
      <c r="O668" s="170"/>
      <c r="AL668" s="177"/>
    </row>
    <row r="669" spans="15:38" x14ac:dyDescent="0.2">
      <c r="O669" s="170"/>
      <c r="AL669" s="177"/>
    </row>
    <row r="670" spans="15:38" x14ac:dyDescent="0.2">
      <c r="O670" s="170"/>
      <c r="AL670" s="177"/>
    </row>
    <row r="671" spans="15:38" x14ac:dyDescent="0.2">
      <c r="AL671" s="177"/>
    </row>
    <row r="672" spans="15:38" x14ac:dyDescent="0.2">
      <c r="AL672" s="177"/>
    </row>
    <row r="673" spans="15:38" x14ac:dyDescent="0.2">
      <c r="AL673" s="177"/>
    </row>
    <row r="674" spans="15:38" x14ac:dyDescent="0.2">
      <c r="AL674" s="177"/>
    </row>
    <row r="675" spans="15:38" x14ac:dyDescent="0.2">
      <c r="AL675" s="177"/>
    </row>
    <row r="676" spans="15:38" x14ac:dyDescent="0.2">
      <c r="AL676" s="177"/>
    </row>
    <row r="677" spans="15:38" x14ac:dyDescent="0.2">
      <c r="AL677" s="177"/>
    </row>
    <row r="678" spans="15:38" x14ac:dyDescent="0.2">
      <c r="AL678" s="177"/>
    </row>
    <row r="679" spans="15:38" x14ac:dyDescent="0.2">
      <c r="AL679" s="177"/>
    </row>
    <row r="680" spans="15:38" x14ac:dyDescent="0.2">
      <c r="O680" s="170"/>
      <c r="AL680" s="177"/>
    </row>
    <row r="681" spans="15:38" x14ac:dyDescent="0.2">
      <c r="O681" s="170"/>
      <c r="AL681" s="177"/>
    </row>
    <row r="682" spans="15:38" x14ac:dyDescent="0.2">
      <c r="O682" s="170"/>
      <c r="AL682" s="177"/>
    </row>
    <row r="683" spans="15:38" x14ac:dyDescent="0.2">
      <c r="O683" s="170"/>
      <c r="AL683" s="177"/>
    </row>
    <row r="684" spans="15:38" x14ac:dyDescent="0.2">
      <c r="O684" s="170"/>
      <c r="AL684" s="177"/>
    </row>
    <row r="685" spans="15:38" x14ac:dyDescent="0.2">
      <c r="O685" s="170"/>
      <c r="AL685" s="177"/>
    </row>
    <row r="686" spans="15:38" x14ac:dyDescent="0.2">
      <c r="AL686" s="177"/>
    </row>
    <row r="687" spans="15:38" x14ac:dyDescent="0.2">
      <c r="AL687" s="177"/>
    </row>
    <row r="688" spans="15:38" x14ac:dyDescent="0.2">
      <c r="AL688" s="177"/>
    </row>
    <row r="689" spans="15:38" x14ac:dyDescent="0.2">
      <c r="AL689" s="177"/>
    </row>
    <row r="690" spans="15:38" x14ac:dyDescent="0.2">
      <c r="AL690" s="177"/>
    </row>
    <row r="691" spans="15:38" x14ac:dyDescent="0.2">
      <c r="AL691" s="177"/>
    </row>
    <row r="692" spans="15:38" x14ac:dyDescent="0.2">
      <c r="AL692" s="177"/>
    </row>
    <row r="693" spans="15:38" x14ac:dyDescent="0.2">
      <c r="AL693" s="177"/>
    </row>
    <row r="694" spans="15:38" x14ac:dyDescent="0.2">
      <c r="AL694" s="177"/>
    </row>
    <row r="695" spans="15:38" x14ac:dyDescent="0.2">
      <c r="O695" s="170"/>
      <c r="AL695" s="177"/>
    </row>
    <row r="696" spans="15:38" x14ac:dyDescent="0.2">
      <c r="O696" s="170"/>
      <c r="AL696" s="177"/>
    </row>
    <row r="697" spans="15:38" x14ac:dyDescent="0.2">
      <c r="O697" s="170"/>
      <c r="AL697" s="177"/>
    </row>
    <row r="698" spans="15:38" x14ac:dyDescent="0.2">
      <c r="O698" s="170"/>
      <c r="AL698" s="177"/>
    </row>
    <row r="699" spans="15:38" x14ac:dyDescent="0.2">
      <c r="O699" s="170"/>
      <c r="AL699" s="177"/>
    </row>
    <row r="700" spans="15:38" x14ac:dyDescent="0.2">
      <c r="O700" s="170"/>
      <c r="AL700" s="177"/>
    </row>
    <row r="701" spans="15:38" x14ac:dyDescent="0.2">
      <c r="AL701" s="177"/>
    </row>
    <row r="702" spans="15:38" x14ac:dyDescent="0.2">
      <c r="AL702" s="177"/>
    </row>
    <row r="703" spans="15:38" x14ac:dyDescent="0.2">
      <c r="AL703" s="177"/>
    </row>
    <row r="704" spans="15:38" x14ac:dyDescent="0.2">
      <c r="AL704" s="177"/>
    </row>
    <row r="705" spans="15:38" x14ac:dyDescent="0.2">
      <c r="AL705" s="177"/>
    </row>
    <row r="706" spans="15:38" x14ac:dyDescent="0.2">
      <c r="AL706" s="177"/>
    </row>
    <row r="707" spans="15:38" x14ac:dyDescent="0.2">
      <c r="AL707" s="177"/>
    </row>
    <row r="708" spans="15:38" x14ac:dyDescent="0.2">
      <c r="AL708" s="177"/>
    </row>
    <row r="709" spans="15:38" x14ac:dyDescent="0.2">
      <c r="AL709" s="177"/>
    </row>
    <row r="710" spans="15:38" x14ac:dyDescent="0.2">
      <c r="O710" s="170"/>
      <c r="AL710" s="177"/>
    </row>
    <row r="711" spans="15:38" x14ac:dyDescent="0.2">
      <c r="O711" s="170"/>
      <c r="AL711" s="177"/>
    </row>
    <row r="712" spans="15:38" x14ac:dyDescent="0.2">
      <c r="O712" s="170"/>
      <c r="AL712" s="177"/>
    </row>
    <row r="713" spans="15:38" x14ac:dyDescent="0.2">
      <c r="O713" s="170"/>
      <c r="AL713" s="177"/>
    </row>
    <row r="714" spans="15:38" x14ac:dyDescent="0.2">
      <c r="O714" s="170"/>
      <c r="AL714" s="177"/>
    </row>
    <row r="715" spans="15:38" x14ac:dyDescent="0.2">
      <c r="O715" s="170"/>
      <c r="AL715" s="177"/>
    </row>
    <row r="716" spans="15:38" x14ac:dyDescent="0.2">
      <c r="AL716" s="177"/>
    </row>
    <row r="717" spans="15:38" x14ac:dyDescent="0.2">
      <c r="AL717" s="177"/>
    </row>
    <row r="718" spans="15:38" x14ac:dyDescent="0.2">
      <c r="AL718" s="177"/>
    </row>
    <row r="719" spans="15:38" x14ac:dyDescent="0.2">
      <c r="AL719" s="177"/>
    </row>
    <row r="720" spans="15:38" x14ac:dyDescent="0.2">
      <c r="AL720" s="177"/>
    </row>
    <row r="721" spans="15:38" x14ac:dyDescent="0.2">
      <c r="AL721" s="177"/>
    </row>
    <row r="722" spans="15:38" x14ac:dyDescent="0.2">
      <c r="AL722" s="177"/>
    </row>
    <row r="723" spans="15:38" x14ac:dyDescent="0.2">
      <c r="AL723" s="177"/>
    </row>
    <row r="724" spans="15:38" x14ac:dyDescent="0.2">
      <c r="AL724" s="177"/>
    </row>
    <row r="725" spans="15:38" x14ac:dyDescent="0.2">
      <c r="O725" s="170"/>
      <c r="AL725" s="177"/>
    </row>
    <row r="726" spans="15:38" x14ac:dyDescent="0.2">
      <c r="O726" s="170"/>
      <c r="AL726" s="177"/>
    </row>
    <row r="727" spans="15:38" x14ac:dyDescent="0.2">
      <c r="O727" s="170"/>
      <c r="AL727" s="177"/>
    </row>
    <row r="728" spans="15:38" x14ac:dyDescent="0.2">
      <c r="O728" s="170"/>
      <c r="AL728" s="177"/>
    </row>
    <row r="729" spans="15:38" x14ac:dyDescent="0.2">
      <c r="O729" s="170"/>
      <c r="AL729" s="177"/>
    </row>
    <row r="730" spans="15:38" x14ac:dyDescent="0.2">
      <c r="O730" s="170"/>
      <c r="AL730" s="177"/>
    </row>
    <row r="731" spans="15:38" x14ac:dyDescent="0.2">
      <c r="AL731" s="177"/>
    </row>
    <row r="732" spans="15:38" x14ac:dyDescent="0.2">
      <c r="AL732" s="177"/>
    </row>
    <row r="733" spans="15:38" x14ac:dyDescent="0.2">
      <c r="AL733" s="177"/>
    </row>
    <row r="734" spans="15:38" x14ac:dyDescent="0.2">
      <c r="AL734" s="177"/>
    </row>
    <row r="735" spans="15:38" x14ac:dyDescent="0.2">
      <c r="AL735" s="177"/>
    </row>
    <row r="736" spans="15:38" x14ac:dyDescent="0.2">
      <c r="AL736" s="177"/>
    </row>
    <row r="737" spans="15:38" x14ac:dyDescent="0.2">
      <c r="AL737" s="177"/>
    </row>
    <row r="738" spans="15:38" x14ac:dyDescent="0.2">
      <c r="AL738" s="177"/>
    </row>
    <row r="739" spans="15:38" x14ac:dyDescent="0.2">
      <c r="AL739" s="177"/>
    </row>
    <row r="740" spans="15:38" x14ac:dyDescent="0.2">
      <c r="O740" s="170"/>
      <c r="AL740" s="177"/>
    </row>
    <row r="741" spans="15:38" x14ac:dyDescent="0.2">
      <c r="O741" s="170"/>
      <c r="AL741" s="177"/>
    </row>
    <row r="742" spans="15:38" x14ac:dyDescent="0.2">
      <c r="O742" s="170"/>
      <c r="AL742" s="177"/>
    </row>
    <row r="743" spans="15:38" x14ac:dyDescent="0.2">
      <c r="O743" s="170"/>
      <c r="AL743" s="177"/>
    </row>
    <row r="744" spans="15:38" x14ac:dyDescent="0.2">
      <c r="O744" s="170"/>
      <c r="AL744" s="177"/>
    </row>
    <row r="745" spans="15:38" x14ac:dyDescent="0.2">
      <c r="O745" s="170"/>
      <c r="AL745" s="177"/>
    </row>
    <row r="746" spans="15:38" x14ac:dyDescent="0.2">
      <c r="AL746" s="177"/>
    </row>
    <row r="747" spans="15:38" x14ac:dyDescent="0.2">
      <c r="AL747" s="177"/>
    </row>
    <row r="748" spans="15:38" x14ac:dyDescent="0.2">
      <c r="AL748" s="177"/>
    </row>
    <row r="749" spans="15:38" x14ac:dyDescent="0.2">
      <c r="AL749" s="177"/>
    </row>
    <row r="750" spans="15:38" x14ac:dyDescent="0.2">
      <c r="AL750" s="177"/>
    </row>
    <row r="751" spans="15:38" x14ac:dyDescent="0.2">
      <c r="AL751" s="177"/>
    </row>
    <row r="752" spans="15:38" x14ac:dyDescent="0.2">
      <c r="AL752" s="177"/>
    </row>
    <row r="753" spans="15:38" x14ac:dyDescent="0.2">
      <c r="AL753" s="177"/>
    </row>
    <row r="754" spans="15:38" x14ac:dyDescent="0.2">
      <c r="AL754" s="177"/>
    </row>
    <row r="755" spans="15:38" x14ac:dyDescent="0.2">
      <c r="O755" s="170"/>
      <c r="AL755" s="177"/>
    </row>
    <row r="756" spans="15:38" x14ac:dyDescent="0.2">
      <c r="O756" s="170"/>
      <c r="AL756" s="177"/>
    </row>
    <row r="757" spans="15:38" x14ac:dyDescent="0.2">
      <c r="O757" s="170"/>
      <c r="AL757" s="177"/>
    </row>
    <row r="758" spans="15:38" x14ac:dyDescent="0.2">
      <c r="O758" s="170"/>
      <c r="AL758" s="177"/>
    </row>
    <row r="759" spans="15:38" x14ac:dyDescent="0.2">
      <c r="O759" s="170"/>
      <c r="AL759" s="177"/>
    </row>
    <row r="760" spans="15:38" x14ac:dyDescent="0.2">
      <c r="O760" s="170"/>
      <c r="AL760" s="177"/>
    </row>
    <row r="761" spans="15:38" x14ac:dyDescent="0.2">
      <c r="AL761" s="177"/>
    </row>
    <row r="762" spans="15:38" x14ac:dyDescent="0.2">
      <c r="AL762" s="177"/>
    </row>
    <row r="763" spans="15:38" x14ac:dyDescent="0.2">
      <c r="AL763" s="177"/>
    </row>
    <row r="764" spans="15:38" x14ac:dyDescent="0.2">
      <c r="AL764" s="177"/>
    </row>
    <row r="765" spans="15:38" x14ac:dyDescent="0.2">
      <c r="AL765" s="177"/>
    </row>
    <row r="766" spans="15:38" x14ac:dyDescent="0.2">
      <c r="AL766" s="177"/>
    </row>
    <row r="767" spans="15:38" x14ac:dyDescent="0.2">
      <c r="AL767" s="177"/>
    </row>
    <row r="768" spans="15:38" x14ac:dyDescent="0.2">
      <c r="AL768" s="177"/>
    </row>
    <row r="769" spans="15:38" x14ac:dyDescent="0.2">
      <c r="AL769" s="177"/>
    </row>
    <row r="770" spans="15:38" x14ac:dyDescent="0.2">
      <c r="O770" s="170"/>
      <c r="AL770" s="177"/>
    </row>
    <row r="771" spans="15:38" x14ac:dyDescent="0.2">
      <c r="O771" s="170"/>
      <c r="AL771" s="177"/>
    </row>
    <row r="772" spans="15:38" x14ac:dyDescent="0.2">
      <c r="O772" s="170"/>
      <c r="AL772" s="177"/>
    </row>
    <row r="773" spans="15:38" x14ac:dyDescent="0.2">
      <c r="O773" s="170"/>
      <c r="AL773" s="177"/>
    </row>
    <row r="774" spans="15:38" x14ac:dyDescent="0.2">
      <c r="O774" s="170"/>
      <c r="AL774" s="177"/>
    </row>
    <row r="775" spans="15:38" x14ac:dyDescent="0.2">
      <c r="O775" s="170"/>
      <c r="AL775" s="177"/>
    </row>
    <row r="776" spans="15:38" x14ac:dyDescent="0.2">
      <c r="AL776" s="177"/>
    </row>
    <row r="777" spans="15:38" x14ac:dyDescent="0.2">
      <c r="AL777" s="177"/>
    </row>
    <row r="778" spans="15:38" x14ac:dyDescent="0.2">
      <c r="AL778" s="177"/>
    </row>
    <row r="779" spans="15:38" x14ac:dyDescent="0.2">
      <c r="AL779" s="177"/>
    </row>
    <row r="780" spans="15:38" x14ac:dyDescent="0.2">
      <c r="AL780" s="177"/>
    </row>
    <row r="781" spans="15:38" x14ac:dyDescent="0.2">
      <c r="AL781" s="177"/>
    </row>
    <row r="782" spans="15:38" x14ac:dyDescent="0.2">
      <c r="AL782" s="177"/>
    </row>
    <row r="783" spans="15:38" x14ac:dyDescent="0.2">
      <c r="AL783" s="177"/>
    </row>
    <row r="784" spans="15:38" x14ac:dyDescent="0.2">
      <c r="AL784" s="177"/>
    </row>
    <row r="785" spans="15:38" x14ac:dyDescent="0.2">
      <c r="O785" s="170"/>
      <c r="AL785" s="177"/>
    </row>
    <row r="786" spans="15:38" x14ac:dyDescent="0.2">
      <c r="O786" s="170"/>
      <c r="AL786" s="177"/>
    </row>
    <row r="787" spans="15:38" x14ac:dyDescent="0.2">
      <c r="O787" s="170"/>
      <c r="AL787" s="177"/>
    </row>
    <row r="788" spans="15:38" x14ac:dyDescent="0.2">
      <c r="O788" s="170"/>
      <c r="AL788" s="177"/>
    </row>
    <row r="789" spans="15:38" x14ac:dyDescent="0.2">
      <c r="O789" s="170"/>
      <c r="AL789" s="177"/>
    </row>
    <row r="790" spans="15:38" x14ac:dyDescent="0.2">
      <c r="O790" s="170"/>
      <c r="AL790" s="177"/>
    </row>
    <row r="791" spans="15:38" x14ac:dyDescent="0.2">
      <c r="AL791" s="177"/>
    </row>
    <row r="792" spans="15:38" x14ac:dyDescent="0.2">
      <c r="AL792" s="177"/>
    </row>
    <row r="793" spans="15:38" x14ac:dyDescent="0.2">
      <c r="AL793" s="177"/>
    </row>
    <row r="794" spans="15:38" x14ac:dyDescent="0.2">
      <c r="AL794" s="177"/>
    </row>
    <row r="795" spans="15:38" x14ac:dyDescent="0.2">
      <c r="AL795" s="177"/>
    </row>
    <row r="796" spans="15:38" x14ac:dyDescent="0.2">
      <c r="AL796" s="177"/>
    </row>
    <row r="797" spans="15:38" x14ac:dyDescent="0.2">
      <c r="AL797" s="177"/>
    </row>
    <row r="798" spans="15:38" x14ac:dyDescent="0.2">
      <c r="AL798" s="177"/>
    </row>
    <row r="799" spans="15:38" x14ac:dyDescent="0.2">
      <c r="AL799" s="177"/>
    </row>
    <row r="800" spans="15:38" x14ac:dyDescent="0.2">
      <c r="O800" s="170"/>
      <c r="AL800" s="177"/>
    </row>
    <row r="801" spans="15:38" x14ac:dyDescent="0.2">
      <c r="O801" s="170"/>
      <c r="AL801" s="177"/>
    </row>
    <row r="802" spans="15:38" x14ac:dyDescent="0.2">
      <c r="O802" s="170"/>
      <c r="AL802" s="177"/>
    </row>
    <row r="803" spans="15:38" x14ac:dyDescent="0.2">
      <c r="O803" s="170"/>
      <c r="AL803" s="177"/>
    </row>
    <row r="804" spans="15:38" x14ac:dyDescent="0.2">
      <c r="O804" s="170"/>
      <c r="AL804" s="177"/>
    </row>
    <row r="805" spans="15:38" x14ac:dyDescent="0.2">
      <c r="O805" s="170"/>
      <c r="AL805" s="177"/>
    </row>
    <row r="806" spans="15:38" x14ac:dyDescent="0.2">
      <c r="AL806" s="177"/>
    </row>
    <row r="807" spans="15:38" x14ac:dyDescent="0.2">
      <c r="AL807" s="177"/>
    </row>
    <row r="808" spans="15:38" x14ac:dyDescent="0.2">
      <c r="AL808" s="177"/>
    </row>
    <row r="809" spans="15:38" x14ac:dyDescent="0.2">
      <c r="AL809" s="177"/>
    </row>
    <row r="810" spans="15:38" x14ac:dyDescent="0.2">
      <c r="AL810" s="177"/>
    </row>
    <row r="811" spans="15:38" x14ac:dyDescent="0.2">
      <c r="AL811" s="177"/>
    </row>
    <row r="812" spans="15:38" x14ac:dyDescent="0.2">
      <c r="AL812" s="177"/>
    </row>
    <row r="813" spans="15:38" x14ac:dyDescent="0.2">
      <c r="AL813" s="177"/>
    </row>
    <row r="814" spans="15:38" x14ac:dyDescent="0.2">
      <c r="AL814" s="177"/>
    </row>
    <row r="815" spans="15:38" x14ac:dyDescent="0.2">
      <c r="O815" s="170"/>
      <c r="AL815" s="177"/>
    </row>
    <row r="816" spans="15:38" x14ac:dyDescent="0.2">
      <c r="O816" s="170"/>
      <c r="AL816" s="177"/>
    </row>
    <row r="817" spans="15:38" x14ac:dyDescent="0.2">
      <c r="O817" s="170"/>
      <c r="AL817" s="177"/>
    </row>
    <row r="818" spans="15:38" x14ac:dyDescent="0.2">
      <c r="O818" s="170"/>
      <c r="AL818" s="177"/>
    </row>
    <row r="819" spans="15:38" x14ac:dyDescent="0.2">
      <c r="O819" s="170"/>
      <c r="AL819" s="177"/>
    </row>
    <row r="820" spans="15:38" x14ac:dyDescent="0.2">
      <c r="O820" s="170"/>
      <c r="AL820" s="177"/>
    </row>
    <row r="821" spans="15:38" x14ac:dyDescent="0.2">
      <c r="AL821" s="177"/>
    </row>
    <row r="822" spans="15:38" x14ac:dyDescent="0.2">
      <c r="AL822" s="177"/>
    </row>
    <row r="823" spans="15:38" x14ac:dyDescent="0.2">
      <c r="AL823" s="177"/>
    </row>
    <row r="824" spans="15:38" x14ac:dyDescent="0.2">
      <c r="AL824" s="177"/>
    </row>
    <row r="825" spans="15:38" x14ac:dyDescent="0.2">
      <c r="AL825" s="177"/>
    </row>
    <row r="826" spans="15:38" x14ac:dyDescent="0.2">
      <c r="AL826" s="177"/>
    </row>
    <row r="827" spans="15:38" x14ac:dyDescent="0.2">
      <c r="AL827" s="177"/>
    </row>
    <row r="828" spans="15:38" x14ac:dyDescent="0.2">
      <c r="AL828" s="177"/>
    </row>
    <row r="829" spans="15:38" x14ac:dyDescent="0.2">
      <c r="AL829" s="177"/>
    </row>
    <row r="830" spans="15:38" x14ac:dyDescent="0.2">
      <c r="O830" s="170"/>
      <c r="AL830" s="177"/>
    </row>
    <row r="831" spans="15:38" x14ac:dyDescent="0.2">
      <c r="O831" s="170"/>
      <c r="AL831" s="177"/>
    </row>
    <row r="832" spans="15:38" x14ac:dyDescent="0.2">
      <c r="O832" s="170"/>
      <c r="AL832" s="177"/>
    </row>
    <row r="833" spans="15:38" x14ac:dyDescent="0.2">
      <c r="O833" s="170"/>
      <c r="AL833" s="177"/>
    </row>
    <row r="834" spans="15:38" x14ac:dyDescent="0.2">
      <c r="O834" s="170"/>
      <c r="AL834" s="177"/>
    </row>
    <row r="835" spans="15:38" x14ac:dyDescent="0.2">
      <c r="O835" s="170"/>
      <c r="AL835" s="177"/>
    </row>
    <row r="836" spans="15:38" x14ac:dyDescent="0.2">
      <c r="AL836" s="177"/>
    </row>
    <row r="837" spans="15:38" x14ac:dyDescent="0.2">
      <c r="AL837" s="177"/>
    </row>
    <row r="838" spans="15:38" x14ac:dyDescent="0.2">
      <c r="AL838" s="177"/>
    </row>
    <row r="839" spans="15:38" x14ac:dyDescent="0.2">
      <c r="AL839" s="177"/>
    </row>
    <row r="840" spans="15:38" x14ac:dyDescent="0.2">
      <c r="AL840" s="177"/>
    </row>
    <row r="841" spans="15:38" x14ac:dyDescent="0.2">
      <c r="AL841" s="177"/>
    </row>
    <row r="842" spans="15:38" x14ac:dyDescent="0.2">
      <c r="AL842" s="177"/>
    </row>
    <row r="843" spans="15:38" x14ac:dyDescent="0.2">
      <c r="AL843" s="177"/>
    </row>
    <row r="844" spans="15:38" x14ac:dyDescent="0.2">
      <c r="AL844" s="177"/>
    </row>
    <row r="845" spans="15:38" x14ac:dyDescent="0.2">
      <c r="O845" s="170"/>
      <c r="AL845" s="177"/>
    </row>
    <row r="846" spans="15:38" x14ac:dyDescent="0.2">
      <c r="O846" s="170"/>
      <c r="AL846" s="177"/>
    </row>
    <row r="847" spans="15:38" x14ac:dyDescent="0.2">
      <c r="O847" s="170"/>
      <c r="AL847" s="177"/>
    </row>
    <row r="848" spans="15:38" x14ac:dyDescent="0.2">
      <c r="O848" s="170"/>
      <c r="AL848" s="177"/>
    </row>
    <row r="849" spans="15:38" x14ac:dyDescent="0.2">
      <c r="O849" s="170"/>
      <c r="AL849" s="177"/>
    </row>
    <row r="850" spans="15:38" x14ac:dyDescent="0.2">
      <c r="O850" s="170"/>
      <c r="AL850" s="177"/>
    </row>
    <row r="851" spans="15:38" x14ac:dyDescent="0.2">
      <c r="AL851" s="177"/>
    </row>
    <row r="852" spans="15:38" x14ac:dyDescent="0.2">
      <c r="AL852" s="177"/>
    </row>
    <row r="853" spans="15:38" x14ac:dyDescent="0.2">
      <c r="AL853" s="177"/>
    </row>
    <row r="854" spans="15:38" x14ac:dyDescent="0.2">
      <c r="AL854" s="177"/>
    </row>
    <row r="855" spans="15:38" x14ac:dyDescent="0.2">
      <c r="AL855" s="177"/>
    </row>
    <row r="856" spans="15:38" x14ac:dyDescent="0.2">
      <c r="AL856" s="177"/>
    </row>
    <row r="857" spans="15:38" x14ac:dyDescent="0.2">
      <c r="AL857" s="177"/>
    </row>
    <row r="858" spans="15:38" x14ac:dyDescent="0.2">
      <c r="AL858" s="177"/>
    </row>
    <row r="859" spans="15:38" x14ac:dyDescent="0.2">
      <c r="AL859" s="177"/>
    </row>
    <row r="860" spans="15:38" x14ac:dyDescent="0.2">
      <c r="O860" s="170"/>
      <c r="AL860" s="177"/>
    </row>
    <row r="861" spans="15:38" x14ac:dyDescent="0.2">
      <c r="O861" s="170"/>
      <c r="AL861" s="177"/>
    </row>
    <row r="862" spans="15:38" x14ac:dyDescent="0.2">
      <c r="O862" s="170"/>
      <c r="AL862" s="177"/>
    </row>
    <row r="863" spans="15:38" x14ac:dyDescent="0.2">
      <c r="O863" s="170"/>
      <c r="AL863" s="177"/>
    </row>
    <row r="864" spans="15:38" x14ac:dyDescent="0.2">
      <c r="O864" s="170"/>
      <c r="AL864" s="177"/>
    </row>
    <row r="865" spans="15:38" x14ac:dyDescent="0.2">
      <c r="O865" s="170"/>
      <c r="AL865" s="177"/>
    </row>
    <row r="866" spans="15:38" x14ac:dyDescent="0.2">
      <c r="AL866" s="177"/>
    </row>
    <row r="867" spans="15:38" x14ac:dyDescent="0.2">
      <c r="AL867" s="177"/>
    </row>
    <row r="868" spans="15:38" x14ac:dyDescent="0.2">
      <c r="AL868" s="177"/>
    </row>
    <row r="869" spans="15:38" x14ac:dyDescent="0.2">
      <c r="AL869" s="177"/>
    </row>
    <row r="870" spans="15:38" x14ac:dyDescent="0.2">
      <c r="AL870" s="177"/>
    </row>
    <row r="871" spans="15:38" x14ac:dyDescent="0.2">
      <c r="AL871" s="177"/>
    </row>
    <row r="872" spans="15:38" x14ac:dyDescent="0.2">
      <c r="AL872" s="177"/>
    </row>
    <row r="873" spans="15:38" x14ac:dyDescent="0.2">
      <c r="AL873" s="177"/>
    </row>
    <row r="874" spans="15:38" x14ac:dyDescent="0.2">
      <c r="AL874" s="177"/>
    </row>
    <row r="875" spans="15:38" x14ac:dyDescent="0.2">
      <c r="O875" s="170"/>
      <c r="AL875" s="177"/>
    </row>
    <row r="876" spans="15:38" x14ac:dyDescent="0.2">
      <c r="O876" s="170"/>
      <c r="AL876" s="177"/>
    </row>
    <row r="877" spans="15:38" x14ac:dyDescent="0.2">
      <c r="O877" s="170"/>
      <c r="AL877" s="177"/>
    </row>
    <row r="878" spans="15:38" x14ac:dyDescent="0.2">
      <c r="O878" s="170"/>
      <c r="AL878" s="177"/>
    </row>
    <row r="879" spans="15:38" x14ac:dyDescent="0.2">
      <c r="O879" s="170"/>
      <c r="AL879" s="177"/>
    </row>
    <row r="880" spans="15:38" x14ac:dyDescent="0.2">
      <c r="O880" s="170"/>
      <c r="AL880" s="177"/>
    </row>
    <row r="881" spans="15:38" x14ac:dyDescent="0.2">
      <c r="AL881" s="177"/>
    </row>
    <row r="882" spans="15:38" x14ac:dyDescent="0.2">
      <c r="AL882" s="177"/>
    </row>
    <row r="883" spans="15:38" x14ac:dyDescent="0.2">
      <c r="AL883" s="177"/>
    </row>
    <row r="884" spans="15:38" x14ac:dyDescent="0.2">
      <c r="AL884" s="177"/>
    </row>
    <row r="885" spans="15:38" x14ac:dyDescent="0.2">
      <c r="AL885" s="177"/>
    </row>
    <row r="886" spans="15:38" x14ac:dyDescent="0.2">
      <c r="AL886" s="177"/>
    </row>
    <row r="887" spans="15:38" x14ac:dyDescent="0.2">
      <c r="AL887" s="177"/>
    </row>
    <row r="888" spans="15:38" x14ac:dyDescent="0.2">
      <c r="AL888" s="177"/>
    </row>
    <row r="889" spans="15:38" x14ac:dyDescent="0.2">
      <c r="AL889" s="177"/>
    </row>
    <row r="890" spans="15:38" x14ac:dyDescent="0.2">
      <c r="O890" s="170"/>
      <c r="AL890" s="177"/>
    </row>
    <row r="891" spans="15:38" x14ac:dyDescent="0.2">
      <c r="O891" s="170"/>
      <c r="AL891" s="177"/>
    </row>
    <row r="892" spans="15:38" x14ac:dyDescent="0.2">
      <c r="O892" s="170"/>
      <c r="AL892" s="177"/>
    </row>
    <row r="893" spans="15:38" x14ac:dyDescent="0.2">
      <c r="O893" s="170"/>
      <c r="AL893" s="177"/>
    </row>
    <row r="894" spans="15:38" x14ac:dyDescent="0.2">
      <c r="O894" s="170"/>
      <c r="AL894" s="177"/>
    </row>
    <row r="895" spans="15:38" x14ac:dyDescent="0.2">
      <c r="O895" s="170"/>
      <c r="AL895" s="177"/>
    </row>
    <row r="896" spans="15:38" x14ac:dyDescent="0.2">
      <c r="AL896" s="177"/>
    </row>
    <row r="897" spans="15:38" x14ac:dyDescent="0.2">
      <c r="AL897" s="177"/>
    </row>
    <row r="898" spans="15:38" x14ac:dyDescent="0.2">
      <c r="AL898" s="177"/>
    </row>
    <row r="899" spans="15:38" x14ac:dyDescent="0.2">
      <c r="AL899" s="177"/>
    </row>
    <row r="900" spans="15:38" x14ac:dyDescent="0.2">
      <c r="AL900" s="177"/>
    </row>
    <row r="901" spans="15:38" x14ac:dyDescent="0.2">
      <c r="AL901" s="177"/>
    </row>
    <row r="902" spans="15:38" x14ac:dyDescent="0.2">
      <c r="AL902" s="177"/>
    </row>
    <row r="903" spans="15:38" x14ac:dyDescent="0.2">
      <c r="AL903" s="177"/>
    </row>
    <row r="904" spans="15:38" x14ac:dyDescent="0.2">
      <c r="AL904" s="177"/>
    </row>
    <row r="905" spans="15:38" x14ac:dyDescent="0.2">
      <c r="O905" s="170"/>
      <c r="AL905" s="177"/>
    </row>
    <row r="906" spans="15:38" x14ac:dyDescent="0.2">
      <c r="O906" s="170"/>
      <c r="AL906" s="177"/>
    </row>
    <row r="907" spans="15:38" x14ac:dyDescent="0.2">
      <c r="O907" s="170"/>
      <c r="AL907" s="177"/>
    </row>
    <row r="908" spans="15:38" x14ac:dyDescent="0.2">
      <c r="O908" s="170"/>
      <c r="AL908" s="177"/>
    </row>
    <row r="909" spans="15:38" x14ac:dyDescent="0.2">
      <c r="O909" s="170"/>
      <c r="AL909" s="177"/>
    </row>
    <row r="910" spans="15:38" x14ac:dyDescent="0.2">
      <c r="O910" s="170"/>
      <c r="AL910" s="177"/>
    </row>
    <row r="911" spans="15:38" x14ac:dyDescent="0.2">
      <c r="AL911" s="177"/>
    </row>
    <row r="912" spans="15:38" x14ac:dyDescent="0.2">
      <c r="AL912" s="177"/>
    </row>
    <row r="913" spans="15:38" x14ac:dyDescent="0.2">
      <c r="AL913" s="177"/>
    </row>
    <row r="914" spans="15:38" x14ac:dyDescent="0.2">
      <c r="AL914" s="177"/>
    </row>
    <row r="915" spans="15:38" x14ac:dyDescent="0.2">
      <c r="AL915" s="177"/>
    </row>
    <row r="916" spans="15:38" x14ac:dyDescent="0.2">
      <c r="AL916" s="177"/>
    </row>
    <row r="917" spans="15:38" x14ac:dyDescent="0.2">
      <c r="AL917" s="177"/>
    </row>
    <row r="918" spans="15:38" x14ac:dyDescent="0.2">
      <c r="AL918" s="177"/>
    </row>
    <row r="919" spans="15:38" x14ac:dyDescent="0.2">
      <c r="AL919" s="177"/>
    </row>
    <row r="920" spans="15:38" x14ac:dyDescent="0.2">
      <c r="O920" s="170"/>
      <c r="AL920" s="177"/>
    </row>
    <row r="921" spans="15:38" x14ac:dyDescent="0.2">
      <c r="O921" s="170"/>
      <c r="AL921" s="177"/>
    </row>
    <row r="922" spans="15:38" x14ac:dyDescent="0.2">
      <c r="O922" s="170"/>
      <c r="AL922" s="177"/>
    </row>
    <row r="923" spans="15:38" x14ac:dyDescent="0.2">
      <c r="O923" s="170"/>
      <c r="AL923" s="177"/>
    </row>
    <row r="924" spans="15:38" x14ac:dyDescent="0.2">
      <c r="O924" s="170"/>
      <c r="AL924" s="177"/>
    </row>
    <row r="925" spans="15:38" x14ac:dyDescent="0.2">
      <c r="O925" s="170"/>
      <c r="AL925" s="177"/>
    </row>
    <row r="926" spans="15:38" x14ac:dyDescent="0.2">
      <c r="AL926" s="177"/>
    </row>
    <row r="927" spans="15:38" x14ac:dyDescent="0.2">
      <c r="AL927" s="177"/>
    </row>
    <row r="928" spans="15:38" x14ac:dyDescent="0.2">
      <c r="AL928" s="177"/>
    </row>
    <row r="929" spans="15:38" x14ac:dyDescent="0.2">
      <c r="AL929" s="177"/>
    </row>
    <row r="930" spans="15:38" x14ac:dyDescent="0.2">
      <c r="AL930" s="177"/>
    </row>
    <row r="931" spans="15:38" x14ac:dyDescent="0.2">
      <c r="AL931" s="177"/>
    </row>
    <row r="932" spans="15:38" x14ac:dyDescent="0.2">
      <c r="AL932" s="177"/>
    </row>
    <row r="933" spans="15:38" x14ac:dyDescent="0.2">
      <c r="AL933" s="177"/>
    </row>
    <row r="934" spans="15:38" x14ac:dyDescent="0.2">
      <c r="AL934" s="177"/>
    </row>
    <row r="935" spans="15:38" x14ac:dyDescent="0.2">
      <c r="O935" s="170"/>
      <c r="AL935" s="177"/>
    </row>
    <row r="936" spans="15:38" x14ac:dyDescent="0.2">
      <c r="O936" s="170"/>
      <c r="AL936" s="177"/>
    </row>
    <row r="937" spans="15:38" x14ac:dyDescent="0.2">
      <c r="O937" s="170"/>
      <c r="AL937" s="177"/>
    </row>
    <row r="938" spans="15:38" x14ac:dyDescent="0.2">
      <c r="O938" s="170"/>
      <c r="AL938" s="177"/>
    </row>
    <row r="939" spans="15:38" x14ac:dyDescent="0.2">
      <c r="O939" s="170"/>
      <c r="AL939" s="177"/>
    </row>
    <row r="940" spans="15:38" x14ac:dyDescent="0.2">
      <c r="O940" s="170"/>
      <c r="AL940" s="177"/>
    </row>
    <row r="941" spans="15:38" x14ac:dyDescent="0.2">
      <c r="AL941" s="177"/>
    </row>
    <row r="942" spans="15:38" x14ac:dyDescent="0.2">
      <c r="AL942" s="177"/>
    </row>
    <row r="943" spans="15:38" x14ac:dyDescent="0.2">
      <c r="AL943" s="177"/>
    </row>
    <row r="944" spans="15:38" x14ac:dyDescent="0.2">
      <c r="AL944" s="177"/>
    </row>
    <row r="945" spans="15:38" x14ac:dyDescent="0.2">
      <c r="AL945" s="177"/>
    </row>
    <row r="946" spans="15:38" x14ac:dyDescent="0.2">
      <c r="AL946" s="177"/>
    </row>
    <row r="947" spans="15:38" x14ac:dyDescent="0.2">
      <c r="AL947" s="177"/>
    </row>
    <row r="948" spans="15:38" x14ac:dyDescent="0.2">
      <c r="AL948" s="177"/>
    </row>
    <row r="949" spans="15:38" x14ac:dyDescent="0.2">
      <c r="AL949" s="177"/>
    </row>
    <row r="950" spans="15:38" x14ac:dyDescent="0.2">
      <c r="O950" s="170"/>
      <c r="AL950" s="177"/>
    </row>
    <row r="951" spans="15:38" x14ac:dyDescent="0.2">
      <c r="O951" s="170"/>
      <c r="AL951" s="177"/>
    </row>
    <row r="952" spans="15:38" x14ac:dyDescent="0.2">
      <c r="O952" s="170"/>
      <c r="AL952" s="177"/>
    </row>
    <row r="953" spans="15:38" x14ac:dyDescent="0.2">
      <c r="O953" s="170"/>
      <c r="AL953" s="177"/>
    </row>
    <row r="954" spans="15:38" x14ac:dyDescent="0.2">
      <c r="O954" s="170"/>
      <c r="AL954" s="177"/>
    </row>
    <row r="955" spans="15:38" x14ac:dyDescent="0.2">
      <c r="O955" s="170"/>
      <c r="AL955" s="177"/>
    </row>
    <row r="956" spans="15:38" x14ac:dyDescent="0.2">
      <c r="AL956" s="177"/>
    </row>
    <row r="957" spans="15:38" x14ac:dyDescent="0.2">
      <c r="AL957" s="177"/>
    </row>
    <row r="958" spans="15:38" x14ac:dyDescent="0.2">
      <c r="AL958" s="177"/>
    </row>
    <row r="959" spans="15:38" x14ac:dyDescent="0.2">
      <c r="AL959" s="177"/>
    </row>
    <row r="960" spans="15:38" x14ac:dyDescent="0.2">
      <c r="AL960" s="177"/>
    </row>
    <row r="961" spans="15:38" x14ac:dyDescent="0.2">
      <c r="AL961" s="177"/>
    </row>
    <row r="962" spans="15:38" x14ac:dyDescent="0.2">
      <c r="AL962" s="177"/>
    </row>
    <row r="963" spans="15:38" x14ac:dyDescent="0.2">
      <c r="AL963" s="177"/>
    </row>
    <row r="964" spans="15:38" x14ac:dyDescent="0.2">
      <c r="AL964" s="177"/>
    </row>
    <row r="965" spans="15:38" x14ac:dyDescent="0.2">
      <c r="O965" s="170"/>
      <c r="AL965" s="177"/>
    </row>
    <row r="966" spans="15:38" x14ac:dyDescent="0.2">
      <c r="O966" s="170"/>
      <c r="AL966" s="177"/>
    </row>
    <row r="967" spans="15:38" x14ac:dyDescent="0.2">
      <c r="O967" s="170"/>
      <c r="AL967" s="177"/>
    </row>
    <row r="968" spans="15:38" x14ac:dyDescent="0.2">
      <c r="O968" s="170"/>
      <c r="AL968" s="177"/>
    </row>
    <row r="969" spans="15:38" x14ac:dyDescent="0.2">
      <c r="O969" s="170"/>
      <c r="AL969" s="177"/>
    </row>
    <row r="970" spans="15:38" x14ac:dyDescent="0.2">
      <c r="O970" s="170"/>
      <c r="AL970" s="177"/>
    </row>
    <row r="971" spans="15:38" x14ac:dyDescent="0.2">
      <c r="AL971" s="177"/>
    </row>
    <row r="972" spans="15:38" x14ac:dyDescent="0.2">
      <c r="AL972" s="177"/>
    </row>
    <row r="973" spans="15:38" x14ac:dyDescent="0.2">
      <c r="AL973" s="177"/>
    </row>
    <row r="974" spans="15:38" x14ac:dyDescent="0.2">
      <c r="AL974" s="177"/>
    </row>
    <row r="975" spans="15:38" x14ac:dyDescent="0.2">
      <c r="AL975" s="177"/>
    </row>
    <row r="976" spans="15:38" x14ac:dyDescent="0.2">
      <c r="AL976" s="177"/>
    </row>
    <row r="977" spans="15:38" x14ac:dyDescent="0.2">
      <c r="AL977" s="177"/>
    </row>
    <row r="978" spans="15:38" x14ac:dyDescent="0.2">
      <c r="AL978" s="177"/>
    </row>
    <row r="979" spans="15:38" x14ac:dyDescent="0.2">
      <c r="AL979" s="177"/>
    </row>
    <row r="980" spans="15:38" x14ac:dyDescent="0.2">
      <c r="O980" s="170"/>
      <c r="AL980" s="177"/>
    </row>
    <row r="981" spans="15:38" x14ac:dyDescent="0.2">
      <c r="O981" s="170"/>
      <c r="AL981" s="177"/>
    </row>
    <row r="982" spans="15:38" x14ac:dyDescent="0.2">
      <c r="O982" s="170"/>
      <c r="AL982" s="177"/>
    </row>
    <row r="983" spans="15:38" x14ac:dyDescent="0.2">
      <c r="O983" s="170"/>
      <c r="AL983" s="177"/>
    </row>
    <row r="984" spans="15:38" x14ac:dyDescent="0.2">
      <c r="O984" s="170"/>
      <c r="AL984" s="177"/>
    </row>
    <row r="985" spans="15:38" x14ac:dyDescent="0.2">
      <c r="O985" s="170"/>
      <c r="AL985" s="177"/>
    </row>
    <row r="986" spans="15:38" x14ac:dyDescent="0.2">
      <c r="AL986" s="177"/>
    </row>
    <row r="987" spans="15:38" x14ac:dyDescent="0.2">
      <c r="AL987" s="177"/>
    </row>
    <row r="988" spans="15:38" x14ac:dyDescent="0.2">
      <c r="AL988" s="177"/>
    </row>
    <row r="989" spans="15:38" x14ac:dyDescent="0.2">
      <c r="AL989" s="177"/>
    </row>
    <row r="990" spans="15:38" x14ac:dyDescent="0.2">
      <c r="AL990" s="177"/>
    </row>
    <row r="991" spans="15:38" x14ac:dyDescent="0.2">
      <c r="AL991" s="177"/>
    </row>
    <row r="992" spans="15:38" x14ac:dyDescent="0.2">
      <c r="AL992" s="177"/>
    </row>
    <row r="993" spans="15:38" x14ac:dyDescent="0.2">
      <c r="AL993" s="177"/>
    </row>
    <row r="994" spans="15:38" x14ac:dyDescent="0.2">
      <c r="AL994" s="177"/>
    </row>
    <row r="995" spans="15:38" x14ac:dyDescent="0.2">
      <c r="O995" s="170"/>
      <c r="AL995" s="177"/>
    </row>
    <row r="996" spans="15:38" x14ac:dyDescent="0.2">
      <c r="O996" s="170"/>
      <c r="AL996" s="177"/>
    </row>
    <row r="997" spans="15:38" x14ac:dyDescent="0.2">
      <c r="O997" s="170"/>
      <c r="AL997" s="177"/>
    </row>
    <row r="998" spans="15:38" x14ac:dyDescent="0.2">
      <c r="O998" s="170"/>
      <c r="AL998" s="177"/>
    </row>
    <row r="999" spans="15:38" x14ac:dyDescent="0.2">
      <c r="O999" s="170"/>
      <c r="AL999" s="177"/>
    </row>
    <row r="1000" spans="15:38" x14ac:dyDescent="0.2">
      <c r="O1000" s="170"/>
      <c r="AL1000" s="177"/>
    </row>
    <row r="1001" spans="15:38" x14ac:dyDescent="0.2">
      <c r="AL1001" s="177"/>
    </row>
    <row r="1002" spans="15:38" x14ac:dyDescent="0.2">
      <c r="AL1002" s="177"/>
    </row>
    <row r="1003" spans="15:38" x14ac:dyDescent="0.2">
      <c r="AL1003" s="177"/>
    </row>
    <row r="1004" spans="15:38" x14ac:dyDescent="0.2">
      <c r="AL1004" s="177"/>
    </row>
    <row r="1005" spans="15:38" x14ac:dyDescent="0.2">
      <c r="AL1005" s="177"/>
    </row>
    <row r="1006" spans="15:38" x14ac:dyDescent="0.2">
      <c r="AL1006" s="177"/>
    </row>
    <row r="1007" spans="15:38" x14ac:dyDescent="0.2">
      <c r="AL1007" s="177"/>
    </row>
    <row r="1008" spans="15:38" x14ac:dyDescent="0.2">
      <c r="AL1008" s="177"/>
    </row>
    <row r="1009" spans="15:38" x14ac:dyDescent="0.2">
      <c r="AL1009" s="177"/>
    </row>
    <row r="1010" spans="15:38" x14ac:dyDescent="0.2">
      <c r="O1010" s="170"/>
      <c r="AL1010" s="177"/>
    </row>
    <row r="1011" spans="15:38" x14ac:dyDescent="0.2">
      <c r="O1011" s="170"/>
      <c r="AL1011" s="177"/>
    </row>
    <row r="1012" spans="15:38" x14ac:dyDescent="0.2">
      <c r="O1012" s="170"/>
      <c r="AL1012" s="177"/>
    </row>
    <row r="1013" spans="15:38" x14ac:dyDescent="0.2">
      <c r="O1013" s="170"/>
      <c r="AL1013" s="177"/>
    </row>
    <row r="1014" spans="15:38" x14ac:dyDescent="0.2">
      <c r="O1014" s="170"/>
      <c r="AL1014" s="177"/>
    </row>
    <row r="1015" spans="15:38" x14ac:dyDescent="0.2">
      <c r="O1015" s="170"/>
      <c r="AL1015" s="177"/>
    </row>
    <row r="1016" spans="15:38" x14ac:dyDescent="0.2">
      <c r="AL1016" s="177"/>
    </row>
    <row r="1017" spans="15:38" x14ac:dyDescent="0.2">
      <c r="AL1017" s="177"/>
    </row>
    <row r="1018" spans="15:38" x14ac:dyDescent="0.2">
      <c r="AL1018" s="177"/>
    </row>
    <row r="1019" spans="15:38" x14ac:dyDescent="0.2">
      <c r="AL1019" s="177"/>
    </row>
    <row r="1020" spans="15:38" x14ac:dyDescent="0.2">
      <c r="AL1020" s="177"/>
    </row>
    <row r="1021" spans="15:38" x14ac:dyDescent="0.2">
      <c r="AL1021" s="177"/>
    </row>
    <row r="1022" spans="15:38" x14ac:dyDescent="0.2">
      <c r="AL1022" s="177"/>
    </row>
    <row r="1023" spans="15:38" x14ac:dyDescent="0.2">
      <c r="AL1023" s="177"/>
    </row>
    <row r="1024" spans="15:38" x14ac:dyDescent="0.2">
      <c r="AL1024" s="177"/>
    </row>
    <row r="1025" spans="15:38" x14ac:dyDescent="0.2">
      <c r="O1025" s="170"/>
      <c r="AL1025" s="177"/>
    </row>
    <row r="1026" spans="15:38" x14ac:dyDescent="0.2">
      <c r="O1026" s="170"/>
      <c r="AL1026" s="177"/>
    </row>
    <row r="1027" spans="15:38" x14ac:dyDescent="0.2">
      <c r="O1027" s="170"/>
      <c r="AL1027" s="177"/>
    </row>
    <row r="1028" spans="15:38" x14ac:dyDescent="0.2">
      <c r="O1028" s="170"/>
      <c r="AL1028" s="177"/>
    </row>
    <row r="1029" spans="15:38" x14ac:dyDescent="0.2">
      <c r="O1029" s="170"/>
      <c r="AL1029" s="177"/>
    </row>
    <row r="1030" spans="15:38" x14ac:dyDescent="0.2">
      <c r="O1030" s="170"/>
      <c r="AL1030" s="177"/>
    </row>
    <row r="1031" spans="15:38" x14ac:dyDescent="0.2">
      <c r="AL1031" s="177"/>
    </row>
    <row r="1032" spans="15:38" x14ac:dyDescent="0.2">
      <c r="AL1032" s="177"/>
    </row>
    <row r="1033" spans="15:38" x14ac:dyDescent="0.2">
      <c r="AL1033" s="177"/>
    </row>
    <row r="1034" spans="15:38" x14ac:dyDescent="0.2">
      <c r="AL1034" s="177"/>
    </row>
    <row r="1035" spans="15:38" x14ac:dyDescent="0.2">
      <c r="AL1035" s="177"/>
    </row>
    <row r="1036" spans="15:38" x14ac:dyDescent="0.2">
      <c r="AL1036" s="177"/>
    </row>
    <row r="1037" spans="15:38" x14ac:dyDescent="0.2">
      <c r="AL1037" s="177"/>
    </row>
    <row r="1038" spans="15:38" x14ac:dyDescent="0.2">
      <c r="AL1038" s="177"/>
    </row>
    <row r="1039" spans="15:38" x14ac:dyDescent="0.2">
      <c r="AL1039" s="177"/>
    </row>
    <row r="1040" spans="15:38" x14ac:dyDescent="0.2">
      <c r="O1040" s="170"/>
      <c r="AL1040" s="177"/>
    </row>
    <row r="1041" spans="15:38" x14ac:dyDescent="0.2">
      <c r="O1041" s="170"/>
      <c r="AL1041" s="177"/>
    </row>
    <row r="1042" spans="15:38" x14ac:dyDescent="0.2">
      <c r="O1042" s="170"/>
      <c r="AL1042" s="177"/>
    </row>
    <row r="1043" spans="15:38" x14ac:dyDescent="0.2">
      <c r="O1043" s="170"/>
      <c r="AL1043" s="177"/>
    </row>
    <row r="1044" spans="15:38" x14ac:dyDescent="0.2">
      <c r="O1044" s="170"/>
      <c r="AL1044" s="177"/>
    </row>
    <row r="1045" spans="15:38" x14ac:dyDescent="0.2">
      <c r="O1045" s="170"/>
      <c r="AL1045" s="177"/>
    </row>
    <row r="1046" spans="15:38" x14ac:dyDescent="0.2">
      <c r="AL1046" s="177"/>
    </row>
    <row r="1047" spans="15:38" x14ac:dyDescent="0.2">
      <c r="AL1047" s="177"/>
    </row>
    <row r="1048" spans="15:38" x14ac:dyDescent="0.2">
      <c r="AL1048" s="177"/>
    </row>
    <row r="1049" spans="15:38" x14ac:dyDescent="0.2">
      <c r="AL1049" s="177"/>
    </row>
    <row r="1050" spans="15:38" x14ac:dyDescent="0.2">
      <c r="AL1050" s="177"/>
    </row>
    <row r="1051" spans="15:38" x14ac:dyDescent="0.2">
      <c r="AL1051" s="177"/>
    </row>
    <row r="1052" spans="15:38" x14ac:dyDescent="0.2">
      <c r="AL1052" s="177"/>
    </row>
    <row r="1053" spans="15:38" x14ac:dyDescent="0.2">
      <c r="AL1053" s="177"/>
    </row>
    <row r="1054" spans="15:38" x14ac:dyDescent="0.2">
      <c r="AL1054" s="177"/>
    </row>
    <row r="1055" spans="15:38" x14ac:dyDescent="0.2">
      <c r="O1055" s="170"/>
      <c r="AL1055" s="177"/>
    </row>
    <row r="1056" spans="15:38" x14ac:dyDescent="0.2">
      <c r="O1056" s="170"/>
      <c r="AL1056" s="177"/>
    </row>
    <row r="1057" spans="15:38" x14ac:dyDescent="0.2">
      <c r="O1057" s="170"/>
      <c r="AL1057" s="177"/>
    </row>
    <row r="1058" spans="15:38" x14ac:dyDescent="0.2">
      <c r="O1058" s="170"/>
      <c r="AL1058" s="177"/>
    </row>
    <row r="1059" spans="15:38" x14ac:dyDescent="0.2">
      <c r="O1059" s="170"/>
      <c r="AL1059" s="177"/>
    </row>
    <row r="1060" spans="15:38" x14ac:dyDescent="0.2">
      <c r="O1060" s="170"/>
      <c r="AL1060" s="177"/>
    </row>
    <row r="1061" spans="15:38" x14ac:dyDescent="0.2">
      <c r="AL1061" s="177"/>
    </row>
    <row r="1062" spans="15:38" x14ac:dyDescent="0.2">
      <c r="AL1062" s="177"/>
    </row>
    <row r="1063" spans="15:38" x14ac:dyDescent="0.2">
      <c r="AL1063" s="177"/>
    </row>
    <row r="1064" spans="15:38" x14ac:dyDescent="0.2">
      <c r="AL1064" s="177"/>
    </row>
    <row r="1065" spans="15:38" x14ac:dyDescent="0.2">
      <c r="AL1065" s="177"/>
    </row>
    <row r="1066" spans="15:38" x14ac:dyDescent="0.2">
      <c r="AL1066" s="177"/>
    </row>
    <row r="1067" spans="15:38" x14ac:dyDescent="0.2">
      <c r="AL1067" s="177"/>
    </row>
    <row r="1068" spans="15:38" x14ac:dyDescent="0.2">
      <c r="AL1068" s="177"/>
    </row>
    <row r="1069" spans="15:38" x14ac:dyDescent="0.2">
      <c r="AL1069" s="177"/>
    </row>
    <row r="1070" spans="15:38" x14ac:dyDescent="0.2">
      <c r="O1070" s="170"/>
      <c r="AL1070" s="177"/>
    </row>
    <row r="1071" spans="15:38" x14ac:dyDescent="0.2">
      <c r="O1071" s="170"/>
      <c r="AL1071" s="177"/>
    </row>
    <row r="1072" spans="15:38" x14ac:dyDescent="0.2">
      <c r="O1072" s="170"/>
      <c r="AL1072" s="177"/>
    </row>
    <row r="1073" spans="15:38" x14ac:dyDescent="0.2">
      <c r="O1073" s="170"/>
      <c r="AL1073" s="177"/>
    </row>
    <row r="1074" spans="15:38" x14ac:dyDescent="0.2">
      <c r="O1074" s="170"/>
      <c r="AL1074" s="177"/>
    </row>
    <row r="1075" spans="15:38" x14ac:dyDescent="0.2">
      <c r="O1075" s="170"/>
      <c r="AL1075" s="177"/>
    </row>
    <row r="1076" spans="15:38" x14ac:dyDescent="0.2">
      <c r="AL1076" s="177"/>
    </row>
    <row r="1077" spans="15:38" x14ac:dyDescent="0.2">
      <c r="AL1077" s="177"/>
    </row>
    <row r="1078" spans="15:38" x14ac:dyDescent="0.2">
      <c r="AL1078" s="177"/>
    </row>
    <row r="1079" spans="15:38" x14ac:dyDescent="0.2">
      <c r="AL1079" s="177"/>
    </row>
    <row r="1080" spans="15:38" x14ac:dyDescent="0.2">
      <c r="AL1080" s="177"/>
    </row>
    <row r="1081" spans="15:38" x14ac:dyDescent="0.2">
      <c r="AL1081" s="177"/>
    </row>
    <row r="1082" spans="15:38" x14ac:dyDescent="0.2">
      <c r="AL1082" s="177"/>
    </row>
    <row r="1083" spans="15:38" x14ac:dyDescent="0.2">
      <c r="AL1083" s="177"/>
    </row>
    <row r="1084" spans="15:38" x14ac:dyDescent="0.2">
      <c r="AL1084" s="177"/>
    </row>
    <row r="1085" spans="15:38" x14ac:dyDescent="0.2">
      <c r="O1085" s="170"/>
      <c r="AL1085" s="177"/>
    </row>
    <row r="1086" spans="15:38" x14ac:dyDescent="0.2">
      <c r="O1086" s="170"/>
      <c r="AL1086" s="177"/>
    </row>
    <row r="1087" spans="15:38" x14ac:dyDescent="0.2">
      <c r="O1087" s="170"/>
      <c r="AL1087" s="177"/>
    </row>
    <row r="1088" spans="15:38" x14ac:dyDescent="0.2">
      <c r="O1088" s="170"/>
      <c r="AL1088" s="177"/>
    </row>
    <row r="1089" spans="15:38" x14ac:dyDescent="0.2">
      <c r="O1089" s="170"/>
      <c r="AL1089" s="177"/>
    </row>
    <row r="1090" spans="15:38" x14ac:dyDescent="0.2">
      <c r="O1090" s="170"/>
      <c r="AL1090" s="177"/>
    </row>
    <row r="1091" spans="15:38" x14ac:dyDescent="0.2">
      <c r="AL1091" s="177"/>
    </row>
    <row r="1092" spans="15:38" x14ac:dyDescent="0.2">
      <c r="AL1092" s="177"/>
    </row>
    <row r="1093" spans="15:38" x14ac:dyDescent="0.2">
      <c r="AL1093" s="177"/>
    </row>
    <row r="1094" spans="15:38" x14ac:dyDescent="0.2">
      <c r="AL1094" s="177"/>
    </row>
    <row r="1095" spans="15:38" x14ac:dyDescent="0.2">
      <c r="AL1095" s="177"/>
    </row>
    <row r="1096" spans="15:38" x14ac:dyDescent="0.2">
      <c r="AL1096" s="177"/>
    </row>
    <row r="1097" spans="15:38" x14ac:dyDescent="0.2">
      <c r="AL1097" s="177"/>
    </row>
    <row r="1098" spans="15:38" x14ac:dyDescent="0.2">
      <c r="AL1098" s="177"/>
    </row>
    <row r="1099" spans="15:38" x14ac:dyDescent="0.2">
      <c r="AL1099" s="177"/>
    </row>
    <row r="1100" spans="15:38" x14ac:dyDescent="0.2">
      <c r="O1100" s="170"/>
      <c r="AL1100" s="177"/>
    </row>
    <row r="1101" spans="15:38" x14ac:dyDescent="0.2">
      <c r="O1101" s="170"/>
      <c r="AL1101" s="177"/>
    </row>
    <row r="1102" spans="15:38" x14ac:dyDescent="0.2">
      <c r="O1102" s="170"/>
      <c r="AL1102" s="177"/>
    </row>
    <row r="1103" spans="15:38" x14ac:dyDescent="0.2">
      <c r="O1103" s="170"/>
      <c r="AL1103" s="177"/>
    </row>
    <row r="1104" spans="15:38" x14ac:dyDescent="0.2">
      <c r="O1104" s="170"/>
      <c r="AL1104" s="177"/>
    </row>
    <row r="1105" spans="15:38" x14ac:dyDescent="0.2">
      <c r="O1105" s="170"/>
      <c r="AL1105" s="177"/>
    </row>
    <row r="1106" spans="15:38" x14ac:dyDescent="0.2">
      <c r="AL1106" s="177"/>
    </row>
    <row r="1107" spans="15:38" x14ac:dyDescent="0.2">
      <c r="AL1107" s="177"/>
    </row>
    <row r="1108" spans="15:38" x14ac:dyDescent="0.2">
      <c r="AL1108" s="177"/>
    </row>
    <row r="1109" spans="15:38" x14ac:dyDescent="0.2">
      <c r="AL1109" s="177"/>
    </row>
    <row r="1110" spans="15:38" x14ac:dyDescent="0.2">
      <c r="AL1110" s="177"/>
    </row>
    <row r="1111" spans="15:38" x14ac:dyDescent="0.2">
      <c r="AL1111" s="177"/>
    </row>
    <row r="1112" spans="15:38" x14ac:dyDescent="0.2">
      <c r="AL1112" s="177"/>
    </row>
    <row r="1113" spans="15:38" x14ac:dyDescent="0.2">
      <c r="AL1113" s="177"/>
    </row>
    <row r="1114" spans="15:38" x14ac:dyDescent="0.2">
      <c r="AL1114" s="177"/>
    </row>
    <row r="1115" spans="15:38" x14ac:dyDescent="0.2">
      <c r="O1115" s="170"/>
      <c r="AL1115" s="177"/>
    </row>
    <row r="1116" spans="15:38" x14ac:dyDescent="0.2">
      <c r="O1116" s="170"/>
      <c r="AL1116" s="177"/>
    </row>
    <row r="1117" spans="15:38" x14ac:dyDescent="0.2">
      <c r="O1117" s="170"/>
      <c r="AL1117" s="177"/>
    </row>
    <row r="1118" spans="15:38" x14ac:dyDescent="0.2">
      <c r="O1118" s="170"/>
      <c r="AL1118" s="177"/>
    </row>
    <row r="1119" spans="15:38" x14ac:dyDescent="0.2">
      <c r="O1119" s="170"/>
      <c r="AL1119" s="177"/>
    </row>
    <row r="1120" spans="15:38" x14ac:dyDescent="0.2">
      <c r="O1120" s="170"/>
      <c r="AL1120" s="177"/>
    </row>
    <row r="1121" spans="15:38" x14ac:dyDescent="0.2">
      <c r="AL1121" s="177"/>
    </row>
    <row r="1122" spans="15:38" x14ac:dyDescent="0.2">
      <c r="AL1122" s="177"/>
    </row>
    <row r="1123" spans="15:38" x14ac:dyDescent="0.2">
      <c r="AL1123" s="177"/>
    </row>
    <row r="1124" spans="15:38" x14ac:dyDescent="0.2">
      <c r="AL1124" s="177"/>
    </row>
    <row r="1125" spans="15:38" x14ac:dyDescent="0.2">
      <c r="AL1125" s="177"/>
    </row>
    <row r="1126" spans="15:38" x14ac:dyDescent="0.2">
      <c r="AL1126" s="177"/>
    </row>
    <row r="1127" spans="15:38" x14ac:dyDescent="0.2">
      <c r="AL1127" s="177"/>
    </row>
    <row r="1128" spans="15:38" x14ac:dyDescent="0.2">
      <c r="AL1128" s="177"/>
    </row>
    <row r="1129" spans="15:38" x14ac:dyDescent="0.2">
      <c r="AL1129" s="177"/>
    </row>
    <row r="1130" spans="15:38" x14ac:dyDescent="0.2">
      <c r="O1130" s="170"/>
      <c r="AL1130" s="177"/>
    </row>
    <row r="1131" spans="15:38" x14ac:dyDescent="0.2">
      <c r="O1131" s="170"/>
      <c r="AL1131" s="177"/>
    </row>
    <row r="1132" spans="15:38" x14ac:dyDescent="0.2">
      <c r="O1132" s="170"/>
      <c r="AL1132" s="177"/>
    </row>
    <row r="1133" spans="15:38" x14ac:dyDescent="0.2">
      <c r="O1133" s="170"/>
      <c r="AL1133" s="177"/>
    </row>
    <row r="1134" spans="15:38" x14ac:dyDescent="0.2">
      <c r="O1134" s="170"/>
      <c r="AL1134" s="177"/>
    </row>
    <row r="1135" spans="15:38" x14ac:dyDescent="0.2">
      <c r="O1135" s="170"/>
      <c r="AL1135" s="177"/>
    </row>
    <row r="1136" spans="15:38" x14ac:dyDescent="0.2">
      <c r="AL1136" s="177"/>
    </row>
    <row r="1137" spans="15:38" x14ac:dyDescent="0.2">
      <c r="AL1137" s="177"/>
    </row>
    <row r="1138" spans="15:38" x14ac:dyDescent="0.2">
      <c r="AL1138" s="177"/>
    </row>
    <row r="1139" spans="15:38" x14ac:dyDescent="0.2">
      <c r="AL1139" s="177"/>
    </row>
    <row r="1140" spans="15:38" x14ac:dyDescent="0.2">
      <c r="AL1140" s="177"/>
    </row>
    <row r="1141" spans="15:38" x14ac:dyDescent="0.2">
      <c r="AL1141" s="177"/>
    </row>
    <row r="1142" spans="15:38" x14ac:dyDescent="0.2">
      <c r="AL1142" s="177"/>
    </row>
    <row r="1143" spans="15:38" x14ac:dyDescent="0.2">
      <c r="AL1143" s="177"/>
    </row>
    <row r="1144" spans="15:38" x14ac:dyDescent="0.2">
      <c r="AL1144" s="177"/>
    </row>
    <row r="1145" spans="15:38" x14ac:dyDescent="0.2">
      <c r="O1145" s="170"/>
      <c r="AL1145" s="177"/>
    </row>
    <row r="1146" spans="15:38" x14ac:dyDescent="0.2">
      <c r="O1146" s="170"/>
      <c r="AL1146" s="177"/>
    </row>
    <row r="1147" spans="15:38" x14ac:dyDescent="0.2">
      <c r="O1147" s="170"/>
      <c r="AL1147" s="177"/>
    </row>
    <row r="1148" spans="15:38" x14ac:dyDescent="0.2">
      <c r="O1148" s="170"/>
      <c r="AL1148" s="177"/>
    </row>
    <row r="1149" spans="15:38" x14ac:dyDescent="0.2">
      <c r="O1149" s="170"/>
      <c r="AL1149" s="177"/>
    </row>
    <row r="1150" spans="15:38" x14ac:dyDescent="0.2">
      <c r="O1150" s="170"/>
      <c r="AL1150" s="177"/>
    </row>
    <row r="1151" spans="15:38" x14ac:dyDescent="0.2">
      <c r="AL1151" s="177"/>
    </row>
    <row r="1152" spans="15:38" x14ac:dyDescent="0.2">
      <c r="AL1152" s="177"/>
    </row>
    <row r="1153" spans="15:38" x14ac:dyDescent="0.2">
      <c r="AL1153" s="177"/>
    </row>
    <row r="1154" spans="15:38" x14ac:dyDescent="0.2">
      <c r="AL1154" s="177"/>
    </row>
    <row r="1155" spans="15:38" x14ac:dyDescent="0.2">
      <c r="AL1155" s="177"/>
    </row>
    <row r="1156" spans="15:38" x14ac:dyDescent="0.2">
      <c r="AL1156" s="177"/>
    </row>
    <row r="1157" spans="15:38" x14ac:dyDescent="0.2">
      <c r="AL1157" s="177"/>
    </row>
    <row r="1158" spans="15:38" x14ac:dyDescent="0.2">
      <c r="AL1158" s="177"/>
    </row>
    <row r="1159" spans="15:38" x14ac:dyDescent="0.2">
      <c r="AL1159" s="177"/>
    </row>
    <row r="1160" spans="15:38" x14ac:dyDescent="0.2">
      <c r="O1160" s="170"/>
      <c r="AL1160" s="177"/>
    </row>
    <row r="1161" spans="15:38" x14ac:dyDescent="0.2">
      <c r="O1161" s="170"/>
      <c r="AL1161" s="177"/>
    </row>
    <row r="1162" spans="15:38" x14ac:dyDescent="0.2">
      <c r="O1162" s="170"/>
      <c r="AL1162" s="177"/>
    </row>
    <row r="1163" spans="15:38" x14ac:dyDescent="0.2">
      <c r="O1163" s="170"/>
      <c r="AL1163" s="177"/>
    </row>
    <row r="1164" spans="15:38" x14ac:dyDescent="0.2">
      <c r="O1164" s="170"/>
      <c r="AL1164" s="177"/>
    </row>
    <row r="1165" spans="15:38" x14ac:dyDescent="0.2">
      <c r="O1165" s="170"/>
      <c r="AL1165" s="177"/>
    </row>
    <row r="1166" spans="15:38" x14ac:dyDescent="0.2">
      <c r="AL1166" s="177"/>
    </row>
    <row r="1167" spans="15:38" x14ac:dyDescent="0.2">
      <c r="AL1167" s="177"/>
    </row>
    <row r="1168" spans="15:38" x14ac:dyDescent="0.2">
      <c r="AL1168" s="177"/>
    </row>
    <row r="1169" spans="15:38" x14ac:dyDescent="0.2">
      <c r="AL1169" s="177"/>
    </row>
    <row r="1170" spans="15:38" x14ac:dyDescent="0.2">
      <c r="AL1170" s="177"/>
    </row>
    <row r="1171" spans="15:38" x14ac:dyDescent="0.2">
      <c r="AL1171" s="177"/>
    </row>
    <row r="1172" spans="15:38" x14ac:dyDescent="0.2">
      <c r="AL1172" s="177"/>
    </row>
    <row r="1173" spans="15:38" x14ac:dyDescent="0.2">
      <c r="AL1173" s="177"/>
    </row>
    <row r="1174" spans="15:38" x14ac:dyDescent="0.2">
      <c r="AL1174" s="177"/>
    </row>
    <row r="1175" spans="15:38" x14ac:dyDescent="0.2">
      <c r="O1175" s="170"/>
      <c r="AL1175" s="177"/>
    </row>
    <row r="1176" spans="15:38" x14ac:dyDescent="0.2">
      <c r="O1176" s="170"/>
      <c r="AL1176" s="177"/>
    </row>
    <row r="1177" spans="15:38" x14ac:dyDescent="0.2">
      <c r="O1177" s="170"/>
      <c r="AL1177" s="177"/>
    </row>
    <row r="1178" spans="15:38" x14ac:dyDescent="0.2">
      <c r="O1178" s="170"/>
      <c r="AL1178" s="177"/>
    </row>
    <row r="1179" spans="15:38" x14ac:dyDescent="0.2">
      <c r="O1179" s="170"/>
      <c r="AL1179" s="177"/>
    </row>
    <row r="1180" spans="15:38" x14ac:dyDescent="0.2">
      <c r="O1180" s="170"/>
      <c r="AL1180" s="177"/>
    </row>
    <row r="1181" spans="15:38" x14ac:dyDescent="0.2">
      <c r="AL1181" s="177"/>
    </row>
    <row r="1182" spans="15:38" x14ac:dyDescent="0.2">
      <c r="AL1182" s="177"/>
    </row>
    <row r="1183" spans="15:38" x14ac:dyDescent="0.2">
      <c r="AL1183" s="177"/>
    </row>
    <row r="1184" spans="15:38" x14ac:dyDescent="0.2">
      <c r="AL1184" s="177"/>
    </row>
    <row r="1185" spans="15:38" x14ac:dyDescent="0.2">
      <c r="AL1185" s="177"/>
    </row>
    <row r="1186" spans="15:38" x14ac:dyDescent="0.2">
      <c r="AL1186" s="177"/>
    </row>
    <row r="1187" spans="15:38" x14ac:dyDescent="0.2">
      <c r="AL1187" s="177"/>
    </row>
    <row r="1188" spans="15:38" x14ac:dyDescent="0.2">
      <c r="AL1188" s="177"/>
    </row>
    <row r="1189" spans="15:38" x14ac:dyDescent="0.2">
      <c r="AL1189" s="177"/>
    </row>
    <row r="1190" spans="15:38" x14ac:dyDescent="0.2">
      <c r="O1190" s="170"/>
      <c r="AL1190" s="177"/>
    </row>
    <row r="1191" spans="15:38" x14ac:dyDescent="0.2">
      <c r="O1191" s="170"/>
      <c r="AL1191" s="177"/>
    </row>
    <row r="1192" spans="15:38" x14ac:dyDescent="0.2">
      <c r="O1192" s="170"/>
      <c r="AL1192" s="177"/>
    </row>
    <row r="1193" spans="15:38" x14ac:dyDescent="0.2">
      <c r="O1193" s="170"/>
      <c r="AL1193" s="177"/>
    </row>
    <row r="1194" spans="15:38" x14ac:dyDescent="0.2">
      <c r="O1194" s="170"/>
      <c r="AL1194" s="177"/>
    </row>
    <row r="1195" spans="15:38" x14ac:dyDescent="0.2">
      <c r="O1195" s="170"/>
      <c r="AL1195" s="177"/>
    </row>
    <row r="1196" spans="15:38" x14ac:dyDescent="0.2">
      <c r="AL1196" s="177"/>
    </row>
    <row r="1197" spans="15:38" x14ac:dyDescent="0.2">
      <c r="AL1197" s="177"/>
    </row>
    <row r="1198" spans="15:38" x14ac:dyDescent="0.2">
      <c r="AL1198" s="177"/>
    </row>
    <row r="1199" spans="15:38" x14ac:dyDescent="0.2">
      <c r="AL1199" s="177"/>
    </row>
    <row r="1200" spans="15:38" x14ac:dyDescent="0.2">
      <c r="AL1200" s="177"/>
    </row>
    <row r="1201" spans="15:38" x14ac:dyDescent="0.2">
      <c r="AL1201" s="177"/>
    </row>
    <row r="1202" spans="15:38" x14ac:dyDescent="0.2">
      <c r="AL1202" s="177"/>
    </row>
    <row r="1203" spans="15:38" x14ac:dyDescent="0.2">
      <c r="AL1203" s="177"/>
    </row>
    <row r="1204" spans="15:38" x14ac:dyDescent="0.2">
      <c r="AL1204" s="177"/>
    </row>
    <row r="1205" spans="15:38" x14ac:dyDescent="0.2">
      <c r="O1205" s="170"/>
      <c r="AL1205" s="177"/>
    </row>
    <row r="1206" spans="15:38" x14ac:dyDescent="0.2">
      <c r="O1206" s="170"/>
      <c r="AL1206" s="177"/>
    </row>
    <row r="1207" spans="15:38" x14ac:dyDescent="0.2">
      <c r="O1207" s="170"/>
      <c r="AL1207" s="177"/>
    </row>
    <row r="1208" spans="15:38" x14ac:dyDescent="0.2">
      <c r="O1208" s="170"/>
      <c r="AL1208" s="177"/>
    </row>
    <row r="1209" spans="15:38" x14ac:dyDescent="0.2">
      <c r="O1209" s="170"/>
      <c r="AL1209" s="177"/>
    </row>
    <row r="1210" spans="15:38" x14ac:dyDescent="0.2">
      <c r="O1210" s="170"/>
      <c r="AL1210" s="177"/>
    </row>
    <row r="1211" spans="15:38" x14ac:dyDescent="0.2">
      <c r="AL1211" s="177"/>
    </row>
    <row r="1212" spans="15:38" x14ac:dyDescent="0.2">
      <c r="AL1212" s="177"/>
    </row>
    <row r="1213" spans="15:38" x14ac:dyDescent="0.2">
      <c r="AL1213" s="177"/>
    </row>
    <row r="1214" spans="15:38" x14ac:dyDescent="0.2">
      <c r="AL1214" s="177"/>
    </row>
    <row r="1215" spans="15:38" x14ac:dyDescent="0.2">
      <c r="AL1215" s="177"/>
    </row>
    <row r="1216" spans="15:38" x14ac:dyDescent="0.2">
      <c r="AL1216" s="177"/>
    </row>
    <row r="1217" spans="15:38" x14ac:dyDescent="0.2">
      <c r="AL1217" s="177"/>
    </row>
    <row r="1218" spans="15:38" x14ac:dyDescent="0.2">
      <c r="AL1218" s="177"/>
    </row>
    <row r="1219" spans="15:38" x14ac:dyDescent="0.2">
      <c r="AL1219" s="177"/>
    </row>
    <row r="1220" spans="15:38" x14ac:dyDescent="0.2">
      <c r="O1220" s="170"/>
      <c r="AL1220" s="177"/>
    </row>
    <row r="1221" spans="15:38" x14ac:dyDescent="0.2">
      <c r="O1221" s="170"/>
      <c r="AL1221" s="177"/>
    </row>
    <row r="1222" spans="15:38" x14ac:dyDescent="0.2">
      <c r="O1222" s="170"/>
      <c r="AL1222" s="177"/>
    </row>
    <row r="1223" spans="15:38" x14ac:dyDescent="0.2">
      <c r="O1223" s="170"/>
      <c r="AL1223" s="177"/>
    </row>
    <row r="1224" spans="15:38" x14ac:dyDescent="0.2">
      <c r="O1224" s="170"/>
      <c r="AL1224" s="177"/>
    </row>
    <row r="1225" spans="15:38" x14ac:dyDescent="0.2">
      <c r="O1225" s="170"/>
      <c r="AL1225" s="177"/>
    </row>
    <row r="1226" spans="15:38" x14ac:dyDescent="0.2">
      <c r="AL1226" s="177"/>
    </row>
    <row r="1227" spans="15:38" x14ac:dyDescent="0.2">
      <c r="AL1227" s="177"/>
    </row>
    <row r="1228" spans="15:38" x14ac:dyDescent="0.2">
      <c r="AL1228" s="177"/>
    </row>
    <row r="1229" spans="15:38" x14ac:dyDescent="0.2">
      <c r="AL1229" s="177"/>
    </row>
    <row r="1230" spans="15:38" x14ac:dyDescent="0.2">
      <c r="AL1230" s="177"/>
    </row>
    <row r="1231" spans="15:38" x14ac:dyDescent="0.2">
      <c r="AL1231" s="177"/>
    </row>
    <row r="1232" spans="15:38" x14ac:dyDescent="0.2">
      <c r="AL1232" s="177"/>
    </row>
    <row r="1233" spans="15:38" x14ac:dyDescent="0.2">
      <c r="AL1233" s="177"/>
    </row>
    <row r="1234" spans="15:38" x14ac:dyDescent="0.2">
      <c r="AL1234" s="177"/>
    </row>
    <row r="1235" spans="15:38" x14ac:dyDescent="0.2">
      <c r="O1235" s="170"/>
      <c r="AL1235" s="177"/>
    </row>
    <row r="1236" spans="15:38" x14ac:dyDescent="0.2">
      <c r="O1236" s="170"/>
      <c r="AL1236" s="177"/>
    </row>
    <row r="1237" spans="15:38" x14ac:dyDescent="0.2">
      <c r="O1237" s="170"/>
      <c r="AL1237" s="177"/>
    </row>
    <row r="1238" spans="15:38" x14ac:dyDescent="0.2">
      <c r="O1238" s="170"/>
      <c r="AL1238" s="177"/>
    </row>
    <row r="1239" spans="15:38" x14ac:dyDescent="0.2">
      <c r="O1239" s="170"/>
      <c r="AL1239" s="177"/>
    </row>
    <row r="1240" spans="15:38" x14ac:dyDescent="0.2">
      <c r="O1240" s="170"/>
      <c r="AL1240" s="177"/>
    </row>
    <row r="1241" spans="15:38" x14ac:dyDescent="0.2">
      <c r="AL1241" s="177"/>
    </row>
    <row r="1242" spans="15:38" x14ac:dyDescent="0.2">
      <c r="AL1242" s="177"/>
    </row>
    <row r="1243" spans="15:38" x14ac:dyDescent="0.2">
      <c r="AL1243" s="177"/>
    </row>
    <row r="1244" spans="15:38" x14ac:dyDescent="0.2">
      <c r="AL1244" s="177"/>
    </row>
    <row r="1245" spans="15:38" x14ac:dyDescent="0.2">
      <c r="AL1245" s="177"/>
    </row>
    <row r="1246" spans="15:38" x14ac:dyDescent="0.2">
      <c r="AL1246" s="177"/>
    </row>
    <row r="1247" spans="15:38" x14ac:dyDescent="0.2">
      <c r="AL1247" s="177"/>
    </row>
    <row r="1248" spans="15:38" x14ac:dyDescent="0.2">
      <c r="AL1248" s="177"/>
    </row>
    <row r="1249" spans="15:38" x14ac:dyDescent="0.2">
      <c r="AL1249" s="177"/>
    </row>
    <row r="1250" spans="15:38" x14ac:dyDescent="0.2">
      <c r="O1250" s="170"/>
      <c r="AL1250" s="177"/>
    </row>
    <row r="1251" spans="15:38" x14ac:dyDescent="0.2">
      <c r="O1251" s="170"/>
      <c r="AL1251" s="177"/>
    </row>
    <row r="1252" spans="15:38" x14ac:dyDescent="0.2">
      <c r="O1252" s="170"/>
      <c r="AL1252" s="177"/>
    </row>
    <row r="1253" spans="15:38" x14ac:dyDescent="0.2">
      <c r="O1253" s="170"/>
      <c r="AL1253" s="177"/>
    </row>
    <row r="1254" spans="15:38" x14ac:dyDescent="0.2">
      <c r="O1254" s="170"/>
      <c r="AL1254" s="177"/>
    </row>
    <row r="1255" spans="15:38" x14ac:dyDescent="0.2">
      <c r="O1255" s="170"/>
      <c r="AL1255" s="177"/>
    </row>
    <row r="1256" spans="15:38" x14ac:dyDescent="0.2">
      <c r="AL1256" s="177"/>
    </row>
    <row r="1257" spans="15:38" x14ac:dyDescent="0.2">
      <c r="AL1257" s="177"/>
    </row>
    <row r="1258" spans="15:38" x14ac:dyDescent="0.2">
      <c r="AL1258" s="177"/>
    </row>
    <row r="1259" spans="15:38" x14ac:dyDescent="0.2">
      <c r="AL1259" s="177"/>
    </row>
    <row r="1260" spans="15:38" x14ac:dyDescent="0.2">
      <c r="AL1260" s="177"/>
    </row>
    <row r="1261" spans="15:38" x14ac:dyDescent="0.2">
      <c r="AL1261" s="177"/>
    </row>
    <row r="1262" spans="15:38" x14ac:dyDescent="0.2">
      <c r="AL1262" s="177"/>
    </row>
    <row r="1263" spans="15:38" x14ac:dyDescent="0.2">
      <c r="AL1263" s="177"/>
    </row>
    <row r="1264" spans="15:38" x14ac:dyDescent="0.2">
      <c r="AL1264" s="177"/>
    </row>
    <row r="1265" spans="15:38" x14ac:dyDescent="0.2">
      <c r="O1265" s="170"/>
      <c r="AL1265" s="177"/>
    </row>
    <row r="1266" spans="15:38" x14ac:dyDescent="0.2">
      <c r="O1266" s="170"/>
      <c r="AL1266" s="177"/>
    </row>
    <row r="1267" spans="15:38" x14ac:dyDescent="0.2">
      <c r="O1267" s="170"/>
      <c r="AL1267" s="177"/>
    </row>
    <row r="1268" spans="15:38" x14ac:dyDescent="0.2">
      <c r="O1268" s="170"/>
      <c r="AL1268" s="177"/>
    </row>
    <row r="1269" spans="15:38" x14ac:dyDescent="0.2">
      <c r="O1269" s="170"/>
      <c r="AL1269" s="177"/>
    </row>
    <row r="1270" spans="15:38" x14ac:dyDescent="0.2">
      <c r="O1270" s="170"/>
      <c r="AL1270" s="177"/>
    </row>
    <row r="1271" spans="15:38" x14ac:dyDescent="0.2">
      <c r="AL1271" s="177"/>
    </row>
    <row r="1272" spans="15:38" x14ac:dyDescent="0.2">
      <c r="AL1272" s="177"/>
    </row>
    <row r="1273" spans="15:38" x14ac:dyDescent="0.2">
      <c r="AL1273" s="177"/>
    </row>
    <row r="1274" spans="15:38" x14ac:dyDescent="0.2">
      <c r="AL1274" s="177"/>
    </row>
    <row r="1275" spans="15:38" x14ac:dyDescent="0.2">
      <c r="AL1275" s="177"/>
    </row>
    <row r="1276" spans="15:38" x14ac:dyDescent="0.2">
      <c r="AL1276" s="177"/>
    </row>
    <row r="1277" spans="15:38" x14ac:dyDescent="0.2">
      <c r="AL1277" s="177"/>
    </row>
    <row r="1278" spans="15:38" x14ac:dyDescent="0.2">
      <c r="AL1278" s="177"/>
    </row>
    <row r="1279" spans="15:38" x14ac:dyDescent="0.2">
      <c r="AL1279" s="177"/>
    </row>
    <row r="1280" spans="15:38" x14ac:dyDescent="0.2">
      <c r="AL1280" s="177"/>
    </row>
    <row r="1281" spans="38:38" x14ac:dyDescent="0.2">
      <c r="AL1281" s="177"/>
    </row>
    <row r="1282" spans="38:38" x14ac:dyDescent="0.2">
      <c r="AL1282" s="177"/>
    </row>
    <row r="1283" spans="38:38" x14ac:dyDescent="0.2">
      <c r="AL1283" s="177"/>
    </row>
    <row r="1284" spans="38:38" x14ac:dyDescent="0.2">
      <c r="AL1284" s="177"/>
    </row>
    <row r="1285" spans="38:38" x14ac:dyDescent="0.2">
      <c r="AL1285" s="177"/>
    </row>
    <row r="1286" spans="38:38" x14ac:dyDescent="0.2">
      <c r="AL1286" s="177"/>
    </row>
    <row r="1287" spans="38:38" x14ac:dyDescent="0.2">
      <c r="AL1287" s="177"/>
    </row>
    <row r="1288" spans="38:38" x14ac:dyDescent="0.2">
      <c r="AL1288" s="177"/>
    </row>
    <row r="1289" spans="38:38" x14ac:dyDescent="0.2">
      <c r="AL1289" s="177"/>
    </row>
    <row r="1290" spans="38:38" x14ac:dyDescent="0.2">
      <c r="AL1290" s="177"/>
    </row>
    <row r="1291" spans="38:38" x14ac:dyDescent="0.2">
      <c r="AL1291" s="177"/>
    </row>
    <row r="1292" spans="38:38" x14ac:dyDescent="0.2">
      <c r="AL1292" s="177"/>
    </row>
    <row r="1293" spans="38:38" x14ac:dyDescent="0.2">
      <c r="AL1293" s="177"/>
    </row>
    <row r="1294" spans="38:38" x14ac:dyDescent="0.2">
      <c r="AL1294" s="177"/>
    </row>
    <row r="1295" spans="38:38" x14ac:dyDescent="0.2">
      <c r="AL1295" s="177"/>
    </row>
    <row r="1296" spans="38:38" x14ac:dyDescent="0.2">
      <c r="AL1296" s="177"/>
    </row>
    <row r="1297" spans="38:38" x14ac:dyDescent="0.2">
      <c r="AL1297" s="177"/>
    </row>
    <row r="1298" spans="38:38" x14ac:dyDescent="0.2">
      <c r="AL1298" s="177"/>
    </row>
    <row r="1299" spans="38:38" x14ac:dyDescent="0.2">
      <c r="AL1299" s="177"/>
    </row>
    <row r="1300" spans="38:38" x14ac:dyDescent="0.2">
      <c r="AL1300" s="177"/>
    </row>
    <row r="1301" spans="38:38" x14ac:dyDescent="0.2">
      <c r="AL1301" s="177"/>
    </row>
    <row r="1302" spans="38:38" x14ac:dyDescent="0.2">
      <c r="AL1302" s="177"/>
    </row>
    <row r="1303" spans="38:38" x14ac:dyDescent="0.2">
      <c r="AL1303" s="177"/>
    </row>
    <row r="1304" spans="38:38" x14ac:dyDescent="0.2">
      <c r="AL1304" s="177"/>
    </row>
    <row r="1305" spans="38:38" x14ac:dyDescent="0.2">
      <c r="AL1305" s="177"/>
    </row>
    <row r="1306" spans="38:38" x14ac:dyDescent="0.2">
      <c r="AL1306" s="177"/>
    </row>
    <row r="1307" spans="38:38" x14ac:dyDescent="0.2">
      <c r="AL1307" s="177"/>
    </row>
    <row r="1308" spans="38:38" x14ac:dyDescent="0.2">
      <c r="AL1308" s="177"/>
    </row>
    <row r="1309" spans="38:38" x14ac:dyDescent="0.2">
      <c r="AL1309" s="177"/>
    </row>
    <row r="1310" spans="38:38" x14ac:dyDescent="0.2">
      <c r="AL1310" s="177"/>
    </row>
    <row r="1311" spans="38:38" x14ac:dyDescent="0.2">
      <c r="AL1311" s="177"/>
    </row>
    <row r="1312" spans="38:38" x14ac:dyDescent="0.2">
      <c r="AL1312" s="177"/>
    </row>
    <row r="1313" spans="38:38" x14ac:dyDescent="0.2">
      <c r="AL1313" s="177"/>
    </row>
    <row r="1314" spans="38:38" x14ac:dyDescent="0.2">
      <c r="AL1314" s="177"/>
    </row>
    <row r="1315" spans="38:38" x14ac:dyDescent="0.2">
      <c r="AL1315" s="177"/>
    </row>
    <row r="1316" spans="38:38" x14ac:dyDescent="0.2">
      <c r="AL1316" s="177"/>
    </row>
    <row r="1317" spans="38:38" x14ac:dyDescent="0.2">
      <c r="AL1317" s="177"/>
    </row>
    <row r="1318" spans="38:38" x14ac:dyDescent="0.2">
      <c r="AL1318" s="177"/>
    </row>
    <row r="1319" spans="38:38" x14ac:dyDescent="0.2">
      <c r="AL1319" s="177"/>
    </row>
    <row r="1320" spans="38:38" x14ac:dyDescent="0.2">
      <c r="AL1320" s="177"/>
    </row>
    <row r="1321" spans="38:38" x14ac:dyDescent="0.2">
      <c r="AL1321" s="177"/>
    </row>
    <row r="1322" spans="38:38" x14ac:dyDescent="0.2">
      <c r="AL1322" s="177"/>
    </row>
    <row r="1323" spans="38:38" x14ac:dyDescent="0.2">
      <c r="AL1323" s="177"/>
    </row>
    <row r="1324" spans="38:38" x14ac:dyDescent="0.2">
      <c r="AL1324" s="177"/>
    </row>
    <row r="1325" spans="38:38" x14ac:dyDescent="0.2">
      <c r="AL1325" s="177"/>
    </row>
    <row r="1326" spans="38:38" x14ac:dyDescent="0.2">
      <c r="AL1326" s="177"/>
    </row>
    <row r="1327" spans="38:38" x14ac:dyDescent="0.2">
      <c r="AL1327" s="177"/>
    </row>
    <row r="1328" spans="38:38" x14ac:dyDescent="0.2">
      <c r="AL1328" s="177"/>
    </row>
    <row r="1329" spans="38:38" x14ac:dyDescent="0.2">
      <c r="AL1329" s="177"/>
    </row>
    <row r="1330" spans="38:38" x14ac:dyDescent="0.2">
      <c r="AL1330" s="177"/>
    </row>
    <row r="1331" spans="38:38" x14ac:dyDescent="0.2">
      <c r="AL1331" s="177"/>
    </row>
    <row r="1332" spans="38:38" x14ac:dyDescent="0.2">
      <c r="AL1332" s="177"/>
    </row>
    <row r="1333" spans="38:38" x14ac:dyDescent="0.2">
      <c r="AL1333" s="177"/>
    </row>
    <row r="1334" spans="38:38" x14ac:dyDescent="0.2">
      <c r="AL1334" s="177"/>
    </row>
    <row r="1335" spans="38:38" x14ac:dyDescent="0.2">
      <c r="AL1335" s="177"/>
    </row>
    <row r="1336" spans="38:38" x14ac:dyDescent="0.2">
      <c r="AL1336" s="177"/>
    </row>
    <row r="1337" spans="38:38" x14ac:dyDescent="0.2">
      <c r="AL1337" s="177"/>
    </row>
    <row r="1338" spans="38:38" x14ac:dyDescent="0.2">
      <c r="AL1338" s="177"/>
    </row>
    <row r="1339" spans="38:38" x14ac:dyDescent="0.2">
      <c r="AL1339" s="177"/>
    </row>
    <row r="1340" spans="38:38" x14ac:dyDescent="0.2">
      <c r="AL1340" s="177"/>
    </row>
    <row r="1341" spans="38:38" x14ac:dyDescent="0.2">
      <c r="AL1341" s="177"/>
    </row>
    <row r="1342" spans="38:38" x14ac:dyDescent="0.2">
      <c r="AL1342" s="177"/>
    </row>
    <row r="1343" spans="38:38" x14ac:dyDescent="0.2">
      <c r="AL1343" s="177"/>
    </row>
    <row r="1344" spans="38:38" x14ac:dyDescent="0.2">
      <c r="AL1344" s="177"/>
    </row>
    <row r="1345" spans="38:38" x14ac:dyDescent="0.2">
      <c r="AL1345" s="177"/>
    </row>
    <row r="1346" spans="38:38" x14ac:dyDescent="0.2">
      <c r="AL1346" s="177"/>
    </row>
    <row r="1347" spans="38:38" x14ac:dyDescent="0.2">
      <c r="AL1347" s="177"/>
    </row>
    <row r="1348" spans="38:38" x14ac:dyDescent="0.2">
      <c r="AL1348" s="177"/>
    </row>
    <row r="1349" spans="38:38" x14ac:dyDescent="0.2">
      <c r="AL1349" s="177"/>
    </row>
    <row r="1350" spans="38:38" x14ac:dyDescent="0.2">
      <c r="AL1350" s="177"/>
    </row>
    <row r="1351" spans="38:38" x14ac:dyDescent="0.2">
      <c r="AL1351" s="177"/>
    </row>
    <row r="1352" spans="38:38" x14ac:dyDescent="0.2">
      <c r="AL1352" s="177"/>
    </row>
    <row r="1353" spans="38:38" x14ac:dyDescent="0.2">
      <c r="AL1353" s="177"/>
    </row>
    <row r="1354" spans="38:38" x14ac:dyDescent="0.2">
      <c r="AL1354" s="177"/>
    </row>
    <row r="1355" spans="38:38" x14ac:dyDescent="0.2">
      <c r="AL1355" s="177"/>
    </row>
    <row r="1356" spans="38:38" x14ac:dyDescent="0.2">
      <c r="AL1356" s="177"/>
    </row>
    <row r="1357" spans="38:38" x14ac:dyDescent="0.2">
      <c r="AL1357" s="177"/>
    </row>
    <row r="1358" spans="38:38" x14ac:dyDescent="0.2">
      <c r="AL1358" s="177"/>
    </row>
    <row r="1359" spans="38:38" x14ac:dyDescent="0.2">
      <c r="AL1359" s="177"/>
    </row>
    <row r="1360" spans="38:38" x14ac:dyDescent="0.2">
      <c r="AL1360" s="177"/>
    </row>
    <row r="1361" spans="38:38" x14ac:dyDescent="0.2">
      <c r="AL1361" s="177"/>
    </row>
    <row r="1362" spans="38:38" x14ac:dyDescent="0.2">
      <c r="AL1362" s="177"/>
    </row>
    <row r="1363" spans="38:38" x14ac:dyDescent="0.2">
      <c r="AL1363" s="177"/>
    </row>
    <row r="1364" spans="38:38" x14ac:dyDescent="0.2">
      <c r="AL1364" s="177"/>
    </row>
    <row r="1365" spans="38:38" x14ac:dyDescent="0.2">
      <c r="AL1365" s="177"/>
    </row>
    <row r="1366" spans="38:38" x14ac:dyDescent="0.2">
      <c r="AL1366" s="177"/>
    </row>
    <row r="1367" spans="38:38" x14ac:dyDescent="0.2">
      <c r="AL1367" s="177"/>
    </row>
    <row r="1368" spans="38:38" x14ac:dyDescent="0.2">
      <c r="AL1368" s="177"/>
    </row>
    <row r="1369" spans="38:38" x14ac:dyDescent="0.2">
      <c r="AL1369" s="177"/>
    </row>
    <row r="1370" spans="38:38" x14ac:dyDescent="0.2">
      <c r="AL1370" s="177"/>
    </row>
    <row r="1371" spans="38:38" x14ac:dyDescent="0.2">
      <c r="AL1371" s="177"/>
    </row>
    <row r="1372" spans="38:38" x14ac:dyDescent="0.2">
      <c r="AL1372" s="177"/>
    </row>
    <row r="1373" spans="38:38" x14ac:dyDescent="0.2">
      <c r="AL1373" s="177"/>
    </row>
    <row r="1374" spans="38:38" x14ac:dyDescent="0.2">
      <c r="AL1374" s="177"/>
    </row>
    <row r="1375" spans="38:38" x14ac:dyDescent="0.2">
      <c r="AL1375" s="177"/>
    </row>
    <row r="1376" spans="38:38" x14ac:dyDescent="0.2">
      <c r="AL1376" s="177"/>
    </row>
    <row r="1377" spans="38:38" x14ac:dyDescent="0.2">
      <c r="AL1377" s="177"/>
    </row>
    <row r="1378" spans="38:38" x14ac:dyDescent="0.2">
      <c r="AL1378" s="177"/>
    </row>
    <row r="1379" spans="38:38" x14ac:dyDescent="0.2">
      <c r="AL1379" s="177"/>
    </row>
    <row r="1380" spans="38:38" x14ac:dyDescent="0.2">
      <c r="AL1380" s="177"/>
    </row>
    <row r="1381" spans="38:38" x14ac:dyDescent="0.2">
      <c r="AL1381" s="177"/>
    </row>
    <row r="1382" spans="38:38" x14ac:dyDescent="0.2">
      <c r="AL1382" s="177"/>
    </row>
    <row r="1383" spans="38:38" x14ac:dyDescent="0.2">
      <c r="AL1383" s="177"/>
    </row>
    <row r="1384" spans="38:38" x14ac:dyDescent="0.2">
      <c r="AL1384" s="177"/>
    </row>
    <row r="1385" spans="38:38" x14ac:dyDescent="0.2">
      <c r="AL1385" s="177"/>
    </row>
    <row r="1386" spans="38:38" x14ac:dyDescent="0.2">
      <c r="AL1386" s="177"/>
    </row>
    <row r="1387" spans="38:38" x14ac:dyDescent="0.2">
      <c r="AL1387" s="177"/>
    </row>
    <row r="1388" spans="38:38" x14ac:dyDescent="0.2">
      <c r="AL1388" s="177"/>
    </row>
    <row r="1389" spans="38:38" x14ac:dyDescent="0.2">
      <c r="AL1389" s="177"/>
    </row>
    <row r="1390" spans="38:38" x14ac:dyDescent="0.2">
      <c r="AL1390" s="177"/>
    </row>
    <row r="1391" spans="38:38" x14ac:dyDescent="0.2">
      <c r="AL1391" s="177"/>
    </row>
    <row r="1392" spans="38:38" x14ac:dyDescent="0.2">
      <c r="AL1392" s="177"/>
    </row>
    <row r="1393" spans="38:38" x14ac:dyDescent="0.2">
      <c r="AL1393" s="177"/>
    </row>
    <row r="1394" spans="38:38" x14ac:dyDescent="0.2">
      <c r="AL1394" s="177"/>
    </row>
    <row r="1395" spans="38:38" x14ac:dyDescent="0.2">
      <c r="AL1395" s="177"/>
    </row>
    <row r="1396" spans="38:38" x14ac:dyDescent="0.2">
      <c r="AL1396" s="177"/>
    </row>
    <row r="1397" spans="38:38" x14ac:dyDescent="0.2">
      <c r="AL1397" s="177"/>
    </row>
    <row r="1398" spans="38:38" x14ac:dyDescent="0.2">
      <c r="AL1398" s="177"/>
    </row>
    <row r="1399" spans="38:38" x14ac:dyDescent="0.2">
      <c r="AL1399" s="177"/>
    </row>
    <row r="1400" spans="38:38" x14ac:dyDescent="0.2">
      <c r="AL1400" s="177"/>
    </row>
    <row r="1401" spans="38:38" x14ac:dyDescent="0.2">
      <c r="AL1401" s="177"/>
    </row>
    <row r="1402" spans="38:38" x14ac:dyDescent="0.2">
      <c r="AL1402" s="177"/>
    </row>
    <row r="1403" spans="38:38" x14ac:dyDescent="0.2">
      <c r="AL1403" s="177"/>
    </row>
    <row r="1404" spans="38:38" x14ac:dyDescent="0.2">
      <c r="AL1404" s="177"/>
    </row>
    <row r="1405" spans="38:38" x14ac:dyDescent="0.2">
      <c r="AL1405" s="177"/>
    </row>
    <row r="1406" spans="38:38" x14ac:dyDescent="0.2">
      <c r="AL1406" s="177"/>
    </row>
    <row r="1407" spans="38:38" x14ac:dyDescent="0.2">
      <c r="AL1407" s="177"/>
    </row>
    <row r="1408" spans="38:38" x14ac:dyDescent="0.2">
      <c r="AL1408" s="177"/>
    </row>
    <row r="1409" spans="38:38" x14ac:dyDescent="0.2">
      <c r="AL1409" s="177"/>
    </row>
    <row r="1410" spans="38:38" x14ac:dyDescent="0.2">
      <c r="AL1410" s="177"/>
    </row>
    <row r="1411" spans="38:38" x14ac:dyDescent="0.2">
      <c r="AL1411" s="177"/>
    </row>
    <row r="1412" spans="38:38" x14ac:dyDescent="0.2">
      <c r="AL1412" s="177"/>
    </row>
    <row r="1413" spans="38:38" x14ac:dyDescent="0.2">
      <c r="AL1413" s="177"/>
    </row>
    <row r="1414" spans="38:38" x14ac:dyDescent="0.2">
      <c r="AL1414" s="177"/>
    </row>
    <row r="1415" spans="38:38" x14ac:dyDescent="0.2">
      <c r="AL1415" s="177"/>
    </row>
    <row r="1416" spans="38:38" x14ac:dyDescent="0.2">
      <c r="AL1416" s="177"/>
    </row>
    <row r="1417" spans="38:38" x14ac:dyDescent="0.2">
      <c r="AL1417" s="177"/>
    </row>
    <row r="1418" spans="38:38" x14ac:dyDescent="0.2">
      <c r="AL1418" s="177"/>
    </row>
    <row r="1419" spans="38:38" x14ac:dyDescent="0.2">
      <c r="AL1419" s="177"/>
    </row>
    <row r="1420" spans="38:38" x14ac:dyDescent="0.2">
      <c r="AL1420" s="177"/>
    </row>
    <row r="1421" spans="38:38" x14ac:dyDescent="0.2">
      <c r="AL1421" s="177"/>
    </row>
    <row r="1422" spans="38:38" x14ac:dyDescent="0.2">
      <c r="AL1422" s="177"/>
    </row>
    <row r="1423" spans="38:38" x14ac:dyDescent="0.2">
      <c r="AL1423" s="177"/>
    </row>
    <row r="1424" spans="38:38" x14ac:dyDescent="0.2">
      <c r="AL1424" s="177"/>
    </row>
    <row r="1425" spans="38:38" x14ac:dyDescent="0.2">
      <c r="AL1425" s="177"/>
    </row>
    <row r="1426" spans="38:38" x14ac:dyDescent="0.2">
      <c r="AL1426" s="177"/>
    </row>
    <row r="1427" spans="38:38" x14ac:dyDescent="0.2">
      <c r="AL1427" s="177"/>
    </row>
    <row r="1428" spans="38:38" x14ac:dyDescent="0.2">
      <c r="AL1428" s="177"/>
    </row>
    <row r="1429" spans="38:38" x14ac:dyDescent="0.2">
      <c r="AL1429" s="177"/>
    </row>
    <row r="1430" spans="38:38" x14ac:dyDescent="0.2">
      <c r="AL1430" s="177"/>
    </row>
    <row r="1431" spans="38:38" x14ac:dyDescent="0.2">
      <c r="AL1431" s="177"/>
    </row>
    <row r="1432" spans="38:38" x14ac:dyDescent="0.2">
      <c r="AL1432" s="177"/>
    </row>
    <row r="1433" spans="38:38" x14ac:dyDescent="0.2">
      <c r="AL1433" s="177"/>
    </row>
    <row r="1434" spans="38:38" x14ac:dyDescent="0.2">
      <c r="AL1434" s="177"/>
    </row>
    <row r="1435" spans="38:38" x14ac:dyDescent="0.2">
      <c r="AL1435" s="177"/>
    </row>
    <row r="1436" spans="38:38" x14ac:dyDescent="0.2">
      <c r="AL1436" s="177"/>
    </row>
    <row r="1437" spans="38:38" x14ac:dyDescent="0.2">
      <c r="AL1437" s="177"/>
    </row>
    <row r="1438" spans="38:38" x14ac:dyDescent="0.2">
      <c r="AL1438" s="177"/>
    </row>
    <row r="1439" spans="38:38" x14ac:dyDescent="0.2">
      <c r="AL1439" s="177"/>
    </row>
    <row r="1440" spans="38:38" x14ac:dyDescent="0.2">
      <c r="AL1440" s="177"/>
    </row>
    <row r="1441" spans="38:38" x14ac:dyDescent="0.2">
      <c r="AL1441" s="177"/>
    </row>
    <row r="1442" spans="38:38" x14ac:dyDescent="0.2">
      <c r="AL1442" s="177"/>
    </row>
    <row r="1443" spans="38:38" x14ac:dyDescent="0.2">
      <c r="AL1443" s="177"/>
    </row>
    <row r="1444" spans="38:38" x14ac:dyDescent="0.2">
      <c r="AL1444" s="177"/>
    </row>
    <row r="1445" spans="38:38" x14ac:dyDescent="0.2">
      <c r="AL1445" s="177"/>
    </row>
    <row r="1446" spans="38:38" x14ac:dyDescent="0.2">
      <c r="AL1446" s="177"/>
    </row>
    <row r="1447" spans="38:38" x14ac:dyDescent="0.2">
      <c r="AL1447" s="177"/>
    </row>
    <row r="1448" spans="38:38" x14ac:dyDescent="0.2">
      <c r="AL1448" s="177"/>
    </row>
    <row r="1449" spans="38:38" x14ac:dyDescent="0.2">
      <c r="AL1449" s="177"/>
    </row>
    <row r="1450" spans="38:38" x14ac:dyDescent="0.2">
      <c r="AL1450" s="177"/>
    </row>
    <row r="1451" spans="38:38" x14ac:dyDescent="0.2">
      <c r="AL1451" s="177"/>
    </row>
    <row r="1452" spans="38:38" x14ac:dyDescent="0.2">
      <c r="AL1452" s="177"/>
    </row>
    <row r="1453" spans="38:38" x14ac:dyDescent="0.2">
      <c r="AL1453" s="177"/>
    </row>
    <row r="1454" spans="38:38" x14ac:dyDescent="0.2">
      <c r="AL1454" s="177"/>
    </row>
    <row r="1455" spans="38:38" x14ac:dyDescent="0.2">
      <c r="AL1455" s="177"/>
    </row>
    <row r="1456" spans="38:38" x14ac:dyDescent="0.2">
      <c r="AL1456" s="177"/>
    </row>
    <row r="1457" spans="38:38" x14ac:dyDescent="0.2">
      <c r="AL1457" s="177"/>
    </row>
    <row r="1458" spans="38:38" x14ac:dyDescent="0.2">
      <c r="AL1458" s="177"/>
    </row>
    <row r="1459" spans="38:38" x14ac:dyDescent="0.2">
      <c r="AL1459" s="177"/>
    </row>
    <row r="1460" spans="38:38" x14ac:dyDescent="0.2">
      <c r="AL1460" s="177"/>
    </row>
    <row r="1461" spans="38:38" x14ac:dyDescent="0.2">
      <c r="AL1461" s="177"/>
    </row>
    <row r="1462" spans="38:38" x14ac:dyDescent="0.2">
      <c r="AL1462" s="177"/>
    </row>
    <row r="1463" spans="38:38" x14ac:dyDescent="0.2">
      <c r="AL1463" s="177"/>
    </row>
    <row r="1464" spans="38:38" x14ac:dyDescent="0.2">
      <c r="AL1464" s="177"/>
    </row>
    <row r="1465" spans="38:38" x14ac:dyDescent="0.2">
      <c r="AL1465" s="177"/>
    </row>
    <row r="1466" spans="38:38" x14ac:dyDescent="0.2">
      <c r="AL1466" s="177"/>
    </row>
    <row r="1467" spans="38:38" x14ac:dyDescent="0.2">
      <c r="AL1467" s="177"/>
    </row>
    <row r="1468" spans="38:38" x14ac:dyDescent="0.2">
      <c r="AL1468" s="177"/>
    </row>
    <row r="1469" spans="38:38" x14ac:dyDescent="0.2">
      <c r="AL1469" s="177"/>
    </row>
    <row r="1470" spans="38:38" x14ac:dyDescent="0.2">
      <c r="AL1470" s="177"/>
    </row>
    <row r="1471" spans="38:38" x14ac:dyDescent="0.2">
      <c r="AL1471" s="177"/>
    </row>
    <row r="1472" spans="38:38" x14ac:dyDescent="0.2">
      <c r="AL1472" s="177"/>
    </row>
    <row r="1473" spans="38:38" x14ac:dyDescent="0.2">
      <c r="AL1473" s="177"/>
    </row>
    <row r="1474" spans="38:38" x14ac:dyDescent="0.2">
      <c r="AL1474" s="177"/>
    </row>
    <row r="1475" spans="38:38" x14ac:dyDescent="0.2">
      <c r="AL1475" s="177"/>
    </row>
    <row r="1476" spans="38:38" x14ac:dyDescent="0.2">
      <c r="AL1476" s="177"/>
    </row>
    <row r="1477" spans="38:38" x14ac:dyDescent="0.2">
      <c r="AL1477" s="177"/>
    </row>
    <row r="1478" spans="38:38" x14ac:dyDescent="0.2">
      <c r="AL1478" s="177"/>
    </row>
    <row r="1479" spans="38:38" x14ac:dyDescent="0.2">
      <c r="AL1479" s="177"/>
    </row>
    <row r="1480" spans="38:38" x14ac:dyDescent="0.2">
      <c r="AL1480" s="177"/>
    </row>
    <row r="1481" spans="38:38" x14ac:dyDescent="0.2">
      <c r="AL1481" s="177"/>
    </row>
    <row r="1482" spans="38:38" x14ac:dyDescent="0.2">
      <c r="AL1482" s="177"/>
    </row>
    <row r="1483" spans="38:38" x14ac:dyDescent="0.2">
      <c r="AL1483" s="177"/>
    </row>
    <row r="1484" spans="38:38" x14ac:dyDescent="0.2">
      <c r="AL1484" s="177"/>
    </row>
    <row r="1485" spans="38:38" x14ac:dyDescent="0.2">
      <c r="AL1485" s="177"/>
    </row>
    <row r="1486" spans="38:38" x14ac:dyDescent="0.2">
      <c r="AL1486" s="177"/>
    </row>
    <row r="1487" spans="38:38" x14ac:dyDescent="0.2">
      <c r="AL1487" s="177"/>
    </row>
    <row r="1488" spans="38:38" x14ac:dyDescent="0.2">
      <c r="AL1488" s="177"/>
    </row>
    <row r="1489" spans="38:38" x14ac:dyDescent="0.2">
      <c r="AL1489" s="177"/>
    </row>
    <row r="1490" spans="38:38" x14ac:dyDescent="0.2">
      <c r="AL1490" s="177"/>
    </row>
    <row r="1491" spans="38:38" x14ac:dyDescent="0.2">
      <c r="AL1491" s="177"/>
    </row>
    <row r="1492" spans="38:38" x14ac:dyDescent="0.2">
      <c r="AL1492" s="177"/>
    </row>
    <row r="1493" spans="38:38" x14ac:dyDescent="0.2">
      <c r="AL1493" s="177"/>
    </row>
    <row r="1494" spans="38:38" x14ac:dyDescent="0.2">
      <c r="AL1494" s="177"/>
    </row>
    <row r="1495" spans="38:38" x14ac:dyDescent="0.2">
      <c r="AL1495" s="177"/>
    </row>
    <row r="1496" spans="38:38" x14ac:dyDescent="0.2">
      <c r="AL1496" s="177"/>
    </row>
    <row r="1497" spans="38:38" x14ac:dyDescent="0.2">
      <c r="AL1497" s="177"/>
    </row>
    <row r="1498" spans="38:38" x14ac:dyDescent="0.2">
      <c r="AL1498" s="177"/>
    </row>
    <row r="1499" spans="38:38" x14ac:dyDescent="0.2">
      <c r="AL1499" s="177"/>
    </row>
    <row r="1500" spans="38:38" x14ac:dyDescent="0.2">
      <c r="AL1500" s="177"/>
    </row>
    <row r="1501" spans="38:38" x14ac:dyDescent="0.2">
      <c r="AL1501" s="177"/>
    </row>
    <row r="1502" spans="38:38" x14ac:dyDescent="0.2">
      <c r="AL1502" s="177"/>
    </row>
    <row r="1503" spans="38:38" x14ac:dyDescent="0.2">
      <c r="AL1503" s="177"/>
    </row>
    <row r="1504" spans="38:38" x14ac:dyDescent="0.2">
      <c r="AL1504" s="177"/>
    </row>
    <row r="1505" spans="38:38" x14ac:dyDescent="0.2">
      <c r="AL1505" s="177"/>
    </row>
    <row r="1506" spans="38:38" x14ac:dyDescent="0.2">
      <c r="AL1506" s="177"/>
    </row>
    <row r="1507" spans="38:38" x14ac:dyDescent="0.2">
      <c r="AL1507" s="177"/>
    </row>
    <row r="1508" spans="38:38" x14ac:dyDescent="0.2">
      <c r="AL1508" s="177"/>
    </row>
    <row r="1509" spans="38:38" x14ac:dyDescent="0.2">
      <c r="AL1509" s="177"/>
    </row>
    <row r="1510" spans="38:38" x14ac:dyDescent="0.2">
      <c r="AL1510" s="177"/>
    </row>
    <row r="1511" spans="38:38" x14ac:dyDescent="0.2">
      <c r="AL1511" s="177"/>
    </row>
    <row r="1512" spans="38:38" x14ac:dyDescent="0.2">
      <c r="AL1512" s="177"/>
    </row>
    <row r="1513" spans="38:38" x14ac:dyDescent="0.2">
      <c r="AL1513" s="177"/>
    </row>
    <row r="1514" spans="38:38" x14ac:dyDescent="0.2">
      <c r="AL1514" s="177"/>
    </row>
    <row r="1515" spans="38:38" x14ac:dyDescent="0.2">
      <c r="AL1515" s="177"/>
    </row>
    <row r="1516" spans="38:38" x14ac:dyDescent="0.2">
      <c r="AL1516" s="177"/>
    </row>
    <row r="1517" spans="38:38" x14ac:dyDescent="0.2">
      <c r="AL1517" s="177"/>
    </row>
    <row r="1518" spans="38:38" x14ac:dyDescent="0.2">
      <c r="AL1518" s="177"/>
    </row>
    <row r="1519" spans="38:38" x14ac:dyDescent="0.2">
      <c r="AL1519" s="177"/>
    </row>
    <row r="1520" spans="38:38" x14ac:dyDescent="0.2">
      <c r="AL1520" s="177"/>
    </row>
    <row r="1521" spans="38:38" x14ac:dyDescent="0.2">
      <c r="AL1521" s="177"/>
    </row>
    <row r="1522" spans="38:38" x14ac:dyDescent="0.2">
      <c r="AL1522" s="177"/>
    </row>
    <row r="1523" spans="38:38" x14ac:dyDescent="0.2">
      <c r="AL1523" s="177"/>
    </row>
    <row r="1524" spans="38:38" x14ac:dyDescent="0.2">
      <c r="AL1524" s="177"/>
    </row>
    <row r="1525" spans="38:38" x14ac:dyDescent="0.2">
      <c r="AL1525" s="177"/>
    </row>
    <row r="1526" spans="38:38" x14ac:dyDescent="0.2">
      <c r="AL1526" s="177"/>
    </row>
    <row r="1527" spans="38:38" x14ac:dyDescent="0.2">
      <c r="AL1527" s="177"/>
    </row>
    <row r="1528" spans="38:38" x14ac:dyDescent="0.2">
      <c r="AL1528" s="177"/>
    </row>
    <row r="1529" spans="38:38" x14ac:dyDescent="0.2">
      <c r="AL1529" s="177"/>
    </row>
    <row r="1530" spans="38:38" x14ac:dyDescent="0.2">
      <c r="AL1530" s="177"/>
    </row>
    <row r="1531" spans="38:38" x14ac:dyDescent="0.2">
      <c r="AL1531" s="177"/>
    </row>
    <row r="1532" spans="38:38" x14ac:dyDescent="0.2">
      <c r="AL1532" s="177"/>
    </row>
    <row r="1533" spans="38:38" x14ac:dyDescent="0.2">
      <c r="AL1533" s="177"/>
    </row>
    <row r="1534" spans="38:38" x14ac:dyDescent="0.2">
      <c r="AL1534" s="177"/>
    </row>
    <row r="1535" spans="38:38" x14ac:dyDescent="0.2">
      <c r="AL1535" s="177"/>
    </row>
    <row r="1536" spans="38:38" x14ac:dyDescent="0.2">
      <c r="AL1536" s="177"/>
    </row>
    <row r="1537" spans="38:38" x14ac:dyDescent="0.2">
      <c r="AL1537" s="177"/>
    </row>
    <row r="1538" spans="38:38" x14ac:dyDescent="0.2">
      <c r="AL1538" s="177"/>
    </row>
    <row r="1539" spans="38:38" x14ac:dyDescent="0.2">
      <c r="AL1539" s="177"/>
    </row>
    <row r="1540" spans="38:38" x14ac:dyDescent="0.2">
      <c r="AL1540" s="177"/>
    </row>
    <row r="1541" spans="38:38" x14ac:dyDescent="0.2">
      <c r="AL1541" s="177"/>
    </row>
    <row r="1542" spans="38:38" x14ac:dyDescent="0.2">
      <c r="AL1542" s="177"/>
    </row>
    <row r="1543" spans="38:38" x14ac:dyDescent="0.2">
      <c r="AL1543" s="177"/>
    </row>
    <row r="1544" spans="38:38" x14ac:dyDescent="0.2">
      <c r="AL1544" s="177"/>
    </row>
    <row r="1545" spans="38:38" x14ac:dyDescent="0.2">
      <c r="AL1545" s="177"/>
    </row>
    <row r="1546" spans="38:38" x14ac:dyDescent="0.2">
      <c r="AL1546" s="177"/>
    </row>
    <row r="1547" spans="38:38" x14ac:dyDescent="0.2">
      <c r="AL1547" s="177"/>
    </row>
    <row r="1548" spans="38:38" x14ac:dyDescent="0.2">
      <c r="AL1548" s="177"/>
    </row>
    <row r="1549" spans="38:38" x14ac:dyDescent="0.2">
      <c r="AL1549" s="177"/>
    </row>
    <row r="1550" spans="38:38" x14ac:dyDescent="0.2">
      <c r="AL1550" s="177"/>
    </row>
    <row r="1551" spans="38:38" x14ac:dyDescent="0.2">
      <c r="AL1551" s="177"/>
    </row>
    <row r="1552" spans="38:38" x14ac:dyDescent="0.2">
      <c r="AL1552" s="177"/>
    </row>
    <row r="1553" spans="38:38" x14ac:dyDescent="0.2">
      <c r="AL1553" s="177"/>
    </row>
    <row r="1554" spans="38:38" x14ac:dyDescent="0.2">
      <c r="AL1554" s="177"/>
    </row>
    <row r="1555" spans="38:38" x14ac:dyDescent="0.2">
      <c r="AL1555" s="177"/>
    </row>
    <row r="1556" spans="38:38" x14ac:dyDescent="0.2">
      <c r="AL1556" s="177"/>
    </row>
    <row r="1557" spans="38:38" x14ac:dyDescent="0.2">
      <c r="AL1557" s="177"/>
    </row>
    <row r="1558" spans="38:38" x14ac:dyDescent="0.2">
      <c r="AL1558" s="177"/>
    </row>
    <row r="1559" spans="38:38" x14ac:dyDescent="0.2">
      <c r="AL1559" s="177"/>
    </row>
    <row r="1560" spans="38:38" x14ac:dyDescent="0.2">
      <c r="AL1560" s="177"/>
    </row>
    <row r="1561" spans="38:38" x14ac:dyDescent="0.2">
      <c r="AL1561" s="177"/>
    </row>
    <row r="1562" spans="38:38" x14ac:dyDescent="0.2">
      <c r="AL1562" s="177"/>
    </row>
    <row r="1563" spans="38:38" x14ac:dyDescent="0.2">
      <c r="AL1563" s="177"/>
    </row>
    <row r="1564" spans="38:38" x14ac:dyDescent="0.2">
      <c r="AL1564" s="177"/>
    </row>
    <row r="1565" spans="38:38" x14ac:dyDescent="0.2">
      <c r="AL1565" s="177"/>
    </row>
    <row r="1566" spans="38:38" x14ac:dyDescent="0.2">
      <c r="AL1566" s="177"/>
    </row>
    <row r="1567" spans="38:38" x14ac:dyDescent="0.2">
      <c r="AL1567" s="177"/>
    </row>
    <row r="1568" spans="38:38" x14ac:dyDescent="0.2">
      <c r="AL1568" s="177"/>
    </row>
    <row r="1569" spans="38:38" x14ac:dyDescent="0.2">
      <c r="AL1569" s="177"/>
    </row>
    <row r="1570" spans="38:38" x14ac:dyDescent="0.2">
      <c r="AL1570" s="177"/>
    </row>
    <row r="1571" spans="38:38" x14ac:dyDescent="0.2">
      <c r="AL1571" s="177"/>
    </row>
    <row r="1572" spans="38:38" x14ac:dyDescent="0.2">
      <c r="AL1572" s="177"/>
    </row>
    <row r="1573" spans="38:38" x14ac:dyDescent="0.2">
      <c r="AL1573" s="177"/>
    </row>
    <row r="1574" spans="38:38" x14ac:dyDescent="0.2">
      <c r="AL1574" s="177"/>
    </row>
    <row r="1575" spans="38:38" x14ac:dyDescent="0.2">
      <c r="AL1575" s="177"/>
    </row>
    <row r="1576" spans="38:38" x14ac:dyDescent="0.2">
      <c r="AL1576" s="177"/>
    </row>
    <row r="1577" spans="38:38" x14ac:dyDescent="0.2">
      <c r="AL1577" s="177"/>
    </row>
    <row r="1578" spans="38:38" x14ac:dyDescent="0.2">
      <c r="AL1578" s="177"/>
    </row>
    <row r="1579" spans="38:38" x14ac:dyDescent="0.2">
      <c r="AL1579" s="177"/>
    </row>
    <row r="1580" spans="38:38" x14ac:dyDescent="0.2">
      <c r="AL1580" s="177"/>
    </row>
    <row r="1581" spans="38:38" x14ac:dyDescent="0.2">
      <c r="AL1581" s="177"/>
    </row>
    <row r="1582" spans="38:38" x14ac:dyDescent="0.2">
      <c r="AL1582" s="177"/>
    </row>
    <row r="1583" spans="38:38" x14ac:dyDescent="0.2">
      <c r="AL1583" s="177"/>
    </row>
    <row r="1584" spans="38:38" x14ac:dyDescent="0.2">
      <c r="AL1584" s="177"/>
    </row>
    <row r="1585" spans="38:38" x14ac:dyDescent="0.2">
      <c r="AL1585" s="177"/>
    </row>
    <row r="1586" spans="38:38" x14ac:dyDescent="0.2">
      <c r="AL1586" s="177"/>
    </row>
    <row r="1587" spans="38:38" x14ac:dyDescent="0.2">
      <c r="AL1587" s="177"/>
    </row>
    <row r="1588" spans="38:38" x14ac:dyDescent="0.2">
      <c r="AL1588" s="177"/>
    </row>
    <row r="1589" spans="38:38" x14ac:dyDescent="0.2">
      <c r="AL1589" s="177"/>
    </row>
    <row r="1590" spans="38:38" x14ac:dyDescent="0.2">
      <c r="AL1590" s="177"/>
    </row>
    <row r="1591" spans="38:38" x14ac:dyDescent="0.2">
      <c r="AL1591" s="177"/>
    </row>
    <row r="1592" spans="38:38" x14ac:dyDescent="0.2">
      <c r="AL1592" s="177"/>
    </row>
    <row r="1593" spans="38:38" x14ac:dyDescent="0.2">
      <c r="AL1593" s="177"/>
    </row>
    <row r="1594" spans="38:38" x14ac:dyDescent="0.2">
      <c r="AL1594" s="177"/>
    </row>
    <row r="1595" spans="38:38" x14ac:dyDescent="0.2">
      <c r="AL1595" s="177"/>
    </row>
    <row r="1596" spans="38:38" x14ac:dyDescent="0.2">
      <c r="AL1596" s="177"/>
    </row>
    <row r="1597" spans="38:38" x14ac:dyDescent="0.2">
      <c r="AL1597" s="177"/>
    </row>
    <row r="1598" spans="38:38" x14ac:dyDescent="0.2">
      <c r="AL1598" s="177"/>
    </row>
    <row r="1599" spans="38:38" x14ac:dyDescent="0.2">
      <c r="AL1599" s="177"/>
    </row>
    <row r="1600" spans="38:38" x14ac:dyDescent="0.2">
      <c r="AL1600" s="177"/>
    </row>
    <row r="1601" spans="38:38" x14ac:dyDescent="0.2">
      <c r="AL1601" s="177"/>
    </row>
    <row r="1602" spans="38:38" x14ac:dyDescent="0.2">
      <c r="AL1602" s="177"/>
    </row>
    <row r="1603" spans="38:38" x14ac:dyDescent="0.2">
      <c r="AL1603" s="177"/>
    </row>
    <row r="1604" spans="38:38" x14ac:dyDescent="0.2">
      <c r="AL1604" s="177"/>
    </row>
    <row r="1605" spans="38:38" x14ac:dyDescent="0.2">
      <c r="AL1605" s="177"/>
    </row>
    <row r="1606" spans="38:38" x14ac:dyDescent="0.2">
      <c r="AL1606" s="177"/>
    </row>
    <row r="1607" spans="38:38" x14ac:dyDescent="0.2">
      <c r="AL1607" s="177"/>
    </row>
    <row r="1608" spans="38:38" x14ac:dyDescent="0.2">
      <c r="AL1608" s="177"/>
    </row>
    <row r="1609" spans="38:38" x14ac:dyDescent="0.2">
      <c r="AL1609" s="177"/>
    </row>
    <row r="1610" spans="38:38" x14ac:dyDescent="0.2">
      <c r="AL1610" s="177"/>
    </row>
    <row r="1611" spans="38:38" x14ac:dyDescent="0.2">
      <c r="AL1611" s="177"/>
    </row>
    <row r="1612" spans="38:38" x14ac:dyDescent="0.2">
      <c r="AL1612" s="177"/>
    </row>
    <row r="1613" spans="38:38" x14ac:dyDescent="0.2">
      <c r="AL1613" s="177"/>
    </row>
    <row r="1614" spans="38:38" x14ac:dyDescent="0.2">
      <c r="AL1614" s="177"/>
    </row>
    <row r="1615" spans="38:38" x14ac:dyDescent="0.2">
      <c r="AL1615" s="177"/>
    </row>
    <row r="1616" spans="38:38" x14ac:dyDescent="0.2">
      <c r="AL1616" s="177"/>
    </row>
    <row r="1617" spans="38:38" x14ac:dyDescent="0.2">
      <c r="AL1617" s="177"/>
    </row>
    <row r="1618" spans="38:38" x14ac:dyDescent="0.2">
      <c r="AL1618" s="177"/>
    </row>
    <row r="1619" spans="38:38" x14ac:dyDescent="0.2">
      <c r="AL1619" s="177"/>
    </row>
    <row r="1620" spans="38:38" x14ac:dyDescent="0.2">
      <c r="AL1620" s="177"/>
    </row>
    <row r="1621" spans="38:38" x14ac:dyDescent="0.2">
      <c r="AL1621" s="177"/>
    </row>
    <row r="1622" spans="38:38" x14ac:dyDescent="0.2">
      <c r="AL1622" s="177"/>
    </row>
    <row r="1623" spans="38:38" x14ac:dyDescent="0.2">
      <c r="AL1623" s="177"/>
    </row>
    <row r="1624" spans="38:38" x14ac:dyDescent="0.2">
      <c r="AL1624" s="177"/>
    </row>
    <row r="1625" spans="38:38" x14ac:dyDescent="0.2">
      <c r="AL1625" s="177"/>
    </row>
    <row r="1626" spans="38:38" x14ac:dyDescent="0.2">
      <c r="AL1626" s="177"/>
    </row>
    <row r="1627" spans="38:38" x14ac:dyDescent="0.2">
      <c r="AL1627" s="177"/>
    </row>
    <row r="1628" spans="38:38" x14ac:dyDescent="0.2">
      <c r="AL1628" s="177"/>
    </row>
    <row r="1629" spans="38:38" x14ac:dyDescent="0.2">
      <c r="AL1629" s="177"/>
    </row>
    <row r="1630" spans="38:38" x14ac:dyDescent="0.2">
      <c r="AL1630" s="177"/>
    </row>
    <row r="1631" spans="38:38" x14ac:dyDescent="0.2">
      <c r="AL1631" s="177"/>
    </row>
    <row r="1632" spans="38:38" x14ac:dyDescent="0.2">
      <c r="AL1632" s="177"/>
    </row>
    <row r="1633" spans="38:38" x14ac:dyDescent="0.2">
      <c r="AL1633" s="177"/>
    </row>
    <row r="1634" spans="38:38" x14ac:dyDescent="0.2">
      <c r="AL1634" s="177"/>
    </row>
    <row r="1635" spans="38:38" x14ac:dyDescent="0.2">
      <c r="AL1635" s="177"/>
    </row>
    <row r="1636" spans="38:38" x14ac:dyDescent="0.2">
      <c r="AL1636" s="177"/>
    </row>
    <row r="1637" spans="38:38" x14ac:dyDescent="0.2">
      <c r="AL1637" s="177"/>
    </row>
    <row r="1638" spans="38:38" x14ac:dyDescent="0.2">
      <c r="AL1638" s="177"/>
    </row>
    <row r="1639" spans="38:38" x14ac:dyDescent="0.2">
      <c r="AL1639" s="177"/>
    </row>
    <row r="1640" spans="38:38" x14ac:dyDescent="0.2">
      <c r="AL1640" s="177"/>
    </row>
    <row r="1641" spans="38:38" x14ac:dyDescent="0.2">
      <c r="AL1641" s="177"/>
    </row>
    <row r="1642" spans="38:38" x14ac:dyDescent="0.2">
      <c r="AL1642" s="177"/>
    </row>
    <row r="1643" spans="38:38" x14ac:dyDescent="0.2">
      <c r="AL1643" s="177"/>
    </row>
    <row r="1644" spans="38:38" x14ac:dyDescent="0.2">
      <c r="AL1644" s="177"/>
    </row>
    <row r="1645" spans="38:38" x14ac:dyDescent="0.2">
      <c r="AL1645" s="177"/>
    </row>
    <row r="1646" spans="38:38" x14ac:dyDescent="0.2">
      <c r="AL1646" s="177"/>
    </row>
    <row r="1647" spans="38:38" x14ac:dyDescent="0.2">
      <c r="AL1647" s="177"/>
    </row>
    <row r="1648" spans="38:38" x14ac:dyDescent="0.2">
      <c r="AL1648" s="177"/>
    </row>
    <row r="1649" spans="38:38" x14ac:dyDescent="0.2">
      <c r="AL1649" s="177"/>
    </row>
    <row r="1650" spans="38:38" x14ac:dyDescent="0.2">
      <c r="AL1650" s="177"/>
    </row>
    <row r="1651" spans="38:38" x14ac:dyDescent="0.2">
      <c r="AL1651" s="177"/>
    </row>
    <row r="1652" spans="38:38" x14ac:dyDescent="0.2">
      <c r="AL1652" s="177"/>
    </row>
    <row r="1653" spans="38:38" x14ac:dyDescent="0.2">
      <c r="AL1653" s="177"/>
    </row>
    <row r="1654" spans="38:38" x14ac:dyDescent="0.2">
      <c r="AL1654" s="177"/>
    </row>
    <row r="1655" spans="38:38" x14ac:dyDescent="0.2">
      <c r="AL1655" s="177"/>
    </row>
    <row r="1656" spans="38:38" x14ac:dyDescent="0.2">
      <c r="AL1656" s="177"/>
    </row>
    <row r="1657" spans="38:38" x14ac:dyDescent="0.2">
      <c r="AL1657" s="177"/>
    </row>
    <row r="1658" spans="38:38" x14ac:dyDescent="0.2">
      <c r="AL1658" s="177"/>
    </row>
    <row r="1659" spans="38:38" x14ac:dyDescent="0.2">
      <c r="AL1659" s="177"/>
    </row>
    <row r="1660" spans="38:38" x14ac:dyDescent="0.2">
      <c r="AL1660" s="177"/>
    </row>
    <row r="1661" spans="38:38" x14ac:dyDescent="0.2">
      <c r="AL1661" s="177"/>
    </row>
    <row r="1662" spans="38:38" x14ac:dyDescent="0.2">
      <c r="AL1662" s="177"/>
    </row>
    <row r="1663" spans="38:38" x14ac:dyDescent="0.2">
      <c r="AL1663" s="177"/>
    </row>
    <row r="1664" spans="38:38" x14ac:dyDescent="0.2">
      <c r="AL1664" s="177"/>
    </row>
    <row r="1665" spans="38:38" x14ac:dyDescent="0.2">
      <c r="AL1665" s="177"/>
    </row>
    <row r="1666" spans="38:38" x14ac:dyDescent="0.2">
      <c r="AL1666" s="177"/>
    </row>
    <row r="1667" spans="38:38" x14ac:dyDescent="0.2">
      <c r="AL1667" s="177"/>
    </row>
    <row r="1668" spans="38:38" x14ac:dyDescent="0.2">
      <c r="AL1668" s="177"/>
    </row>
    <row r="1669" spans="38:38" x14ac:dyDescent="0.2">
      <c r="AL1669" s="177"/>
    </row>
    <row r="1670" spans="38:38" x14ac:dyDescent="0.2">
      <c r="AL1670" s="177"/>
    </row>
    <row r="1671" spans="38:38" x14ac:dyDescent="0.2">
      <c r="AL1671" s="177"/>
    </row>
    <row r="1672" spans="38:38" x14ac:dyDescent="0.2">
      <c r="AL1672" s="177"/>
    </row>
    <row r="1673" spans="38:38" x14ac:dyDescent="0.2">
      <c r="AL1673" s="177"/>
    </row>
    <row r="1674" spans="38:38" x14ac:dyDescent="0.2">
      <c r="AL1674" s="177"/>
    </row>
    <row r="1675" spans="38:38" x14ac:dyDescent="0.2">
      <c r="AL1675" s="177"/>
    </row>
    <row r="1676" spans="38:38" x14ac:dyDescent="0.2">
      <c r="AL1676" s="177"/>
    </row>
    <row r="1677" spans="38:38" x14ac:dyDescent="0.2">
      <c r="AL1677" s="177"/>
    </row>
    <row r="1678" spans="38:38" x14ac:dyDescent="0.2">
      <c r="AL1678" s="177"/>
    </row>
    <row r="1679" spans="38:38" x14ac:dyDescent="0.2">
      <c r="AL1679" s="177"/>
    </row>
    <row r="1680" spans="38:38" x14ac:dyDescent="0.2">
      <c r="AL1680" s="177"/>
    </row>
    <row r="1681" spans="38:38" x14ac:dyDescent="0.2">
      <c r="AL1681" s="177"/>
    </row>
    <row r="1682" spans="38:38" x14ac:dyDescent="0.2">
      <c r="AL1682" s="177"/>
    </row>
    <row r="1683" spans="38:38" x14ac:dyDescent="0.2">
      <c r="AL1683" s="177"/>
    </row>
    <row r="1684" spans="38:38" x14ac:dyDescent="0.2">
      <c r="AL1684" s="177"/>
    </row>
    <row r="1685" spans="38:38" x14ac:dyDescent="0.2">
      <c r="AL1685" s="177"/>
    </row>
    <row r="1686" spans="38:38" x14ac:dyDescent="0.2">
      <c r="AL1686" s="177"/>
    </row>
    <row r="1687" spans="38:38" x14ac:dyDescent="0.2">
      <c r="AL1687" s="177"/>
    </row>
    <row r="1688" spans="38:38" x14ac:dyDescent="0.2">
      <c r="AL1688" s="177"/>
    </row>
    <row r="1689" spans="38:38" x14ac:dyDescent="0.2">
      <c r="AL1689" s="177"/>
    </row>
    <row r="1690" spans="38:38" x14ac:dyDescent="0.2">
      <c r="AL1690" s="177"/>
    </row>
    <row r="1691" spans="38:38" x14ac:dyDescent="0.2">
      <c r="AL1691" s="177"/>
    </row>
    <row r="1692" spans="38:38" x14ac:dyDescent="0.2">
      <c r="AL1692" s="177"/>
    </row>
    <row r="1693" spans="38:38" x14ac:dyDescent="0.2">
      <c r="AL1693" s="177"/>
    </row>
    <row r="1694" spans="38:38" x14ac:dyDescent="0.2">
      <c r="AL1694" s="177"/>
    </row>
    <row r="1695" spans="38:38" x14ac:dyDescent="0.2">
      <c r="AL1695" s="177"/>
    </row>
    <row r="1696" spans="38:38" x14ac:dyDescent="0.2">
      <c r="AL1696" s="177"/>
    </row>
    <row r="1697" spans="38:38" x14ac:dyDescent="0.2">
      <c r="AL1697" s="177"/>
    </row>
    <row r="1698" spans="38:38" x14ac:dyDescent="0.2">
      <c r="AL1698" s="177"/>
    </row>
    <row r="1699" spans="38:38" x14ac:dyDescent="0.2">
      <c r="AL1699" s="177"/>
    </row>
    <row r="1700" spans="38:38" x14ac:dyDescent="0.2">
      <c r="AL1700" s="177"/>
    </row>
    <row r="1701" spans="38:38" x14ac:dyDescent="0.2">
      <c r="AL1701" s="177"/>
    </row>
    <row r="1702" spans="38:38" x14ac:dyDescent="0.2">
      <c r="AL1702" s="177"/>
    </row>
    <row r="1703" spans="38:38" x14ac:dyDescent="0.2">
      <c r="AL1703" s="177"/>
    </row>
    <row r="1704" spans="38:38" x14ac:dyDescent="0.2">
      <c r="AL1704" s="177"/>
    </row>
    <row r="1705" spans="38:38" x14ac:dyDescent="0.2">
      <c r="AL1705" s="177"/>
    </row>
    <row r="1706" spans="38:38" x14ac:dyDescent="0.2">
      <c r="AL1706" s="177"/>
    </row>
    <row r="1707" spans="38:38" x14ac:dyDescent="0.2">
      <c r="AL1707" s="177"/>
    </row>
    <row r="1708" spans="38:38" x14ac:dyDescent="0.2">
      <c r="AL1708" s="177"/>
    </row>
    <row r="1709" spans="38:38" x14ac:dyDescent="0.2">
      <c r="AL1709" s="177"/>
    </row>
    <row r="1710" spans="38:38" x14ac:dyDescent="0.2">
      <c r="AL1710" s="177"/>
    </row>
    <row r="1711" spans="38:38" x14ac:dyDescent="0.2">
      <c r="AL1711" s="177"/>
    </row>
    <row r="1712" spans="38:38" x14ac:dyDescent="0.2">
      <c r="AL1712" s="177"/>
    </row>
    <row r="1713" spans="38:38" x14ac:dyDescent="0.2">
      <c r="AL1713" s="177"/>
    </row>
    <row r="1714" spans="38:38" x14ac:dyDescent="0.2">
      <c r="AL1714" s="177"/>
    </row>
    <row r="1715" spans="38:38" x14ac:dyDescent="0.2">
      <c r="AL1715" s="177"/>
    </row>
    <row r="1716" spans="38:38" x14ac:dyDescent="0.2">
      <c r="AL1716" s="177"/>
    </row>
    <row r="1717" spans="38:38" x14ac:dyDescent="0.2">
      <c r="AL1717" s="177"/>
    </row>
    <row r="1718" spans="38:38" x14ac:dyDescent="0.2">
      <c r="AL1718" s="177"/>
    </row>
    <row r="1719" spans="38:38" x14ac:dyDescent="0.2">
      <c r="AL1719" s="177"/>
    </row>
    <row r="1720" spans="38:38" x14ac:dyDescent="0.2">
      <c r="AL1720" s="177"/>
    </row>
    <row r="1721" spans="38:38" x14ac:dyDescent="0.2">
      <c r="AL1721" s="177"/>
    </row>
    <row r="1722" spans="38:38" x14ac:dyDescent="0.2">
      <c r="AL1722" s="177"/>
    </row>
    <row r="1723" spans="38:38" x14ac:dyDescent="0.2">
      <c r="AL1723" s="177"/>
    </row>
    <row r="1724" spans="38:38" x14ac:dyDescent="0.2">
      <c r="AL1724" s="177"/>
    </row>
    <row r="1725" spans="38:38" x14ac:dyDescent="0.2">
      <c r="AL1725" s="177"/>
    </row>
    <row r="1726" spans="38:38" x14ac:dyDescent="0.2">
      <c r="AL1726" s="177"/>
    </row>
    <row r="1727" spans="38:38" x14ac:dyDescent="0.2">
      <c r="AL1727" s="177"/>
    </row>
    <row r="1728" spans="38:38" x14ac:dyDescent="0.2">
      <c r="AL1728" s="177"/>
    </row>
    <row r="1729" spans="38:38" x14ac:dyDescent="0.2">
      <c r="AL1729" s="177"/>
    </row>
    <row r="1730" spans="38:38" x14ac:dyDescent="0.2">
      <c r="AL1730" s="177"/>
    </row>
    <row r="1731" spans="38:38" x14ac:dyDescent="0.2">
      <c r="AL1731" s="177"/>
    </row>
    <row r="1732" spans="38:38" x14ac:dyDescent="0.2">
      <c r="AL1732" s="177"/>
    </row>
    <row r="1733" spans="38:38" x14ac:dyDescent="0.2">
      <c r="AL1733" s="177"/>
    </row>
    <row r="1734" spans="38:38" x14ac:dyDescent="0.2">
      <c r="AL1734" s="177"/>
    </row>
    <row r="1735" spans="38:38" x14ac:dyDescent="0.2">
      <c r="AL1735" s="177"/>
    </row>
    <row r="1736" spans="38:38" x14ac:dyDescent="0.2">
      <c r="AL1736" s="177"/>
    </row>
    <row r="1737" spans="38:38" x14ac:dyDescent="0.2">
      <c r="AL1737" s="177"/>
    </row>
    <row r="1738" spans="38:38" x14ac:dyDescent="0.2">
      <c r="AL1738" s="177"/>
    </row>
    <row r="1739" spans="38:38" x14ac:dyDescent="0.2">
      <c r="AL1739" s="177"/>
    </row>
    <row r="1740" spans="38:38" x14ac:dyDescent="0.2">
      <c r="AL1740" s="177"/>
    </row>
    <row r="1741" spans="38:38" x14ac:dyDescent="0.2">
      <c r="AL1741" s="177"/>
    </row>
    <row r="1742" spans="38:38" x14ac:dyDescent="0.2">
      <c r="AL1742" s="177"/>
    </row>
    <row r="1743" spans="38:38" x14ac:dyDescent="0.2">
      <c r="AL1743" s="177"/>
    </row>
    <row r="1744" spans="38:38" x14ac:dyDescent="0.2">
      <c r="AL1744" s="177"/>
    </row>
    <row r="1745" spans="38:38" x14ac:dyDescent="0.2">
      <c r="AL1745" s="177"/>
    </row>
    <row r="1746" spans="38:38" x14ac:dyDescent="0.2">
      <c r="AL1746" s="177"/>
    </row>
    <row r="1747" spans="38:38" x14ac:dyDescent="0.2">
      <c r="AL1747" s="177"/>
    </row>
    <row r="1748" spans="38:38" x14ac:dyDescent="0.2">
      <c r="AL1748" s="177"/>
    </row>
    <row r="1749" spans="38:38" x14ac:dyDescent="0.2">
      <c r="AL1749" s="177"/>
    </row>
    <row r="1750" spans="38:38" x14ac:dyDescent="0.2">
      <c r="AL1750" s="177"/>
    </row>
    <row r="1751" spans="38:38" x14ac:dyDescent="0.2">
      <c r="AL1751" s="177"/>
    </row>
    <row r="1752" spans="38:38" x14ac:dyDescent="0.2">
      <c r="AL1752" s="177"/>
    </row>
    <row r="1753" spans="38:38" x14ac:dyDescent="0.2">
      <c r="AL1753" s="177"/>
    </row>
    <row r="1754" spans="38:38" x14ac:dyDescent="0.2">
      <c r="AL1754" s="177"/>
    </row>
    <row r="1755" spans="38:38" x14ac:dyDescent="0.2">
      <c r="AL1755" s="177"/>
    </row>
    <row r="1756" spans="38:38" x14ac:dyDescent="0.2">
      <c r="AL1756" s="177"/>
    </row>
    <row r="1757" spans="38:38" x14ac:dyDescent="0.2">
      <c r="AL1757" s="177"/>
    </row>
    <row r="1758" spans="38:38" x14ac:dyDescent="0.2">
      <c r="AL1758" s="177"/>
    </row>
    <row r="1759" spans="38:38" x14ac:dyDescent="0.2">
      <c r="AL1759" s="177"/>
    </row>
    <row r="1760" spans="38:38" x14ac:dyDescent="0.2">
      <c r="AL1760" s="177"/>
    </row>
    <row r="1761" spans="38:38" x14ac:dyDescent="0.2">
      <c r="AL1761" s="177"/>
    </row>
    <row r="1762" spans="38:38" x14ac:dyDescent="0.2">
      <c r="AL1762" s="177"/>
    </row>
    <row r="1763" spans="38:38" x14ac:dyDescent="0.2">
      <c r="AL1763" s="177"/>
    </row>
    <row r="1764" spans="38:38" x14ac:dyDescent="0.2">
      <c r="AL1764" s="177"/>
    </row>
    <row r="1765" spans="38:38" x14ac:dyDescent="0.2">
      <c r="AL1765" s="177"/>
    </row>
    <row r="1766" spans="38:38" x14ac:dyDescent="0.2">
      <c r="AL1766" s="177"/>
    </row>
    <row r="1767" spans="38:38" x14ac:dyDescent="0.2">
      <c r="AL1767" s="177"/>
    </row>
    <row r="1768" spans="38:38" x14ac:dyDescent="0.2">
      <c r="AL1768" s="177"/>
    </row>
    <row r="1769" spans="38:38" x14ac:dyDescent="0.2">
      <c r="AL1769" s="177"/>
    </row>
    <row r="1770" spans="38:38" x14ac:dyDescent="0.2">
      <c r="AL1770" s="177"/>
    </row>
    <row r="1771" spans="38:38" x14ac:dyDescent="0.2">
      <c r="AL1771" s="177"/>
    </row>
    <row r="1772" spans="38:38" x14ac:dyDescent="0.2">
      <c r="AL1772" s="177"/>
    </row>
    <row r="1773" spans="38:38" x14ac:dyDescent="0.2">
      <c r="AL1773" s="177"/>
    </row>
    <row r="1774" spans="38:38" x14ac:dyDescent="0.2">
      <c r="AL1774" s="177"/>
    </row>
    <row r="1775" spans="38:38" x14ac:dyDescent="0.2">
      <c r="AL1775" s="177"/>
    </row>
    <row r="1776" spans="38:38" x14ac:dyDescent="0.2">
      <c r="AL1776" s="177"/>
    </row>
    <row r="1777" spans="38:38" x14ac:dyDescent="0.2">
      <c r="AL1777" s="177"/>
    </row>
    <row r="1778" spans="38:38" x14ac:dyDescent="0.2">
      <c r="AL1778" s="177"/>
    </row>
    <row r="1779" spans="38:38" x14ac:dyDescent="0.2">
      <c r="AL1779" s="177"/>
    </row>
    <row r="1780" spans="38:38" x14ac:dyDescent="0.2">
      <c r="AL1780" s="177"/>
    </row>
    <row r="1781" spans="38:38" x14ac:dyDescent="0.2">
      <c r="AL1781" s="177"/>
    </row>
    <row r="1782" spans="38:38" x14ac:dyDescent="0.2">
      <c r="AL1782" s="177"/>
    </row>
    <row r="1783" spans="38:38" x14ac:dyDescent="0.2">
      <c r="AL1783" s="177"/>
    </row>
    <row r="1784" spans="38:38" x14ac:dyDescent="0.2">
      <c r="AL1784" s="177"/>
    </row>
    <row r="1785" spans="38:38" x14ac:dyDescent="0.2">
      <c r="AL1785" s="177"/>
    </row>
    <row r="1786" spans="38:38" x14ac:dyDescent="0.2">
      <c r="AL1786" s="177"/>
    </row>
    <row r="1787" spans="38:38" x14ac:dyDescent="0.2">
      <c r="AL1787" s="177"/>
    </row>
    <row r="1788" spans="38:38" x14ac:dyDescent="0.2">
      <c r="AL1788" s="177"/>
    </row>
    <row r="1789" spans="38:38" x14ac:dyDescent="0.2">
      <c r="AL1789" s="177"/>
    </row>
    <row r="1790" spans="38:38" x14ac:dyDescent="0.2">
      <c r="AL1790" s="177"/>
    </row>
    <row r="1791" spans="38:38" x14ac:dyDescent="0.2">
      <c r="AL1791" s="177"/>
    </row>
    <row r="1792" spans="38:38" x14ac:dyDescent="0.2">
      <c r="AL1792" s="177"/>
    </row>
    <row r="1793" spans="38:38" x14ac:dyDescent="0.2">
      <c r="AL1793" s="177"/>
    </row>
    <row r="1794" spans="38:38" x14ac:dyDescent="0.2">
      <c r="AL1794" s="177"/>
    </row>
    <row r="1795" spans="38:38" x14ac:dyDescent="0.2">
      <c r="AL1795" s="177"/>
    </row>
    <row r="1796" spans="38:38" x14ac:dyDescent="0.2">
      <c r="AL1796" s="177"/>
    </row>
    <row r="1797" spans="38:38" x14ac:dyDescent="0.2">
      <c r="AL1797" s="177"/>
    </row>
    <row r="1798" spans="38:38" x14ac:dyDescent="0.2">
      <c r="AL1798" s="177"/>
    </row>
    <row r="1799" spans="38:38" x14ac:dyDescent="0.2">
      <c r="AL1799" s="177"/>
    </row>
    <row r="1800" spans="38:38" x14ac:dyDescent="0.2">
      <c r="AL1800" s="177"/>
    </row>
    <row r="1801" spans="38:38" x14ac:dyDescent="0.2">
      <c r="AL1801" s="177"/>
    </row>
    <row r="1802" spans="38:38" x14ac:dyDescent="0.2">
      <c r="AL1802" s="177"/>
    </row>
    <row r="1803" spans="38:38" x14ac:dyDescent="0.2">
      <c r="AL1803" s="177"/>
    </row>
    <row r="1804" spans="38:38" x14ac:dyDescent="0.2">
      <c r="AL1804" s="177"/>
    </row>
    <row r="1805" spans="38:38" x14ac:dyDescent="0.2">
      <c r="AL1805" s="177"/>
    </row>
    <row r="1806" spans="38:38" x14ac:dyDescent="0.2">
      <c r="AL1806" s="177"/>
    </row>
    <row r="1807" spans="38:38" x14ac:dyDescent="0.2">
      <c r="AL1807" s="177"/>
    </row>
    <row r="1808" spans="38:38" x14ac:dyDescent="0.2">
      <c r="AL1808" s="177"/>
    </row>
    <row r="1809" spans="38:38" x14ac:dyDescent="0.2">
      <c r="AL1809" s="177"/>
    </row>
    <row r="1810" spans="38:38" x14ac:dyDescent="0.2">
      <c r="AL1810" s="177"/>
    </row>
    <row r="1811" spans="38:38" x14ac:dyDescent="0.2">
      <c r="AL1811" s="177"/>
    </row>
    <row r="1812" spans="38:38" x14ac:dyDescent="0.2">
      <c r="AL1812" s="177"/>
    </row>
    <row r="1813" spans="38:38" x14ac:dyDescent="0.2">
      <c r="AL1813" s="177"/>
    </row>
    <row r="1814" spans="38:38" x14ac:dyDescent="0.2">
      <c r="AL1814" s="177"/>
    </row>
    <row r="1815" spans="38:38" x14ac:dyDescent="0.2">
      <c r="AL1815" s="177"/>
    </row>
    <row r="1816" spans="38:38" x14ac:dyDescent="0.2">
      <c r="AL1816" s="177"/>
    </row>
    <row r="1817" spans="38:38" x14ac:dyDescent="0.2">
      <c r="AL1817" s="177"/>
    </row>
    <row r="1818" spans="38:38" x14ac:dyDescent="0.2">
      <c r="AL1818" s="177"/>
    </row>
    <row r="1819" spans="38:38" x14ac:dyDescent="0.2">
      <c r="AL1819" s="177"/>
    </row>
    <row r="1820" spans="38:38" x14ac:dyDescent="0.2">
      <c r="AL1820" s="177"/>
    </row>
    <row r="1821" spans="38:38" x14ac:dyDescent="0.2">
      <c r="AL1821" s="177"/>
    </row>
    <row r="1822" spans="38:38" x14ac:dyDescent="0.2">
      <c r="AL1822" s="177"/>
    </row>
    <row r="1823" spans="38:38" x14ac:dyDescent="0.2">
      <c r="AL1823" s="177"/>
    </row>
    <row r="1824" spans="38:38" x14ac:dyDescent="0.2">
      <c r="AL1824" s="177"/>
    </row>
    <row r="1825" spans="38:38" x14ac:dyDescent="0.2">
      <c r="AL1825" s="177"/>
    </row>
    <row r="1826" spans="38:38" x14ac:dyDescent="0.2">
      <c r="AL1826" s="177"/>
    </row>
    <row r="1827" spans="38:38" x14ac:dyDescent="0.2">
      <c r="AL1827" s="177"/>
    </row>
    <row r="1828" spans="38:38" x14ac:dyDescent="0.2">
      <c r="AL1828" s="177"/>
    </row>
    <row r="1829" spans="38:38" x14ac:dyDescent="0.2">
      <c r="AL1829" s="177"/>
    </row>
    <row r="1830" spans="38:38" x14ac:dyDescent="0.2">
      <c r="AL1830" s="177"/>
    </row>
    <row r="1831" spans="38:38" x14ac:dyDescent="0.2">
      <c r="AL1831" s="177"/>
    </row>
    <row r="1832" spans="38:38" x14ac:dyDescent="0.2">
      <c r="AL1832" s="177"/>
    </row>
    <row r="1833" spans="38:38" x14ac:dyDescent="0.2">
      <c r="AL1833" s="177"/>
    </row>
    <row r="1834" spans="38:38" x14ac:dyDescent="0.2">
      <c r="AL1834" s="177"/>
    </row>
    <row r="1835" spans="38:38" x14ac:dyDescent="0.2">
      <c r="AL1835" s="177"/>
    </row>
    <row r="1836" spans="38:38" x14ac:dyDescent="0.2">
      <c r="AL1836" s="177"/>
    </row>
    <row r="1837" spans="38:38" x14ac:dyDescent="0.2">
      <c r="AL1837" s="177"/>
    </row>
    <row r="1838" spans="38:38" x14ac:dyDescent="0.2">
      <c r="AL1838" s="177"/>
    </row>
    <row r="1839" spans="38:38" x14ac:dyDescent="0.2">
      <c r="AL1839" s="177"/>
    </row>
    <row r="1840" spans="38:38" x14ac:dyDescent="0.2">
      <c r="AL1840" s="177"/>
    </row>
    <row r="1841" spans="38:38" x14ac:dyDescent="0.2">
      <c r="AL1841" s="177"/>
    </row>
    <row r="1842" spans="38:38" x14ac:dyDescent="0.2">
      <c r="AL1842" s="177"/>
    </row>
    <row r="1843" spans="38:38" x14ac:dyDescent="0.2">
      <c r="AL1843" s="177"/>
    </row>
    <row r="1844" spans="38:38" x14ac:dyDescent="0.2">
      <c r="AL1844" s="177"/>
    </row>
    <row r="1845" spans="38:38" x14ac:dyDescent="0.2">
      <c r="AL1845" s="177"/>
    </row>
    <row r="1846" spans="38:38" x14ac:dyDescent="0.2">
      <c r="AL1846" s="177"/>
    </row>
    <row r="1847" spans="38:38" x14ac:dyDescent="0.2">
      <c r="AL1847" s="177"/>
    </row>
    <row r="1848" spans="38:38" x14ac:dyDescent="0.2">
      <c r="AL1848" s="177"/>
    </row>
    <row r="1849" spans="38:38" x14ac:dyDescent="0.2">
      <c r="AL1849" s="177"/>
    </row>
    <row r="1850" spans="38:38" x14ac:dyDescent="0.2">
      <c r="AL1850" s="177"/>
    </row>
    <row r="1851" spans="38:38" x14ac:dyDescent="0.2">
      <c r="AL1851" s="177"/>
    </row>
    <row r="1852" spans="38:38" x14ac:dyDescent="0.2">
      <c r="AL1852" s="177"/>
    </row>
    <row r="1853" spans="38:38" x14ac:dyDescent="0.2">
      <c r="AL1853" s="177"/>
    </row>
    <row r="1854" spans="38:38" x14ac:dyDescent="0.2">
      <c r="AL1854" s="177"/>
    </row>
    <row r="1855" spans="38:38" x14ac:dyDescent="0.2">
      <c r="AL1855" s="177"/>
    </row>
    <row r="1856" spans="38:38" x14ac:dyDescent="0.2">
      <c r="AL1856" s="177"/>
    </row>
    <row r="1857" spans="38:38" x14ac:dyDescent="0.2">
      <c r="AL1857" s="177"/>
    </row>
    <row r="1858" spans="38:38" x14ac:dyDescent="0.2">
      <c r="AL1858" s="177"/>
    </row>
    <row r="1859" spans="38:38" x14ac:dyDescent="0.2">
      <c r="AL1859" s="177"/>
    </row>
    <row r="1860" spans="38:38" x14ac:dyDescent="0.2">
      <c r="AL1860" s="177"/>
    </row>
    <row r="1861" spans="38:38" x14ac:dyDescent="0.2">
      <c r="AL1861" s="177"/>
    </row>
    <row r="1862" spans="38:38" x14ac:dyDescent="0.2">
      <c r="AL1862" s="177"/>
    </row>
    <row r="1863" spans="38:38" x14ac:dyDescent="0.2">
      <c r="AL1863" s="177"/>
    </row>
    <row r="1864" spans="38:38" x14ac:dyDescent="0.2">
      <c r="AL1864" s="177"/>
    </row>
    <row r="1865" spans="38:38" x14ac:dyDescent="0.2">
      <c r="AL1865" s="177"/>
    </row>
    <row r="1866" spans="38:38" x14ac:dyDescent="0.2">
      <c r="AL1866" s="177"/>
    </row>
    <row r="1867" spans="38:38" x14ac:dyDescent="0.2">
      <c r="AL1867" s="177"/>
    </row>
    <row r="1868" spans="38:38" x14ac:dyDescent="0.2">
      <c r="AL1868" s="177"/>
    </row>
    <row r="1869" spans="38:38" x14ac:dyDescent="0.2">
      <c r="AL1869" s="177"/>
    </row>
    <row r="1870" spans="38:38" x14ac:dyDescent="0.2">
      <c r="AL1870" s="177"/>
    </row>
    <row r="1871" spans="38:38" x14ac:dyDescent="0.2">
      <c r="AL1871" s="177"/>
    </row>
    <row r="1872" spans="38:38" x14ac:dyDescent="0.2">
      <c r="AL1872" s="177"/>
    </row>
    <row r="1873" spans="38:38" x14ac:dyDescent="0.2">
      <c r="AL1873" s="177"/>
    </row>
    <row r="1874" spans="38:38" x14ac:dyDescent="0.2">
      <c r="AL1874" s="177"/>
    </row>
    <row r="1875" spans="38:38" x14ac:dyDescent="0.2">
      <c r="AL1875" s="177"/>
    </row>
    <row r="1876" spans="38:38" x14ac:dyDescent="0.2">
      <c r="AL1876" s="177"/>
    </row>
    <row r="1877" spans="38:38" x14ac:dyDescent="0.2">
      <c r="AL1877" s="177"/>
    </row>
    <row r="1878" spans="38:38" x14ac:dyDescent="0.2">
      <c r="AL1878" s="177"/>
    </row>
    <row r="1879" spans="38:38" x14ac:dyDescent="0.2">
      <c r="AL1879" s="177"/>
    </row>
    <row r="1880" spans="38:38" x14ac:dyDescent="0.2">
      <c r="AL1880" s="177"/>
    </row>
    <row r="1881" spans="38:38" x14ac:dyDescent="0.2">
      <c r="AL1881" s="177"/>
    </row>
    <row r="1882" spans="38:38" x14ac:dyDescent="0.2">
      <c r="AL1882" s="177"/>
    </row>
    <row r="1883" spans="38:38" x14ac:dyDescent="0.2">
      <c r="AL1883" s="177"/>
    </row>
    <row r="1884" spans="38:38" x14ac:dyDescent="0.2">
      <c r="AL1884" s="177"/>
    </row>
    <row r="1885" spans="38:38" x14ac:dyDescent="0.2">
      <c r="AL1885" s="177"/>
    </row>
    <row r="1886" spans="38:38" x14ac:dyDescent="0.2">
      <c r="AL1886" s="177"/>
    </row>
    <row r="1887" spans="38:38" x14ac:dyDescent="0.2">
      <c r="AL1887" s="177"/>
    </row>
    <row r="1888" spans="38:38" x14ac:dyDescent="0.2">
      <c r="AL1888" s="177"/>
    </row>
    <row r="1889" spans="38:38" x14ac:dyDescent="0.2">
      <c r="AL1889" s="177"/>
    </row>
    <row r="1890" spans="38:38" x14ac:dyDescent="0.2">
      <c r="AL1890" s="177"/>
    </row>
    <row r="1891" spans="38:38" x14ac:dyDescent="0.2">
      <c r="AL1891" s="177"/>
    </row>
    <row r="1892" spans="38:38" x14ac:dyDescent="0.2">
      <c r="AL1892" s="177"/>
    </row>
    <row r="1893" spans="38:38" x14ac:dyDescent="0.2">
      <c r="AL1893" s="177"/>
    </row>
    <row r="1894" spans="38:38" x14ac:dyDescent="0.2">
      <c r="AL1894" s="177"/>
    </row>
    <row r="1895" spans="38:38" x14ac:dyDescent="0.2">
      <c r="AL1895" s="177"/>
    </row>
    <row r="1896" spans="38:38" x14ac:dyDescent="0.2">
      <c r="AL1896" s="177"/>
    </row>
    <row r="1897" spans="38:38" x14ac:dyDescent="0.2">
      <c r="AL1897" s="177"/>
    </row>
    <row r="1898" spans="38:38" x14ac:dyDescent="0.2">
      <c r="AL1898" s="177"/>
    </row>
    <row r="1899" spans="38:38" x14ac:dyDescent="0.2">
      <c r="AL1899" s="177"/>
    </row>
    <row r="1900" spans="38:38" x14ac:dyDescent="0.2">
      <c r="AL1900" s="177"/>
    </row>
    <row r="1901" spans="38:38" x14ac:dyDescent="0.2">
      <c r="AL1901" s="177"/>
    </row>
    <row r="1902" spans="38:38" x14ac:dyDescent="0.2">
      <c r="AL1902" s="177"/>
    </row>
    <row r="1903" spans="38:38" x14ac:dyDescent="0.2">
      <c r="AL1903" s="177"/>
    </row>
    <row r="1904" spans="38:38" x14ac:dyDescent="0.2">
      <c r="AL1904" s="177"/>
    </row>
    <row r="1905" spans="38:38" x14ac:dyDescent="0.2">
      <c r="AL1905" s="177"/>
    </row>
    <row r="1906" spans="38:38" x14ac:dyDescent="0.2">
      <c r="AL1906" s="177"/>
    </row>
    <row r="1907" spans="38:38" x14ac:dyDescent="0.2">
      <c r="AL1907" s="177"/>
    </row>
    <row r="1908" spans="38:38" x14ac:dyDescent="0.2">
      <c r="AL1908" s="177"/>
    </row>
    <row r="1909" spans="38:38" x14ac:dyDescent="0.2">
      <c r="AL1909" s="177"/>
    </row>
    <row r="1910" spans="38:38" x14ac:dyDescent="0.2">
      <c r="AL1910" s="177"/>
    </row>
    <row r="1911" spans="38:38" x14ac:dyDescent="0.2">
      <c r="AL1911" s="177"/>
    </row>
    <row r="1912" spans="38:38" x14ac:dyDescent="0.2">
      <c r="AL1912" s="177"/>
    </row>
    <row r="1913" spans="38:38" x14ac:dyDescent="0.2">
      <c r="AL1913" s="177"/>
    </row>
    <row r="1914" spans="38:38" x14ac:dyDescent="0.2">
      <c r="AL1914" s="177"/>
    </row>
    <row r="1915" spans="38:38" x14ac:dyDescent="0.2">
      <c r="AL1915" s="177"/>
    </row>
    <row r="1916" spans="38:38" x14ac:dyDescent="0.2">
      <c r="AL1916" s="177"/>
    </row>
    <row r="1917" spans="38:38" x14ac:dyDescent="0.2">
      <c r="AL1917" s="177"/>
    </row>
    <row r="1918" spans="38:38" x14ac:dyDescent="0.2">
      <c r="AL1918" s="177"/>
    </row>
    <row r="1919" spans="38:38" x14ac:dyDescent="0.2">
      <c r="AL1919" s="177"/>
    </row>
    <row r="1920" spans="38:38" x14ac:dyDescent="0.2">
      <c r="AL1920" s="177"/>
    </row>
    <row r="1921" spans="38:38" x14ac:dyDescent="0.2">
      <c r="AL1921" s="177"/>
    </row>
    <row r="1922" spans="38:38" x14ac:dyDescent="0.2">
      <c r="AL1922" s="177"/>
    </row>
    <row r="1923" spans="38:38" x14ac:dyDescent="0.2">
      <c r="AL1923" s="177"/>
    </row>
    <row r="1924" spans="38:38" x14ac:dyDescent="0.2">
      <c r="AL1924" s="177"/>
    </row>
    <row r="1925" spans="38:38" x14ac:dyDescent="0.2">
      <c r="AL1925" s="177"/>
    </row>
    <row r="1926" spans="38:38" x14ac:dyDescent="0.2">
      <c r="AL1926" s="177"/>
    </row>
    <row r="1927" spans="38:38" x14ac:dyDescent="0.2">
      <c r="AL1927" s="177"/>
    </row>
    <row r="1928" spans="38:38" x14ac:dyDescent="0.2">
      <c r="AL1928" s="177"/>
    </row>
    <row r="1929" spans="38:38" x14ac:dyDescent="0.2">
      <c r="AL1929" s="177"/>
    </row>
    <row r="1930" spans="38:38" x14ac:dyDescent="0.2">
      <c r="AL1930" s="177"/>
    </row>
    <row r="1931" spans="38:38" x14ac:dyDescent="0.2">
      <c r="AL1931" s="177"/>
    </row>
    <row r="1932" spans="38:38" x14ac:dyDescent="0.2">
      <c r="AL1932" s="177"/>
    </row>
    <row r="1933" spans="38:38" x14ac:dyDescent="0.2">
      <c r="AL1933" s="177"/>
    </row>
    <row r="1934" spans="38:38" x14ac:dyDescent="0.2">
      <c r="AL1934" s="177"/>
    </row>
    <row r="1935" spans="38:38" x14ac:dyDescent="0.2">
      <c r="AL1935" s="177"/>
    </row>
    <row r="1936" spans="38:38" x14ac:dyDescent="0.2">
      <c r="AL1936" s="177"/>
    </row>
    <row r="1937" spans="38:38" x14ac:dyDescent="0.2">
      <c r="AL1937" s="177"/>
    </row>
    <row r="1938" spans="38:38" x14ac:dyDescent="0.2">
      <c r="AL1938" s="177"/>
    </row>
    <row r="1939" spans="38:38" x14ac:dyDescent="0.2">
      <c r="AL1939" s="177"/>
    </row>
    <row r="1940" spans="38:38" x14ac:dyDescent="0.2">
      <c r="AL1940" s="177"/>
    </row>
    <row r="1941" spans="38:38" x14ac:dyDescent="0.2">
      <c r="AL1941" s="177"/>
    </row>
    <row r="1942" spans="38:38" x14ac:dyDescent="0.2">
      <c r="AL1942" s="177"/>
    </row>
    <row r="1943" spans="38:38" x14ac:dyDescent="0.2">
      <c r="AL1943" s="177"/>
    </row>
    <row r="1944" spans="38:38" x14ac:dyDescent="0.2">
      <c r="AL1944" s="177"/>
    </row>
    <row r="1945" spans="38:38" x14ac:dyDescent="0.2">
      <c r="AL1945" s="177"/>
    </row>
    <row r="1946" spans="38:38" x14ac:dyDescent="0.2">
      <c r="AL1946" s="177"/>
    </row>
    <row r="1947" spans="38:38" x14ac:dyDescent="0.2">
      <c r="AL1947" s="177"/>
    </row>
    <row r="1948" spans="38:38" x14ac:dyDescent="0.2">
      <c r="AL1948" s="177"/>
    </row>
    <row r="1949" spans="38:38" x14ac:dyDescent="0.2">
      <c r="AL1949" s="177"/>
    </row>
    <row r="1950" spans="38:38" x14ac:dyDescent="0.2">
      <c r="AL1950" s="177"/>
    </row>
    <row r="1951" spans="38:38" x14ac:dyDescent="0.2">
      <c r="AL1951" s="177"/>
    </row>
    <row r="1952" spans="38:38" x14ac:dyDescent="0.2">
      <c r="AL1952" s="177"/>
    </row>
    <row r="1953" spans="38:38" x14ac:dyDescent="0.2">
      <c r="AL1953" s="177"/>
    </row>
    <row r="1954" spans="38:38" x14ac:dyDescent="0.2">
      <c r="AL1954" s="177"/>
    </row>
    <row r="1955" spans="38:38" x14ac:dyDescent="0.2">
      <c r="AL1955" s="177"/>
    </row>
    <row r="1956" spans="38:38" x14ac:dyDescent="0.2">
      <c r="AL1956" s="177"/>
    </row>
    <row r="1957" spans="38:38" x14ac:dyDescent="0.2">
      <c r="AL1957" s="177"/>
    </row>
    <row r="1958" spans="38:38" x14ac:dyDescent="0.2">
      <c r="AL1958" s="177"/>
    </row>
    <row r="1959" spans="38:38" x14ac:dyDescent="0.2">
      <c r="AL1959" s="177"/>
    </row>
    <row r="1960" spans="38:38" x14ac:dyDescent="0.2">
      <c r="AL1960" s="177"/>
    </row>
    <row r="1961" spans="38:38" x14ac:dyDescent="0.2">
      <c r="AL1961" s="177"/>
    </row>
    <row r="1962" spans="38:38" x14ac:dyDescent="0.2">
      <c r="AL1962" s="177"/>
    </row>
    <row r="1963" spans="38:38" x14ac:dyDescent="0.2">
      <c r="AL1963" s="177"/>
    </row>
    <row r="1964" spans="38:38" x14ac:dyDescent="0.2">
      <c r="AL1964" s="177"/>
    </row>
    <row r="1965" spans="38:38" x14ac:dyDescent="0.2">
      <c r="AL1965" s="177"/>
    </row>
    <row r="1966" spans="38:38" x14ac:dyDescent="0.2">
      <c r="AL1966" s="177"/>
    </row>
    <row r="1967" spans="38:38" x14ac:dyDescent="0.2">
      <c r="AL1967" s="177"/>
    </row>
    <row r="1968" spans="38:38" x14ac:dyDescent="0.2">
      <c r="AL1968" s="177"/>
    </row>
    <row r="1969" spans="38:38" x14ac:dyDescent="0.2">
      <c r="AL1969" s="177"/>
    </row>
    <row r="1970" spans="38:38" x14ac:dyDescent="0.2">
      <c r="AL1970" s="177"/>
    </row>
    <row r="1971" spans="38:38" x14ac:dyDescent="0.2">
      <c r="AL1971" s="177"/>
    </row>
    <row r="1972" spans="38:38" x14ac:dyDescent="0.2">
      <c r="AL1972" s="177"/>
    </row>
    <row r="1973" spans="38:38" x14ac:dyDescent="0.2">
      <c r="AL1973" s="177"/>
    </row>
    <row r="1974" spans="38:38" x14ac:dyDescent="0.2">
      <c r="AL1974" s="177"/>
    </row>
    <row r="1975" spans="38:38" x14ac:dyDescent="0.2">
      <c r="AL1975" s="177"/>
    </row>
    <row r="1976" spans="38:38" x14ac:dyDescent="0.2">
      <c r="AL1976" s="177"/>
    </row>
    <row r="1977" spans="38:38" x14ac:dyDescent="0.2">
      <c r="AL1977" s="177"/>
    </row>
    <row r="1978" spans="38:38" x14ac:dyDescent="0.2">
      <c r="AL1978" s="177"/>
    </row>
    <row r="1979" spans="38:38" x14ac:dyDescent="0.2">
      <c r="AL1979" s="177"/>
    </row>
    <row r="1980" spans="38:38" x14ac:dyDescent="0.2">
      <c r="AL1980" s="177"/>
    </row>
    <row r="1981" spans="38:38" x14ac:dyDescent="0.2">
      <c r="AL1981" s="177"/>
    </row>
    <row r="1982" spans="38:38" x14ac:dyDescent="0.2">
      <c r="AL1982" s="177"/>
    </row>
    <row r="1983" spans="38:38" x14ac:dyDescent="0.2">
      <c r="AL1983" s="177"/>
    </row>
    <row r="1984" spans="38:38" x14ac:dyDescent="0.2">
      <c r="AL1984" s="177"/>
    </row>
    <row r="1985" spans="38:38" x14ac:dyDescent="0.2">
      <c r="AL1985" s="177"/>
    </row>
    <row r="1986" spans="38:38" x14ac:dyDescent="0.2">
      <c r="AL1986" s="177"/>
    </row>
    <row r="1987" spans="38:38" x14ac:dyDescent="0.2">
      <c r="AL1987" s="177"/>
    </row>
    <row r="1988" spans="38:38" x14ac:dyDescent="0.2">
      <c r="AL1988" s="177"/>
    </row>
    <row r="1989" spans="38:38" x14ac:dyDescent="0.2">
      <c r="AL1989" s="177"/>
    </row>
    <row r="1990" spans="38:38" x14ac:dyDescent="0.2">
      <c r="AL1990" s="177"/>
    </row>
    <row r="1991" spans="38:38" x14ac:dyDescent="0.2">
      <c r="AL1991" s="177"/>
    </row>
    <row r="1992" spans="38:38" x14ac:dyDescent="0.2">
      <c r="AL1992" s="177"/>
    </row>
    <row r="1993" spans="38:38" x14ac:dyDescent="0.2">
      <c r="AL1993" s="177"/>
    </row>
    <row r="1994" spans="38:38" x14ac:dyDescent="0.2">
      <c r="AL1994" s="177"/>
    </row>
    <row r="1995" spans="38:38" x14ac:dyDescent="0.2">
      <c r="AL1995" s="177"/>
    </row>
    <row r="1996" spans="38:38" x14ac:dyDescent="0.2">
      <c r="AL1996" s="177"/>
    </row>
    <row r="1997" spans="38:38" x14ac:dyDescent="0.2">
      <c r="AL1997" s="177"/>
    </row>
    <row r="1998" spans="38:38" x14ac:dyDescent="0.2">
      <c r="AL1998" s="177"/>
    </row>
    <row r="1999" spans="38:38" x14ac:dyDescent="0.2">
      <c r="AL1999" s="177"/>
    </row>
    <row r="2000" spans="38:38" x14ac:dyDescent="0.2">
      <c r="AL2000" s="177"/>
    </row>
    <row r="2001" spans="38:38" x14ac:dyDescent="0.2">
      <c r="AL2001" s="177"/>
    </row>
    <row r="2002" spans="38:38" x14ac:dyDescent="0.2">
      <c r="AL2002" s="177"/>
    </row>
    <row r="2003" spans="38:38" x14ac:dyDescent="0.2">
      <c r="AL2003" s="177"/>
    </row>
    <row r="2004" spans="38:38" x14ac:dyDescent="0.2">
      <c r="AL2004" s="177"/>
    </row>
    <row r="2005" spans="38:38" x14ac:dyDescent="0.2">
      <c r="AL2005" s="177"/>
    </row>
    <row r="2006" spans="38:38" x14ac:dyDescent="0.2">
      <c r="AL2006" s="177"/>
    </row>
    <row r="2007" spans="38:38" x14ac:dyDescent="0.2">
      <c r="AL2007" s="177"/>
    </row>
    <row r="2008" spans="38:38" x14ac:dyDescent="0.2">
      <c r="AL2008" s="177"/>
    </row>
    <row r="2009" spans="38:38" x14ac:dyDescent="0.2">
      <c r="AL2009" s="177"/>
    </row>
    <row r="2010" spans="38:38" x14ac:dyDescent="0.2">
      <c r="AL2010" s="177"/>
    </row>
    <row r="2011" spans="38:38" x14ac:dyDescent="0.2">
      <c r="AL2011" s="177"/>
    </row>
    <row r="2012" spans="38:38" x14ac:dyDescent="0.2">
      <c r="AL2012" s="177"/>
    </row>
    <row r="2013" spans="38:38" x14ac:dyDescent="0.2">
      <c r="AL2013" s="177"/>
    </row>
    <row r="2014" spans="38:38" x14ac:dyDescent="0.2">
      <c r="AL2014" s="177"/>
    </row>
    <row r="2015" spans="38:38" x14ac:dyDescent="0.2">
      <c r="AL2015" s="177"/>
    </row>
    <row r="2016" spans="38:38" x14ac:dyDescent="0.2">
      <c r="AL2016" s="177"/>
    </row>
    <row r="2017" spans="38:38" x14ac:dyDescent="0.2">
      <c r="AL2017" s="177"/>
    </row>
    <row r="2018" spans="38:38" x14ac:dyDescent="0.2">
      <c r="AL2018" s="177"/>
    </row>
    <row r="2019" spans="38:38" x14ac:dyDescent="0.2">
      <c r="AL2019" s="177"/>
    </row>
    <row r="2020" spans="38:38" x14ac:dyDescent="0.2">
      <c r="AL2020" s="177"/>
    </row>
    <row r="2021" spans="38:38" x14ac:dyDescent="0.2">
      <c r="AL2021" s="177"/>
    </row>
    <row r="2022" spans="38:38" x14ac:dyDescent="0.2">
      <c r="AL2022" s="177"/>
    </row>
    <row r="2023" spans="38:38" x14ac:dyDescent="0.2">
      <c r="AL2023" s="177"/>
    </row>
    <row r="2024" spans="38:38" x14ac:dyDescent="0.2">
      <c r="AL2024" s="177"/>
    </row>
    <row r="2025" spans="38:38" x14ac:dyDescent="0.2">
      <c r="AL2025" s="177"/>
    </row>
    <row r="2026" spans="38:38" x14ac:dyDescent="0.2">
      <c r="AL2026" s="177"/>
    </row>
    <row r="2027" spans="38:38" x14ac:dyDescent="0.2">
      <c r="AL2027" s="177"/>
    </row>
    <row r="2028" spans="38:38" x14ac:dyDescent="0.2">
      <c r="AL2028" s="177"/>
    </row>
    <row r="2029" spans="38:38" x14ac:dyDescent="0.2">
      <c r="AL2029" s="177"/>
    </row>
    <row r="2030" spans="38:38" x14ac:dyDescent="0.2">
      <c r="AL2030" s="177"/>
    </row>
    <row r="2031" spans="38:38" x14ac:dyDescent="0.2">
      <c r="AL2031" s="177"/>
    </row>
    <row r="2032" spans="38:38" x14ac:dyDescent="0.2">
      <c r="AL2032" s="177"/>
    </row>
    <row r="2033" spans="38:38" x14ac:dyDescent="0.2">
      <c r="AL2033" s="177"/>
    </row>
    <row r="2034" spans="38:38" x14ac:dyDescent="0.2">
      <c r="AL2034" s="177"/>
    </row>
    <row r="2035" spans="38:38" x14ac:dyDescent="0.2">
      <c r="AL2035" s="177"/>
    </row>
    <row r="2036" spans="38:38" x14ac:dyDescent="0.2">
      <c r="AL2036" s="177"/>
    </row>
    <row r="2037" spans="38:38" x14ac:dyDescent="0.2">
      <c r="AL2037" s="177"/>
    </row>
    <row r="2038" spans="38:38" x14ac:dyDescent="0.2">
      <c r="AL2038" s="177"/>
    </row>
    <row r="2039" spans="38:38" x14ac:dyDescent="0.2">
      <c r="AL2039" s="177"/>
    </row>
    <row r="2040" spans="38:38" x14ac:dyDescent="0.2">
      <c r="AL2040" s="177"/>
    </row>
    <row r="2041" spans="38:38" x14ac:dyDescent="0.2">
      <c r="AL2041" s="177"/>
    </row>
    <row r="2042" spans="38:38" x14ac:dyDescent="0.2">
      <c r="AL2042" s="177"/>
    </row>
    <row r="2043" spans="38:38" x14ac:dyDescent="0.2">
      <c r="AL2043" s="177"/>
    </row>
    <row r="2044" spans="38:38" x14ac:dyDescent="0.2">
      <c r="AL2044" s="177"/>
    </row>
    <row r="2045" spans="38:38" x14ac:dyDescent="0.2">
      <c r="AL2045" s="177"/>
    </row>
    <row r="2046" spans="38:38" x14ac:dyDescent="0.2">
      <c r="AL2046" s="177"/>
    </row>
    <row r="2047" spans="38:38" x14ac:dyDescent="0.2">
      <c r="AL2047" s="177"/>
    </row>
    <row r="2048" spans="38:38" x14ac:dyDescent="0.2">
      <c r="AL2048" s="177"/>
    </row>
    <row r="2049" spans="38:38" x14ac:dyDescent="0.2">
      <c r="AL2049" s="177"/>
    </row>
    <row r="2050" spans="38:38" x14ac:dyDescent="0.2">
      <c r="AL2050" s="177"/>
    </row>
    <row r="2051" spans="38:38" x14ac:dyDescent="0.2">
      <c r="AL2051" s="177"/>
    </row>
    <row r="2052" spans="38:38" x14ac:dyDescent="0.2">
      <c r="AL2052" s="177"/>
    </row>
    <row r="2053" spans="38:38" x14ac:dyDescent="0.2">
      <c r="AL2053" s="177"/>
    </row>
    <row r="2054" spans="38:38" x14ac:dyDescent="0.2">
      <c r="AL2054" s="177"/>
    </row>
    <row r="2055" spans="38:38" x14ac:dyDescent="0.2">
      <c r="AL2055" s="177"/>
    </row>
    <row r="2056" spans="38:38" x14ac:dyDescent="0.2">
      <c r="AL2056" s="177"/>
    </row>
    <row r="2057" spans="38:38" x14ac:dyDescent="0.2">
      <c r="AL2057" s="177"/>
    </row>
    <row r="2058" spans="38:38" x14ac:dyDescent="0.2">
      <c r="AL2058" s="177"/>
    </row>
    <row r="2059" spans="38:38" x14ac:dyDescent="0.2">
      <c r="AL2059" s="177"/>
    </row>
    <row r="2060" spans="38:38" x14ac:dyDescent="0.2">
      <c r="AL2060" s="177"/>
    </row>
    <row r="2061" spans="38:38" x14ac:dyDescent="0.2">
      <c r="AL2061" s="177"/>
    </row>
    <row r="2062" spans="38:38" x14ac:dyDescent="0.2">
      <c r="AL2062" s="177"/>
    </row>
    <row r="2063" spans="38:38" x14ac:dyDescent="0.2">
      <c r="AL2063" s="177"/>
    </row>
    <row r="2064" spans="38:38" x14ac:dyDescent="0.2">
      <c r="AL2064" s="177"/>
    </row>
    <row r="2065" spans="38:38" x14ac:dyDescent="0.2">
      <c r="AL2065" s="177"/>
    </row>
    <row r="2066" spans="38:38" x14ac:dyDescent="0.2">
      <c r="AL2066" s="177"/>
    </row>
    <row r="2067" spans="38:38" x14ac:dyDescent="0.2">
      <c r="AL2067" s="177"/>
    </row>
    <row r="2068" spans="38:38" x14ac:dyDescent="0.2">
      <c r="AL2068" s="177"/>
    </row>
    <row r="2069" spans="38:38" x14ac:dyDescent="0.2">
      <c r="AL2069" s="177"/>
    </row>
    <row r="2070" spans="38:38" x14ac:dyDescent="0.2">
      <c r="AL2070" s="177"/>
    </row>
    <row r="2071" spans="38:38" x14ac:dyDescent="0.2">
      <c r="AL2071" s="177"/>
    </row>
    <row r="2072" spans="38:38" x14ac:dyDescent="0.2">
      <c r="AL2072" s="177"/>
    </row>
    <row r="2073" spans="38:38" x14ac:dyDescent="0.2">
      <c r="AL2073" s="177"/>
    </row>
    <row r="2074" spans="38:38" x14ac:dyDescent="0.2">
      <c r="AL2074" s="177"/>
    </row>
    <row r="2075" spans="38:38" x14ac:dyDescent="0.2">
      <c r="AL2075" s="177"/>
    </row>
    <row r="2076" spans="38:38" x14ac:dyDescent="0.2">
      <c r="AL2076" s="177"/>
    </row>
    <row r="2077" spans="38:38" x14ac:dyDescent="0.2">
      <c r="AL2077" s="177"/>
    </row>
    <row r="2078" spans="38:38" x14ac:dyDescent="0.2">
      <c r="AL2078" s="177"/>
    </row>
    <row r="2079" spans="38:38" x14ac:dyDescent="0.2">
      <c r="AL2079" s="177"/>
    </row>
    <row r="2080" spans="38:38" x14ac:dyDescent="0.2">
      <c r="AL2080" s="177"/>
    </row>
    <row r="2081" spans="38:38" x14ac:dyDescent="0.2">
      <c r="AL2081" s="177"/>
    </row>
    <row r="2082" spans="38:38" x14ac:dyDescent="0.2">
      <c r="AL2082" s="177"/>
    </row>
    <row r="2083" spans="38:38" x14ac:dyDescent="0.2">
      <c r="AL2083" s="177"/>
    </row>
    <row r="2084" spans="38:38" x14ac:dyDescent="0.2">
      <c r="AL2084" s="177"/>
    </row>
    <row r="2085" spans="38:38" x14ac:dyDescent="0.2">
      <c r="AL2085" s="177"/>
    </row>
    <row r="2086" spans="38:38" x14ac:dyDescent="0.2">
      <c r="AL2086" s="177"/>
    </row>
    <row r="2087" spans="38:38" x14ac:dyDescent="0.2">
      <c r="AL2087" s="177"/>
    </row>
    <row r="2088" spans="38:38" x14ac:dyDescent="0.2">
      <c r="AL2088" s="177"/>
    </row>
    <row r="2089" spans="38:38" x14ac:dyDescent="0.2">
      <c r="AL2089" s="177"/>
    </row>
    <row r="2090" spans="38:38" x14ac:dyDescent="0.2">
      <c r="AL2090" s="177"/>
    </row>
    <row r="2091" spans="38:38" x14ac:dyDescent="0.2">
      <c r="AL2091" s="177"/>
    </row>
    <row r="2092" spans="38:38" x14ac:dyDescent="0.2">
      <c r="AL2092" s="177"/>
    </row>
    <row r="2093" spans="38:38" x14ac:dyDescent="0.2">
      <c r="AL2093" s="177"/>
    </row>
    <row r="2094" spans="38:38" x14ac:dyDescent="0.2">
      <c r="AL2094" s="177"/>
    </row>
    <row r="2095" spans="38:38" x14ac:dyDescent="0.2">
      <c r="AL2095" s="177"/>
    </row>
    <row r="2096" spans="38:38" x14ac:dyDescent="0.2">
      <c r="AL2096" s="177"/>
    </row>
    <row r="2097" spans="38:38" x14ac:dyDescent="0.2">
      <c r="AL2097" s="177"/>
    </row>
    <row r="2098" spans="38:38" x14ac:dyDescent="0.2">
      <c r="AL2098" s="177"/>
    </row>
    <row r="2099" spans="38:38" x14ac:dyDescent="0.2">
      <c r="AL2099" s="177"/>
    </row>
    <row r="2100" spans="38:38" x14ac:dyDescent="0.2">
      <c r="AL2100" s="177"/>
    </row>
    <row r="2101" spans="38:38" x14ac:dyDescent="0.2">
      <c r="AL2101" s="177"/>
    </row>
    <row r="2102" spans="38:38" x14ac:dyDescent="0.2">
      <c r="AL2102" s="177"/>
    </row>
    <row r="2103" spans="38:38" x14ac:dyDescent="0.2">
      <c r="AL2103" s="177"/>
    </row>
    <row r="2104" spans="38:38" x14ac:dyDescent="0.2">
      <c r="AL2104" s="177"/>
    </row>
    <row r="2105" spans="38:38" x14ac:dyDescent="0.2">
      <c r="AL2105" s="177"/>
    </row>
    <row r="2106" spans="38:38" x14ac:dyDescent="0.2">
      <c r="AL2106" s="177"/>
    </row>
    <row r="2107" spans="38:38" x14ac:dyDescent="0.2">
      <c r="AL2107" s="177"/>
    </row>
    <row r="2108" spans="38:38" x14ac:dyDescent="0.2">
      <c r="AL2108" s="177"/>
    </row>
    <row r="2109" spans="38:38" x14ac:dyDescent="0.2">
      <c r="AL2109" s="177"/>
    </row>
    <row r="2110" spans="38:38" x14ac:dyDescent="0.2">
      <c r="AL2110" s="177"/>
    </row>
    <row r="2111" spans="38:38" x14ac:dyDescent="0.2">
      <c r="AL2111" s="177"/>
    </row>
    <row r="2112" spans="38:38" x14ac:dyDescent="0.2">
      <c r="AL2112" s="177"/>
    </row>
    <row r="2113" spans="38:38" x14ac:dyDescent="0.2">
      <c r="AL2113" s="177"/>
    </row>
    <row r="2114" spans="38:38" x14ac:dyDescent="0.2">
      <c r="AL2114" s="177"/>
    </row>
    <row r="2115" spans="38:38" x14ac:dyDescent="0.2">
      <c r="AL2115" s="177"/>
    </row>
    <row r="2116" spans="38:38" x14ac:dyDescent="0.2">
      <c r="AL2116" s="177"/>
    </row>
    <row r="2117" spans="38:38" x14ac:dyDescent="0.2">
      <c r="AL2117" s="177"/>
    </row>
    <row r="2118" spans="38:38" x14ac:dyDescent="0.2">
      <c r="AL2118" s="177"/>
    </row>
    <row r="2119" spans="38:38" x14ac:dyDescent="0.2">
      <c r="AL2119" s="177"/>
    </row>
    <row r="2120" spans="38:38" x14ac:dyDescent="0.2">
      <c r="AL2120" s="177"/>
    </row>
    <row r="2121" spans="38:38" x14ac:dyDescent="0.2">
      <c r="AL2121" s="177"/>
    </row>
    <row r="2122" spans="38:38" x14ac:dyDescent="0.2">
      <c r="AL2122" s="177"/>
    </row>
    <row r="2123" spans="38:38" x14ac:dyDescent="0.2">
      <c r="AL2123" s="177"/>
    </row>
    <row r="2124" spans="38:38" x14ac:dyDescent="0.2">
      <c r="AL2124" s="177"/>
    </row>
    <row r="2125" spans="38:38" x14ac:dyDescent="0.2">
      <c r="AL2125" s="177"/>
    </row>
    <row r="2126" spans="38:38" x14ac:dyDescent="0.2">
      <c r="AL2126" s="177"/>
    </row>
    <row r="2127" spans="38:38" x14ac:dyDescent="0.2">
      <c r="AL2127" s="177"/>
    </row>
    <row r="2128" spans="38:38" x14ac:dyDescent="0.2">
      <c r="AL2128" s="177"/>
    </row>
    <row r="2129" spans="38:38" x14ac:dyDescent="0.2">
      <c r="AL2129" s="177"/>
    </row>
    <row r="2130" spans="38:38" x14ac:dyDescent="0.2">
      <c r="AL2130" s="177"/>
    </row>
    <row r="2131" spans="38:38" x14ac:dyDescent="0.2">
      <c r="AL2131" s="177"/>
    </row>
    <row r="2132" spans="38:38" x14ac:dyDescent="0.2">
      <c r="AL2132" s="177"/>
    </row>
    <row r="2133" spans="38:38" x14ac:dyDescent="0.2">
      <c r="AL2133" s="177"/>
    </row>
    <row r="2134" spans="38:38" x14ac:dyDescent="0.2">
      <c r="AL2134" s="177"/>
    </row>
    <row r="2135" spans="38:38" x14ac:dyDescent="0.2">
      <c r="AL2135" s="177"/>
    </row>
    <row r="2136" spans="38:38" x14ac:dyDescent="0.2">
      <c r="AL2136" s="177"/>
    </row>
    <row r="2137" spans="38:38" x14ac:dyDescent="0.2">
      <c r="AL2137" s="177"/>
    </row>
    <row r="2138" spans="38:38" x14ac:dyDescent="0.2">
      <c r="AL2138" s="177"/>
    </row>
    <row r="2139" spans="38:38" x14ac:dyDescent="0.2">
      <c r="AL2139" s="177"/>
    </row>
    <row r="2140" spans="38:38" x14ac:dyDescent="0.2">
      <c r="AL2140" s="177"/>
    </row>
    <row r="2141" spans="38:38" x14ac:dyDescent="0.2">
      <c r="AL2141" s="177"/>
    </row>
    <row r="2142" spans="38:38" x14ac:dyDescent="0.2">
      <c r="AL2142" s="177"/>
    </row>
    <row r="2143" spans="38:38" x14ac:dyDescent="0.2">
      <c r="AL2143" s="177"/>
    </row>
    <row r="2144" spans="38:38" x14ac:dyDescent="0.2">
      <c r="AL2144" s="177"/>
    </row>
    <row r="2145" spans="38:38" x14ac:dyDescent="0.2">
      <c r="AL2145" s="177"/>
    </row>
    <row r="2146" spans="38:38" x14ac:dyDescent="0.2">
      <c r="AL2146" s="177"/>
    </row>
    <row r="2147" spans="38:38" x14ac:dyDescent="0.2">
      <c r="AL2147" s="177"/>
    </row>
    <row r="2148" spans="38:38" x14ac:dyDescent="0.2">
      <c r="AL2148" s="177"/>
    </row>
    <row r="2149" spans="38:38" x14ac:dyDescent="0.2">
      <c r="AL2149" s="177"/>
    </row>
    <row r="2150" spans="38:38" x14ac:dyDescent="0.2">
      <c r="AL2150" s="177"/>
    </row>
    <row r="2151" spans="38:38" x14ac:dyDescent="0.2">
      <c r="AL2151" s="177"/>
    </row>
    <row r="2152" spans="38:38" x14ac:dyDescent="0.2">
      <c r="AL2152" s="177"/>
    </row>
    <row r="2153" spans="38:38" x14ac:dyDescent="0.2">
      <c r="AL2153" s="177"/>
    </row>
    <row r="2154" spans="38:38" x14ac:dyDescent="0.2">
      <c r="AL2154" s="177"/>
    </row>
    <row r="2155" spans="38:38" x14ac:dyDescent="0.2">
      <c r="AL2155" s="177"/>
    </row>
    <row r="2156" spans="38:38" x14ac:dyDescent="0.2">
      <c r="AL2156" s="177"/>
    </row>
    <row r="2157" spans="38:38" x14ac:dyDescent="0.2">
      <c r="AL2157" s="177"/>
    </row>
    <row r="2158" spans="38:38" x14ac:dyDescent="0.2">
      <c r="AL2158" s="177"/>
    </row>
    <row r="2159" spans="38:38" x14ac:dyDescent="0.2">
      <c r="AL2159" s="177"/>
    </row>
    <row r="2160" spans="38:38" x14ac:dyDescent="0.2">
      <c r="AL2160" s="177"/>
    </row>
    <row r="2161" spans="38:38" x14ac:dyDescent="0.2">
      <c r="AL2161" s="177"/>
    </row>
    <row r="2162" spans="38:38" x14ac:dyDescent="0.2">
      <c r="AL2162" s="177"/>
    </row>
    <row r="2163" spans="38:38" x14ac:dyDescent="0.2">
      <c r="AL2163" s="177"/>
    </row>
    <row r="2164" spans="38:38" x14ac:dyDescent="0.2">
      <c r="AL2164" s="177"/>
    </row>
    <row r="2165" spans="38:38" x14ac:dyDescent="0.2">
      <c r="AL2165" s="177"/>
    </row>
    <row r="2166" spans="38:38" x14ac:dyDescent="0.2">
      <c r="AL2166" s="177"/>
    </row>
    <row r="2167" spans="38:38" x14ac:dyDescent="0.2">
      <c r="AL2167" s="177"/>
    </row>
    <row r="2168" spans="38:38" x14ac:dyDescent="0.2">
      <c r="AL2168" s="177"/>
    </row>
    <row r="2169" spans="38:38" x14ac:dyDescent="0.2">
      <c r="AL2169" s="177"/>
    </row>
    <row r="2170" spans="38:38" x14ac:dyDescent="0.2">
      <c r="AL2170" s="177"/>
    </row>
    <row r="2171" spans="38:38" x14ac:dyDescent="0.2">
      <c r="AL2171" s="177"/>
    </row>
    <row r="2172" spans="38:38" x14ac:dyDescent="0.2">
      <c r="AL2172" s="177"/>
    </row>
    <row r="2173" spans="38:38" x14ac:dyDescent="0.2">
      <c r="AL2173" s="177"/>
    </row>
    <row r="2174" spans="38:38" x14ac:dyDescent="0.2">
      <c r="AL2174" s="177"/>
    </row>
    <row r="2175" spans="38:38" x14ac:dyDescent="0.2">
      <c r="AL2175" s="177"/>
    </row>
    <row r="2176" spans="38:38" x14ac:dyDescent="0.2">
      <c r="AL2176" s="177"/>
    </row>
    <row r="2177" spans="38:38" x14ac:dyDescent="0.2">
      <c r="AL2177" s="177"/>
    </row>
    <row r="2178" spans="38:38" x14ac:dyDescent="0.2">
      <c r="AL2178" s="177"/>
    </row>
    <row r="2179" spans="38:38" x14ac:dyDescent="0.2">
      <c r="AL2179" s="177"/>
    </row>
    <row r="2180" spans="38:38" x14ac:dyDescent="0.2">
      <c r="AL2180" s="177"/>
    </row>
    <row r="2181" spans="38:38" x14ac:dyDescent="0.2">
      <c r="AL2181" s="177"/>
    </row>
    <row r="2182" spans="38:38" x14ac:dyDescent="0.2">
      <c r="AL2182" s="177"/>
    </row>
    <row r="2183" spans="38:38" x14ac:dyDescent="0.2">
      <c r="AL2183" s="177"/>
    </row>
    <row r="2184" spans="38:38" x14ac:dyDescent="0.2">
      <c r="AL2184" s="177"/>
    </row>
    <row r="2185" spans="38:38" x14ac:dyDescent="0.2">
      <c r="AL2185" s="177"/>
    </row>
    <row r="2186" spans="38:38" x14ac:dyDescent="0.2">
      <c r="AL2186" s="177"/>
    </row>
    <row r="2187" spans="38:38" x14ac:dyDescent="0.2">
      <c r="AL2187" s="177"/>
    </row>
    <row r="2188" spans="38:38" x14ac:dyDescent="0.2">
      <c r="AL2188" s="177"/>
    </row>
    <row r="2189" spans="38:38" x14ac:dyDescent="0.2">
      <c r="AL2189" s="177"/>
    </row>
    <row r="2190" spans="38:38" x14ac:dyDescent="0.2">
      <c r="AL2190" s="177"/>
    </row>
    <row r="2191" spans="38:38" x14ac:dyDescent="0.2">
      <c r="AL2191" s="177"/>
    </row>
    <row r="2192" spans="38:38" x14ac:dyDescent="0.2">
      <c r="AL2192" s="177"/>
    </row>
    <row r="2193" spans="38:38" x14ac:dyDescent="0.2">
      <c r="AL2193" s="177"/>
    </row>
    <row r="2194" spans="38:38" x14ac:dyDescent="0.2">
      <c r="AL2194" s="177"/>
    </row>
    <row r="2195" spans="38:38" x14ac:dyDescent="0.2">
      <c r="AL2195" s="177"/>
    </row>
    <row r="2196" spans="38:38" x14ac:dyDescent="0.2">
      <c r="AL2196" s="177"/>
    </row>
    <row r="2197" spans="38:38" x14ac:dyDescent="0.2">
      <c r="AL2197" s="177"/>
    </row>
    <row r="2198" spans="38:38" x14ac:dyDescent="0.2">
      <c r="AL2198" s="177"/>
    </row>
    <row r="2199" spans="38:38" x14ac:dyDescent="0.2">
      <c r="AL2199" s="177"/>
    </row>
    <row r="2200" spans="38:38" x14ac:dyDescent="0.2">
      <c r="AL2200" s="177"/>
    </row>
    <row r="2201" spans="38:38" x14ac:dyDescent="0.2">
      <c r="AL2201" s="177"/>
    </row>
    <row r="2202" spans="38:38" x14ac:dyDescent="0.2">
      <c r="AL2202" s="177"/>
    </row>
    <row r="2203" spans="38:38" x14ac:dyDescent="0.2">
      <c r="AL2203" s="177"/>
    </row>
    <row r="2204" spans="38:38" x14ac:dyDescent="0.2">
      <c r="AL2204" s="177"/>
    </row>
    <row r="2205" spans="38:38" x14ac:dyDescent="0.2">
      <c r="AL2205" s="177"/>
    </row>
    <row r="2206" spans="38:38" x14ac:dyDescent="0.2">
      <c r="AL2206" s="177"/>
    </row>
    <row r="2207" spans="38:38" x14ac:dyDescent="0.2">
      <c r="AL2207" s="177"/>
    </row>
    <row r="2208" spans="38:38" x14ac:dyDescent="0.2">
      <c r="AL2208" s="177"/>
    </row>
    <row r="2209" spans="38:38" x14ac:dyDescent="0.2">
      <c r="AL2209" s="177"/>
    </row>
    <row r="2210" spans="38:38" x14ac:dyDescent="0.2">
      <c r="AL2210" s="177"/>
    </row>
    <row r="2211" spans="38:38" x14ac:dyDescent="0.2">
      <c r="AL2211" s="177"/>
    </row>
    <row r="2212" spans="38:38" x14ac:dyDescent="0.2">
      <c r="AL2212" s="177"/>
    </row>
    <row r="2213" spans="38:38" x14ac:dyDescent="0.2">
      <c r="AL2213" s="177"/>
    </row>
    <row r="2214" spans="38:38" x14ac:dyDescent="0.2">
      <c r="AL2214" s="177"/>
    </row>
    <row r="2215" spans="38:38" x14ac:dyDescent="0.2">
      <c r="AL2215" s="177"/>
    </row>
    <row r="2216" spans="38:38" x14ac:dyDescent="0.2">
      <c r="AL2216" s="177"/>
    </row>
    <row r="2217" spans="38:38" x14ac:dyDescent="0.2">
      <c r="AL2217" s="177"/>
    </row>
    <row r="2218" spans="38:38" x14ac:dyDescent="0.2">
      <c r="AL2218" s="177"/>
    </row>
    <row r="2219" spans="38:38" x14ac:dyDescent="0.2">
      <c r="AL2219" s="177"/>
    </row>
    <row r="2220" spans="38:38" x14ac:dyDescent="0.2">
      <c r="AL2220" s="177"/>
    </row>
    <row r="2221" spans="38:38" x14ac:dyDescent="0.2">
      <c r="AL2221" s="177"/>
    </row>
    <row r="2222" spans="38:38" x14ac:dyDescent="0.2">
      <c r="AL2222" s="177"/>
    </row>
    <row r="2223" spans="38:38" x14ac:dyDescent="0.2">
      <c r="AL2223" s="177"/>
    </row>
    <row r="2224" spans="38:38" x14ac:dyDescent="0.2">
      <c r="AL2224" s="177"/>
    </row>
    <row r="2225" spans="38:38" x14ac:dyDescent="0.2">
      <c r="AL2225" s="177"/>
    </row>
    <row r="2226" spans="38:38" x14ac:dyDescent="0.2">
      <c r="AL2226" s="177"/>
    </row>
    <row r="2227" spans="38:38" x14ac:dyDescent="0.2">
      <c r="AL2227" s="177"/>
    </row>
    <row r="2228" spans="38:38" x14ac:dyDescent="0.2">
      <c r="AL2228" s="177"/>
    </row>
    <row r="2229" spans="38:38" x14ac:dyDescent="0.2">
      <c r="AL2229" s="177"/>
    </row>
    <row r="2230" spans="38:38" x14ac:dyDescent="0.2">
      <c r="AL2230" s="177"/>
    </row>
    <row r="2231" spans="38:38" x14ac:dyDescent="0.2">
      <c r="AL2231" s="177"/>
    </row>
    <row r="2232" spans="38:38" x14ac:dyDescent="0.2">
      <c r="AL2232" s="177"/>
    </row>
    <row r="2233" spans="38:38" x14ac:dyDescent="0.2">
      <c r="AL2233" s="177"/>
    </row>
    <row r="2234" spans="38:38" x14ac:dyDescent="0.2">
      <c r="AL2234" s="177"/>
    </row>
    <row r="2235" spans="38:38" x14ac:dyDescent="0.2">
      <c r="AL2235" s="177"/>
    </row>
    <row r="2236" spans="38:38" x14ac:dyDescent="0.2">
      <c r="AL2236" s="177"/>
    </row>
    <row r="2237" spans="38:38" x14ac:dyDescent="0.2">
      <c r="AL2237" s="177"/>
    </row>
    <row r="2238" spans="38:38" x14ac:dyDescent="0.2">
      <c r="AL2238" s="177"/>
    </row>
    <row r="2239" spans="38:38" x14ac:dyDescent="0.2">
      <c r="AL2239" s="177"/>
    </row>
    <row r="2240" spans="38:38" x14ac:dyDescent="0.2">
      <c r="AL2240" s="177"/>
    </row>
    <row r="2241" spans="38:38" x14ac:dyDescent="0.2">
      <c r="AL2241" s="177"/>
    </row>
    <row r="2242" spans="38:38" x14ac:dyDescent="0.2">
      <c r="AL2242" s="177"/>
    </row>
    <row r="2243" spans="38:38" x14ac:dyDescent="0.2">
      <c r="AL2243" s="177"/>
    </row>
    <row r="2244" spans="38:38" x14ac:dyDescent="0.2">
      <c r="AL2244" s="177"/>
    </row>
    <row r="2245" spans="38:38" x14ac:dyDescent="0.2">
      <c r="AL2245" s="177"/>
    </row>
    <row r="2246" spans="38:38" x14ac:dyDescent="0.2">
      <c r="AL2246" s="177"/>
    </row>
    <row r="2247" spans="38:38" x14ac:dyDescent="0.2">
      <c r="AL2247" s="177"/>
    </row>
    <row r="2248" spans="38:38" x14ac:dyDescent="0.2">
      <c r="AL2248" s="177"/>
    </row>
    <row r="2249" spans="38:38" x14ac:dyDescent="0.2">
      <c r="AL2249" s="177"/>
    </row>
    <row r="2250" spans="38:38" x14ac:dyDescent="0.2">
      <c r="AL2250" s="177"/>
    </row>
    <row r="2251" spans="38:38" x14ac:dyDescent="0.2">
      <c r="AL2251" s="177"/>
    </row>
    <row r="2252" spans="38:38" x14ac:dyDescent="0.2">
      <c r="AL2252" s="177"/>
    </row>
    <row r="2253" spans="38:38" x14ac:dyDescent="0.2">
      <c r="AL2253" s="177"/>
    </row>
    <row r="2254" spans="38:38" x14ac:dyDescent="0.2">
      <c r="AL2254" s="177"/>
    </row>
    <row r="2255" spans="38:38" x14ac:dyDescent="0.2">
      <c r="AL2255" s="177"/>
    </row>
    <row r="2256" spans="38:38" x14ac:dyDescent="0.2">
      <c r="AL2256" s="177"/>
    </row>
    <row r="2257" spans="38:38" x14ac:dyDescent="0.2">
      <c r="AL2257" s="177"/>
    </row>
    <row r="2258" spans="38:38" x14ac:dyDescent="0.2">
      <c r="AL2258" s="177"/>
    </row>
    <row r="2259" spans="38:38" x14ac:dyDescent="0.2">
      <c r="AL2259" s="177"/>
    </row>
    <row r="2260" spans="38:38" x14ac:dyDescent="0.2">
      <c r="AL2260" s="177"/>
    </row>
    <row r="2261" spans="38:38" x14ac:dyDescent="0.2">
      <c r="AL2261" s="177"/>
    </row>
    <row r="2262" spans="38:38" x14ac:dyDescent="0.2">
      <c r="AL2262" s="177"/>
    </row>
    <row r="2263" spans="38:38" x14ac:dyDescent="0.2">
      <c r="AL2263" s="177"/>
    </row>
    <row r="2264" spans="38:38" x14ac:dyDescent="0.2">
      <c r="AL2264" s="177"/>
    </row>
    <row r="2265" spans="38:38" x14ac:dyDescent="0.2">
      <c r="AL2265" s="177"/>
    </row>
    <row r="2266" spans="38:38" x14ac:dyDescent="0.2">
      <c r="AL2266" s="177"/>
    </row>
    <row r="2267" spans="38:38" x14ac:dyDescent="0.2">
      <c r="AL2267" s="177"/>
    </row>
    <row r="2268" spans="38:38" x14ac:dyDescent="0.2">
      <c r="AL2268" s="177"/>
    </row>
    <row r="2269" spans="38:38" x14ac:dyDescent="0.2">
      <c r="AL2269" s="177"/>
    </row>
    <row r="2270" spans="38:38" x14ac:dyDescent="0.2">
      <c r="AL2270" s="177"/>
    </row>
    <row r="2271" spans="38:38" x14ac:dyDescent="0.2">
      <c r="AL2271" s="177"/>
    </row>
    <row r="2272" spans="38:38" x14ac:dyDescent="0.2">
      <c r="AL2272" s="177"/>
    </row>
    <row r="2273" spans="38:38" x14ac:dyDescent="0.2">
      <c r="AL2273" s="177"/>
    </row>
    <row r="2274" spans="38:38" x14ac:dyDescent="0.2">
      <c r="AL2274" s="177"/>
    </row>
    <row r="2275" spans="38:38" x14ac:dyDescent="0.2">
      <c r="AL2275" s="177"/>
    </row>
    <row r="2276" spans="38:38" x14ac:dyDescent="0.2">
      <c r="AL2276" s="177"/>
    </row>
    <row r="2277" spans="38:38" x14ac:dyDescent="0.2">
      <c r="AL2277" s="177"/>
    </row>
    <row r="2278" spans="38:38" x14ac:dyDescent="0.2">
      <c r="AL2278" s="177"/>
    </row>
    <row r="2279" spans="38:38" x14ac:dyDescent="0.2">
      <c r="AL2279" s="177"/>
    </row>
    <row r="2280" spans="38:38" x14ac:dyDescent="0.2">
      <c r="AL2280" s="177"/>
    </row>
    <row r="2281" spans="38:38" x14ac:dyDescent="0.2">
      <c r="AL2281" s="177"/>
    </row>
    <row r="2282" spans="38:38" x14ac:dyDescent="0.2">
      <c r="AL2282" s="177"/>
    </row>
    <row r="2283" spans="38:38" x14ac:dyDescent="0.2">
      <c r="AL2283" s="177"/>
    </row>
    <row r="2284" spans="38:38" x14ac:dyDescent="0.2">
      <c r="AL2284" s="177"/>
    </row>
    <row r="2285" spans="38:38" x14ac:dyDescent="0.2">
      <c r="AL2285" s="177"/>
    </row>
    <row r="2286" spans="38:38" x14ac:dyDescent="0.2">
      <c r="AL2286" s="177"/>
    </row>
    <row r="2287" spans="38:38" x14ac:dyDescent="0.2">
      <c r="AL2287" s="177"/>
    </row>
    <row r="2288" spans="38:38" x14ac:dyDescent="0.2">
      <c r="AL2288" s="177"/>
    </row>
    <row r="2289" spans="38:38" x14ac:dyDescent="0.2">
      <c r="AL2289" s="177"/>
    </row>
    <row r="2290" spans="38:38" x14ac:dyDescent="0.2">
      <c r="AL2290" s="177"/>
    </row>
    <row r="2291" spans="38:38" x14ac:dyDescent="0.2">
      <c r="AL2291" s="177"/>
    </row>
    <row r="2292" spans="38:38" x14ac:dyDescent="0.2">
      <c r="AL2292" s="177"/>
    </row>
    <row r="2293" spans="38:38" x14ac:dyDescent="0.2">
      <c r="AL2293" s="177"/>
    </row>
    <row r="2294" spans="38:38" x14ac:dyDescent="0.2">
      <c r="AL2294" s="177"/>
    </row>
    <row r="2295" spans="38:38" x14ac:dyDescent="0.2">
      <c r="AL2295" s="177"/>
    </row>
    <row r="2296" spans="38:38" x14ac:dyDescent="0.2">
      <c r="AL2296" s="177"/>
    </row>
    <row r="2297" spans="38:38" x14ac:dyDescent="0.2">
      <c r="AL2297" s="177"/>
    </row>
    <row r="2298" spans="38:38" x14ac:dyDescent="0.2">
      <c r="AL2298" s="177"/>
    </row>
    <row r="2299" spans="38:38" x14ac:dyDescent="0.2">
      <c r="AL2299" s="177"/>
    </row>
    <row r="2300" spans="38:38" x14ac:dyDescent="0.2">
      <c r="AL2300" s="177"/>
    </row>
    <row r="2301" spans="38:38" x14ac:dyDescent="0.2">
      <c r="AL2301" s="177"/>
    </row>
    <row r="2302" spans="38:38" x14ac:dyDescent="0.2">
      <c r="AL2302" s="177"/>
    </row>
    <row r="2303" spans="38:38" x14ac:dyDescent="0.2">
      <c r="AL2303" s="177"/>
    </row>
    <row r="2304" spans="38:38" x14ac:dyDescent="0.2">
      <c r="AL2304" s="177"/>
    </row>
    <row r="2305" spans="38:38" x14ac:dyDescent="0.2">
      <c r="AL2305" s="177"/>
    </row>
    <row r="2306" spans="38:38" x14ac:dyDescent="0.2">
      <c r="AL2306" s="177"/>
    </row>
    <row r="2307" spans="38:38" x14ac:dyDescent="0.2">
      <c r="AL2307" s="177"/>
    </row>
    <row r="2308" spans="38:38" x14ac:dyDescent="0.2">
      <c r="AL2308" s="177"/>
    </row>
    <row r="2309" spans="38:38" x14ac:dyDescent="0.2">
      <c r="AL2309" s="177"/>
    </row>
    <row r="2310" spans="38:38" x14ac:dyDescent="0.2">
      <c r="AL2310" s="177"/>
    </row>
    <row r="2311" spans="38:38" x14ac:dyDescent="0.2">
      <c r="AL2311" s="177"/>
    </row>
    <row r="2312" spans="38:38" x14ac:dyDescent="0.2">
      <c r="AL2312" s="177"/>
    </row>
    <row r="2313" spans="38:38" x14ac:dyDescent="0.2">
      <c r="AL2313" s="177"/>
    </row>
    <row r="2314" spans="38:38" x14ac:dyDescent="0.2">
      <c r="AL2314" s="177"/>
    </row>
    <row r="2315" spans="38:38" x14ac:dyDescent="0.2">
      <c r="AL2315" s="177"/>
    </row>
    <row r="2316" spans="38:38" x14ac:dyDescent="0.2">
      <c r="AL2316" s="177"/>
    </row>
    <row r="2317" spans="38:38" x14ac:dyDescent="0.2">
      <c r="AL2317" s="177"/>
    </row>
    <row r="2318" spans="38:38" x14ac:dyDescent="0.2">
      <c r="AL2318" s="177"/>
    </row>
    <row r="2319" spans="38:38" x14ac:dyDescent="0.2">
      <c r="AL2319" s="177"/>
    </row>
    <row r="2320" spans="38:38" x14ac:dyDescent="0.2">
      <c r="AL2320" s="177"/>
    </row>
    <row r="2321" spans="38:38" x14ac:dyDescent="0.2">
      <c r="AL2321" s="177"/>
    </row>
    <row r="2322" spans="38:38" x14ac:dyDescent="0.2">
      <c r="AL2322" s="177"/>
    </row>
    <row r="2323" spans="38:38" x14ac:dyDescent="0.2">
      <c r="AL2323" s="177"/>
    </row>
    <row r="2324" spans="38:38" x14ac:dyDescent="0.2">
      <c r="AL2324" s="177"/>
    </row>
    <row r="2325" spans="38:38" x14ac:dyDescent="0.2">
      <c r="AL2325" s="177"/>
    </row>
    <row r="2326" spans="38:38" x14ac:dyDescent="0.2">
      <c r="AL2326" s="177"/>
    </row>
    <row r="2327" spans="38:38" x14ac:dyDescent="0.2">
      <c r="AL2327" s="177"/>
    </row>
    <row r="2328" spans="38:38" x14ac:dyDescent="0.2">
      <c r="AL2328" s="177"/>
    </row>
    <row r="2329" spans="38:38" x14ac:dyDescent="0.2">
      <c r="AL2329" s="177"/>
    </row>
    <row r="2330" spans="38:38" x14ac:dyDescent="0.2">
      <c r="AL2330" s="177"/>
    </row>
    <row r="2331" spans="38:38" x14ac:dyDescent="0.2">
      <c r="AL2331" s="177"/>
    </row>
    <row r="2332" spans="38:38" x14ac:dyDescent="0.2">
      <c r="AL2332" s="177"/>
    </row>
    <row r="2333" spans="38:38" x14ac:dyDescent="0.2">
      <c r="AL2333" s="177"/>
    </row>
    <row r="2334" spans="38:38" x14ac:dyDescent="0.2">
      <c r="AL2334" s="177"/>
    </row>
    <row r="2335" spans="38:38" x14ac:dyDescent="0.2">
      <c r="AL2335" s="177"/>
    </row>
    <row r="2336" spans="38:38" x14ac:dyDescent="0.2">
      <c r="AL2336" s="177"/>
    </row>
    <row r="2337" spans="38:38" x14ac:dyDescent="0.2">
      <c r="AL2337" s="177"/>
    </row>
    <row r="2338" spans="38:38" x14ac:dyDescent="0.2">
      <c r="AL2338" s="177"/>
    </row>
    <row r="2339" spans="38:38" x14ac:dyDescent="0.2">
      <c r="AL2339" s="177"/>
    </row>
    <row r="2340" spans="38:38" x14ac:dyDescent="0.2">
      <c r="AL2340" s="177"/>
    </row>
    <row r="2341" spans="38:38" x14ac:dyDescent="0.2">
      <c r="AL2341" s="177"/>
    </row>
    <row r="2342" spans="38:38" x14ac:dyDescent="0.2">
      <c r="AL2342" s="177"/>
    </row>
    <row r="2343" spans="38:38" x14ac:dyDescent="0.2">
      <c r="AL2343" s="177"/>
    </row>
    <row r="2344" spans="38:38" x14ac:dyDescent="0.2">
      <c r="AL2344" s="177"/>
    </row>
    <row r="2345" spans="38:38" x14ac:dyDescent="0.2">
      <c r="AL2345" s="177"/>
    </row>
    <row r="2346" spans="38:38" x14ac:dyDescent="0.2">
      <c r="AL2346" s="177"/>
    </row>
    <row r="2347" spans="38:38" x14ac:dyDescent="0.2">
      <c r="AL2347" s="177"/>
    </row>
    <row r="2348" spans="38:38" x14ac:dyDescent="0.2">
      <c r="AL2348" s="177"/>
    </row>
    <row r="2349" spans="38:38" x14ac:dyDescent="0.2">
      <c r="AL2349" s="177"/>
    </row>
    <row r="2350" spans="38:38" x14ac:dyDescent="0.2">
      <c r="AL2350" s="177"/>
    </row>
    <row r="2351" spans="38:38" x14ac:dyDescent="0.2">
      <c r="AL2351" s="177"/>
    </row>
    <row r="2352" spans="38:38" x14ac:dyDescent="0.2">
      <c r="AL2352" s="177"/>
    </row>
    <row r="2353" spans="38:38" x14ac:dyDescent="0.2">
      <c r="AL2353" s="177"/>
    </row>
    <row r="2354" spans="38:38" x14ac:dyDescent="0.2">
      <c r="AL2354" s="177"/>
    </row>
    <row r="2355" spans="38:38" x14ac:dyDescent="0.2">
      <c r="AL2355" s="177"/>
    </row>
    <row r="2356" spans="38:38" x14ac:dyDescent="0.2">
      <c r="AL2356" s="177"/>
    </row>
    <row r="2357" spans="38:38" x14ac:dyDescent="0.2">
      <c r="AL2357" s="177"/>
    </row>
    <row r="2358" spans="38:38" x14ac:dyDescent="0.2">
      <c r="AL2358" s="177"/>
    </row>
    <row r="2359" spans="38:38" x14ac:dyDescent="0.2">
      <c r="AL2359" s="177"/>
    </row>
    <row r="2360" spans="38:38" x14ac:dyDescent="0.2">
      <c r="AL2360" s="177"/>
    </row>
    <row r="2361" spans="38:38" x14ac:dyDescent="0.2">
      <c r="AL2361" s="177"/>
    </row>
    <row r="2362" spans="38:38" x14ac:dyDescent="0.2">
      <c r="AL2362" s="177"/>
    </row>
    <row r="2363" spans="38:38" x14ac:dyDescent="0.2">
      <c r="AL2363" s="177"/>
    </row>
    <row r="2364" spans="38:38" x14ac:dyDescent="0.2">
      <c r="AL2364" s="177"/>
    </row>
    <row r="2365" spans="38:38" x14ac:dyDescent="0.2">
      <c r="AL2365" s="177"/>
    </row>
    <row r="2366" spans="38:38" x14ac:dyDescent="0.2">
      <c r="AL2366" s="177"/>
    </row>
    <row r="2367" spans="38:38" x14ac:dyDescent="0.2">
      <c r="AL2367" s="177"/>
    </row>
    <row r="2368" spans="38:38" x14ac:dyDescent="0.2">
      <c r="AL2368" s="177"/>
    </row>
    <row r="2369" spans="38:38" x14ac:dyDescent="0.2">
      <c r="AL2369" s="177"/>
    </row>
    <row r="2370" spans="38:38" x14ac:dyDescent="0.2">
      <c r="AL2370" s="177"/>
    </row>
    <row r="2371" spans="38:38" x14ac:dyDescent="0.2">
      <c r="AL2371" s="177"/>
    </row>
    <row r="2372" spans="38:38" x14ac:dyDescent="0.2">
      <c r="AL2372" s="177"/>
    </row>
    <row r="2373" spans="38:38" x14ac:dyDescent="0.2">
      <c r="AL2373" s="177"/>
    </row>
    <row r="2374" spans="38:38" x14ac:dyDescent="0.2">
      <c r="AL2374" s="177"/>
    </row>
    <row r="2375" spans="38:38" x14ac:dyDescent="0.2">
      <c r="AL2375" s="177"/>
    </row>
    <row r="2376" spans="38:38" x14ac:dyDescent="0.2">
      <c r="AL2376" s="177"/>
    </row>
    <row r="2377" spans="38:38" x14ac:dyDescent="0.2">
      <c r="AL2377" s="177"/>
    </row>
    <row r="2378" spans="38:38" x14ac:dyDescent="0.2">
      <c r="AL2378" s="177"/>
    </row>
    <row r="2379" spans="38:38" x14ac:dyDescent="0.2">
      <c r="AL2379" s="177"/>
    </row>
    <row r="2380" spans="38:38" x14ac:dyDescent="0.2">
      <c r="AL2380" s="177"/>
    </row>
    <row r="2381" spans="38:38" x14ac:dyDescent="0.2">
      <c r="AL2381" s="177"/>
    </row>
    <row r="2382" spans="38:38" x14ac:dyDescent="0.2">
      <c r="AL2382" s="177"/>
    </row>
    <row r="2383" spans="38:38" x14ac:dyDescent="0.2">
      <c r="AL2383" s="177"/>
    </row>
    <row r="2384" spans="38:38" x14ac:dyDescent="0.2">
      <c r="AL2384" s="177"/>
    </row>
    <row r="2385" spans="38:38" x14ac:dyDescent="0.2">
      <c r="AL2385" s="177"/>
    </row>
    <row r="2386" spans="38:38" x14ac:dyDescent="0.2">
      <c r="AL2386" s="177"/>
    </row>
    <row r="2387" spans="38:38" x14ac:dyDescent="0.2">
      <c r="AL2387" s="177"/>
    </row>
    <row r="2388" spans="38:38" x14ac:dyDescent="0.2">
      <c r="AL2388" s="177"/>
    </row>
    <row r="2389" spans="38:38" x14ac:dyDescent="0.2">
      <c r="AL2389" s="177"/>
    </row>
    <row r="2390" spans="38:38" x14ac:dyDescent="0.2">
      <c r="AL2390" s="177"/>
    </row>
    <row r="2391" spans="38:38" x14ac:dyDescent="0.2">
      <c r="AL2391" s="177"/>
    </row>
    <row r="2392" spans="38:38" x14ac:dyDescent="0.2">
      <c r="AL2392" s="177"/>
    </row>
    <row r="2393" spans="38:38" x14ac:dyDescent="0.2">
      <c r="AL2393" s="177"/>
    </row>
    <row r="2394" spans="38:38" x14ac:dyDescent="0.2">
      <c r="AL2394" s="177"/>
    </row>
    <row r="2395" spans="38:38" x14ac:dyDescent="0.2">
      <c r="AL2395" s="177"/>
    </row>
    <row r="2396" spans="38:38" x14ac:dyDescent="0.2">
      <c r="AL2396" s="177"/>
    </row>
    <row r="2397" spans="38:38" x14ac:dyDescent="0.2">
      <c r="AL2397" s="177"/>
    </row>
    <row r="2398" spans="38:38" x14ac:dyDescent="0.2">
      <c r="AL2398" s="177"/>
    </row>
    <row r="2399" spans="38:38" x14ac:dyDescent="0.2">
      <c r="AL2399" s="177"/>
    </row>
    <row r="2400" spans="38:38" x14ac:dyDescent="0.2">
      <c r="AL2400" s="177"/>
    </row>
    <row r="2401" spans="38:38" x14ac:dyDescent="0.2">
      <c r="AL2401" s="177"/>
    </row>
    <row r="2402" spans="38:38" x14ac:dyDescent="0.2">
      <c r="AL2402" s="177"/>
    </row>
    <row r="2403" spans="38:38" x14ac:dyDescent="0.2">
      <c r="AL2403" s="177"/>
    </row>
    <row r="2404" spans="38:38" x14ac:dyDescent="0.2">
      <c r="AL2404" s="177"/>
    </row>
    <row r="2405" spans="38:38" x14ac:dyDescent="0.2">
      <c r="AL2405" s="177"/>
    </row>
    <row r="2406" spans="38:38" x14ac:dyDescent="0.2">
      <c r="AL2406" s="177"/>
    </row>
    <row r="2407" spans="38:38" x14ac:dyDescent="0.2">
      <c r="AL2407" s="177"/>
    </row>
    <row r="2408" spans="38:38" x14ac:dyDescent="0.2">
      <c r="AL2408" s="177"/>
    </row>
    <row r="2409" spans="38:38" x14ac:dyDescent="0.2">
      <c r="AL2409" s="177"/>
    </row>
    <row r="2410" spans="38:38" x14ac:dyDescent="0.2">
      <c r="AL2410" s="177"/>
    </row>
    <row r="2411" spans="38:38" x14ac:dyDescent="0.2">
      <c r="AL2411" s="177"/>
    </row>
    <row r="2412" spans="38:38" x14ac:dyDescent="0.2">
      <c r="AL2412" s="177"/>
    </row>
    <row r="2413" spans="38:38" x14ac:dyDescent="0.2">
      <c r="AL2413" s="177"/>
    </row>
    <row r="2414" spans="38:38" x14ac:dyDescent="0.2">
      <c r="AL2414" s="177"/>
    </row>
    <row r="2415" spans="38:38" x14ac:dyDescent="0.2">
      <c r="AL2415" s="177"/>
    </row>
    <row r="2416" spans="38:38" x14ac:dyDescent="0.2">
      <c r="AL2416" s="177"/>
    </row>
    <row r="2417" spans="38:38" x14ac:dyDescent="0.2">
      <c r="AL2417" s="177"/>
    </row>
    <row r="2418" spans="38:38" x14ac:dyDescent="0.2">
      <c r="AL2418" s="177"/>
    </row>
    <row r="2419" spans="38:38" x14ac:dyDescent="0.2">
      <c r="AL2419" s="177"/>
    </row>
    <row r="2420" spans="38:38" x14ac:dyDescent="0.2">
      <c r="AL2420" s="177"/>
    </row>
    <row r="2421" spans="38:38" x14ac:dyDescent="0.2">
      <c r="AL2421" s="177"/>
    </row>
    <row r="2422" spans="38:38" x14ac:dyDescent="0.2">
      <c r="AL2422" s="177"/>
    </row>
    <row r="2423" spans="38:38" x14ac:dyDescent="0.2">
      <c r="AL2423" s="177"/>
    </row>
    <row r="2424" spans="38:38" x14ac:dyDescent="0.2">
      <c r="AL2424" s="177"/>
    </row>
    <row r="2425" spans="38:38" x14ac:dyDescent="0.2">
      <c r="AL2425" s="177"/>
    </row>
    <row r="2426" spans="38:38" x14ac:dyDescent="0.2">
      <c r="AL2426" s="177"/>
    </row>
    <row r="2427" spans="38:38" x14ac:dyDescent="0.2">
      <c r="AL2427" s="177"/>
    </row>
    <row r="2428" spans="38:38" x14ac:dyDescent="0.2">
      <c r="AL2428" s="177"/>
    </row>
    <row r="2429" spans="38:38" x14ac:dyDescent="0.2">
      <c r="AL2429" s="177"/>
    </row>
    <row r="2430" spans="38:38" x14ac:dyDescent="0.2">
      <c r="AL2430" s="177"/>
    </row>
    <row r="2431" spans="38:38" x14ac:dyDescent="0.2">
      <c r="AL2431" s="177"/>
    </row>
    <row r="2432" spans="38:38" x14ac:dyDescent="0.2">
      <c r="AL2432" s="177"/>
    </row>
    <row r="2433" spans="38:38" x14ac:dyDescent="0.2">
      <c r="AL2433" s="177"/>
    </row>
    <row r="2434" spans="38:38" x14ac:dyDescent="0.2">
      <c r="AL2434" s="177"/>
    </row>
    <row r="2435" spans="38:38" x14ac:dyDescent="0.2">
      <c r="AL2435" s="177"/>
    </row>
    <row r="2436" spans="38:38" x14ac:dyDescent="0.2">
      <c r="AL2436" s="177"/>
    </row>
    <row r="2437" spans="38:38" x14ac:dyDescent="0.2">
      <c r="AL2437" s="177"/>
    </row>
    <row r="2438" spans="38:38" x14ac:dyDescent="0.2">
      <c r="AL2438" s="177"/>
    </row>
    <row r="2439" spans="38:38" x14ac:dyDescent="0.2">
      <c r="AL2439" s="177"/>
    </row>
    <row r="2440" spans="38:38" x14ac:dyDescent="0.2">
      <c r="AL2440" s="177"/>
    </row>
    <row r="2441" spans="38:38" x14ac:dyDescent="0.2">
      <c r="AL2441" s="177"/>
    </row>
    <row r="2442" spans="38:38" x14ac:dyDescent="0.2">
      <c r="AL2442" s="177"/>
    </row>
    <row r="2443" spans="38:38" x14ac:dyDescent="0.2">
      <c r="AL2443" s="177"/>
    </row>
    <row r="2444" spans="38:38" x14ac:dyDescent="0.2">
      <c r="AL2444" s="177"/>
    </row>
    <row r="2445" spans="38:38" x14ac:dyDescent="0.2">
      <c r="AL2445" s="177"/>
    </row>
    <row r="2446" spans="38:38" x14ac:dyDescent="0.2">
      <c r="AL2446" s="177"/>
    </row>
    <row r="2447" spans="38:38" x14ac:dyDescent="0.2">
      <c r="AL2447" s="177"/>
    </row>
    <row r="2448" spans="38:38" x14ac:dyDescent="0.2">
      <c r="AL2448" s="177"/>
    </row>
    <row r="2449" spans="38:38" x14ac:dyDescent="0.2">
      <c r="AL2449" s="177"/>
    </row>
    <row r="2450" spans="38:38" x14ac:dyDescent="0.2">
      <c r="AL2450" s="177"/>
    </row>
    <row r="2451" spans="38:38" x14ac:dyDescent="0.2">
      <c r="AL2451" s="177"/>
    </row>
    <row r="2452" spans="38:38" x14ac:dyDescent="0.2">
      <c r="AL2452" s="177"/>
    </row>
    <row r="2453" spans="38:38" x14ac:dyDescent="0.2">
      <c r="AL2453" s="177"/>
    </row>
    <row r="2454" spans="38:38" x14ac:dyDescent="0.2">
      <c r="AL2454" s="177"/>
    </row>
    <row r="2455" spans="38:38" x14ac:dyDescent="0.2">
      <c r="AL2455" s="177"/>
    </row>
    <row r="2456" spans="38:38" x14ac:dyDescent="0.2">
      <c r="AL2456" s="177"/>
    </row>
    <row r="2457" spans="38:38" x14ac:dyDescent="0.2">
      <c r="AL2457" s="177"/>
    </row>
    <row r="2458" spans="38:38" x14ac:dyDescent="0.2">
      <c r="AL2458" s="177"/>
    </row>
    <row r="2459" spans="38:38" x14ac:dyDescent="0.2">
      <c r="AL2459" s="177"/>
    </row>
    <row r="2460" spans="38:38" x14ac:dyDescent="0.2">
      <c r="AL2460" s="177"/>
    </row>
    <row r="2461" spans="38:38" x14ac:dyDescent="0.2">
      <c r="AL2461" s="177"/>
    </row>
    <row r="2462" spans="38:38" x14ac:dyDescent="0.2">
      <c r="AL2462" s="177"/>
    </row>
    <row r="2463" spans="38:38" x14ac:dyDescent="0.2">
      <c r="AL2463" s="177"/>
    </row>
    <row r="2464" spans="38:38" x14ac:dyDescent="0.2">
      <c r="AL2464" s="177"/>
    </row>
    <row r="2465" spans="38:38" x14ac:dyDescent="0.2">
      <c r="AL2465" s="177"/>
    </row>
    <row r="2466" spans="38:38" x14ac:dyDescent="0.2">
      <c r="AL2466" s="177"/>
    </row>
    <row r="2467" spans="38:38" x14ac:dyDescent="0.2">
      <c r="AL2467" s="177"/>
    </row>
    <row r="2468" spans="38:38" x14ac:dyDescent="0.2">
      <c r="AL2468" s="177"/>
    </row>
    <row r="2469" spans="38:38" x14ac:dyDescent="0.2">
      <c r="AL2469" s="177"/>
    </row>
    <row r="2470" spans="38:38" x14ac:dyDescent="0.2">
      <c r="AL2470" s="177"/>
    </row>
    <row r="2471" spans="38:38" x14ac:dyDescent="0.2">
      <c r="AL2471" s="177"/>
    </row>
    <row r="2472" spans="38:38" x14ac:dyDescent="0.2">
      <c r="AL2472" s="177"/>
    </row>
    <row r="2473" spans="38:38" x14ac:dyDescent="0.2">
      <c r="AL2473" s="177"/>
    </row>
    <row r="2474" spans="38:38" x14ac:dyDescent="0.2">
      <c r="AL2474" s="177"/>
    </row>
    <row r="2475" spans="38:38" x14ac:dyDescent="0.2">
      <c r="AL2475" s="177"/>
    </row>
    <row r="2476" spans="38:38" x14ac:dyDescent="0.2">
      <c r="AL2476" s="177"/>
    </row>
    <row r="2477" spans="38:38" x14ac:dyDescent="0.2">
      <c r="AL2477" s="177"/>
    </row>
    <row r="2478" spans="38:38" x14ac:dyDescent="0.2">
      <c r="AL2478" s="177"/>
    </row>
    <row r="2479" spans="38:38" x14ac:dyDescent="0.2">
      <c r="AL2479" s="177"/>
    </row>
    <row r="2480" spans="38:38" x14ac:dyDescent="0.2">
      <c r="AL2480" s="177"/>
    </row>
    <row r="2481" spans="38:38" x14ac:dyDescent="0.2">
      <c r="AL2481" s="177"/>
    </row>
    <row r="2482" spans="38:38" x14ac:dyDescent="0.2">
      <c r="AL2482" s="177"/>
    </row>
    <row r="2483" spans="38:38" x14ac:dyDescent="0.2">
      <c r="AL2483" s="177"/>
    </row>
    <row r="2484" spans="38:38" x14ac:dyDescent="0.2">
      <c r="AL2484" s="177"/>
    </row>
    <row r="2485" spans="38:38" x14ac:dyDescent="0.2">
      <c r="AL2485" s="177"/>
    </row>
    <row r="2486" spans="38:38" x14ac:dyDescent="0.2">
      <c r="AL2486" s="177"/>
    </row>
    <row r="2487" spans="38:38" x14ac:dyDescent="0.2">
      <c r="AL2487" s="177"/>
    </row>
    <row r="2488" spans="38:38" x14ac:dyDescent="0.2">
      <c r="AL2488" s="177"/>
    </row>
    <row r="2489" spans="38:38" x14ac:dyDescent="0.2">
      <c r="AL2489" s="177"/>
    </row>
    <row r="2490" spans="38:38" x14ac:dyDescent="0.2">
      <c r="AL2490" s="177"/>
    </row>
    <row r="2491" spans="38:38" x14ac:dyDescent="0.2">
      <c r="AL2491" s="177"/>
    </row>
    <row r="2492" spans="38:38" x14ac:dyDescent="0.2">
      <c r="AL2492" s="177"/>
    </row>
    <row r="2493" spans="38:38" x14ac:dyDescent="0.2">
      <c r="AL2493" s="177"/>
    </row>
    <row r="2494" spans="38:38" x14ac:dyDescent="0.2">
      <c r="AL2494" s="177"/>
    </row>
    <row r="2495" spans="38:38" x14ac:dyDescent="0.2">
      <c r="AL2495" s="177"/>
    </row>
    <row r="2496" spans="38:38" x14ac:dyDescent="0.2">
      <c r="AL2496" s="177"/>
    </row>
    <row r="2497" spans="38:38" x14ac:dyDescent="0.2">
      <c r="AL2497" s="177"/>
    </row>
    <row r="2498" spans="38:38" x14ac:dyDescent="0.2">
      <c r="AL2498" s="177"/>
    </row>
    <row r="2499" spans="38:38" x14ac:dyDescent="0.2">
      <c r="AL2499" s="177"/>
    </row>
    <row r="2500" spans="38:38" x14ac:dyDescent="0.2">
      <c r="AL2500" s="177"/>
    </row>
    <row r="2501" spans="38:38" x14ac:dyDescent="0.2">
      <c r="AL2501" s="177"/>
    </row>
    <row r="2502" spans="38:38" x14ac:dyDescent="0.2">
      <c r="AL2502" s="177"/>
    </row>
    <row r="2503" spans="38:38" x14ac:dyDescent="0.2">
      <c r="AL2503" s="177"/>
    </row>
    <row r="2504" spans="38:38" x14ac:dyDescent="0.2">
      <c r="AL2504" s="177"/>
    </row>
    <row r="2505" spans="38:38" x14ac:dyDescent="0.2">
      <c r="AL2505" s="177"/>
    </row>
    <row r="2506" spans="38:38" x14ac:dyDescent="0.2">
      <c r="AL2506" s="177"/>
    </row>
    <row r="2507" spans="38:38" x14ac:dyDescent="0.2">
      <c r="AL2507" s="177"/>
    </row>
    <row r="2508" spans="38:38" x14ac:dyDescent="0.2">
      <c r="AL2508" s="177"/>
    </row>
    <row r="2509" spans="38:38" x14ac:dyDescent="0.2">
      <c r="AL2509" s="177"/>
    </row>
    <row r="2510" spans="38:38" x14ac:dyDescent="0.2">
      <c r="AL2510" s="177"/>
    </row>
    <row r="2511" spans="38:38" x14ac:dyDescent="0.2">
      <c r="AL2511" s="177"/>
    </row>
    <row r="2512" spans="38:38" x14ac:dyDescent="0.2">
      <c r="AL2512" s="177"/>
    </row>
    <row r="2513" spans="38:38" x14ac:dyDescent="0.2">
      <c r="AL2513" s="177"/>
    </row>
    <row r="2514" spans="38:38" x14ac:dyDescent="0.2">
      <c r="AL2514" s="177"/>
    </row>
    <row r="2515" spans="38:38" x14ac:dyDescent="0.2">
      <c r="AL2515" s="177"/>
    </row>
    <row r="2516" spans="38:38" x14ac:dyDescent="0.2">
      <c r="AL2516" s="177"/>
    </row>
    <row r="2517" spans="38:38" x14ac:dyDescent="0.2">
      <c r="AL2517" s="177"/>
    </row>
    <row r="2518" spans="38:38" x14ac:dyDescent="0.2">
      <c r="AL2518" s="177"/>
    </row>
    <row r="2519" spans="38:38" x14ac:dyDescent="0.2">
      <c r="AL2519" s="177"/>
    </row>
    <row r="2520" spans="38:38" x14ac:dyDescent="0.2">
      <c r="AL2520" s="177"/>
    </row>
    <row r="2521" spans="38:38" x14ac:dyDescent="0.2">
      <c r="AL2521" s="177"/>
    </row>
    <row r="2522" spans="38:38" x14ac:dyDescent="0.2">
      <c r="AL2522" s="177"/>
    </row>
    <row r="2523" spans="38:38" x14ac:dyDescent="0.2">
      <c r="AL2523" s="177"/>
    </row>
    <row r="2524" spans="38:38" x14ac:dyDescent="0.2">
      <c r="AL2524" s="177"/>
    </row>
    <row r="2525" spans="38:38" x14ac:dyDescent="0.2">
      <c r="AL2525" s="177"/>
    </row>
    <row r="2526" spans="38:38" x14ac:dyDescent="0.2">
      <c r="AL2526" s="177"/>
    </row>
    <row r="2527" spans="38:38" x14ac:dyDescent="0.2">
      <c r="AL2527" s="177"/>
    </row>
    <row r="2528" spans="38:38" x14ac:dyDescent="0.2">
      <c r="AL2528" s="177"/>
    </row>
    <row r="2529" spans="38:38" x14ac:dyDescent="0.2">
      <c r="AL2529" s="177"/>
    </row>
    <row r="2530" spans="38:38" x14ac:dyDescent="0.2">
      <c r="AL2530" s="177"/>
    </row>
    <row r="2531" spans="38:38" x14ac:dyDescent="0.2">
      <c r="AL2531" s="177"/>
    </row>
    <row r="2532" spans="38:38" x14ac:dyDescent="0.2">
      <c r="AL2532" s="177"/>
    </row>
    <row r="2533" spans="38:38" x14ac:dyDescent="0.2">
      <c r="AL2533" s="177"/>
    </row>
    <row r="2534" spans="38:38" x14ac:dyDescent="0.2">
      <c r="AL2534" s="177"/>
    </row>
    <row r="2535" spans="38:38" x14ac:dyDescent="0.2">
      <c r="AL2535" s="177"/>
    </row>
    <row r="2536" spans="38:38" x14ac:dyDescent="0.2">
      <c r="AL2536" s="177"/>
    </row>
    <row r="2537" spans="38:38" x14ac:dyDescent="0.2">
      <c r="AL2537" s="177"/>
    </row>
    <row r="2538" spans="38:38" x14ac:dyDescent="0.2">
      <c r="AL2538" s="177"/>
    </row>
    <row r="2539" spans="38:38" x14ac:dyDescent="0.2">
      <c r="AL2539" s="177"/>
    </row>
    <row r="2540" spans="38:38" x14ac:dyDescent="0.2">
      <c r="AL2540" s="177"/>
    </row>
    <row r="2541" spans="38:38" x14ac:dyDescent="0.2">
      <c r="AL2541" s="177"/>
    </row>
    <row r="2542" spans="38:38" x14ac:dyDescent="0.2">
      <c r="AL2542" s="177"/>
    </row>
    <row r="2543" spans="38:38" x14ac:dyDescent="0.2">
      <c r="AL2543" s="177"/>
    </row>
    <row r="2544" spans="38:38" x14ac:dyDescent="0.2">
      <c r="AL2544" s="177"/>
    </row>
    <row r="2545" spans="38:38" x14ac:dyDescent="0.2">
      <c r="AL2545" s="177"/>
    </row>
    <row r="2546" spans="38:38" x14ac:dyDescent="0.2">
      <c r="AL2546" s="177"/>
    </row>
    <row r="2547" spans="38:38" x14ac:dyDescent="0.2">
      <c r="AL2547" s="177"/>
    </row>
    <row r="2548" spans="38:38" x14ac:dyDescent="0.2">
      <c r="AL2548" s="177"/>
    </row>
    <row r="2549" spans="38:38" x14ac:dyDescent="0.2">
      <c r="AL2549" s="177"/>
    </row>
    <row r="2550" spans="38:38" x14ac:dyDescent="0.2">
      <c r="AL2550" s="177"/>
    </row>
    <row r="2551" spans="38:38" x14ac:dyDescent="0.2">
      <c r="AL2551" s="177"/>
    </row>
    <row r="2552" spans="38:38" x14ac:dyDescent="0.2">
      <c r="AL2552" s="177"/>
    </row>
    <row r="2553" spans="38:38" x14ac:dyDescent="0.2">
      <c r="AL2553" s="177"/>
    </row>
    <row r="2554" spans="38:38" x14ac:dyDescent="0.2">
      <c r="AL2554" s="177"/>
    </row>
    <row r="2555" spans="38:38" x14ac:dyDescent="0.2">
      <c r="AL2555" s="177"/>
    </row>
    <row r="2556" spans="38:38" x14ac:dyDescent="0.2">
      <c r="AL2556" s="177"/>
    </row>
    <row r="2557" spans="38:38" x14ac:dyDescent="0.2">
      <c r="AL2557" s="177"/>
    </row>
    <row r="2558" spans="38:38" x14ac:dyDescent="0.2">
      <c r="AL2558" s="177"/>
    </row>
    <row r="2559" spans="38:38" x14ac:dyDescent="0.2">
      <c r="AL2559" s="177"/>
    </row>
    <row r="2560" spans="38:38" x14ac:dyDescent="0.2">
      <c r="AL2560" s="177"/>
    </row>
    <row r="2561" spans="38:38" x14ac:dyDescent="0.2">
      <c r="AL2561" s="177"/>
    </row>
    <row r="2562" spans="38:38" x14ac:dyDescent="0.2">
      <c r="AL2562" s="177"/>
    </row>
    <row r="2563" spans="38:38" x14ac:dyDescent="0.2">
      <c r="AL2563" s="177"/>
    </row>
    <row r="2564" spans="38:38" x14ac:dyDescent="0.2">
      <c r="AL2564" s="177"/>
    </row>
    <row r="2565" spans="38:38" x14ac:dyDescent="0.2">
      <c r="AL2565" s="177"/>
    </row>
    <row r="2566" spans="38:38" x14ac:dyDescent="0.2">
      <c r="AL2566" s="177"/>
    </row>
    <row r="2567" spans="38:38" x14ac:dyDescent="0.2">
      <c r="AL2567" s="177"/>
    </row>
    <row r="2568" spans="38:38" x14ac:dyDescent="0.2">
      <c r="AL2568" s="177"/>
    </row>
    <row r="2569" spans="38:38" x14ac:dyDescent="0.2">
      <c r="AL2569" s="177"/>
    </row>
    <row r="2570" spans="38:38" x14ac:dyDescent="0.2">
      <c r="AL2570" s="177"/>
    </row>
    <row r="2571" spans="38:38" x14ac:dyDescent="0.2">
      <c r="AL2571" s="177"/>
    </row>
    <row r="2572" spans="38:38" x14ac:dyDescent="0.2">
      <c r="AL2572" s="177"/>
    </row>
    <row r="2573" spans="38:38" x14ac:dyDescent="0.2">
      <c r="AL2573" s="177"/>
    </row>
    <row r="2574" spans="38:38" x14ac:dyDescent="0.2">
      <c r="AL2574" s="177"/>
    </row>
    <row r="2575" spans="38:38" x14ac:dyDescent="0.2">
      <c r="AL2575" s="177"/>
    </row>
    <row r="2576" spans="38:38" x14ac:dyDescent="0.2">
      <c r="AL2576" s="177"/>
    </row>
    <row r="2577" spans="38:38" x14ac:dyDescent="0.2">
      <c r="AL2577" s="177"/>
    </row>
    <row r="2578" spans="38:38" x14ac:dyDescent="0.2">
      <c r="AL2578" s="177"/>
    </row>
    <row r="2579" spans="38:38" x14ac:dyDescent="0.2">
      <c r="AL2579" s="177"/>
    </row>
    <row r="2580" spans="38:38" x14ac:dyDescent="0.2">
      <c r="AL2580" s="177"/>
    </row>
    <row r="2581" spans="38:38" x14ac:dyDescent="0.2">
      <c r="AL2581" s="177"/>
    </row>
    <row r="2582" spans="38:38" x14ac:dyDescent="0.2">
      <c r="AL2582" s="177"/>
    </row>
    <row r="2583" spans="38:38" x14ac:dyDescent="0.2">
      <c r="AL2583" s="177"/>
    </row>
    <row r="2584" spans="38:38" x14ac:dyDescent="0.2">
      <c r="AL2584" s="177"/>
    </row>
    <row r="2585" spans="38:38" x14ac:dyDescent="0.2">
      <c r="AL2585" s="177"/>
    </row>
    <row r="2586" spans="38:38" x14ac:dyDescent="0.2">
      <c r="AL2586" s="177"/>
    </row>
    <row r="2587" spans="38:38" x14ac:dyDescent="0.2">
      <c r="AL2587" s="177"/>
    </row>
    <row r="2588" spans="38:38" x14ac:dyDescent="0.2">
      <c r="AL2588" s="177"/>
    </row>
    <row r="2589" spans="38:38" x14ac:dyDescent="0.2">
      <c r="AL2589" s="177"/>
    </row>
    <row r="2590" spans="38:38" x14ac:dyDescent="0.2">
      <c r="AL2590" s="177"/>
    </row>
    <row r="2591" spans="38:38" x14ac:dyDescent="0.2">
      <c r="AL2591" s="177"/>
    </row>
    <row r="2592" spans="38:38" x14ac:dyDescent="0.2">
      <c r="AL2592" s="177"/>
    </row>
    <row r="2593" spans="38:38" x14ac:dyDescent="0.2">
      <c r="AL2593" s="177"/>
    </row>
    <row r="2594" spans="38:38" x14ac:dyDescent="0.2">
      <c r="AL2594" s="177"/>
    </row>
    <row r="2595" spans="38:38" x14ac:dyDescent="0.2">
      <c r="AL2595" s="177"/>
    </row>
    <row r="2596" spans="38:38" x14ac:dyDescent="0.2">
      <c r="AL2596" s="177"/>
    </row>
    <row r="2597" spans="38:38" x14ac:dyDescent="0.2">
      <c r="AL2597" s="177"/>
    </row>
    <row r="2598" spans="38:38" x14ac:dyDescent="0.2">
      <c r="AL2598" s="177"/>
    </row>
    <row r="2599" spans="38:38" x14ac:dyDescent="0.2">
      <c r="AL2599" s="177"/>
    </row>
    <row r="2600" spans="38:38" x14ac:dyDescent="0.2">
      <c r="AL2600" s="177"/>
    </row>
    <row r="2601" spans="38:38" x14ac:dyDescent="0.2">
      <c r="AL2601" s="177"/>
    </row>
    <row r="2602" spans="38:38" x14ac:dyDescent="0.2">
      <c r="AL2602" s="177"/>
    </row>
    <row r="2603" spans="38:38" x14ac:dyDescent="0.2">
      <c r="AL2603" s="177"/>
    </row>
    <row r="2604" spans="38:38" x14ac:dyDescent="0.2">
      <c r="AL2604" s="177"/>
    </row>
    <row r="2605" spans="38:38" x14ac:dyDescent="0.2">
      <c r="AL2605" s="177"/>
    </row>
    <row r="2606" spans="38:38" x14ac:dyDescent="0.2">
      <c r="AL2606" s="177"/>
    </row>
    <row r="2607" spans="38:38" x14ac:dyDescent="0.2">
      <c r="AL2607" s="177"/>
    </row>
    <row r="2608" spans="38:38" x14ac:dyDescent="0.2">
      <c r="AL2608" s="177"/>
    </row>
    <row r="2609" spans="38:38" x14ac:dyDescent="0.2">
      <c r="AL2609" s="177"/>
    </row>
    <row r="2610" spans="38:38" x14ac:dyDescent="0.2">
      <c r="AL2610" s="177"/>
    </row>
    <row r="2611" spans="38:38" x14ac:dyDescent="0.2">
      <c r="AL2611" s="177"/>
    </row>
    <row r="2612" spans="38:38" x14ac:dyDescent="0.2">
      <c r="AL2612" s="177"/>
    </row>
    <row r="2613" spans="38:38" x14ac:dyDescent="0.2">
      <c r="AL2613" s="177"/>
    </row>
    <row r="2614" spans="38:38" x14ac:dyDescent="0.2">
      <c r="AL2614" s="177"/>
    </row>
    <row r="2615" spans="38:38" x14ac:dyDescent="0.2">
      <c r="AL2615" s="177"/>
    </row>
    <row r="2616" spans="38:38" x14ac:dyDescent="0.2">
      <c r="AL2616" s="177"/>
    </row>
    <row r="2617" spans="38:38" x14ac:dyDescent="0.2">
      <c r="AL2617" s="177"/>
    </row>
    <row r="2618" spans="38:38" x14ac:dyDescent="0.2">
      <c r="AL2618" s="177"/>
    </row>
    <row r="2619" spans="38:38" x14ac:dyDescent="0.2">
      <c r="AL2619" s="177"/>
    </row>
    <row r="2620" spans="38:38" x14ac:dyDescent="0.2">
      <c r="AL2620" s="177"/>
    </row>
    <row r="2621" spans="38:38" x14ac:dyDescent="0.2">
      <c r="AL2621" s="177"/>
    </row>
    <row r="2622" spans="38:38" x14ac:dyDescent="0.2">
      <c r="AL2622" s="177"/>
    </row>
    <row r="2623" spans="38:38" x14ac:dyDescent="0.2">
      <c r="AL2623" s="177"/>
    </row>
    <row r="2624" spans="38:38" x14ac:dyDescent="0.2">
      <c r="AL2624" s="177"/>
    </row>
    <row r="2625" spans="38:38" x14ac:dyDescent="0.2">
      <c r="AL2625" s="177"/>
    </row>
    <row r="2626" spans="38:38" x14ac:dyDescent="0.2">
      <c r="AL2626" s="177"/>
    </row>
    <row r="2627" spans="38:38" x14ac:dyDescent="0.2">
      <c r="AL2627" s="177"/>
    </row>
    <row r="2628" spans="38:38" x14ac:dyDescent="0.2">
      <c r="AL2628" s="177"/>
    </row>
    <row r="2629" spans="38:38" x14ac:dyDescent="0.2">
      <c r="AL2629" s="177"/>
    </row>
    <row r="2630" spans="38:38" x14ac:dyDescent="0.2">
      <c r="AL2630" s="177"/>
    </row>
    <row r="2631" spans="38:38" x14ac:dyDescent="0.2">
      <c r="AL2631" s="177"/>
    </row>
    <row r="2632" spans="38:38" x14ac:dyDescent="0.2">
      <c r="AL2632" s="177"/>
    </row>
    <row r="2633" spans="38:38" x14ac:dyDescent="0.2">
      <c r="AL2633" s="177"/>
    </row>
    <row r="2634" spans="38:38" x14ac:dyDescent="0.2">
      <c r="AL2634" s="177"/>
    </row>
    <row r="2635" spans="38:38" x14ac:dyDescent="0.2">
      <c r="AL2635" s="177"/>
    </row>
    <row r="2636" spans="38:38" x14ac:dyDescent="0.2">
      <c r="AL2636" s="177"/>
    </row>
    <row r="2637" spans="38:38" x14ac:dyDescent="0.2">
      <c r="AL2637" s="177"/>
    </row>
    <row r="2638" spans="38:38" x14ac:dyDescent="0.2">
      <c r="AL2638" s="177"/>
    </row>
    <row r="2639" spans="38:38" x14ac:dyDescent="0.2">
      <c r="AL2639" s="177"/>
    </row>
    <row r="2640" spans="38:38" x14ac:dyDescent="0.2">
      <c r="AL2640" s="177"/>
    </row>
    <row r="2641" spans="38:38" x14ac:dyDescent="0.2">
      <c r="AL2641" s="177"/>
    </row>
    <row r="2642" spans="38:38" x14ac:dyDescent="0.2">
      <c r="AL2642" s="177"/>
    </row>
    <row r="2643" spans="38:38" x14ac:dyDescent="0.2">
      <c r="AL2643" s="177"/>
    </row>
    <row r="2644" spans="38:38" x14ac:dyDescent="0.2">
      <c r="AL2644" s="177"/>
    </row>
    <row r="2645" spans="38:38" x14ac:dyDescent="0.2">
      <c r="AL2645" s="177"/>
    </row>
    <row r="2646" spans="38:38" x14ac:dyDescent="0.2">
      <c r="AL2646" s="177"/>
    </row>
    <row r="2647" spans="38:38" x14ac:dyDescent="0.2">
      <c r="AL2647" s="177"/>
    </row>
    <row r="2648" spans="38:38" x14ac:dyDescent="0.2">
      <c r="AL2648" s="177"/>
    </row>
    <row r="2649" spans="38:38" x14ac:dyDescent="0.2">
      <c r="AL2649" s="177"/>
    </row>
    <row r="2650" spans="38:38" x14ac:dyDescent="0.2">
      <c r="AL2650" s="177"/>
    </row>
    <row r="2651" spans="38:38" x14ac:dyDescent="0.2">
      <c r="AL2651" s="177"/>
    </row>
    <row r="2652" spans="38:38" x14ac:dyDescent="0.2">
      <c r="AL2652" s="177"/>
    </row>
    <row r="2653" spans="38:38" x14ac:dyDescent="0.2">
      <c r="AL2653" s="177"/>
    </row>
    <row r="2654" spans="38:38" x14ac:dyDescent="0.2">
      <c r="AL2654" s="177"/>
    </row>
    <row r="2655" spans="38:38" x14ac:dyDescent="0.2">
      <c r="AL2655" s="177"/>
    </row>
    <row r="2656" spans="38:38" x14ac:dyDescent="0.2">
      <c r="AL2656" s="177"/>
    </row>
    <row r="2657" spans="38:38" x14ac:dyDescent="0.2">
      <c r="AL2657" s="177"/>
    </row>
    <row r="2658" spans="38:38" x14ac:dyDescent="0.2">
      <c r="AL2658" s="177"/>
    </row>
    <row r="2659" spans="38:38" x14ac:dyDescent="0.2">
      <c r="AL2659" s="177"/>
    </row>
    <row r="2660" spans="38:38" x14ac:dyDescent="0.2">
      <c r="AL2660" s="177"/>
    </row>
    <row r="2661" spans="38:38" x14ac:dyDescent="0.2">
      <c r="AL2661" s="177"/>
    </row>
    <row r="2662" spans="38:38" x14ac:dyDescent="0.2">
      <c r="AL2662" s="177"/>
    </row>
    <row r="2663" spans="38:38" x14ac:dyDescent="0.2">
      <c r="AL2663" s="177"/>
    </row>
    <row r="2664" spans="38:38" x14ac:dyDescent="0.2">
      <c r="AL2664" s="177"/>
    </row>
    <row r="2665" spans="38:38" x14ac:dyDescent="0.2">
      <c r="AL2665" s="177"/>
    </row>
    <row r="2666" spans="38:38" x14ac:dyDescent="0.2">
      <c r="AL2666" s="177"/>
    </row>
    <row r="2667" spans="38:38" x14ac:dyDescent="0.2">
      <c r="AL2667" s="177"/>
    </row>
    <row r="2668" spans="38:38" x14ac:dyDescent="0.2">
      <c r="AL2668" s="177"/>
    </row>
    <row r="2669" spans="38:38" x14ac:dyDescent="0.2">
      <c r="AL2669" s="177"/>
    </row>
    <row r="2670" spans="38:38" x14ac:dyDescent="0.2">
      <c r="AL2670" s="177"/>
    </row>
    <row r="2671" spans="38:38" x14ac:dyDescent="0.2">
      <c r="AL2671" s="177"/>
    </row>
    <row r="2672" spans="38:38" x14ac:dyDescent="0.2">
      <c r="AL2672" s="177"/>
    </row>
    <row r="2673" spans="38:38" x14ac:dyDescent="0.2">
      <c r="AL2673" s="177"/>
    </row>
    <row r="2674" spans="38:38" x14ac:dyDescent="0.2">
      <c r="AL2674" s="177"/>
    </row>
    <row r="2675" spans="38:38" x14ac:dyDescent="0.2">
      <c r="AL2675" s="177"/>
    </row>
    <row r="2676" spans="38:38" x14ac:dyDescent="0.2">
      <c r="AL2676" s="177"/>
    </row>
    <row r="2677" spans="38:38" x14ac:dyDescent="0.2">
      <c r="AL2677" s="177"/>
    </row>
    <row r="2678" spans="38:38" x14ac:dyDescent="0.2">
      <c r="AL2678" s="177"/>
    </row>
    <row r="2679" spans="38:38" x14ac:dyDescent="0.2">
      <c r="AL2679" s="177"/>
    </row>
    <row r="2680" spans="38:38" x14ac:dyDescent="0.2">
      <c r="AL2680" s="177"/>
    </row>
    <row r="2681" spans="38:38" x14ac:dyDescent="0.2">
      <c r="AL2681" s="177"/>
    </row>
    <row r="2682" spans="38:38" x14ac:dyDescent="0.2">
      <c r="AL2682" s="177"/>
    </row>
    <row r="2683" spans="38:38" x14ac:dyDescent="0.2">
      <c r="AL2683" s="177"/>
    </row>
    <row r="2684" spans="38:38" x14ac:dyDescent="0.2">
      <c r="AL2684" s="177"/>
    </row>
    <row r="2685" spans="38:38" x14ac:dyDescent="0.2">
      <c r="AL2685" s="177"/>
    </row>
    <row r="2686" spans="38:38" x14ac:dyDescent="0.2">
      <c r="AL2686" s="177"/>
    </row>
    <row r="2687" spans="38:38" x14ac:dyDescent="0.2">
      <c r="AL2687" s="177"/>
    </row>
    <row r="2688" spans="38:38" x14ac:dyDescent="0.2">
      <c r="AL2688" s="177"/>
    </row>
    <row r="2689" spans="38:38" x14ac:dyDescent="0.2">
      <c r="AL2689" s="177"/>
    </row>
    <row r="2690" spans="38:38" x14ac:dyDescent="0.2">
      <c r="AL2690" s="177"/>
    </row>
    <row r="2691" spans="38:38" x14ac:dyDescent="0.2">
      <c r="AL2691" s="177"/>
    </row>
    <row r="2692" spans="38:38" x14ac:dyDescent="0.2">
      <c r="AL2692" s="177"/>
    </row>
    <row r="2693" spans="38:38" x14ac:dyDescent="0.2">
      <c r="AL2693" s="177"/>
    </row>
    <row r="2694" spans="38:38" x14ac:dyDescent="0.2">
      <c r="AL2694" s="177"/>
    </row>
    <row r="2695" spans="38:38" x14ac:dyDescent="0.2">
      <c r="AL2695" s="177"/>
    </row>
    <row r="2696" spans="38:38" x14ac:dyDescent="0.2">
      <c r="AL2696" s="177"/>
    </row>
    <row r="2697" spans="38:38" x14ac:dyDescent="0.2">
      <c r="AL2697" s="177"/>
    </row>
    <row r="2698" spans="38:38" x14ac:dyDescent="0.2">
      <c r="AL2698" s="177"/>
    </row>
    <row r="2699" spans="38:38" x14ac:dyDescent="0.2">
      <c r="AL2699" s="177"/>
    </row>
    <row r="2700" spans="38:38" x14ac:dyDescent="0.2">
      <c r="AL2700" s="177"/>
    </row>
    <row r="2701" spans="38:38" x14ac:dyDescent="0.2">
      <c r="AL2701" s="177"/>
    </row>
    <row r="2702" spans="38:38" x14ac:dyDescent="0.2">
      <c r="AL2702" s="177"/>
    </row>
    <row r="2703" spans="38:38" x14ac:dyDescent="0.2">
      <c r="AL2703" s="177"/>
    </row>
    <row r="2704" spans="38:38" x14ac:dyDescent="0.2">
      <c r="AL2704" s="177"/>
    </row>
    <row r="2705" spans="38:38" x14ac:dyDescent="0.2">
      <c r="AL2705" s="177"/>
    </row>
    <row r="2706" spans="38:38" x14ac:dyDescent="0.2">
      <c r="AL2706" s="177"/>
    </row>
    <row r="2707" spans="38:38" x14ac:dyDescent="0.2">
      <c r="AL2707" s="177"/>
    </row>
    <row r="2708" spans="38:38" x14ac:dyDescent="0.2">
      <c r="AL2708" s="177"/>
    </row>
    <row r="2709" spans="38:38" x14ac:dyDescent="0.2">
      <c r="AL2709" s="177"/>
    </row>
    <row r="2710" spans="38:38" x14ac:dyDescent="0.2">
      <c r="AL2710" s="177"/>
    </row>
    <row r="2711" spans="38:38" x14ac:dyDescent="0.2">
      <c r="AL2711" s="177"/>
    </row>
    <row r="2712" spans="38:38" x14ac:dyDescent="0.2">
      <c r="AL2712" s="177"/>
    </row>
    <row r="2713" spans="38:38" x14ac:dyDescent="0.2">
      <c r="AL2713" s="177"/>
    </row>
    <row r="2714" spans="38:38" x14ac:dyDescent="0.2">
      <c r="AL2714" s="177"/>
    </row>
    <row r="2715" spans="38:38" x14ac:dyDescent="0.2">
      <c r="AL2715" s="177"/>
    </row>
    <row r="2716" spans="38:38" x14ac:dyDescent="0.2">
      <c r="AL2716" s="177"/>
    </row>
    <row r="2717" spans="38:38" x14ac:dyDescent="0.2">
      <c r="AL2717" s="177"/>
    </row>
    <row r="2718" spans="38:38" x14ac:dyDescent="0.2">
      <c r="AL2718" s="177"/>
    </row>
    <row r="2719" spans="38:38" x14ac:dyDescent="0.2">
      <c r="AL2719" s="177"/>
    </row>
    <row r="2720" spans="38:38" x14ac:dyDescent="0.2">
      <c r="AL2720" s="177"/>
    </row>
    <row r="2721" spans="38:38" x14ac:dyDescent="0.2">
      <c r="AL2721" s="177"/>
    </row>
    <row r="2722" spans="38:38" x14ac:dyDescent="0.2">
      <c r="AL2722" s="177"/>
    </row>
    <row r="2723" spans="38:38" x14ac:dyDescent="0.2">
      <c r="AL2723" s="177"/>
    </row>
    <row r="2724" spans="38:38" x14ac:dyDescent="0.2">
      <c r="AL2724" s="177"/>
    </row>
    <row r="2725" spans="38:38" x14ac:dyDescent="0.2">
      <c r="AL2725" s="177"/>
    </row>
    <row r="2726" spans="38:38" x14ac:dyDescent="0.2">
      <c r="AL2726" s="177"/>
    </row>
    <row r="2727" spans="38:38" x14ac:dyDescent="0.2">
      <c r="AL2727" s="177"/>
    </row>
    <row r="2728" spans="38:38" x14ac:dyDescent="0.2">
      <c r="AL2728" s="177"/>
    </row>
    <row r="2729" spans="38:38" x14ac:dyDescent="0.2">
      <c r="AL2729" s="177"/>
    </row>
    <row r="2730" spans="38:38" x14ac:dyDescent="0.2">
      <c r="AL2730" s="177"/>
    </row>
    <row r="2731" spans="38:38" x14ac:dyDescent="0.2">
      <c r="AL2731" s="177"/>
    </row>
    <row r="2732" spans="38:38" x14ac:dyDescent="0.2">
      <c r="AL2732" s="177"/>
    </row>
    <row r="2733" spans="38:38" x14ac:dyDescent="0.2">
      <c r="AL2733" s="177"/>
    </row>
    <row r="2734" spans="38:38" x14ac:dyDescent="0.2">
      <c r="AL2734" s="177"/>
    </row>
    <row r="2735" spans="38:38" x14ac:dyDescent="0.2">
      <c r="AL2735" s="177"/>
    </row>
    <row r="2736" spans="38:38" x14ac:dyDescent="0.2">
      <c r="AL2736" s="177"/>
    </row>
    <row r="2737" spans="38:38" x14ac:dyDescent="0.2">
      <c r="AL2737" s="177"/>
    </row>
    <row r="2738" spans="38:38" x14ac:dyDescent="0.2">
      <c r="AL2738" s="177"/>
    </row>
    <row r="2739" spans="38:38" x14ac:dyDescent="0.2">
      <c r="AL2739" s="177"/>
    </row>
    <row r="2740" spans="38:38" x14ac:dyDescent="0.2">
      <c r="AL2740" s="177"/>
    </row>
    <row r="2741" spans="38:38" x14ac:dyDescent="0.2">
      <c r="AL2741" s="177"/>
    </row>
    <row r="2742" spans="38:38" x14ac:dyDescent="0.2">
      <c r="AL2742" s="177"/>
    </row>
    <row r="2743" spans="38:38" x14ac:dyDescent="0.2">
      <c r="AL2743" s="177"/>
    </row>
    <row r="2744" spans="38:38" x14ac:dyDescent="0.2">
      <c r="AL2744" s="177"/>
    </row>
    <row r="2745" spans="38:38" x14ac:dyDescent="0.2">
      <c r="AL2745" s="177"/>
    </row>
    <row r="2746" spans="38:38" x14ac:dyDescent="0.2">
      <c r="AL2746" s="177"/>
    </row>
    <row r="2747" spans="38:38" x14ac:dyDescent="0.2">
      <c r="AL2747" s="177"/>
    </row>
    <row r="2748" spans="38:38" x14ac:dyDescent="0.2">
      <c r="AL2748" s="177"/>
    </row>
    <row r="2749" spans="38:38" x14ac:dyDescent="0.2">
      <c r="AL2749" s="177"/>
    </row>
    <row r="2750" spans="38:38" x14ac:dyDescent="0.2">
      <c r="AL2750" s="177"/>
    </row>
    <row r="2751" spans="38:38" x14ac:dyDescent="0.2">
      <c r="AL2751" s="177"/>
    </row>
    <row r="2752" spans="38:38" x14ac:dyDescent="0.2">
      <c r="AL2752" s="177"/>
    </row>
    <row r="2753" spans="38:38" x14ac:dyDescent="0.2">
      <c r="AL2753" s="177"/>
    </row>
    <row r="2754" spans="38:38" x14ac:dyDescent="0.2">
      <c r="AL2754" s="177"/>
    </row>
    <row r="2755" spans="38:38" x14ac:dyDescent="0.2">
      <c r="AL2755" s="177"/>
    </row>
    <row r="2756" spans="38:38" x14ac:dyDescent="0.2">
      <c r="AL2756" s="177"/>
    </row>
    <row r="2757" spans="38:38" x14ac:dyDescent="0.2">
      <c r="AL2757" s="177"/>
    </row>
    <row r="2758" spans="38:38" x14ac:dyDescent="0.2">
      <c r="AL2758" s="177"/>
    </row>
    <row r="2759" spans="38:38" x14ac:dyDescent="0.2">
      <c r="AL2759" s="177"/>
    </row>
    <row r="2760" spans="38:38" x14ac:dyDescent="0.2">
      <c r="AL2760" s="177"/>
    </row>
    <row r="2761" spans="38:38" x14ac:dyDescent="0.2">
      <c r="AL2761" s="177"/>
    </row>
    <row r="2762" spans="38:38" x14ac:dyDescent="0.2">
      <c r="AL2762" s="177"/>
    </row>
    <row r="2763" spans="38:38" x14ac:dyDescent="0.2">
      <c r="AL2763" s="177"/>
    </row>
    <row r="2764" spans="38:38" x14ac:dyDescent="0.2">
      <c r="AL2764" s="177"/>
    </row>
    <row r="2765" spans="38:38" x14ac:dyDescent="0.2">
      <c r="AL2765" s="177"/>
    </row>
    <row r="2766" spans="38:38" x14ac:dyDescent="0.2">
      <c r="AL2766" s="177"/>
    </row>
    <row r="2767" spans="38:38" x14ac:dyDescent="0.2">
      <c r="AL2767" s="177"/>
    </row>
    <row r="2768" spans="38:38" x14ac:dyDescent="0.2">
      <c r="AL2768" s="177"/>
    </row>
    <row r="2769" spans="38:38" x14ac:dyDescent="0.2">
      <c r="AL2769" s="177"/>
    </row>
    <row r="2770" spans="38:38" x14ac:dyDescent="0.2">
      <c r="AL2770" s="177"/>
    </row>
    <row r="2771" spans="38:38" x14ac:dyDescent="0.2">
      <c r="AL2771" s="177"/>
    </row>
    <row r="2772" spans="38:38" x14ac:dyDescent="0.2">
      <c r="AL2772" s="177"/>
    </row>
    <row r="2773" spans="38:38" x14ac:dyDescent="0.2">
      <c r="AL2773" s="177"/>
    </row>
    <row r="2774" spans="38:38" x14ac:dyDescent="0.2">
      <c r="AL2774" s="177"/>
    </row>
    <row r="2775" spans="38:38" x14ac:dyDescent="0.2">
      <c r="AL2775" s="177"/>
    </row>
    <row r="2776" spans="38:38" x14ac:dyDescent="0.2">
      <c r="AL2776" s="177"/>
    </row>
    <row r="2777" spans="38:38" x14ac:dyDescent="0.2">
      <c r="AL2777" s="177"/>
    </row>
    <row r="2778" spans="38:38" x14ac:dyDescent="0.2">
      <c r="AL2778" s="177"/>
    </row>
    <row r="2779" spans="38:38" x14ac:dyDescent="0.2">
      <c r="AL2779" s="177"/>
    </row>
    <row r="2780" spans="38:38" x14ac:dyDescent="0.2">
      <c r="AL2780" s="177"/>
    </row>
    <row r="2781" spans="38:38" x14ac:dyDescent="0.2">
      <c r="AL2781" s="177"/>
    </row>
    <row r="2782" spans="38:38" x14ac:dyDescent="0.2">
      <c r="AL2782" s="177"/>
    </row>
    <row r="2783" spans="38:38" x14ac:dyDescent="0.2">
      <c r="AL2783" s="177"/>
    </row>
    <row r="2784" spans="38:38" x14ac:dyDescent="0.2">
      <c r="AL2784" s="177"/>
    </row>
    <row r="2785" spans="38:38" x14ac:dyDescent="0.2">
      <c r="AL2785" s="177"/>
    </row>
    <row r="2786" spans="38:38" x14ac:dyDescent="0.2">
      <c r="AL2786" s="177"/>
    </row>
    <row r="2787" spans="38:38" x14ac:dyDescent="0.2">
      <c r="AL2787" s="177"/>
    </row>
    <row r="2788" spans="38:38" x14ac:dyDescent="0.2">
      <c r="AL2788" s="177"/>
    </row>
    <row r="2789" spans="38:38" x14ac:dyDescent="0.2">
      <c r="AL2789" s="177"/>
    </row>
    <row r="2790" spans="38:38" x14ac:dyDescent="0.2">
      <c r="AL2790" s="177"/>
    </row>
    <row r="2791" spans="38:38" x14ac:dyDescent="0.2">
      <c r="AL2791" s="177"/>
    </row>
    <row r="2792" spans="38:38" x14ac:dyDescent="0.2">
      <c r="AL2792" s="177"/>
    </row>
    <row r="2793" spans="38:38" x14ac:dyDescent="0.2">
      <c r="AL2793" s="177"/>
    </row>
    <row r="2794" spans="38:38" x14ac:dyDescent="0.2">
      <c r="AL2794" s="177"/>
    </row>
    <row r="2795" spans="38:38" x14ac:dyDescent="0.2">
      <c r="AL2795" s="177"/>
    </row>
    <row r="2796" spans="38:38" x14ac:dyDescent="0.2">
      <c r="AL2796" s="177"/>
    </row>
    <row r="2797" spans="38:38" x14ac:dyDescent="0.2">
      <c r="AL2797" s="177"/>
    </row>
    <row r="2798" spans="38:38" x14ac:dyDescent="0.2">
      <c r="AL2798" s="177"/>
    </row>
    <row r="2799" spans="38:38" x14ac:dyDescent="0.2">
      <c r="AL2799" s="177"/>
    </row>
    <row r="2800" spans="38:38" x14ac:dyDescent="0.2">
      <c r="AL2800" s="177"/>
    </row>
    <row r="2801" spans="38:38" x14ac:dyDescent="0.2">
      <c r="AL2801" s="177"/>
    </row>
    <row r="2802" spans="38:38" x14ac:dyDescent="0.2">
      <c r="AL2802" s="177"/>
    </row>
    <row r="2803" spans="38:38" x14ac:dyDescent="0.2">
      <c r="AL2803" s="177"/>
    </row>
    <row r="2804" spans="38:38" x14ac:dyDescent="0.2">
      <c r="AL2804" s="177"/>
    </row>
    <row r="2805" spans="38:38" x14ac:dyDescent="0.2">
      <c r="AL2805" s="177"/>
    </row>
    <row r="2806" spans="38:38" x14ac:dyDescent="0.2">
      <c r="AL2806" s="177"/>
    </row>
    <row r="2807" spans="38:38" x14ac:dyDescent="0.2">
      <c r="AL2807" s="177"/>
    </row>
    <row r="2808" spans="38:38" x14ac:dyDescent="0.2">
      <c r="AL2808" s="177"/>
    </row>
    <row r="2809" spans="38:38" x14ac:dyDescent="0.2">
      <c r="AL2809" s="177"/>
    </row>
    <row r="2810" spans="38:38" x14ac:dyDescent="0.2">
      <c r="AL2810" s="177"/>
    </row>
    <row r="2811" spans="38:38" x14ac:dyDescent="0.2">
      <c r="AL2811" s="177"/>
    </row>
    <row r="2812" spans="38:38" x14ac:dyDescent="0.2">
      <c r="AL2812" s="177"/>
    </row>
    <row r="2813" spans="38:38" x14ac:dyDescent="0.2">
      <c r="AL2813" s="177"/>
    </row>
    <row r="2814" spans="38:38" x14ac:dyDescent="0.2">
      <c r="AL2814" s="177"/>
    </row>
    <row r="2815" spans="38:38" x14ac:dyDescent="0.2">
      <c r="AL2815" s="177"/>
    </row>
    <row r="2816" spans="38:38" x14ac:dyDescent="0.2">
      <c r="AL2816" s="177"/>
    </row>
    <row r="2817" spans="38:38" x14ac:dyDescent="0.2">
      <c r="AL2817" s="177"/>
    </row>
    <row r="2818" spans="38:38" x14ac:dyDescent="0.2">
      <c r="AL2818" s="177"/>
    </row>
    <row r="2819" spans="38:38" x14ac:dyDescent="0.2">
      <c r="AL2819" s="177"/>
    </row>
    <row r="2820" spans="38:38" x14ac:dyDescent="0.2">
      <c r="AL2820" s="177"/>
    </row>
    <row r="2821" spans="38:38" x14ac:dyDescent="0.2">
      <c r="AL2821" s="177"/>
    </row>
    <row r="2822" spans="38:38" x14ac:dyDescent="0.2">
      <c r="AL2822" s="177"/>
    </row>
    <row r="2823" spans="38:38" x14ac:dyDescent="0.2">
      <c r="AL2823" s="177"/>
    </row>
    <row r="2824" spans="38:38" x14ac:dyDescent="0.2">
      <c r="AL2824" s="177"/>
    </row>
    <row r="2825" spans="38:38" x14ac:dyDescent="0.2">
      <c r="AL2825" s="177"/>
    </row>
    <row r="2826" spans="38:38" x14ac:dyDescent="0.2">
      <c r="AL2826" s="177"/>
    </row>
    <row r="2827" spans="38:38" x14ac:dyDescent="0.2">
      <c r="AL2827" s="177"/>
    </row>
    <row r="2828" spans="38:38" x14ac:dyDescent="0.2">
      <c r="AL2828" s="177"/>
    </row>
    <row r="2829" spans="38:38" x14ac:dyDescent="0.2">
      <c r="AL2829" s="177"/>
    </row>
    <row r="2830" spans="38:38" x14ac:dyDescent="0.2">
      <c r="AL2830" s="177"/>
    </row>
    <row r="2831" spans="38:38" x14ac:dyDescent="0.2">
      <c r="AL2831" s="177"/>
    </row>
    <row r="2832" spans="38:38" x14ac:dyDescent="0.2">
      <c r="AL2832" s="177"/>
    </row>
    <row r="2833" spans="38:38" x14ac:dyDescent="0.2">
      <c r="AL2833" s="177"/>
    </row>
    <row r="2834" spans="38:38" x14ac:dyDescent="0.2">
      <c r="AL2834" s="177"/>
    </row>
    <row r="2835" spans="38:38" x14ac:dyDescent="0.2">
      <c r="AL2835" s="177"/>
    </row>
    <row r="2836" spans="38:38" x14ac:dyDescent="0.2">
      <c r="AL2836" s="177"/>
    </row>
    <row r="2837" spans="38:38" x14ac:dyDescent="0.2">
      <c r="AL2837" s="177"/>
    </row>
    <row r="2838" spans="38:38" x14ac:dyDescent="0.2">
      <c r="AL2838" s="177"/>
    </row>
    <row r="2839" spans="38:38" x14ac:dyDescent="0.2">
      <c r="AL2839" s="177"/>
    </row>
    <row r="2840" spans="38:38" x14ac:dyDescent="0.2">
      <c r="AL2840" s="177"/>
    </row>
    <row r="2841" spans="38:38" x14ac:dyDescent="0.2">
      <c r="AL2841" s="177"/>
    </row>
    <row r="2842" spans="38:38" x14ac:dyDescent="0.2">
      <c r="AL2842" s="177"/>
    </row>
    <row r="2843" spans="38:38" x14ac:dyDescent="0.2">
      <c r="AL2843" s="177"/>
    </row>
    <row r="2844" spans="38:38" x14ac:dyDescent="0.2">
      <c r="AL2844" s="177"/>
    </row>
    <row r="2845" spans="38:38" x14ac:dyDescent="0.2">
      <c r="AL2845" s="177"/>
    </row>
    <row r="2846" spans="38:38" x14ac:dyDescent="0.2">
      <c r="AL2846" s="177"/>
    </row>
    <row r="2847" spans="38:38" x14ac:dyDescent="0.2">
      <c r="AL2847" s="177"/>
    </row>
    <row r="2848" spans="38:38" x14ac:dyDescent="0.2">
      <c r="AL2848" s="177"/>
    </row>
    <row r="2849" spans="38:38" x14ac:dyDescent="0.2">
      <c r="AL2849" s="177"/>
    </row>
    <row r="2850" spans="38:38" x14ac:dyDescent="0.2">
      <c r="AL2850" s="177"/>
    </row>
    <row r="2851" spans="38:38" x14ac:dyDescent="0.2">
      <c r="AL2851" s="177"/>
    </row>
    <row r="2852" spans="38:38" x14ac:dyDescent="0.2">
      <c r="AL2852" s="177"/>
    </row>
    <row r="2853" spans="38:38" x14ac:dyDescent="0.2">
      <c r="AL2853" s="177"/>
    </row>
    <row r="2854" spans="38:38" x14ac:dyDescent="0.2">
      <c r="AL2854" s="177"/>
    </row>
    <row r="2855" spans="38:38" x14ac:dyDescent="0.2">
      <c r="AL2855" s="177"/>
    </row>
    <row r="2856" spans="38:38" x14ac:dyDescent="0.2">
      <c r="AL2856" s="177"/>
    </row>
    <row r="2857" spans="38:38" x14ac:dyDescent="0.2">
      <c r="AL2857" s="177"/>
    </row>
    <row r="2858" spans="38:38" x14ac:dyDescent="0.2">
      <c r="AL2858" s="177"/>
    </row>
    <row r="2859" spans="38:38" x14ac:dyDescent="0.2">
      <c r="AL2859" s="177"/>
    </row>
    <row r="2860" spans="38:38" x14ac:dyDescent="0.2">
      <c r="AL2860" s="177"/>
    </row>
    <row r="2861" spans="38:38" x14ac:dyDescent="0.2">
      <c r="AL2861" s="177"/>
    </row>
    <row r="2862" spans="38:38" x14ac:dyDescent="0.2">
      <c r="AL2862" s="177"/>
    </row>
    <row r="2863" spans="38:38" x14ac:dyDescent="0.2">
      <c r="AL2863" s="177"/>
    </row>
    <row r="2864" spans="38:38" x14ac:dyDescent="0.2">
      <c r="AL2864" s="177"/>
    </row>
    <row r="2865" spans="38:38" x14ac:dyDescent="0.2">
      <c r="AL2865" s="177"/>
    </row>
    <row r="2866" spans="38:38" x14ac:dyDescent="0.2">
      <c r="AL2866" s="177"/>
    </row>
    <row r="2867" spans="38:38" x14ac:dyDescent="0.2">
      <c r="AL2867" s="177"/>
    </row>
    <row r="2868" spans="38:38" x14ac:dyDescent="0.2">
      <c r="AL2868" s="177"/>
    </row>
    <row r="2869" spans="38:38" x14ac:dyDescent="0.2">
      <c r="AL2869" s="177"/>
    </row>
    <row r="2870" spans="38:38" x14ac:dyDescent="0.2">
      <c r="AL2870" s="177"/>
    </row>
    <row r="2871" spans="38:38" x14ac:dyDescent="0.2">
      <c r="AL2871" s="177"/>
    </row>
    <row r="2872" spans="38:38" x14ac:dyDescent="0.2">
      <c r="AL2872" s="177"/>
    </row>
    <row r="2873" spans="38:38" x14ac:dyDescent="0.2">
      <c r="AL2873" s="177"/>
    </row>
    <row r="2874" spans="38:38" x14ac:dyDescent="0.2">
      <c r="AL2874" s="177"/>
    </row>
    <row r="2875" spans="38:38" x14ac:dyDescent="0.2">
      <c r="AL2875" s="177"/>
    </row>
    <row r="2876" spans="38:38" x14ac:dyDescent="0.2">
      <c r="AL2876" s="177"/>
    </row>
    <row r="2877" spans="38:38" x14ac:dyDescent="0.2">
      <c r="AL2877" s="177"/>
    </row>
    <row r="2878" spans="38:38" x14ac:dyDescent="0.2">
      <c r="AL2878" s="177"/>
    </row>
    <row r="2879" spans="38:38" x14ac:dyDescent="0.2">
      <c r="AL2879" s="177"/>
    </row>
    <row r="2880" spans="38:38" x14ac:dyDescent="0.2">
      <c r="AL2880" s="177"/>
    </row>
    <row r="2881" spans="38:38" x14ac:dyDescent="0.2">
      <c r="AL2881" s="177"/>
    </row>
    <row r="2882" spans="38:38" x14ac:dyDescent="0.2">
      <c r="AL2882" s="177"/>
    </row>
    <row r="2883" spans="38:38" x14ac:dyDescent="0.2">
      <c r="AL2883" s="177"/>
    </row>
    <row r="2884" spans="38:38" x14ac:dyDescent="0.2">
      <c r="AL2884" s="177"/>
    </row>
    <row r="2885" spans="38:38" x14ac:dyDescent="0.2">
      <c r="AL2885" s="177"/>
    </row>
    <row r="2886" spans="38:38" x14ac:dyDescent="0.2">
      <c r="AL2886" s="177"/>
    </row>
    <row r="2887" spans="38:38" x14ac:dyDescent="0.2">
      <c r="AL2887" s="177"/>
    </row>
    <row r="2888" spans="38:38" x14ac:dyDescent="0.2">
      <c r="AL2888" s="177"/>
    </row>
    <row r="2889" spans="38:38" x14ac:dyDescent="0.2">
      <c r="AL2889" s="177"/>
    </row>
    <row r="2890" spans="38:38" x14ac:dyDescent="0.2">
      <c r="AL2890" s="177"/>
    </row>
    <row r="2891" spans="38:38" x14ac:dyDescent="0.2">
      <c r="AL2891" s="177"/>
    </row>
    <row r="2892" spans="38:38" x14ac:dyDescent="0.2">
      <c r="AL2892" s="177"/>
    </row>
    <row r="2893" spans="38:38" x14ac:dyDescent="0.2">
      <c r="AL2893" s="177"/>
    </row>
    <row r="2894" spans="38:38" x14ac:dyDescent="0.2">
      <c r="AL2894" s="177"/>
    </row>
    <row r="2895" spans="38:38" x14ac:dyDescent="0.2">
      <c r="AL2895" s="177"/>
    </row>
    <row r="2896" spans="38:38" x14ac:dyDescent="0.2">
      <c r="AL2896" s="177"/>
    </row>
    <row r="2897" spans="38:38" x14ac:dyDescent="0.2">
      <c r="AL2897" s="177"/>
    </row>
    <row r="2898" spans="38:38" x14ac:dyDescent="0.2">
      <c r="AL2898" s="177"/>
    </row>
    <row r="2899" spans="38:38" x14ac:dyDescent="0.2">
      <c r="AL2899" s="177"/>
    </row>
    <row r="2900" spans="38:38" x14ac:dyDescent="0.2">
      <c r="AL2900" s="177"/>
    </row>
    <row r="2901" spans="38:38" x14ac:dyDescent="0.2">
      <c r="AL2901" s="177"/>
    </row>
    <row r="2902" spans="38:38" x14ac:dyDescent="0.2">
      <c r="AL2902" s="177"/>
    </row>
    <row r="2903" spans="38:38" x14ac:dyDescent="0.2">
      <c r="AL2903" s="177"/>
    </row>
    <row r="2904" spans="38:38" x14ac:dyDescent="0.2">
      <c r="AL2904" s="177"/>
    </row>
    <row r="2905" spans="38:38" x14ac:dyDescent="0.2">
      <c r="AL2905" s="177"/>
    </row>
    <row r="2906" spans="38:38" x14ac:dyDescent="0.2">
      <c r="AL2906" s="177"/>
    </row>
    <row r="2907" spans="38:38" x14ac:dyDescent="0.2">
      <c r="AL2907" s="177"/>
    </row>
    <row r="2908" spans="38:38" x14ac:dyDescent="0.2">
      <c r="AL2908" s="177"/>
    </row>
    <row r="2909" spans="38:38" x14ac:dyDescent="0.2">
      <c r="AL2909" s="177"/>
    </row>
    <row r="2910" spans="38:38" x14ac:dyDescent="0.2">
      <c r="AL2910" s="177"/>
    </row>
    <row r="2911" spans="38:38" x14ac:dyDescent="0.2">
      <c r="AL2911" s="177"/>
    </row>
    <row r="2912" spans="38:38" x14ac:dyDescent="0.2">
      <c r="AL2912" s="177"/>
    </row>
    <row r="2913" spans="38:38" x14ac:dyDescent="0.2">
      <c r="AL2913" s="177"/>
    </row>
    <row r="2914" spans="38:38" x14ac:dyDescent="0.2">
      <c r="AL2914" s="177"/>
    </row>
    <row r="2915" spans="38:38" x14ac:dyDescent="0.2">
      <c r="AL2915" s="177"/>
    </row>
    <row r="2916" spans="38:38" x14ac:dyDescent="0.2">
      <c r="AL2916" s="177"/>
    </row>
    <row r="2917" spans="38:38" x14ac:dyDescent="0.2">
      <c r="AL2917" s="177"/>
    </row>
    <row r="2918" spans="38:38" x14ac:dyDescent="0.2">
      <c r="AL2918" s="177"/>
    </row>
    <row r="2919" spans="38:38" x14ac:dyDescent="0.2">
      <c r="AL2919" s="177"/>
    </row>
    <row r="2920" spans="38:38" x14ac:dyDescent="0.2">
      <c r="AL2920" s="177"/>
    </row>
    <row r="2921" spans="38:38" x14ac:dyDescent="0.2">
      <c r="AL2921" s="177"/>
    </row>
    <row r="2922" spans="38:38" x14ac:dyDescent="0.2">
      <c r="AL2922" s="177"/>
    </row>
    <row r="2923" spans="38:38" x14ac:dyDescent="0.2">
      <c r="AL2923" s="177"/>
    </row>
    <row r="2924" spans="38:38" x14ac:dyDescent="0.2">
      <c r="AL2924" s="177"/>
    </row>
    <row r="2925" spans="38:38" x14ac:dyDescent="0.2">
      <c r="AL2925" s="177"/>
    </row>
    <row r="2926" spans="38:38" x14ac:dyDescent="0.2">
      <c r="AL2926" s="177"/>
    </row>
    <row r="2927" spans="38:38" x14ac:dyDescent="0.2">
      <c r="AL2927" s="177"/>
    </row>
    <row r="2928" spans="38:38" x14ac:dyDescent="0.2">
      <c r="AL2928" s="177"/>
    </row>
    <row r="2929" spans="38:38" x14ac:dyDescent="0.2">
      <c r="AL2929" s="177"/>
    </row>
    <row r="2930" spans="38:38" x14ac:dyDescent="0.2">
      <c r="AL2930" s="177"/>
    </row>
    <row r="2931" spans="38:38" x14ac:dyDescent="0.2">
      <c r="AL2931" s="177"/>
    </row>
    <row r="2932" spans="38:38" x14ac:dyDescent="0.2">
      <c r="AL2932" s="177"/>
    </row>
    <row r="2933" spans="38:38" x14ac:dyDescent="0.2">
      <c r="AL2933" s="177"/>
    </row>
    <row r="2934" spans="38:38" x14ac:dyDescent="0.2">
      <c r="AL2934" s="177"/>
    </row>
    <row r="2935" spans="38:38" x14ac:dyDescent="0.2">
      <c r="AL2935" s="177"/>
    </row>
    <row r="2936" spans="38:38" x14ac:dyDescent="0.2">
      <c r="AL2936" s="177"/>
    </row>
    <row r="2937" spans="38:38" x14ac:dyDescent="0.2">
      <c r="AL2937" s="177"/>
    </row>
    <row r="2938" spans="38:38" x14ac:dyDescent="0.2">
      <c r="AL2938" s="177"/>
    </row>
    <row r="2939" spans="38:38" x14ac:dyDescent="0.2">
      <c r="AL2939" s="177"/>
    </row>
    <row r="2940" spans="38:38" x14ac:dyDescent="0.2">
      <c r="AL2940" s="177"/>
    </row>
    <row r="2941" spans="38:38" x14ac:dyDescent="0.2">
      <c r="AL2941" s="177"/>
    </row>
    <row r="2942" spans="38:38" x14ac:dyDescent="0.2">
      <c r="AL2942" s="177"/>
    </row>
    <row r="2943" spans="38:38" x14ac:dyDescent="0.2">
      <c r="AL2943" s="177"/>
    </row>
    <row r="2944" spans="38:38" x14ac:dyDescent="0.2">
      <c r="AL2944" s="177"/>
    </row>
    <row r="2945" spans="38:38" x14ac:dyDescent="0.2">
      <c r="AL2945" s="177"/>
    </row>
    <row r="2946" spans="38:38" x14ac:dyDescent="0.2">
      <c r="AL2946" s="177"/>
    </row>
    <row r="2947" spans="38:38" x14ac:dyDescent="0.2">
      <c r="AL2947" s="177"/>
    </row>
    <row r="2948" spans="38:38" x14ac:dyDescent="0.2">
      <c r="AL2948" s="177"/>
    </row>
    <row r="2949" spans="38:38" x14ac:dyDescent="0.2">
      <c r="AL2949" s="177"/>
    </row>
    <row r="2950" spans="38:38" x14ac:dyDescent="0.2">
      <c r="AL2950" s="177"/>
    </row>
    <row r="2951" spans="38:38" x14ac:dyDescent="0.2">
      <c r="AL2951" s="177"/>
    </row>
    <row r="2952" spans="38:38" x14ac:dyDescent="0.2">
      <c r="AL2952" s="177"/>
    </row>
    <row r="2953" spans="38:38" x14ac:dyDescent="0.2">
      <c r="AL2953" s="177"/>
    </row>
    <row r="2954" spans="38:38" x14ac:dyDescent="0.2">
      <c r="AL2954" s="177"/>
    </row>
    <row r="2955" spans="38:38" x14ac:dyDescent="0.2">
      <c r="AL2955" s="177"/>
    </row>
    <row r="2956" spans="38:38" x14ac:dyDescent="0.2">
      <c r="AL2956" s="177"/>
    </row>
    <row r="2957" spans="38:38" x14ac:dyDescent="0.2">
      <c r="AL2957" s="177"/>
    </row>
    <row r="2958" spans="38:38" x14ac:dyDescent="0.2">
      <c r="AL2958" s="177"/>
    </row>
    <row r="2959" spans="38:38" x14ac:dyDescent="0.2">
      <c r="AL2959" s="177"/>
    </row>
    <row r="2960" spans="38:38" x14ac:dyDescent="0.2">
      <c r="AL2960" s="177"/>
    </row>
    <row r="2961" spans="38:38" x14ac:dyDescent="0.2">
      <c r="AL2961" s="177"/>
    </row>
    <row r="2962" spans="38:38" x14ac:dyDescent="0.2">
      <c r="AL2962" s="177"/>
    </row>
    <row r="2963" spans="38:38" x14ac:dyDescent="0.2">
      <c r="AL2963" s="177"/>
    </row>
    <row r="2964" spans="38:38" x14ac:dyDescent="0.2">
      <c r="AL2964" s="177"/>
    </row>
    <row r="2965" spans="38:38" x14ac:dyDescent="0.2">
      <c r="AL2965" s="177"/>
    </row>
    <row r="2966" spans="38:38" x14ac:dyDescent="0.2">
      <c r="AL2966" s="177"/>
    </row>
    <row r="2967" spans="38:38" x14ac:dyDescent="0.2">
      <c r="AL2967" s="177"/>
    </row>
    <row r="2968" spans="38:38" x14ac:dyDescent="0.2">
      <c r="AL2968" s="177"/>
    </row>
    <row r="2969" spans="38:38" x14ac:dyDescent="0.2">
      <c r="AL2969" s="177"/>
    </row>
    <row r="2970" spans="38:38" x14ac:dyDescent="0.2">
      <c r="AL2970" s="177"/>
    </row>
    <row r="2971" spans="38:38" x14ac:dyDescent="0.2">
      <c r="AL2971" s="177"/>
    </row>
    <row r="2972" spans="38:38" x14ac:dyDescent="0.2">
      <c r="AL2972" s="177"/>
    </row>
    <row r="2973" spans="38:38" x14ac:dyDescent="0.2">
      <c r="AL2973" s="177"/>
    </row>
    <row r="2974" spans="38:38" x14ac:dyDescent="0.2">
      <c r="AL2974" s="177"/>
    </row>
    <row r="2975" spans="38:38" x14ac:dyDescent="0.2">
      <c r="AL2975" s="177"/>
    </row>
    <row r="2976" spans="38:38" x14ac:dyDescent="0.2">
      <c r="AL2976" s="177"/>
    </row>
    <row r="2977" spans="38:38" x14ac:dyDescent="0.2">
      <c r="AL2977" s="177"/>
    </row>
    <row r="2978" spans="38:38" x14ac:dyDescent="0.2">
      <c r="AL2978" s="177"/>
    </row>
    <row r="2979" spans="38:38" x14ac:dyDescent="0.2">
      <c r="AL2979" s="177"/>
    </row>
    <row r="2980" spans="38:38" x14ac:dyDescent="0.2">
      <c r="AL2980" s="177"/>
    </row>
    <row r="2981" spans="38:38" x14ac:dyDescent="0.2">
      <c r="AL2981" s="177"/>
    </row>
    <row r="2982" spans="38:38" x14ac:dyDescent="0.2">
      <c r="AL2982" s="177"/>
    </row>
    <row r="2983" spans="38:38" x14ac:dyDescent="0.2">
      <c r="AL2983" s="177"/>
    </row>
    <row r="2984" spans="38:38" x14ac:dyDescent="0.2">
      <c r="AL2984" s="177"/>
    </row>
    <row r="2985" spans="38:38" x14ac:dyDescent="0.2">
      <c r="AL2985" s="177"/>
    </row>
    <row r="2986" spans="38:38" x14ac:dyDescent="0.2">
      <c r="AL2986" s="177"/>
    </row>
    <row r="2987" spans="38:38" x14ac:dyDescent="0.2">
      <c r="AL2987" s="177"/>
    </row>
    <row r="2988" spans="38:38" x14ac:dyDescent="0.2">
      <c r="AL2988" s="177"/>
    </row>
    <row r="2989" spans="38:38" x14ac:dyDescent="0.2">
      <c r="AL2989" s="177"/>
    </row>
    <row r="2990" spans="38:38" x14ac:dyDescent="0.2">
      <c r="AL2990" s="177"/>
    </row>
    <row r="2991" spans="38:38" x14ac:dyDescent="0.2">
      <c r="AL2991" s="177"/>
    </row>
    <row r="2992" spans="38:38" x14ac:dyDescent="0.2">
      <c r="AL2992" s="177"/>
    </row>
    <row r="2993" spans="38:38" x14ac:dyDescent="0.2">
      <c r="AL2993" s="177"/>
    </row>
    <row r="2994" spans="38:38" x14ac:dyDescent="0.2">
      <c r="AL2994" s="177"/>
    </row>
    <row r="2995" spans="38:38" x14ac:dyDescent="0.2">
      <c r="AL2995" s="177"/>
    </row>
    <row r="2996" spans="38:38" x14ac:dyDescent="0.2">
      <c r="AL2996" s="177"/>
    </row>
    <row r="2997" spans="38:38" x14ac:dyDescent="0.2">
      <c r="AL2997" s="177"/>
    </row>
    <row r="2998" spans="38:38" x14ac:dyDescent="0.2">
      <c r="AL2998" s="177"/>
    </row>
    <row r="2999" spans="38:38" x14ac:dyDescent="0.2">
      <c r="AL2999" s="177"/>
    </row>
    <row r="3000" spans="38:38" x14ac:dyDescent="0.2">
      <c r="AL3000" s="177"/>
    </row>
    <row r="3001" spans="38:38" x14ac:dyDescent="0.2">
      <c r="AL3001" s="177"/>
    </row>
    <row r="3002" spans="38:38" x14ac:dyDescent="0.2">
      <c r="AL3002" s="177"/>
    </row>
    <row r="3003" spans="38:38" x14ac:dyDescent="0.2">
      <c r="AL3003" s="177"/>
    </row>
    <row r="3004" spans="38:38" x14ac:dyDescent="0.2">
      <c r="AL3004" s="177"/>
    </row>
    <row r="3005" spans="38:38" x14ac:dyDescent="0.2">
      <c r="AL3005" s="177"/>
    </row>
    <row r="3006" spans="38:38" x14ac:dyDescent="0.2">
      <c r="AL3006" s="177"/>
    </row>
    <row r="3007" spans="38:38" x14ac:dyDescent="0.2">
      <c r="AL3007" s="177"/>
    </row>
    <row r="3008" spans="38:38" x14ac:dyDescent="0.2">
      <c r="AL3008" s="177"/>
    </row>
    <row r="3009" spans="38:38" x14ac:dyDescent="0.2">
      <c r="AL3009" s="177"/>
    </row>
    <row r="3010" spans="38:38" x14ac:dyDescent="0.2">
      <c r="AL3010" s="177"/>
    </row>
    <row r="3011" spans="38:38" x14ac:dyDescent="0.2">
      <c r="AL3011" s="177"/>
    </row>
    <row r="3012" spans="38:38" x14ac:dyDescent="0.2">
      <c r="AL3012" s="177"/>
    </row>
    <row r="3013" spans="38:38" x14ac:dyDescent="0.2">
      <c r="AL3013" s="177"/>
    </row>
    <row r="3014" spans="38:38" x14ac:dyDescent="0.2">
      <c r="AL3014" s="177"/>
    </row>
    <row r="3015" spans="38:38" x14ac:dyDescent="0.2">
      <c r="AL3015" s="177"/>
    </row>
    <row r="3016" spans="38:38" x14ac:dyDescent="0.2">
      <c r="AL3016" s="177"/>
    </row>
    <row r="3017" spans="38:38" x14ac:dyDescent="0.2">
      <c r="AL3017" s="177"/>
    </row>
    <row r="3018" spans="38:38" x14ac:dyDescent="0.2">
      <c r="AL3018" s="177"/>
    </row>
    <row r="3019" spans="38:38" x14ac:dyDescent="0.2">
      <c r="AL3019" s="177"/>
    </row>
    <row r="3020" spans="38:38" x14ac:dyDescent="0.2">
      <c r="AL3020" s="177"/>
    </row>
    <row r="3021" spans="38:38" x14ac:dyDescent="0.2">
      <c r="AL3021" s="177"/>
    </row>
    <row r="3022" spans="38:38" x14ac:dyDescent="0.2">
      <c r="AL3022" s="177"/>
    </row>
    <row r="3023" spans="38:38" x14ac:dyDescent="0.2">
      <c r="AL3023" s="177"/>
    </row>
    <row r="3024" spans="38:38" x14ac:dyDescent="0.2">
      <c r="AL3024" s="177"/>
    </row>
    <row r="3025" spans="38:38" x14ac:dyDescent="0.2">
      <c r="AL3025" s="177"/>
    </row>
    <row r="3026" spans="38:38" x14ac:dyDescent="0.2">
      <c r="AL3026" s="177"/>
    </row>
    <row r="3027" spans="38:38" x14ac:dyDescent="0.2">
      <c r="AL3027" s="177"/>
    </row>
    <row r="3028" spans="38:38" x14ac:dyDescent="0.2">
      <c r="AL3028" s="177"/>
    </row>
    <row r="3029" spans="38:38" x14ac:dyDescent="0.2">
      <c r="AL3029" s="177"/>
    </row>
    <row r="3030" spans="38:38" x14ac:dyDescent="0.2">
      <c r="AL3030" s="177"/>
    </row>
    <row r="3031" spans="38:38" x14ac:dyDescent="0.2">
      <c r="AL3031" s="177"/>
    </row>
    <row r="3032" spans="38:38" x14ac:dyDescent="0.2">
      <c r="AL3032" s="177"/>
    </row>
    <row r="3033" spans="38:38" x14ac:dyDescent="0.2">
      <c r="AL3033" s="177"/>
    </row>
    <row r="3034" spans="38:38" x14ac:dyDescent="0.2">
      <c r="AL3034" s="177"/>
    </row>
    <row r="3035" spans="38:38" x14ac:dyDescent="0.2">
      <c r="AL3035" s="177"/>
    </row>
    <row r="3036" spans="38:38" x14ac:dyDescent="0.2">
      <c r="AL3036" s="177"/>
    </row>
    <row r="3037" spans="38:38" x14ac:dyDescent="0.2">
      <c r="AL3037" s="177"/>
    </row>
    <row r="3038" spans="38:38" x14ac:dyDescent="0.2">
      <c r="AL3038" s="177"/>
    </row>
    <row r="3039" spans="38:38" x14ac:dyDescent="0.2">
      <c r="AL3039" s="177"/>
    </row>
    <row r="3040" spans="38:38" x14ac:dyDescent="0.2">
      <c r="AL3040" s="177"/>
    </row>
    <row r="3041" spans="38:38" x14ac:dyDescent="0.2">
      <c r="AL3041" s="177"/>
    </row>
    <row r="3042" spans="38:38" x14ac:dyDescent="0.2">
      <c r="AL3042" s="177"/>
    </row>
    <row r="3043" spans="38:38" x14ac:dyDescent="0.2">
      <c r="AL3043" s="177"/>
    </row>
    <row r="3044" spans="38:38" x14ac:dyDescent="0.2">
      <c r="AL3044" s="177"/>
    </row>
    <row r="3045" spans="38:38" x14ac:dyDescent="0.2">
      <c r="AL3045" s="177"/>
    </row>
    <row r="3046" spans="38:38" x14ac:dyDescent="0.2">
      <c r="AL3046" s="177"/>
    </row>
    <row r="3047" spans="38:38" x14ac:dyDescent="0.2">
      <c r="AL3047" s="177"/>
    </row>
    <row r="3048" spans="38:38" x14ac:dyDescent="0.2">
      <c r="AL3048" s="177"/>
    </row>
    <row r="3049" spans="38:38" x14ac:dyDescent="0.2">
      <c r="AL3049" s="177"/>
    </row>
    <row r="3050" spans="38:38" x14ac:dyDescent="0.2">
      <c r="AL3050" s="177"/>
    </row>
    <row r="3051" spans="38:38" x14ac:dyDescent="0.2">
      <c r="AL3051" s="177"/>
    </row>
    <row r="3052" spans="38:38" x14ac:dyDescent="0.2">
      <c r="AL3052" s="177"/>
    </row>
    <row r="3053" spans="38:38" x14ac:dyDescent="0.2">
      <c r="AL3053" s="177"/>
    </row>
    <row r="3054" spans="38:38" x14ac:dyDescent="0.2">
      <c r="AL3054" s="177"/>
    </row>
    <row r="3055" spans="38:38" x14ac:dyDescent="0.2">
      <c r="AL3055" s="177"/>
    </row>
    <row r="3056" spans="38:38" x14ac:dyDescent="0.2">
      <c r="AL3056" s="177"/>
    </row>
    <row r="3057" spans="38:38" x14ac:dyDescent="0.2">
      <c r="AL3057" s="177"/>
    </row>
    <row r="3058" spans="38:38" x14ac:dyDescent="0.2">
      <c r="AL3058" s="177"/>
    </row>
    <row r="3059" spans="38:38" x14ac:dyDescent="0.2">
      <c r="AL3059" s="177"/>
    </row>
    <row r="3060" spans="38:38" x14ac:dyDescent="0.2">
      <c r="AL3060" s="177"/>
    </row>
    <row r="3061" spans="38:38" x14ac:dyDescent="0.2">
      <c r="AL3061" s="177"/>
    </row>
    <row r="3062" spans="38:38" x14ac:dyDescent="0.2">
      <c r="AL3062" s="177"/>
    </row>
    <row r="3063" spans="38:38" x14ac:dyDescent="0.2">
      <c r="AL3063" s="177"/>
    </row>
    <row r="3064" spans="38:38" x14ac:dyDescent="0.2">
      <c r="AL3064" s="177"/>
    </row>
    <row r="3065" spans="38:38" x14ac:dyDescent="0.2">
      <c r="AL3065" s="177"/>
    </row>
    <row r="3066" spans="38:38" x14ac:dyDescent="0.2">
      <c r="AL3066" s="177"/>
    </row>
    <row r="3067" spans="38:38" x14ac:dyDescent="0.2">
      <c r="AL3067" s="177"/>
    </row>
    <row r="3068" spans="38:38" x14ac:dyDescent="0.2">
      <c r="AL3068" s="177"/>
    </row>
    <row r="3069" spans="38:38" x14ac:dyDescent="0.2">
      <c r="AL3069" s="177"/>
    </row>
    <row r="3070" spans="38:38" x14ac:dyDescent="0.2">
      <c r="AL3070" s="177"/>
    </row>
    <row r="3071" spans="38:38" x14ac:dyDescent="0.2">
      <c r="AL3071" s="177"/>
    </row>
    <row r="3072" spans="38:38" x14ac:dyDescent="0.2">
      <c r="AL3072" s="177"/>
    </row>
    <row r="3073" spans="38:38" x14ac:dyDescent="0.2">
      <c r="AL3073" s="177"/>
    </row>
    <row r="3074" spans="38:38" x14ac:dyDescent="0.2">
      <c r="AL3074" s="177"/>
    </row>
    <row r="3075" spans="38:38" x14ac:dyDescent="0.2">
      <c r="AL3075" s="177"/>
    </row>
    <row r="3076" spans="38:38" x14ac:dyDescent="0.2">
      <c r="AL3076" s="177"/>
    </row>
    <row r="3077" spans="38:38" x14ac:dyDescent="0.2">
      <c r="AL3077" s="177"/>
    </row>
    <row r="3078" spans="38:38" x14ac:dyDescent="0.2">
      <c r="AL3078" s="177"/>
    </row>
    <row r="3079" spans="38:38" x14ac:dyDescent="0.2">
      <c r="AL3079" s="177"/>
    </row>
    <row r="3080" spans="38:38" x14ac:dyDescent="0.2">
      <c r="AL3080" s="177"/>
    </row>
    <row r="3081" spans="38:38" x14ac:dyDescent="0.2">
      <c r="AL3081" s="177"/>
    </row>
    <row r="3082" spans="38:38" x14ac:dyDescent="0.2">
      <c r="AL3082" s="177"/>
    </row>
    <row r="3083" spans="38:38" x14ac:dyDescent="0.2">
      <c r="AL3083" s="177"/>
    </row>
    <row r="3084" spans="38:38" x14ac:dyDescent="0.2">
      <c r="AL3084" s="177"/>
    </row>
    <row r="3085" spans="38:38" x14ac:dyDescent="0.2">
      <c r="AL3085" s="177"/>
    </row>
    <row r="3086" spans="38:38" x14ac:dyDescent="0.2">
      <c r="AL3086" s="177"/>
    </row>
    <row r="3087" spans="38:38" x14ac:dyDescent="0.2">
      <c r="AL3087" s="177"/>
    </row>
    <row r="3088" spans="38:38" x14ac:dyDescent="0.2">
      <c r="AL3088" s="177"/>
    </row>
    <row r="3089" spans="38:38" x14ac:dyDescent="0.2">
      <c r="AL3089" s="177"/>
    </row>
    <row r="3090" spans="38:38" x14ac:dyDescent="0.2">
      <c r="AL3090" s="177"/>
    </row>
    <row r="3091" spans="38:38" x14ac:dyDescent="0.2">
      <c r="AL3091" s="177"/>
    </row>
    <row r="3092" spans="38:38" x14ac:dyDescent="0.2">
      <c r="AL3092" s="177"/>
    </row>
    <row r="3093" spans="38:38" x14ac:dyDescent="0.2">
      <c r="AL3093" s="177"/>
    </row>
    <row r="3094" spans="38:38" x14ac:dyDescent="0.2">
      <c r="AL3094" s="177"/>
    </row>
    <row r="3095" spans="38:38" x14ac:dyDescent="0.2">
      <c r="AL3095" s="177"/>
    </row>
    <row r="3096" spans="38:38" x14ac:dyDescent="0.2">
      <c r="AL3096" s="177"/>
    </row>
    <row r="3097" spans="38:38" x14ac:dyDescent="0.2">
      <c r="AL3097" s="177"/>
    </row>
    <row r="3098" spans="38:38" x14ac:dyDescent="0.2">
      <c r="AL3098" s="177"/>
    </row>
    <row r="3099" spans="38:38" x14ac:dyDescent="0.2">
      <c r="AL3099" s="177"/>
    </row>
    <row r="3100" spans="38:38" x14ac:dyDescent="0.2">
      <c r="AL3100" s="177"/>
    </row>
    <row r="3101" spans="38:38" x14ac:dyDescent="0.2">
      <c r="AL3101" s="177"/>
    </row>
    <row r="3102" spans="38:38" x14ac:dyDescent="0.2">
      <c r="AL3102" s="177"/>
    </row>
    <row r="3103" spans="38:38" x14ac:dyDescent="0.2">
      <c r="AL3103" s="177"/>
    </row>
    <row r="3104" spans="38:38" x14ac:dyDescent="0.2">
      <c r="AL3104" s="177"/>
    </row>
    <row r="3105" spans="38:38" x14ac:dyDescent="0.2">
      <c r="AL3105" s="177"/>
    </row>
    <row r="3106" spans="38:38" x14ac:dyDescent="0.2">
      <c r="AL3106" s="177"/>
    </row>
    <row r="3107" spans="38:38" x14ac:dyDescent="0.2">
      <c r="AL3107" s="177"/>
    </row>
    <row r="3108" spans="38:38" x14ac:dyDescent="0.2">
      <c r="AL3108" s="177"/>
    </row>
    <row r="3109" spans="38:38" x14ac:dyDescent="0.2">
      <c r="AL3109" s="177"/>
    </row>
    <row r="3110" spans="38:38" x14ac:dyDescent="0.2">
      <c r="AL3110" s="177"/>
    </row>
    <row r="3111" spans="38:38" x14ac:dyDescent="0.2">
      <c r="AL3111" s="177"/>
    </row>
    <row r="3112" spans="38:38" x14ac:dyDescent="0.2">
      <c r="AL3112" s="177"/>
    </row>
    <row r="3113" spans="38:38" x14ac:dyDescent="0.2">
      <c r="AL3113" s="177"/>
    </row>
    <row r="3114" spans="38:38" x14ac:dyDescent="0.2">
      <c r="AL3114" s="177"/>
    </row>
    <row r="3115" spans="38:38" x14ac:dyDescent="0.2">
      <c r="AL3115" s="177"/>
    </row>
    <row r="3116" spans="38:38" x14ac:dyDescent="0.2">
      <c r="AL3116" s="177"/>
    </row>
    <row r="3117" spans="38:38" x14ac:dyDescent="0.2">
      <c r="AL3117" s="177"/>
    </row>
    <row r="3118" spans="38:38" x14ac:dyDescent="0.2">
      <c r="AL3118" s="177"/>
    </row>
    <row r="3119" spans="38:38" x14ac:dyDescent="0.2">
      <c r="AL3119" s="177"/>
    </row>
    <row r="3120" spans="38:38" x14ac:dyDescent="0.2">
      <c r="AL3120" s="177"/>
    </row>
    <row r="3121" spans="38:38" x14ac:dyDescent="0.2">
      <c r="AL3121" s="177"/>
    </row>
    <row r="3122" spans="38:38" x14ac:dyDescent="0.2">
      <c r="AL3122" s="177"/>
    </row>
    <row r="3123" spans="38:38" x14ac:dyDescent="0.2">
      <c r="AL3123" s="177"/>
    </row>
    <row r="3124" spans="38:38" x14ac:dyDescent="0.2">
      <c r="AL3124" s="177"/>
    </row>
    <row r="3125" spans="38:38" x14ac:dyDescent="0.2">
      <c r="AL3125" s="177"/>
    </row>
    <row r="3126" spans="38:38" x14ac:dyDescent="0.2">
      <c r="AL3126" s="177"/>
    </row>
    <row r="3127" spans="38:38" x14ac:dyDescent="0.2">
      <c r="AL3127" s="177"/>
    </row>
    <row r="3128" spans="38:38" x14ac:dyDescent="0.2">
      <c r="AL3128" s="177"/>
    </row>
    <row r="3129" spans="38:38" x14ac:dyDescent="0.2">
      <c r="AL3129" s="177"/>
    </row>
    <row r="3130" spans="38:38" x14ac:dyDescent="0.2">
      <c r="AL3130" s="177"/>
    </row>
    <row r="3131" spans="38:38" x14ac:dyDescent="0.2">
      <c r="AL3131" s="177"/>
    </row>
    <row r="3132" spans="38:38" x14ac:dyDescent="0.2">
      <c r="AL3132" s="177"/>
    </row>
    <row r="3133" spans="38:38" x14ac:dyDescent="0.2">
      <c r="AL3133" s="177"/>
    </row>
    <row r="3134" spans="38:38" x14ac:dyDescent="0.2">
      <c r="AL3134" s="177"/>
    </row>
    <row r="3135" spans="38:38" x14ac:dyDescent="0.2">
      <c r="AL3135" s="177"/>
    </row>
    <row r="3136" spans="38:38" x14ac:dyDescent="0.2">
      <c r="AL3136" s="177"/>
    </row>
    <row r="3137" spans="38:38" x14ac:dyDescent="0.2">
      <c r="AL3137" s="177"/>
    </row>
    <row r="3138" spans="38:38" x14ac:dyDescent="0.2">
      <c r="AL3138" s="177"/>
    </row>
    <row r="3139" spans="38:38" x14ac:dyDescent="0.2">
      <c r="AL3139" s="177"/>
    </row>
    <row r="3140" spans="38:38" x14ac:dyDescent="0.2">
      <c r="AL3140" s="177"/>
    </row>
    <row r="3141" spans="38:38" x14ac:dyDescent="0.2">
      <c r="AL3141" s="177"/>
    </row>
    <row r="3142" spans="38:38" x14ac:dyDescent="0.2">
      <c r="AL3142" s="177"/>
    </row>
    <row r="3143" spans="38:38" x14ac:dyDescent="0.2">
      <c r="AL3143" s="177"/>
    </row>
    <row r="3144" spans="38:38" x14ac:dyDescent="0.2">
      <c r="AL3144" s="177"/>
    </row>
    <row r="3145" spans="38:38" x14ac:dyDescent="0.2">
      <c r="AL3145" s="177"/>
    </row>
    <row r="3146" spans="38:38" x14ac:dyDescent="0.2">
      <c r="AL3146" s="177"/>
    </row>
    <row r="3147" spans="38:38" x14ac:dyDescent="0.2">
      <c r="AL3147" s="177"/>
    </row>
    <row r="3148" spans="38:38" x14ac:dyDescent="0.2">
      <c r="AL3148" s="177"/>
    </row>
    <row r="3149" spans="38:38" x14ac:dyDescent="0.2">
      <c r="AL3149" s="177"/>
    </row>
    <row r="3150" spans="38:38" x14ac:dyDescent="0.2">
      <c r="AL3150" s="177"/>
    </row>
    <row r="3151" spans="38:38" x14ac:dyDescent="0.2">
      <c r="AL3151" s="177"/>
    </row>
    <row r="3152" spans="38:38" x14ac:dyDescent="0.2">
      <c r="AL3152" s="177"/>
    </row>
    <row r="3153" spans="38:38" x14ac:dyDescent="0.2">
      <c r="AL3153" s="177"/>
    </row>
    <row r="3154" spans="38:38" x14ac:dyDescent="0.2">
      <c r="AL3154" s="177"/>
    </row>
    <row r="3155" spans="38:38" x14ac:dyDescent="0.2">
      <c r="AL3155" s="177"/>
    </row>
    <row r="3156" spans="38:38" x14ac:dyDescent="0.2">
      <c r="AL3156" s="177"/>
    </row>
    <row r="3157" spans="38:38" x14ac:dyDescent="0.2">
      <c r="AL3157" s="177"/>
    </row>
    <row r="3158" spans="38:38" x14ac:dyDescent="0.2">
      <c r="AL3158" s="177"/>
    </row>
    <row r="3159" spans="38:38" x14ac:dyDescent="0.2">
      <c r="AL3159" s="177"/>
    </row>
    <row r="3160" spans="38:38" x14ac:dyDescent="0.2">
      <c r="AL3160" s="177"/>
    </row>
    <row r="3161" spans="38:38" x14ac:dyDescent="0.2">
      <c r="AL3161" s="177"/>
    </row>
    <row r="3162" spans="38:38" x14ac:dyDescent="0.2">
      <c r="AL3162" s="177"/>
    </row>
    <row r="3163" spans="38:38" x14ac:dyDescent="0.2">
      <c r="AL3163" s="177"/>
    </row>
    <row r="3164" spans="38:38" x14ac:dyDescent="0.2">
      <c r="AL3164" s="177"/>
    </row>
    <row r="3165" spans="38:38" x14ac:dyDescent="0.2">
      <c r="AL3165" s="177"/>
    </row>
    <row r="3166" spans="38:38" x14ac:dyDescent="0.2">
      <c r="AL3166" s="177"/>
    </row>
    <row r="3167" spans="38:38" x14ac:dyDescent="0.2">
      <c r="AL3167" s="177"/>
    </row>
    <row r="3168" spans="38:38" x14ac:dyDescent="0.2">
      <c r="AL3168" s="177"/>
    </row>
    <row r="3169" spans="38:38" x14ac:dyDescent="0.2">
      <c r="AL3169" s="177"/>
    </row>
    <row r="3170" spans="38:38" x14ac:dyDescent="0.2">
      <c r="AL3170" s="177"/>
    </row>
    <row r="3171" spans="38:38" x14ac:dyDescent="0.2">
      <c r="AL3171" s="177"/>
    </row>
    <row r="3172" spans="38:38" x14ac:dyDescent="0.2">
      <c r="AL3172" s="177"/>
    </row>
    <row r="3173" spans="38:38" x14ac:dyDescent="0.2">
      <c r="AL3173" s="177"/>
    </row>
    <row r="3174" spans="38:38" x14ac:dyDescent="0.2">
      <c r="AL3174" s="177"/>
    </row>
    <row r="3175" spans="38:38" x14ac:dyDescent="0.2">
      <c r="AL3175" s="177"/>
    </row>
    <row r="3176" spans="38:38" x14ac:dyDescent="0.2">
      <c r="AL3176" s="177"/>
    </row>
    <row r="3177" spans="38:38" x14ac:dyDescent="0.2">
      <c r="AL3177" s="177"/>
    </row>
    <row r="3178" spans="38:38" x14ac:dyDescent="0.2">
      <c r="AL3178" s="177"/>
    </row>
    <row r="3179" spans="38:38" x14ac:dyDescent="0.2">
      <c r="AL3179" s="177"/>
    </row>
    <row r="3180" spans="38:38" x14ac:dyDescent="0.2">
      <c r="AL3180" s="177"/>
    </row>
    <row r="3181" spans="38:38" x14ac:dyDescent="0.2">
      <c r="AL3181" s="177"/>
    </row>
    <row r="3182" spans="38:38" x14ac:dyDescent="0.2">
      <c r="AL3182" s="177"/>
    </row>
    <row r="3183" spans="38:38" x14ac:dyDescent="0.2">
      <c r="AL3183" s="177"/>
    </row>
    <row r="3184" spans="38:38" x14ac:dyDescent="0.2">
      <c r="AL3184" s="177"/>
    </row>
    <row r="3185" spans="38:38" x14ac:dyDescent="0.2">
      <c r="AL3185" s="177"/>
    </row>
    <row r="3186" spans="38:38" x14ac:dyDescent="0.2">
      <c r="AL3186" s="177"/>
    </row>
    <row r="3187" spans="38:38" x14ac:dyDescent="0.2">
      <c r="AL3187" s="177"/>
    </row>
    <row r="3188" spans="38:38" x14ac:dyDescent="0.2">
      <c r="AL3188" s="177"/>
    </row>
    <row r="3189" spans="38:38" x14ac:dyDescent="0.2">
      <c r="AL3189" s="177"/>
    </row>
    <row r="3190" spans="38:38" x14ac:dyDescent="0.2">
      <c r="AL3190" s="177"/>
    </row>
    <row r="3191" spans="38:38" x14ac:dyDescent="0.2">
      <c r="AL3191" s="177"/>
    </row>
    <row r="3192" spans="38:38" x14ac:dyDescent="0.2">
      <c r="AL3192" s="177"/>
    </row>
    <row r="3193" spans="38:38" x14ac:dyDescent="0.2">
      <c r="AL3193" s="177"/>
    </row>
    <row r="3194" spans="38:38" x14ac:dyDescent="0.2">
      <c r="AL3194" s="177"/>
    </row>
    <row r="3195" spans="38:38" x14ac:dyDescent="0.2">
      <c r="AL3195" s="177"/>
    </row>
    <row r="3196" spans="38:38" x14ac:dyDescent="0.2">
      <c r="AL3196" s="177"/>
    </row>
    <row r="3197" spans="38:38" x14ac:dyDescent="0.2">
      <c r="AL3197" s="177"/>
    </row>
    <row r="3198" spans="38:38" x14ac:dyDescent="0.2">
      <c r="AL3198" s="177"/>
    </row>
    <row r="3199" spans="38:38" x14ac:dyDescent="0.2">
      <c r="AL3199" s="177"/>
    </row>
    <row r="3200" spans="38:38" x14ac:dyDescent="0.2">
      <c r="AL3200" s="177"/>
    </row>
    <row r="3201" spans="38:38" x14ac:dyDescent="0.2">
      <c r="AL3201" s="177"/>
    </row>
    <row r="3202" spans="38:38" x14ac:dyDescent="0.2">
      <c r="AL3202" s="177"/>
    </row>
    <row r="3203" spans="38:38" x14ac:dyDescent="0.2">
      <c r="AL3203" s="177"/>
    </row>
    <row r="3204" spans="38:38" x14ac:dyDescent="0.2">
      <c r="AL3204" s="177"/>
    </row>
    <row r="3205" spans="38:38" x14ac:dyDescent="0.2">
      <c r="AL3205" s="177"/>
    </row>
    <row r="3206" spans="38:38" x14ac:dyDescent="0.2">
      <c r="AL3206" s="177"/>
    </row>
    <row r="3207" spans="38:38" x14ac:dyDescent="0.2">
      <c r="AL3207" s="177"/>
    </row>
    <row r="3208" spans="38:38" x14ac:dyDescent="0.2">
      <c r="AL3208" s="177"/>
    </row>
    <row r="3209" spans="38:38" x14ac:dyDescent="0.2">
      <c r="AL3209" s="177"/>
    </row>
    <row r="3210" spans="38:38" x14ac:dyDescent="0.2">
      <c r="AL3210" s="177"/>
    </row>
    <row r="3211" spans="38:38" x14ac:dyDescent="0.2">
      <c r="AL3211" s="177"/>
    </row>
    <row r="3212" spans="38:38" x14ac:dyDescent="0.2">
      <c r="AL3212" s="177"/>
    </row>
    <row r="3213" spans="38:38" x14ac:dyDescent="0.2">
      <c r="AL3213" s="177"/>
    </row>
    <row r="3214" spans="38:38" x14ac:dyDescent="0.2">
      <c r="AL3214" s="177"/>
    </row>
    <row r="3215" spans="38:38" x14ac:dyDescent="0.2">
      <c r="AL3215" s="177"/>
    </row>
    <row r="3216" spans="38:38" x14ac:dyDescent="0.2">
      <c r="AL3216" s="177"/>
    </row>
    <row r="3217" spans="38:38" x14ac:dyDescent="0.2">
      <c r="AL3217" s="177"/>
    </row>
    <row r="3218" spans="38:38" x14ac:dyDescent="0.2">
      <c r="AL3218" s="177"/>
    </row>
    <row r="3219" spans="38:38" x14ac:dyDescent="0.2">
      <c r="AL3219" s="177"/>
    </row>
    <row r="3220" spans="38:38" x14ac:dyDescent="0.2">
      <c r="AL3220" s="177"/>
    </row>
    <row r="3221" spans="38:38" x14ac:dyDescent="0.2">
      <c r="AL3221" s="177"/>
    </row>
    <row r="3222" spans="38:38" x14ac:dyDescent="0.2">
      <c r="AL3222" s="177"/>
    </row>
    <row r="3223" spans="38:38" x14ac:dyDescent="0.2">
      <c r="AL3223" s="177"/>
    </row>
    <row r="3224" spans="38:38" x14ac:dyDescent="0.2">
      <c r="AL3224" s="177"/>
    </row>
    <row r="3225" spans="38:38" x14ac:dyDescent="0.2">
      <c r="AL3225" s="177"/>
    </row>
    <row r="3226" spans="38:38" x14ac:dyDescent="0.2">
      <c r="AL3226" s="177"/>
    </row>
    <row r="3227" spans="38:38" x14ac:dyDescent="0.2">
      <c r="AL3227" s="177"/>
    </row>
    <row r="3228" spans="38:38" x14ac:dyDescent="0.2">
      <c r="AL3228" s="177"/>
    </row>
    <row r="3229" spans="38:38" x14ac:dyDescent="0.2">
      <c r="AL3229" s="177"/>
    </row>
    <row r="3230" spans="38:38" x14ac:dyDescent="0.2">
      <c r="AL3230" s="177"/>
    </row>
    <row r="3231" spans="38:38" x14ac:dyDescent="0.2">
      <c r="AL3231" s="177"/>
    </row>
    <row r="3232" spans="38:38" x14ac:dyDescent="0.2">
      <c r="AL3232" s="177"/>
    </row>
    <row r="3233" spans="38:38" x14ac:dyDescent="0.2">
      <c r="AL3233" s="177"/>
    </row>
    <row r="3234" spans="38:38" x14ac:dyDescent="0.2">
      <c r="AL3234" s="177"/>
    </row>
    <row r="3235" spans="38:38" x14ac:dyDescent="0.2">
      <c r="AL3235" s="177"/>
    </row>
    <row r="3236" spans="38:38" x14ac:dyDescent="0.2">
      <c r="AL3236" s="177"/>
    </row>
    <row r="3237" spans="38:38" x14ac:dyDescent="0.2">
      <c r="AL3237" s="177"/>
    </row>
    <row r="3238" spans="38:38" x14ac:dyDescent="0.2">
      <c r="AL3238" s="177"/>
    </row>
    <row r="3239" spans="38:38" x14ac:dyDescent="0.2">
      <c r="AL3239" s="177"/>
    </row>
    <row r="3240" spans="38:38" x14ac:dyDescent="0.2">
      <c r="AL3240" s="177"/>
    </row>
    <row r="3241" spans="38:38" x14ac:dyDescent="0.2">
      <c r="AL3241" s="177"/>
    </row>
    <row r="3242" spans="38:38" x14ac:dyDescent="0.2">
      <c r="AL3242" s="177"/>
    </row>
    <row r="3243" spans="38:38" x14ac:dyDescent="0.2">
      <c r="AL3243" s="177"/>
    </row>
    <row r="3244" spans="38:38" x14ac:dyDescent="0.2">
      <c r="AL3244" s="177"/>
    </row>
    <row r="3245" spans="38:38" x14ac:dyDescent="0.2">
      <c r="AL3245" s="177"/>
    </row>
    <row r="3246" spans="38:38" x14ac:dyDescent="0.2">
      <c r="AL3246" s="177"/>
    </row>
    <row r="3247" spans="38:38" x14ac:dyDescent="0.2">
      <c r="AL3247" s="177"/>
    </row>
    <row r="3248" spans="38:38" x14ac:dyDescent="0.2">
      <c r="AL3248" s="177"/>
    </row>
    <row r="3249" spans="38:38" x14ac:dyDescent="0.2">
      <c r="AL3249" s="177"/>
    </row>
    <row r="3250" spans="38:38" x14ac:dyDescent="0.2">
      <c r="AL3250" s="177"/>
    </row>
    <row r="3251" spans="38:38" x14ac:dyDescent="0.2">
      <c r="AL3251" s="177"/>
    </row>
    <row r="3252" spans="38:38" x14ac:dyDescent="0.2">
      <c r="AL3252" s="177"/>
    </row>
    <row r="3253" spans="38:38" x14ac:dyDescent="0.2">
      <c r="AL3253" s="177"/>
    </row>
    <row r="3254" spans="38:38" x14ac:dyDescent="0.2">
      <c r="AL3254" s="177"/>
    </row>
    <row r="3255" spans="38:38" x14ac:dyDescent="0.2">
      <c r="AL3255" s="177"/>
    </row>
    <row r="3256" spans="38:38" x14ac:dyDescent="0.2">
      <c r="AL3256" s="177"/>
    </row>
    <row r="3257" spans="38:38" x14ac:dyDescent="0.2">
      <c r="AL3257" s="177"/>
    </row>
    <row r="3258" spans="38:38" x14ac:dyDescent="0.2">
      <c r="AL3258" s="177"/>
    </row>
    <row r="3259" spans="38:38" x14ac:dyDescent="0.2">
      <c r="AL3259" s="177"/>
    </row>
    <row r="3260" spans="38:38" x14ac:dyDescent="0.2">
      <c r="AL3260" s="177"/>
    </row>
    <row r="3261" spans="38:38" x14ac:dyDescent="0.2">
      <c r="AL3261" s="177"/>
    </row>
    <row r="3262" spans="38:38" x14ac:dyDescent="0.2">
      <c r="AL3262" s="177"/>
    </row>
    <row r="3263" spans="38:38" x14ac:dyDescent="0.2">
      <c r="AL3263" s="177"/>
    </row>
    <row r="3264" spans="38:38" x14ac:dyDescent="0.2">
      <c r="AL3264" s="177"/>
    </row>
    <row r="3265" spans="38:38" x14ac:dyDescent="0.2">
      <c r="AL3265" s="177"/>
    </row>
    <row r="3266" spans="38:38" x14ac:dyDescent="0.2">
      <c r="AL3266" s="177"/>
    </row>
    <row r="3267" spans="38:38" x14ac:dyDescent="0.2">
      <c r="AL3267" s="177"/>
    </row>
    <row r="3268" spans="38:38" x14ac:dyDescent="0.2">
      <c r="AL3268" s="177"/>
    </row>
    <row r="3269" spans="38:38" x14ac:dyDescent="0.2">
      <c r="AL3269" s="177"/>
    </row>
    <row r="3270" spans="38:38" x14ac:dyDescent="0.2">
      <c r="AL3270" s="177"/>
    </row>
    <row r="3271" spans="38:38" x14ac:dyDescent="0.2">
      <c r="AL3271" s="177"/>
    </row>
    <row r="3272" spans="38:38" x14ac:dyDescent="0.2">
      <c r="AL3272" s="177"/>
    </row>
    <row r="3273" spans="38:38" x14ac:dyDescent="0.2">
      <c r="AL3273" s="177"/>
    </row>
    <row r="3274" spans="38:38" x14ac:dyDescent="0.2">
      <c r="AL3274" s="177"/>
    </row>
    <row r="3275" spans="38:38" x14ac:dyDescent="0.2">
      <c r="AL3275" s="177"/>
    </row>
    <row r="3276" spans="38:38" x14ac:dyDescent="0.2">
      <c r="AL3276" s="177"/>
    </row>
    <row r="3277" spans="38:38" x14ac:dyDescent="0.2">
      <c r="AL3277" s="177"/>
    </row>
    <row r="3278" spans="38:38" x14ac:dyDescent="0.2">
      <c r="AL3278" s="177"/>
    </row>
    <row r="3279" spans="38:38" x14ac:dyDescent="0.2">
      <c r="AL3279" s="177"/>
    </row>
    <row r="3280" spans="38:38" x14ac:dyDescent="0.2">
      <c r="AL3280" s="177"/>
    </row>
    <row r="3281" spans="38:38" x14ac:dyDescent="0.2">
      <c r="AL3281" s="177"/>
    </row>
    <row r="3282" spans="38:38" x14ac:dyDescent="0.2">
      <c r="AL3282" s="177"/>
    </row>
    <row r="3283" spans="38:38" x14ac:dyDescent="0.2">
      <c r="AL3283" s="177"/>
    </row>
    <row r="3284" spans="38:38" x14ac:dyDescent="0.2">
      <c r="AL3284" s="177"/>
    </row>
    <row r="3285" spans="38:38" x14ac:dyDescent="0.2">
      <c r="AL3285" s="177"/>
    </row>
    <row r="3286" spans="38:38" x14ac:dyDescent="0.2">
      <c r="AL3286" s="177"/>
    </row>
    <row r="3287" spans="38:38" x14ac:dyDescent="0.2">
      <c r="AL3287" s="177"/>
    </row>
    <row r="3288" spans="38:38" x14ac:dyDescent="0.2">
      <c r="AL3288" s="177"/>
    </row>
    <row r="3289" spans="38:38" x14ac:dyDescent="0.2">
      <c r="AL3289" s="177"/>
    </row>
    <row r="3290" spans="38:38" x14ac:dyDescent="0.2">
      <c r="AL3290" s="177"/>
    </row>
    <row r="3291" spans="38:38" x14ac:dyDescent="0.2">
      <c r="AL3291" s="177"/>
    </row>
    <row r="3292" spans="38:38" x14ac:dyDescent="0.2">
      <c r="AL3292" s="177"/>
    </row>
    <row r="3293" spans="38:38" x14ac:dyDescent="0.2">
      <c r="AL3293" s="177"/>
    </row>
    <row r="3294" spans="38:38" x14ac:dyDescent="0.2">
      <c r="AL3294" s="177"/>
    </row>
    <row r="3295" spans="38:38" x14ac:dyDescent="0.2">
      <c r="AL3295" s="177"/>
    </row>
    <row r="3296" spans="38:38" x14ac:dyDescent="0.2">
      <c r="AL3296" s="177"/>
    </row>
    <row r="3297" spans="38:38" x14ac:dyDescent="0.2">
      <c r="AL3297" s="177"/>
    </row>
    <row r="3298" spans="38:38" x14ac:dyDescent="0.2">
      <c r="AL3298" s="177"/>
    </row>
    <row r="3299" spans="38:38" x14ac:dyDescent="0.2">
      <c r="AL3299" s="177"/>
    </row>
    <row r="3300" spans="38:38" x14ac:dyDescent="0.2">
      <c r="AL3300" s="177"/>
    </row>
    <row r="3301" spans="38:38" x14ac:dyDescent="0.2">
      <c r="AL3301" s="177"/>
    </row>
    <row r="3302" spans="38:38" x14ac:dyDescent="0.2">
      <c r="AL3302" s="177"/>
    </row>
    <row r="3303" spans="38:38" x14ac:dyDescent="0.2">
      <c r="AL3303" s="177"/>
    </row>
    <row r="3304" spans="38:38" x14ac:dyDescent="0.2">
      <c r="AL3304" s="177"/>
    </row>
    <row r="3305" spans="38:38" x14ac:dyDescent="0.2">
      <c r="AL3305" s="177"/>
    </row>
    <row r="3306" spans="38:38" x14ac:dyDescent="0.2">
      <c r="AL3306" s="177"/>
    </row>
    <row r="3307" spans="38:38" x14ac:dyDescent="0.2">
      <c r="AL3307" s="177"/>
    </row>
    <row r="3308" spans="38:38" x14ac:dyDescent="0.2">
      <c r="AL3308" s="177"/>
    </row>
    <row r="3309" spans="38:38" x14ac:dyDescent="0.2">
      <c r="AL3309" s="177"/>
    </row>
    <row r="3310" spans="38:38" x14ac:dyDescent="0.2">
      <c r="AL3310" s="177"/>
    </row>
    <row r="3311" spans="38:38" x14ac:dyDescent="0.2">
      <c r="AL3311" s="177"/>
    </row>
    <row r="3312" spans="38:38" x14ac:dyDescent="0.2">
      <c r="AL3312" s="177"/>
    </row>
    <row r="3313" spans="38:38" x14ac:dyDescent="0.2">
      <c r="AL3313" s="177"/>
    </row>
    <row r="3314" spans="38:38" x14ac:dyDescent="0.2">
      <c r="AL3314" s="177"/>
    </row>
    <row r="3315" spans="38:38" x14ac:dyDescent="0.2">
      <c r="AL3315" s="177"/>
    </row>
    <row r="3316" spans="38:38" x14ac:dyDescent="0.2">
      <c r="AL3316" s="177"/>
    </row>
    <row r="3317" spans="38:38" x14ac:dyDescent="0.2">
      <c r="AL3317" s="177"/>
    </row>
    <row r="3318" spans="38:38" x14ac:dyDescent="0.2">
      <c r="AL3318" s="177"/>
    </row>
    <row r="3319" spans="38:38" x14ac:dyDescent="0.2">
      <c r="AL3319" s="177"/>
    </row>
    <row r="3320" spans="38:38" x14ac:dyDescent="0.2">
      <c r="AL3320" s="177"/>
    </row>
    <row r="3321" spans="38:38" x14ac:dyDescent="0.2">
      <c r="AL3321" s="177"/>
    </row>
    <row r="3322" spans="38:38" x14ac:dyDescent="0.2">
      <c r="AL3322" s="177"/>
    </row>
    <row r="3323" spans="38:38" x14ac:dyDescent="0.2">
      <c r="AL3323" s="177"/>
    </row>
    <row r="3324" spans="38:38" x14ac:dyDescent="0.2">
      <c r="AL3324" s="177"/>
    </row>
    <row r="3325" spans="38:38" x14ac:dyDescent="0.2">
      <c r="AL3325" s="177"/>
    </row>
    <row r="3326" spans="38:38" x14ac:dyDescent="0.2">
      <c r="AL3326" s="177"/>
    </row>
    <row r="3327" spans="38:38" x14ac:dyDescent="0.2">
      <c r="AL3327" s="177"/>
    </row>
    <row r="3328" spans="38:38" x14ac:dyDescent="0.2">
      <c r="AL3328" s="177"/>
    </row>
    <row r="3329" spans="38:38" x14ac:dyDescent="0.2">
      <c r="AL3329" s="177"/>
    </row>
    <row r="3330" spans="38:38" x14ac:dyDescent="0.2">
      <c r="AL3330" s="177"/>
    </row>
    <row r="3331" spans="38:38" x14ac:dyDescent="0.2">
      <c r="AL3331" s="177"/>
    </row>
    <row r="3332" spans="38:38" x14ac:dyDescent="0.2">
      <c r="AL3332" s="177"/>
    </row>
    <row r="3333" spans="38:38" x14ac:dyDescent="0.2">
      <c r="AL3333" s="177"/>
    </row>
    <row r="3334" spans="38:38" x14ac:dyDescent="0.2">
      <c r="AL3334" s="177"/>
    </row>
    <row r="3335" spans="38:38" x14ac:dyDescent="0.2">
      <c r="AL3335" s="177"/>
    </row>
    <row r="3336" spans="38:38" x14ac:dyDescent="0.2">
      <c r="AL3336" s="177"/>
    </row>
    <row r="3337" spans="38:38" x14ac:dyDescent="0.2">
      <c r="AL3337" s="177"/>
    </row>
    <row r="3338" spans="38:38" x14ac:dyDescent="0.2">
      <c r="AL3338" s="177"/>
    </row>
    <row r="3339" spans="38:38" x14ac:dyDescent="0.2">
      <c r="AL3339" s="177"/>
    </row>
    <row r="3340" spans="38:38" x14ac:dyDescent="0.2">
      <c r="AL3340" s="177"/>
    </row>
    <row r="3341" spans="38:38" x14ac:dyDescent="0.2">
      <c r="AL3341" s="177"/>
    </row>
    <row r="3342" spans="38:38" x14ac:dyDescent="0.2">
      <c r="AL3342" s="177"/>
    </row>
    <row r="3343" spans="38:38" x14ac:dyDescent="0.2">
      <c r="AL3343" s="177"/>
    </row>
    <row r="3344" spans="38:38" x14ac:dyDescent="0.2">
      <c r="AL3344" s="177"/>
    </row>
    <row r="3345" spans="38:38" x14ac:dyDescent="0.2">
      <c r="AL3345" s="177"/>
    </row>
    <row r="3346" spans="38:38" x14ac:dyDescent="0.2">
      <c r="AL3346" s="177"/>
    </row>
    <row r="3347" spans="38:38" x14ac:dyDescent="0.2">
      <c r="AL3347" s="177"/>
    </row>
    <row r="3348" spans="38:38" x14ac:dyDescent="0.2">
      <c r="AL3348" s="177"/>
    </row>
    <row r="3349" spans="38:38" x14ac:dyDescent="0.2">
      <c r="AL3349" s="177"/>
    </row>
    <row r="3350" spans="38:38" x14ac:dyDescent="0.2">
      <c r="AL3350" s="177"/>
    </row>
    <row r="3351" spans="38:38" x14ac:dyDescent="0.2">
      <c r="AL3351" s="177"/>
    </row>
    <row r="3352" spans="38:38" x14ac:dyDescent="0.2">
      <c r="AL3352" s="177"/>
    </row>
    <row r="3353" spans="38:38" x14ac:dyDescent="0.2">
      <c r="AL3353" s="177"/>
    </row>
    <row r="3354" spans="38:38" x14ac:dyDescent="0.2">
      <c r="AL3354" s="177"/>
    </row>
    <row r="3355" spans="38:38" x14ac:dyDescent="0.2">
      <c r="AL3355" s="177"/>
    </row>
    <row r="3356" spans="38:38" x14ac:dyDescent="0.2">
      <c r="AL3356" s="177"/>
    </row>
    <row r="3357" spans="38:38" x14ac:dyDescent="0.2">
      <c r="AL3357" s="177"/>
    </row>
    <row r="3358" spans="38:38" x14ac:dyDescent="0.2">
      <c r="AL3358" s="177"/>
    </row>
    <row r="3359" spans="38:38" x14ac:dyDescent="0.2">
      <c r="AL3359" s="177"/>
    </row>
    <row r="3360" spans="38:38" x14ac:dyDescent="0.2">
      <c r="AL3360" s="177"/>
    </row>
    <row r="3361" spans="38:38" x14ac:dyDescent="0.2">
      <c r="AL3361" s="177"/>
    </row>
    <row r="3362" spans="38:38" x14ac:dyDescent="0.2">
      <c r="AL3362" s="177"/>
    </row>
    <row r="3363" spans="38:38" x14ac:dyDescent="0.2">
      <c r="AL3363" s="177"/>
    </row>
    <row r="3364" spans="38:38" x14ac:dyDescent="0.2">
      <c r="AL3364" s="177"/>
    </row>
    <row r="3365" spans="38:38" x14ac:dyDescent="0.2">
      <c r="AL3365" s="177"/>
    </row>
    <row r="3366" spans="38:38" x14ac:dyDescent="0.2">
      <c r="AL3366" s="177"/>
    </row>
    <row r="3367" spans="38:38" x14ac:dyDescent="0.2">
      <c r="AL3367" s="177"/>
    </row>
    <row r="3368" spans="38:38" x14ac:dyDescent="0.2">
      <c r="AL3368" s="177"/>
    </row>
    <row r="3369" spans="38:38" x14ac:dyDescent="0.2">
      <c r="AL3369" s="177"/>
    </row>
    <row r="3370" spans="38:38" x14ac:dyDescent="0.2">
      <c r="AL3370" s="177"/>
    </row>
    <row r="3371" spans="38:38" x14ac:dyDescent="0.2">
      <c r="AL3371" s="177"/>
    </row>
    <row r="3372" spans="38:38" x14ac:dyDescent="0.2">
      <c r="AL3372" s="177"/>
    </row>
    <row r="3373" spans="38:38" x14ac:dyDescent="0.2">
      <c r="AL3373" s="177"/>
    </row>
    <row r="3374" spans="38:38" x14ac:dyDescent="0.2">
      <c r="AL3374" s="177"/>
    </row>
    <row r="3375" spans="38:38" x14ac:dyDescent="0.2">
      <c r="AL3375" s="177"/>
    </row>
    <row r="3376" spans="38:38" x14ac:dyDescent="0.2">
      <c r="AL3376" s="177"/>
    </row>
    <row r="3377" spans="38:38" x14ac:dyDescent="0.2">
      <c r="AL3377" s="177"/>
    </row>
    <row r="3378" spans="38:38" x14ac:dyDescent="0.2">
      <c r="AL3378" s="177"/>
    </row>
    <row r="3379" spans="38:38" x14ac:dyDescent="0.2">
      <c r="AL3379" s="177"/>
    </row>
    <row r="3380" spans="38:38" x14ac:dyDescent="0.2">
      <c r="AL3380" s="177"/>
    </row>
    <row r="3381" spans="38:38" x14ac:dyDescent="0.2">
      <c r="AL3381" s="177"/>
    </row>
    <row r="3382" spans="38:38" x14ac:dyDescent="0.2">
      <c r="AL3382" s="177"/>
    </row>
    <row r="3383" spans="38:38" x14ac:dyDescent="0.2">
      <c r="AL3383" s="177"/>
    </row>
    <row r="3384" spans="38:38" x14ac:dyDescent="0.2">
      <c r="AL3384" s="177"/>
    </row>
    <row r="3385" spans="38:38" x14ac:dyDescent="0.2">
      <c r="AL3385" s="177"/>
    </row>
    <row r="3386" spans="38:38" x14ac:dyDescent="0.2">
      <c r="AL3386" s="177"/>
    </row>
    <row r="3387" spans="38:38" x14ac:dyDescent="0.2">
      <c r="AL3387" s="177"/>
    </row>
    <row r="3388" spans="38:38" x14ac:dyDescent="0.2">
      <c r="AL3388" s="177"/>
    </row>
    <row r="3389" spans="38:38" x14ac:dyDescent="0.2">
      <c r="AL3389" s="177"/>
    </row>
    <row r="3390" spans="38:38" x14ac:dyDescent="0.2">
      <c r="AL3390" s="177"/>
    </row>
    <row r="3391" spans="38:38" x14ac:dyDescent="0.2">
      <c r="AL3391" s="177"/>
    </row>
    <row r="3392" spans="38:38" x14ac:dyDescent="0.2">
      <c r="AL3392" s="177"/>
    </row>
    <row r="3393" spans="38:38" x14ac:dyDescent="0.2">
      <c r="AL3393" s="177"/>
    </row>
    <row r="3394" spans="38:38" x14ac:dyDescent="0.2">
      <c r="AL3394" s="177"/>
    </row>
    <row r="3395" spans="38:38" x14ac:dyDescent="0.2">
      <c r="AL3395" s="177"/>
    </row>
    <row r="3396" spans="38:38" x14ac:dyDescent="0.2">
      <c r="AL3396" s="177"/>
    </row>
    <row r="3397" spans="38:38" x14ac:dyDescent="0.2">
      <c r="AL3397" s="177"/>
    </row>
    <row r="3398" spans="38:38" x14ac:dyDescent="0.2">
      <c r="AL3398" s="177"/>
    </row>
    <row r="3399" spans="38:38" x14ac:dyDescent="0.2">
      <c r="AL3399" s="177"/>
    </row>
    <row r="3400" spans="38:38" x14ac:dyDescent="0.2">
      <c r="AL3400" s="177"/>
    </row>
    <row r="3401" spans="38:38" x14ac:dyDescent="0.2">
      <c r="AL3401" s="177"/>
    </row>
    <row r="3402" spans="38:38" x14ac:dyDescent="0.2">
      <c r="AL3402" s="177"/>
    </row>
    <row r="3403" spans="38:38" x14ac:dyDescent="0.2">
      <c r="AL3403" s="177"/>
    </row>
    <row r="3404" spans="38:38" x14ac:dyDescent="0.2">
      <c r="AL3404" s="177"/>
    </row>
    <row r="3405" spans="38:38" x14ac:dyDescent="0.2">
      <c r="AL3405" s="177"/>
    </row>
    <row r="3406" spans="38:38" x14ac:dyDescent="0.2">
      <c r="AL3406" s="177"/>
    </row>
    <row r="3407" spans="38:38" x14ac:dyDescent="0.2">
      <c r="AL3407" s="177"/>
    </row>
    <row r="3408" spans="38:38" x14ac:dyDescent="0.2">
      <c r="AL3408" s="177"/>
    </row>
    <row r="3409" spans="38:38" x14ac:dyDescent="0.2">
      <c r="AL3409" s="177"/>
    </row>
    <row r="3410" spans="38:38" x14ac:dyDescent="0.2">
      <c r="AL3410" s="177"/>
    </row>
    <row r="3411" spans="38:38" x14ac:dyDescent="0.2">
      <c r="AL3411" s="177"/>
    </row>
    <row r="3412" spans="38:38" x14ac:dyDescent="0.2">
      <c r="AL3412" s="177"/>
    </row>
    <row r="3413" spans="38:38" x14ac:dyDescent="0.2">
      <c r="AL3413" s="177"/>
    </row>
    <row r="3414" spans="38:38" x14ac:dyDescent="0.2">
      <c r="AL3414" s="177"/>
    </row>
    <row r="3415" spans="38:38" x14ac:dyDescent="0.2">
      <c r="AL3415" s="177"/>
    </row>
    <row r="3416" spans="38:38" x14ac:dyDescent="0.2">
      <c r="AL3416" s="177"/>
    </row>
    <row r="3417" spans="38:38" x14ac:dyDescent="0.2">
      <c r="AL3417" s="177"/>
    </row>
    <row r="3418" spans="38:38" x14ac:dyDescent="0.2">
      <c r="AL3418" s="177"/>
    </row>
    <row r="3419" spans="38:38" x14ac:dyDescent="0.2">
      <c r="AL3419" s="177"/>
    </row>
    <row r="3420" spans="38:38" x14ac:dyDescent="0.2">
      <c r="AL3420" s="177"/>
    </row>
    <row r="3421" spans="38:38" x14ac:dyDescent="0.2">
      <c r="AL3421" s="177"/>
    </row>
    <row r="3422" spans="38:38" x14ac:dyDescent="0.2">
      <c r="AL3422" s="177"/>
    </row>
    <row r="3423" spans="38:38" x14ac:dyDescent="0.2">
      <c r="AL3423" s="177"/>
    </row>
    <row r="3424" spans="38:38" x14ac:dyDescent="0.2">
      <c r="AL3424" s="177"/>
    </row>
    <row r="3425" spans="38:38" x14ac:dyDescent="0.2">
      <c r="AL3425" s="177"/>
    </row>
    <row r="3426" spans="38:38" x14ac:dyDescent="0.2">
      <c r="AL3426" s="177"/>
    </row>
    <row r="3427" spans="38:38" x14ac:dyDescent="0.2">
      <c r="AL3427" s="177"/>
    </row>
    <row r="3428" spans="38:38" x14ac:dyDescent="0.2">
      <c r="AL3428" s="177"/>
    </row>
    <row r="3429" spans="38:38" x14ac:dyDescent="0.2">
      <c r="AL3429" s="177"/>
    </row>
    <row r="3430" spans="38:38" x14ac:dyDescent="0.2">
      <c r="AL3430" s="177"/>
    </row>
    <row r="3431" spans="38:38" x14ac:dyDescent="0.2">
      <c r="AL3431" s="177"/>
    </row>
    <row r="3432" spans="38:38" x14ac:dyDescent="0.2">
      <c r="AL3432" s="177"/>
    </row>
    <row r="3433" spans="38:38" x14ac:dyDescent="0.2">
      <c r="AL3433" s="177"/>
    </row>
    <row r="3434" spans="38:38" x14ac:dyDescent="0.2">
      <c r="AL3434" s="177"/>
    </row>
    <row r="3435" spans="38:38" x14ac:dyDescent="0.2">
      <c r="AL3435" s="177"/>
    </row>
    <row r="3436" spans="38:38" x14ac:dyDescent="0.2">
      <c r="AL3436" s="177"/>
    </row>
    <row r="3437" spans="38:38" x14ac:dyDescent="0.2">
      <c r="AL3437" s="177"/>
    </row>
    <row r="3438" spans="38:38" x14ac:dyDescent="0.2">
      <c r="AL3438" s="177"/>
    </row>
    <row r="3439" spans="38:38" x14ac:dyDescent="0.2">
      <c r="AL3439" s="177"/>
    </row>
    <row r="3440" spans="38:38" x14ac:dyDescent="0.2">
      <c r="AL3440" s="177"/>
    </row>
    <row r="3441" spans="38:38" x14ac:dyDescent="0.2">
      <c r="AL3441" s="177"/>
    </row>
    <row r="3442" spans="38:38" x14ac:dyDescent="0.2">
      <c r="AL3442" s="177"/>
    </row>
    <row r="3443" spans="38:38" x14ac:dyDescent="0.2">
      <c r="AL3443" s="177"/>
    </row>
    <row r="3444" spans="38:38" x14ac:dyDescent="0.2">
      <c r="AL3444" s="177"/>
    </row>
    <row r="3445" spans="38:38" x14ac:dyDescent="0.2">
      <c r="AL3445" s="177"/>
    </row>
    <row r="3446" spans="38:38" x14ac:dyDescent="0.2">
      <c r="AL3446" s="177"/>
    </row>
    <row r="3447" spans="38:38" x14ac:dyDescent="0.2">
      <c r="AL3447" s="177"/>
    </row>
    <row r="3448" spans="38:38" x14ac:dyDescent="0.2">
      <c r="AL3448" s="177"/>
    </row>
    <row r="3449" spans="38:38" x14ac:dyDescent="0.2">
      <c r="AL3449" s="177"/>
    </row>
    <row r="3450" spans="38:38" x14ac:dyDescent="0.2">
      <c r="AL3450" s="177"/>
    </row>
    <row r="3451" spans="38:38" x14ac:dyDescent="0.2">
      <c r="AL3451" s="177"/>
    </row>
    <row r="3452" spans="38:38" x14ac:dyDescent="0.2">
      <c r="AL3452" s="177"/>
    </row>
    <row r="3453" spans="38:38" x14ac:dyDescent="0.2">
      <c r="AL3453" s="177"/>
    </row>
    <row r="3454" spans="38:38" x14ac:dyDescent="0.2">
      <c r="AL3454" s="177"/>
    </row>
    <row r="3455" spans="38:38" x14ac:dyDescent="0.2">
      <c r="AL3455" s="177"/>
    </row>
    <row r="3456" spans="38:38" x14ac:dyDescent="0.2">
      <c r="AL3456" s="177"/>
    </row>
    <row r="3457" spans="38:38" x14ac:dyDescent="0.2">
      <c r="AL3457" s="177"/>
    </row>
    <row r="3458" spans="38:38" x14ac:dyDescent="0.2">
      <c r="AL3458" s="177"/>
    </row>
    <row r="3459" spans="38:38" x14ac:dyDescent="0.2">
      <c r="AL3459" s="177"/>
    </row>
    <row r="3460" spans="38:38" x14ac:dyDescent="0.2">
      <c r="AL3460" s="177"/>
    </row>
    <row r="3461" spans="38:38" x14ac:dyDescent="0.2">
      <c r="AL3461" s="177"/>
    </row>
    <row r="3462" spans="38:38" x14ac:dyDescent="0.2">
      <c r="AL3462" s="177"/>
    </row>
    <row r="3463" spans="38:38" x14ac:dyDescent="0.2">
      <c r="AL3463" s="177"/>
    </row>
    <row r="3464" spans="38:38" x14ac:dyDescent="0.2">
      <c r="AL3464" s="177"/>
    </row>
    <row r="3465" spans="38:38" x14ac:dyDescent="0.2">
      <c r="AL3465" s="177"/>
    </row>
    <row r="3466" spans="38:38" x14ac:dyDescent="0.2">
      <c r="AL3466" s="177"/>
    </row>
    <row r="3467" spans="38:38" x14ac:dyDescent="0.2">
      <c r="AL3467" s="177"/>
    </row>
    <row r="3468" spans="38:38" x14ac:dyDescent="0.2">
      <c r="AL3468" s="177"/>
    </row>
    <row r="3469" spans="38:38" x14ac:dyDescent="0.2">
      <c r="AL3469" s="177"/>
    </row>
    <row r="3470" spans="38:38" x14ac:dyDescent="0.2">
      <c r="AL3470" s="177"/>
    </row>
    <row r="3471" spans="38:38" x14ac:dyDescent="0.2">
      <c r="AL3471" s="177"/>
    </row>
    <row r="3472" spans="38:38" x14ac:dyDescent="0.2">
      <c r="AL3472" s="177"/>
    </row>
    <row r="3473" spans="38:38" x14ac:dyDescent="0.2">
      <c r="AL3473" s="177"/>
    </row>
    <row r="3474" spans="38:38" x14ac:dyDescent="0.2">
      <c r="AL3474" s="177"/>
    </row>
    <row r="3475" spans="38:38" x14ac:dyDescent="0.2">
      <c r="AL3475" s="177"/>
    </row>
    <row r="3476" spans="38:38" x14ac:dyDescent="0.2">
      <c r="AL3476" s="177"/>
    </row>
    <row r="3477" spans="38:38" x14ac:dyDescent="0.2">
      <c r="AL3477" s="177"/>
    </row>
    <row r="3478" spans="38:38" x14ac:dyDescent="0.2">
      <c r="AL3478" s="177"/>
    </row>
    <row r="3479" spans="38:38" x14ac:dyDescent="0.2">
      <c r="AL3479" s="177"/>
    </row>
    <row r="3480" spans="38:38" x14ac:dyDescent="0.2">
      <c r="AL3480" s="177"/>
    </row>
    <row r="3481" spans="38:38" x14ac:dyDescent="0.2">
      <c r="AL3481" s="177"/>
    </row>
    <row r="3482" spans="38:38" x14ac:dyDescent="0.2">
      <c r="AL3482" s="177"/>
    </row>
    <row r="3483" spans="38:38" x14ac:dyDescent="0.2">
      <c r="AL3483" s="177"/>
    </row>
    <row r="3484" spans="38:38" x14ac:dyDescent="0.2">
      <c r="AL3484" s="177"/>
    </row>
    <row r="3485" spans="38:38" x14ac:dyDescent="0.2">
      <c r="AL3485" s="177"/>
    </row>
    <row r="3486" spans="38:38" x14ac:dyDescent="0.2">
      <c r="AL3486" s="177"/>
    </row>
    <row r="3487" spans="38:38" x14ac:dyDescent="0.2">
      <c r="AL3487" s="177"/>
    </row>
    <row r="3488" spans="38:38" x14ac:dyDescent="0.2">
      <c r="AL3488" s="177"/>
    </row>
    <row r="3489" spans="38:38" x14ac:dyDescent="0.2">
      <c r="AL3489" s="177"/>
    </row>
    <row r="3490" spans="38:38" x14ac:dyDescent="0.2">
      <c r="AL3490" s="177"/>
    </row>
    <row r="3491" spans="38:38" x14ac:dyDescent="0.2">
      <c r="AL3491" s="177"/>
    </row>
    <row r="3492" spans="38:38" x14ac:dyDescent="0.2">
      <c r="AL3492" s="177"/>
    </row>
    <row r="3493" spans="38:38" x14ac:dyDescent="0.2">
      <c r="AL3493" s="177"/>
    </row>
    <row r="3494" spans="38:38" x14ac:dyDescent="0.2">
      <c r="AL3494" s="177"/>
    </row>
    <row r="3495" spans="38:38" x14ac:dyDescent="0.2">
      <c r="AL3495" s="177"/>
    </row>
    <row r="3496" spans="38:38" x14ac:dyDescent="0.2">
      <c r="AL3496" s="177"/>
    </row>
    <row r="3497" spans="38:38" x14ac:dyDescent="0.2">
      <c r="AL3497" s="177"/>
    </row>
    <row r="3498" spans="38:38" x14ac:dyDescent="0.2">
      <c r="AL3498" s="177"/>
    </row>
    <row r="3499" spans="38:38" x14ac:dyDescent="0.2">
      <c r="AL3499" s="177"/>
    </row>
    <row r="3500" spans="38:38" x14ac:dyDescent="0.2">
      <c r="AL3500" s="177"/>
    </row>
    <row r="3501" spans="38:38" x14ac:dyDescent="0.2">
      <c r="AL3501" s="177"/>
    </row>
    <row r="3502" spans="38:38" x14ac:dyDescent="0.2">
      <c r="AL3502" s="177"/>
    </row>
    <row r="3503" spans="38:38" x14ac:dyDescent="0.2">
      <c r="AL3503" s="177"/>
    </row>
    <row r="3504" spans="38:38" x14ac:dyDescent="0.2">
      <c r="AL3504" s="177"/>
    </row>
    <row r="3505" spans="38:38" x14ac:dyDescent="0.2">
      <c r="AL3505" s="177"/>
    </row>
    <row r="3506" spans="38:38" x14ac:dyDescent="0.2">
      <c r="AL3506" s="177"/>
    </row>
    <row r="3507" spans="38:38" x14ac:dyDescent="0.2">
      <c r="AL3507" s="177"/>
    </row>
    <row r="3508" spans="38:38" x14ac:dyDescent="0.2">
      <c r="AL3508" s="177"/>
    </row>
    <row r="3509" spans="38:38" x14ac:dyDescent="0.2">
      <c r="AL3509" s="177"/>
    </row>
    <row r="3510" spans="38:38" x14ac:dyDescent="0.2">
      <c r="AL3510" s="177"/>
    </row>
    <row r="3511" spans="38:38" x14ac:dyDescent="0.2">
      <c r="AL3511" s="177"/>
    </row>
    <row r="3512" spans="38:38" x14ac:dyDescent="0.2">
      <c r="AL3512" s="177"/>
    </row>
    <row r="3513" spans="38:38" x14ac:dyDescent="0.2">
      <c r="AL3513" s="177"/>
    </row>
    <row r="3514" spans="38:38" x14ac:dyDescent="0.2">
      <c r="AL3514" s="177"/>
    </row>
    <row r="3515" spans="38:38" x14ac:dyDescent="0.2">
      <c r="AL3515" s="177"/>
    </row>
    <row r="3516" spans="38:38" x14ac:dyDescent="0.2">
      <c r="AL3516" s="177"/>
    </row>
    <row r="3517" spans="38:38" x14ac:dyDescent="0.2">
      <c r="AL3517" s="177"/>
    </row>
    <row r="3518" spans="38:38" x14ac:dyDescent="0.2">
      <c r="AL3518" s="177"/>
    </row>
    <row r="3519" spans="38:38" x14ac:dyDescent="0.2">
      <c r="AL3519" s="177"/>
    </row>
    <row r="3520" spans="38:38" x14ac:dyDescent="0.2">
      <c r="AL3520" s="177"/>
    </row>
    <row r="3521" spans="38:38" x14ac:dyDescent="0.2">
      <c r="AL3521" s="177"/>
    </row>
    <row r="3522" spans="38:38" x14ac:dyDescent="0.2">
      <c r="AL3522" s="177"/>
    </row>
    <row r="3523" spans="38:38" x14ac:dyDescent="0.2">
      <c r="AL3523" s="177"/>
    </row>
    <row r="3524" spans="38:38" x14ac:dyDescent="0.2">
      <c r="AL3524" s="177"/>
    </row>
    <row r="3525" spans="38:38" x14ac:dyDescent="0.2">
      <c r="AL3525" s="177"/>
    </row>
    <row r="3526" spans="38:38" x14ac:dyDescent="0.2">
      <c r="AL3526" s="177"/>
    </row>
    <row r="3527" spans="38:38" x14ac:dyDescent="0.2">
      <c r="AL3527" s="177"/>
    </row>
    <row r="3528" spans="38:38" x14ac:dyDescent="0.2">
      <c r="AL3528" s="177"/>
    </row>
    <row r="3529" spans="38:38" x14ac:dyDescent="0.2">
      <c r="AL3529" s="177"/>
    </row>
    <row r="3530" spans="38:38" x14ac:dyDescent="0.2">
      <c r="AL3530" s="177"/>
    </row>
    <row r="3531" spans="38:38" x14ac:dyDescent="0.2">
      <c r="AL3531" s="177"/>
    </row>
    <row r="3532" spans="38:38" x14ac:dyDescent="0.2">
      <c r="AL3532" s="177"/>
    </row>
    <row r="3533" spans="38:38" x14ac:dyDescent="0.2">
      <c r="AL3533" s="177"/>
    </row>
    <row r="3534" spans="38:38" x14ac:dyDescent="0.2">
      <c r="AL3534" s="177"/>
    </row>
    <row r="3535" spans="38:38" x14ac:dyDescent="0.2">
      <c r="AL3535" s="177"/>
    </row>
    <row r="3536" spans="38:38" x14ac:dyDescent="0.2">
      <c r="AL3536" s="177"/>
    </row>
    <row r="3537" spans="38:38" x14ac:dyDescent="0.2">
      <c r="AL3537" s="177"/>
    </row>
    <row r="3538" spans="38:38" x14ac:dyDescent="0.2">
      <c r="AL3538" s="177"/>
    </row>
    <row r="3539" spans="38:38" x14ac:dyDescent="0.2">
      <c r="AL3539" s="177"/>
    </row>
    <row r="3540" spans="38:38" x14ac:dyDescent="0.2">
      <c r="AL3540" s="177"/>
    </row>
    <row r="3541" spans="38:38" x14ac:dyDescent="0.2">
      <c r="AL3541" s="177"/>
    </row>
    <row r="3542" spans="38:38" x14ac:dyDescent="0.2">
      <c r="AL3542" s="177"/>
    </row>
    <row r="3543" spans="38:38" x14ac:dyDescent="0.2">
      <c r="AL3543" s="177"/>
    </row>
    <row r="3544" spans="38:38" x14ac:dyDescent="0.2">
      <c r="AL3544" s="177"/>
    </row>
    <row r="3545" spans="38:38" x14ac:dyDescent="0.2">
      <c r="AL3545" s="177"/>
    </row>
    <row r="3546" spans="38:38" x14ac:dyDescent="0.2">
      <c r="AL3546" s="177"/>
    </row>
    <row r="3547" spans="38:38" x14ac:dyDescent="0.2">
      <c r="AL3547" s="177"/>
    </row>
    <row r="3548" spans="38:38" x14ac:dyDescent="0.2">
      <c r="AL3548" s="177"/>
    </row>
    <row r="3549" spans="38:38" x14ac:dyDescent="0.2">
      <c r="AL3549" s="177"/>
    </row>
    <row r="3550" spans="38:38" x14ac:dyDescent="0.2">
      <c r="AL3550" s="177"/>
    </row>
    <row r="3551" spans="38:38" x14ac:dyDescent="0.2">
      <c r="AL3551" s="177"/>
    </row>
    <row r="3552" spans="38:38" x14ac:dyDescent="0.2">
      <c r="AL3552" s="177"/>
    </row>
    <row r="3553" spans="38:38" x14ac:dyDescent="0.2">
      <c r="AL3553" s="177"/>
    </row>
    <row r="3554" spans="38:38" x14ac:dyDescent="0.2">
      <c r="AL3554" s="177"/>
    </row>
    <row r="3555" spans="38:38" x14ac:dyDescent="0.2">
      <c r="AL3555" s="177"/>
    </row>
    <row r="3556" spans="38:38" x14ac:dyDescent="0.2">
      <c r="AL3556" s="177"/>
    </row>
    <row r="3557" spans="38:38" x14ac:dyDescent="0.2">
      <c r="AL3557" s="177"/>
    </row>
    <row r="3558" spans="38:38" x14ac:dyDescent="0.2">
      <c r="AL3558" s="177"/>
    </row>
    <row r="3559" spans="38:38" x14ac:dyDescent="0.2">
      <c r="AL3559" s="177"/>
    </row>
    <row r="3560" spans="38:38" x14ac:dyDescent="0.2">
      <c r="AL3560" s="177"/>
    </row>
    <row r="3561" spans="38:38" x14ac:dyDescent="0.2">
      <c r="AL3561" s="177"/>
    </row>
    <row r="3562" spans="38:38" x14ac:dyDescent="0.2">
      <c r="AL3562" s="177"/>
    </row>
    <row r="3563" spans="38:38" x14ac:dyDescent="0.2">
      <c r="AL3563" s="177"/>
    </row>
    <row r="3564" spans="38:38" x14ac:dyDescent="0.2">
      <c r="AL3564" s="177"/>
    </row>
    <row r="3565" spans="38:38" x14ac:dyDescent="0.2">
      <c r="AL3565" s="177"/>
    </row>
    <row r="3566" spans="38:38" x14ac:dyDescent="0.2">
      <c r="AL3566" s="177"/>
    </row>
    <row r="3567" spans="38:38" x14ac:dyDescent="0.2">
      <c r="AL3567" s="177"/>
    </row>
    <row r="3568" spans="38:38" x14ac:dyDescent="0.2">
      <c r="AL3568" s="177"/>
    </row>
    <row r="3569" spans="38:38" x14ac:dyDescent="0.2">
      <c r="AL3569" s="177"/>
    </row>
    <row r="3570" spans="38:38" x14ac:dyDescent="0.2">
      <c r="AL3570" s="177"/>
    </row>
    <row r="3571" spans="38:38" x14ac:dyDescent="0.2">
      <c r="AL3571" s="177"/>
    </row>
    <row r="3572" spans="38:38" x14ac:dyDescent="0.2">
      <c r="AL3572" s="177"/>
    </row>
    <row r="3573" spans="38:38" x14ac:dyDescent="0.2">
      <c r="AL3573" s="177"/>
    </row>
    <row r="3574" spans="38:38" x14ac:dyDescent="0.2">
      <c r="AL3574" s="177"/>
    </row>
    <row r="3575" spans="38:38" x14ac:dyDescent="0.2">
      <c r="AL3575" s="177"/>
    </row>
    <row r="3576" spans="38:38" x14ac:dyDescent="0.2">
      <c r="AL3576" s="177"/>
    </row>
    <row r="3577" spans="38:38" x14ac:dyDescent="0.2">
      <c r="AL3577" s="177"/>
    </row>
    <row r="3578" spans="38:38" x14ac:dyDescent="0.2">
      <c r="AL3578" s="177"/>
    </row>
    <row r="3579" spans="38:38" x14ac:dyDescent="0.2">
      <c r="AL3579" s="177"/>
    </row>
    <row r="3580" spans="38:38" x14ac:dyDescent="0.2">
      <c r="AL3580" s="177"/>
    </row>
    <row r="3581" spans="38:38" x14ac:dyDescent="0.2">
      <c r="AL3581" s="177"/>
    </row>
    <row r="3582" spans="38:38" x14ac:dyDescent="0.2">
      <c r="AL3582" s="177"/>
    </row>
    <row r="3583" spans="38:38" x14ac:dyDescent="0.2">
      <c r="AL3583" s="177"/>
    </row>
    <row r="3584" spans="38:38" x14ac:dyDescent="0.2">
      <c r="AL3584" s="177"/>
    </row>
    <row r="3585" spans="38:38" x14ac:dyDescent="0.2">
      <c r="AL3585" s="177"/>
    </row>
    <row r="3586" spans="38:38" x14ac:dyDescent="0.2">
      <c r="AL3586" s="177"/>
    </row>
    <row r="3587" spans="38:38" x14ac:dyDescent="0.2">
      <c r="AL3587" s="177"/>
    </row>
    <row r="3588" spans="38:38" x14ac:dyDescent="0.2">
      <c r="AL3588" s="177"/>
    </row>
    <row r="3589" spans="38:38" x14ac:dyDescent="0.2">
      <c r="AL3589" s="177"/>
    </row>
    <row r="3590" spans="38:38" x14ac:dyDescent="0.2">
      <c r="AL3590" s="177"/>
    </row>
    <row r="3591" spans="38:38" x14ac:dyDescent="0.2">
      <c r="AL3591" s="177"/>
    </row>
    <row r="3592" spans="38:38" x14ac:dyDescent="0.2">
      <c r="AL3592" s="177"/>
    </row>
    <row r="3593" spans="38:38" x14ac:dyDescent="0.2">
      <c r="AL3593" s="177"/>
    </row>
    <row r="3594" spans="38:38" x14ac:dyDescent="0.2">
      <c r="AL3594" s="177"/>
    </row>
    <row r="3595" spans="38:38" x14ac:dyDescent="0.2">
      <c r="AL3595" s="177"/>
    </row>
    <row r="3596" spans="38:38" x14ac:dyDescent="0.2">
      <c r="AL3596" s="177"/>
    </row>
    <row r="3597" spans="38:38" x14ac:dyDescent="0.2">
      <c r="AL3597" s="177"/>
    </row>
    <row r="3598" spans="38:38" x14ac:dyDescent="0.2">
      <c r="AL3598" s="177"/>
    </row>
    <row r="3599" spans="38:38" x14ac:dyDescent="0.2">
      <c r="AL3599" s="177"/>
    </row>
    <row r="3600" spans="38:38" x14ac:dyDescent="0.2">
      <c r="AL3600" s="177"/>
    </row>
    <row r="3601" spans="38:38" x14ac:dyDescent="0.2">
      <c r="AL3601" s="177"/>
    </row>
    <row r="3602" spans="38:38" x14ac:dyDescent="0.2">
      <c r="AL3602" s="177"/>
    </row>
    <row r="3603" spans="38:38" x14ac:dyDescent="0.2">
      <c r="AL3603" s="177"/>
    </row>
    <row r="3604" spans="38:38" x14ac:dyDescent="0.2">
      <c r="AL3604" s="177"/>
    </row>
    <row r="3605" spans="38:38" x14ac:dyDescent="0.2">
      <c r="AL3605" s="177"/>
    </row>
    <row r="3606" spans="38:38" x14ac:dyDescent="0.2">
      <c r="AL3606" s="177"/>
    </row>
    <row r="3607" spans="38:38" x14ac:dyDescent="0.2">
      <c r="AL3607" s="177"/>
    </row>
    <row r="3608" spans="38:38" x14ac:dyDescent="0.2">
      <c r="AL3608" s="177"/>
    </row>
    <row r="3609" spans="38:38" x14ac:dyDescent="0.2">
      <c r="AL3609" s="177"/>
    </row>
    <row r="3610" spans="38:38" x14ac:dyDescent="0.2">
      <c r="AL3610" s="177"/>
    </row>
    <row r="3611" spans="38:38" x14ac:dyDescent="0.2">
      <c r="AL3611" s="177"/>
    </row>
    <row r="3612" spans="38:38" x14ac:dyDescent="0.2">
      <c r="AL3612" s="177"/>
    </row>
    <row r="3613" spans="38:38" x14ac:dyDescent="0.2">
      <c r="AL3613" s="177"/>
    </row>
    <row r="3614" spans="38:38" x14ac:dyDescent="0.2">
      <c r="AL3614" s="177"/>
    </row>
    <row r="3615" spans="38:38" x14ac:dyDescent="0.2">
      <c r="AL3615" s="177"/>
    </row>
    <row r="3616" spans="38:38" x14ac:dyDescent="0.2">
      <c r="AL3616" s="177"/>
    </row>
    <row r="3617" spans="38:38" x14ac:dyDescent="0.2">
      <c r="AL3617" s="177"/>
    </row>
    <row r="3618" spans="38:38" x14ac:dyDescent="0.2">
      <c r="AL3618" s="177"/>
    </row>
    <row r="3619" spans="38:38" x14ac:dyDescent="0.2">
      <c r="AL3619" s="177"/>
    </row>
    <row r="3620" spans="38:38" x14ac:dyDescent="0.2">
      <c r="AL3620" s="177"/>
    </row>
    <row r="3621" spans="38:38" x14ac:dyDescent="0.2">
      <c r="AL3621" s="177"/>
    </row>
    <row r="3622" spans="38:38" x14ac:dyDescent="0.2">
      <c r="AL3622" s="177"/>
    </row>
    <row r="3623" spans="38:38" x14ac:dyDescent="0.2">
      <c r="AL3623" s="177"/>
    </row>
    <row r="3624" spans="38:38" x14ac:dyDescent="0.2">
      <c r="AL3624" s="177"/>
    </row>
    <row r="3625" spans="38:38" x14ac:dyDescent="0.2">
      <c r="AL3625" s="177"/>
    </row>
    <row r="3626" spans="38:38" x14ac:dyDescent="0.2">
      <c r="AL3626" s="177"/>
    </row>
    <row r="3627" spans="38:38" x14ac:dyDescent="0.2">
      <c r="AL3627" s="177"/>
    </row>
    <row r="3628" spans="38:38" x14ac:dyDescent="0.2">
      <c r="AL3628" s="177"/>
    </row>
    <row r="3629" spans="38:38" x14ac:dyDescent="0.2">
      <c r="AL3629" s="177"/>
    </row>
    <row r="3630" spans="38:38" x14ac:dyDescent="0.2">
      <c r="AL3630" s="177"/>
    </row>
    <row r="3631" spans="38:38" x14ac:dyDescent="0.2">
      <c r="AL3631" s="177"/>
    </row>
    <row r="3632" spans="38:38" x14ac:dyDescent="0.2">
      <c r="AL3632" s="177"/>
    </row>
    <row r="3633" spans="38:38" x14ac:dyDescent="0.2">
      <c r="AL3633" s="177"/>
    </row>
    <row r="3634" spans="38:38" x14ac:dyDescent="0.2">
      <c r="AL3634" s="177"/>
    </row>
    <row r="3635" spans="38:38" x14ac:dyDescent="0.2">
      <c r="AL3635" s="177"/>
    </row>
    <row r="3636" spans="38:38" x14ac:dyDescent="0.2">
      <c r="AL3636" s="177"/>
    </row>
    <row r="3637" spans="38:38" x14ac:dyDescent="0.2">
      <c r="AL3637" s="177"/>
    </row>
    <row r="3638" spans="38:38" x14ac:dyDescent="0.2">
      <c r="AL3638" s="177"/>
    </row>
    <row r="3639" spans="38:38" x14ac:dyDescent="0.2">
      <c r="AL3639" s="177"/>
    </row>
    <row r="3640" spans="38:38" x14ac:dyDescent="0.2">
      <c r="AL3640" s="177"/>
    </row>
    <row r="3641" spans="38:38" x14ac:dyDescent="0.2">
      <c r="AL3641" s="177"/>
    </row>
    <row r="3642" spans="38:38" x14ac:dyDescent="0.2">
      <c r="AL3642" s="177"/>
    </row>
    <row r="3643" spans="38:38" x14ac:dyDescent="0.2">
      <c r="AL3643" s="177"/>
    </row>
    <row r="3644" spans="38:38" x14ac:dyDescent="0.2">
      <c r="AL3644" s="177"/>
    </row>
    <row r="3645" spans="38:38" x14ac:dyDescent="0.2">
      <c r="AL3645" s="177"/>
    </row>
    <row r="3646" spans="38:38" x14ac:dyDescent="0.2">
      <c r="AL3646" s="177"/>
    </row>
    <row r="3647" spans="38:38" x14ac:dyDescent="0.2">
      <c r="AL3647" s="177"/>
    </row>
    <row r="3648" spans="38:38" x14ac:dyDescent="0.2">
      <c r="AL3648" s="177"/>
    </row>
    <row r="3649" spans="38:38" x14ac:dyDescent="0.2">
      <c r="AL3649" s="177"/>
    </row>
    <row r="3650" spans="38:38" x14ac:dyDescent="0.2">
      <c r="AL3650" s="177"/>
    </row>
    <row r="3651" spans="38:38" x14ac:dyDescent="0.2">
      <c r="AL3651" s="177"/>
    </row>
    <row r="3652" spans="38:38" x14ac:dyDescent="0.2">
      <c r="AL3652" s="177"/>
    </row>
    <row r="3653" spans="38:38" x14ac:dyDescent="0.2">
      <c r="AL3653" s="177"/>
    </row>
    <row r="3654" spans="38:38" x14ac:dyDescent="0.2">
      <c r="AL3654" s="177"/>
    </row>
    <row r="3655" spans="38:38" x14ac:dyDescent="0.2">
      <c r="AL3655" s="177"/>
    </row>
    <row r="3656" spans="38:38" x14ac:dyDescent="0.2">
      <c r="AL3656" s="177"/>
    </row>
    <row r="3657" spans="38:38" x14ac:dyDescent="0.2">
      <c r="AL3657" s="177"/>
    </row>
    <row r="3658" spans="38:38" x14ac:dyDescent="0.2">
      <c r="AL3658" s="177"/>
    </row>
    <row r="3659" spans="38:38" x14ac:dyDescent="0.2">
      <c r="AL3659" s="177"/>
    </row>
    <row r="3660" spans="38:38" x14ac:dyDescent="0.2">
      <c r="AL3660" s="177"/>
    </row>
    <row r="3661" spans="38:38" x14ac:dyDescent="0.2">
      <c r="AL3661" s="177"/>
    </row>
    <row r="3662" spans="38:38" x14ac:dyDescent="0.2">
      <c r="AL3662" s="177"/>
    </row>
    <row r="3663" spans="38:38" x14ac:dyDescent="0.2">
      <c r="AL3663" s="177"/>
    </row>
    <row r="3664" spans="38:38" x14ac:dyDescent="0.2">
      <c r="AL3664" s="177"/>
    </row>
    <row r="3665" spans="38:38" x14ac:dyDescent="0.2">
      <c r="AL3665" s="177"/>
    </row>
    <row r="3666" spans="38:38" x14ac:dyDescent="0.2">
      <c r="AL3666" s="177"/>
    </row>
    <row r="3667" spans="38:38" x14ac:dyDescent="0.2">
      <c r="AL3667" s="177"/>
    </row>
    <row r="3668" spans="38:38" x14ac:dyDescent="0.2">
      <c r="AL3668" s="177"/>
    </row>
    <row r="3669" spans="38:38" x14ac:dyDescent="0.2">
      <c r="AL3669" s="177"/>
    </row>
    <row r="3670" spans="38:38" x14ac:dyDescent="0.2">
      <c r="AL3670" s="177"/>
    </row>
    <row r="3671" spans="38:38" x14ac:dyDescent="0.2">
      <c r="AL3671" s="177"/>
    </row>
    <row r="3672" spans="38:38" x14ac:dyDescent="0.2">
      <c r="AL3672" s="177"/>
    </row>
    <row r="3673" spans="38:38" x14ac:dyDescent="0.2">
      <c r="AL3673" s="177"/>
    </row>
    <row r="3674" spans="38:38" x14ac:dyDescent="0.2">
      <c r="AL3674" s="177"/>
    </row>
    <row r="3675" spans="38:38" x14ac:dyDescent="0.2">
      <c r="AL3675" s="177"/>
    </row>
    <row r="3676" spans="38:38" x14ac:dyDescent="0.2">
      <c r="AL3676" s="177"/>
    </row>
    <row r="3677" spans="38:38" x14ac:dyDescent="0.2">
      <c r="AL3677" s="177"/>
    </row>
    <row r="3678" spans="38:38" x14ac:dyDescent="0.2">
      <c r="AL3678" s="177"/>
    </row>
    <row r="3679" spans="38:38" x14ac:dyDescent="0.2">
      <c r="AL3679" s="177"/>
    </row>
    <row r="3680" spans="38:38" x14ac:dyDescent="0.2">
      <c r="AL3680" s="177"/>
    </row>
    <row r="3681" spans="38:38" x14ac:dyDescent="0.2">
      <c r="AL3681" s="177"/>
    </row>
    <row r="3682" spans="38:38" x14ac:dyDescent="0.2">
      <c r="AL3682" s="177"/>
    </row>
    <row r="3683" spans="38:38" x14ac:dyDescent="0.2">
      <c r="AL3683" s="177"/>
    </row>
    <row r="3684" spans="38:38" x14ac:dyDescent="0.2">
      <c r="AL3684" s="177"/>
    </row>
    <row r="3685" spans="38:38" x14ac:dyDescent="0.2">
      <c r="AL3685" s="177"/>
    </row>
    <row r="3686" spans="38:38" x14ac:dyDescent="0.2">
      <c r="AL3686" s="177"/>
    </row>
    <row r="3687" spans="38:38" x14ac:dyDescent="0.2">
      <c r="AL3687" s="177"/>
    </row>
    <row r="3688" spans="38:38" x14ac:dyDescent="0.2">
      <c r="AL3688" s="177"/>
    </row>
    <row r="3689" spans="38:38" x14ac:dyDescent="0.2">
      <c r="AL3689" s="177"/>
    </row>
    <row r="3690" spans="38:38" x14ac:dyDescent="0.2">
      <c r="AL3690" s="177"/>
    </row>
    <row r="3691" spans="38:38" x14ac:dyDescent="0.2">
      <c r="AL3691" s="177"/>
    </row>
    <row r="3692" spans="38:38" x14ac:dyDescent="0.2">
      <c r="AL3692" s="177"/>
    </row>
    <row r="3693" spans="38:38" x14ac:dyDescent="0.2">
      <c r="AL3693" s="177"/>
    </row>
    <row r="3694" spans="38:38" x14ac:dyDescent="0.2">
      <c r="AL3694" s="177"/>
    </row>
    <row r="3695" spans="38:38" x14ac:dyDescent="0.2">
      <c r="AL3695" s="177"/>
    </row>
    <row r="3696" spans="38:38" x14ac:dyDescent="0.2">
      <c r="AL3696" s="177"/>
    </row>
    <row r="3697" spans="38:38" x14ac:dyDescent="0.2">
      <c r="AL3697" s="177"/>
    </row>
    <row r="3698" spans="38:38" x14ac:dyDescent="0.2">
      <c r="AL3698" s="177"/>
    </row>
    <row r="3699" spans="38:38" x14ac:dyDescent="0.2">
      <c r="AL3699" s="177"/>
    </row>
    <row r="3700" spans="38:38" x14ac:dyDescent="0.2">
      <c r="AL3700" s="177"/>
    </row>
    <row r="3701" spans="38:38" x14ac:dyDescent="0.2">
      <c r="AL3701" s="177"/>
    </row>
    <row r="3702" spans="38:38" x14ac:dyDescent="0.2">
      <c r="AL3702" s="177"/>
    </row>
    <row r="3703" spans="38:38" x14ac:dyDescent="0.2">
      <c r="AL3703" s="177"/>
    </row>
    <row r="3704" spans="38:38" x14ac:dyDescent="0.2">
      <c r="AL3704" s="177"/>
    </row>
    <row r="3705" spans="38:38" x14ac:dyDescent="0.2">
      <c r="AL3705" s="177"/>
    </row>
    <row r="3706" spans="38:38" x14ac:dyDescent="0.2">
      <c r="AL3706" s="177"/>
    </row>
    <row r="3707" spans="38:38" x14ac:dyDescent="0.2">
      <c r="AL3707" s="177"/>
    </row>
    <row r="3708" spans="38:38" x14ac:dyDescent="0.2">
      <c r="AL3708" s="177"/>
    </row>
    <row r="3709" spans="38:38" x14ac:dyDescent="0.2">
      <c r="AL3709" s="177"/>
    </row>
    <row r="3710" spans="38:38" x14ac:dyDescent="0.2">
      <c r="AL3710" s="177"/>
    </row>
    <row r="3711" spans="38:38" x14ac:dyDescent="0.2">
      <c r="AL3711" s="177"/>
    </row>
    <row r="3712" spans="38:38" x14ac:dyDescent="0.2">
      <c r="AL3712" s="177"/>
    </row>
    <row r="3713" spans="38:38" x14ac:dyDescent="0.2">
      <c r="AL3713" s="177"/>
    </row>
    <row r="3714" spans="38:38" x14ac:dyDescent="0.2">
      <c r="AL3714" s="177"/>
    </row>
    <row r="3715" spans="38:38" x14ac:dyDescent="0.2">
      <c r="AL3715" s="177"/>
    </row>
    <row r="3716" spans="38:38" x14ac:dyDescent="0.2">
      <c r="AL3716" s="177"/>
    </row>
    <row r="3717" spans="38:38" x14ac:dyDescent="0.2">
      <c r="AL3717" s="177"/>
    </row>
    <row r="3718" spans="38:38" x14ac:dyDescent="0.2">
      <c r="AL3718" s="177"/>
    </row>
    <row r="3719" spans="38:38" x14ac:dyDescent="0.2">
      <c r="AL3719" s="177"/>
    </row>
    <row r="3720" spans="38:38" x14ac:dyDescent="0.2">
      <c r="AL3720" s="177"/>
    </row>
    <row r="3721" spans="38:38" x14ac:dyDescent="0.2">
      <c r="AL3721" s="177"/>
    </row>
    <row r="3722" spans="38:38" x14ac:dyDescent="0.2">
      <c r="AL3722" s="177"/>
    </row>
    <row r="3723" spans="38:38" x14ac:dyDescent="0.2">
      <c r="AL3723" s="177"/>
    </row>
    <row r="3724" spans="38:38" x14ac:dyDescent="0.2">
      <c r="AL3724" s="177"/>
    </row>
    <row r="3725" spans="38:38" x14ac:dyDescent="0.2">
      <c r="AL3725" s="177"/>
    </row>
    <row r="3726" spans="38:38" x14ac:dyDescent="0.2">
      <c r="AL3726" s="177"/>
    </row>
    <row r="3727" spans="38:38" x14ac:dyDescent="0.2">
      <c r="AL3727" s="177"/>
    </row>
    <row r="3728" spans="38:38" x14ac:dyDescent="0.2">
      <c r="AL3728" s="177"/>
    </row>
    <row r="3729" spans="38:38" x14ac:dyDescent="0.2">
      <c r="AL3729" s="177"/>
    </row>
    <row r="3730" spans="38:38" x14ac:dyDescent="0.2">
      <c r="AL3730" s="177"/>
    </row>
    <row r="3731" spans="38:38" x14ac:dyDescent="0.2">
      <c r="AL3731" s="177"/>
    </row>
    <row r="3732" spans="38:38" x14ac:dyDescent="0.2">
      <c r="AL3732" s="177"/>
    </row>
    <row r="3733" spans="38:38" x14ac:dyDescent="0.2">
      <c r="AL3733" s="177"/>
    </row>
    <row r="3734" spans="38:38" x14ac:dyDescent="0.2">
      <c r="AL3734" s="177"/>
    </row>
    <row r="3735" spans="38:38" x14ac:dyDescent="0.2">
      <c r="AL3735" s="177"/>
    </row>
    <row r="3736" spans="38:38" x14ac:dyDescent="0.2">
      <c r="AL3736" s="177"/>
    </row>
    <row r="3737" spans="38:38" x14ac:dyDescent="0.2">
      <c r="AL3737" s="177"/>
    </row>
    <row r="3738" spans="38:38" x14ac:dyDescent="0.2">
      <c r="AL3738" s="177"/>
    </row>
    <row r="3739" spans="38:38" x14ac:dyDescent="0.2">
      <c r="AL3739" s="177"/>
    </row>
    <row r="3740" spans="38:38" x14ac:dyDescent="0.2">
      <c r="AL3740" s="177"/>
    </row>
    <row r="3741" spans="38:38" x14ac:dyDescent="0.2">
      <c r="AL3741" s="177"/>
    </row>
    <row r="3742" spans="38:38" x14ac:dyDescent="0.2">
      <c r="AL3742" s="177"/>
    </row>
    <row r="3743" spans="38:38" x14ac:dyDescent="0.2">
      <c r="AL3743" s="177"/>
    </row>
    <row r="3744" spans="38:38" x14ac:dyDescent="0.2">
      <c r="AL3744" s="177"/>
    </row>
    <row r="3745" spans="38:38" x14ac:dyDescent="0.2">
      <c r="AL3745" s="177"/>
    </row>
    <row r="3746" spans="38:38" x14ac:dyDescent="0.2">
      <c r="AL3746" s="177"/>
    </row>
    <row r="3747" spans="38:38" x14ac:dyDescent="0.2">
      <c r="AL3747" s="177"/>
    </row>
    <row r="3748" spans="38:38" x14ac:dyDescent="0.2">
      <c r="AL3748" s="177"/>
    </row>
    <row r="3749" spans="38:38" x14ac:dyDescent="0.2">
      <c r="AL3749" s="177"/>
    </row>
    <row r="3750" spans="38:38" x14ac:dyDescent="0.2">
      <c r="AL3750" s="177"/>
    </row>
    <row r="3751" spans="38:38" x14ac:dyDescent="0.2">
      <c r="AL3751" s="177"/>
    </row>
    <row r="3752" spans="38:38" x14ac:dyDescent="0.2">
      <c r="AL3752" s="177"/>
    </row>
    <row r="3753" spans="38:38" x14ac:dyDescent="0.2">
      <c r="AL3753" s="177"/>
    </row>
    <row r="3754" spans="38:38" x14ac:dyDescent="0.2">
      <c r="AL3754" s="177"/>
    </row>
    <row r="3755" spans="38:38" x14ac:dyDescent="0.2">
      <c r="AL3755" s="177"/>
    </row>
    <row r="3756" spans="38:38" x14ac:dyDescent="0.2">
      <c r="AL3756" s="177"/>
    </row>
    <row r="3757" spans="38:38" x14ac:dyDescent="0.2">
      <c r="AL3757" s="177"/>
    </row>
    <row r="3758" spans="38:38" x14ac:dyDescent="0.2">
      <c r="AL3758" s="177"/>
    </row>
    <row r="3759" spans="38:38" x14ac:dyDescent="0.2">
      <c r="AL3759" s="177"/>
    </row>
    <row r="3760" spans="38:38" x14ac:dyDescent="0.2">
      <c r="AL3760" s="177"/>
    </row>
    <row r="3761" spans="38:38" x14ac:dyDescent="0.2">
      <c r="AL3761" s="177"/>
    </row>
    <row r="3762" spans="38:38" x14ac:dyDescent="0.2">
      <c r="AL3762" s="177"/>
    </row>
    <row r="3763" spans="38:38" x14ac:dyDescent="0.2">
      <c r="AL3763" s="177"/>
    </row>
    <row r="3764" spans="38:38" x14ac:dyDescent="0.2">
      <c r="AL3764" s="177"/>
    </row>
    <row r="3765" spans="38:38" x14ac:dyDescent="0.2">
      <c r="AL3765" s="177"/>
    </row>
    <row r="3766" spans="38:38" x14ac:dyDescent="0.2">
      <c r="AL3766" s="177"/>
    </row>
    <row r="3767" spans="38:38" x14ac:dyDescent="0.2">
      <c r="AL3767" s="177"/>
    </row>
    <row r="3768" spans="38:38" x14ac:dyDescent="0.2">
      <c r="AL3768" s="177"/>
    </row>
    <row r="3769" spans="38:38" x14ac:dyDescent="0.2">
      <c r="AL3769" s="177"/>
    </row>
    <row r="3770" spans="38:38" x14ac:dyDescent="0.2">
      <c r="AL3770" s="177"/>
    </row>
    <row r="3771" spans="38:38" x14ac:dyDescent="0.2">
      <c r="AL3771" s="177"/>
    </row>
    <row r="3772" spans="38:38" x14ac:dyDescent="0.2">
      <c r="AL3772" s="177"/>
    </row>
    <row r="3773" spans="38:38" x14ac:dyDescent="0.2">
      <c r="AL3773" s="177"/>
    </row>
    <row r="3774" spans="38:38" x14ac:dyDescent="0.2">
      <c r="AL3774" s="177"/>
    </row>
    <row r="3775" spans="38:38" x14ac:dyDescent="0.2">
      <c r="AL3775" s="177"/>
    </row>
    <row r="3776" spans="38:38" x14ac:dyDescent="0.2">
      <c r="AL3776" s="177"/>
    </row>
    <row r="3777" spans="38:38" x14ac:dyDescent="0.2">
      <c r="AL3777" s="177"/>
    </row>
    <row r="3778" spans="38:38" x14ac:dyDescent="0.2">
      <c r="AL3778" s="177"/>
    </row>
    <row r="3779" spans="38:38" x14ac:dyDescent="0.2">
      <c r="AL3779" s="177"/>
    </row>
    <row r="3780" spans="38:38" x14ac:dyDescent="0.2">
      <c r="AL3780" s="177"/>
    </row>
    <row r="3781" spans="38:38" x14ac:dyDescent="0.2">
      <c r="AL3781" s="177"/>
    </row>
    <row r="3782" spans="38:38" x14ac:dyDescent="0.2">
      <c r="AL3782" s="177"/>
    </row>
    <row r="3783" spans="38:38" x14ac:dyDescent="0.2">
      <c r="AL3783" s="177"/>
    </row>
    <row r="3784" spans="38:38" x14ac:dyDescent="0.2">
      <c r="AL3784" s="177"/>
    </row>
    <row r="3785" spans="38:38" x14ac:dyDescent="0.2">
      <c r="AL3785" s="177"/>
    </row>
    <row r="3786" spans="38:38" x14ac:dyDescent="0.2">
      <c r="AL3786" s="177"/>
    </row>
    <row r="3787" spans="38:38" x14ac:dyDescent="0.2">
      <c r="AL3787" s="177"/>
    </row>
    <row r="3788" spans="38:38" x14ac:dyDescent="0.2">
      <c r="AL3788" s="177"/>
    </row>
    <row r="3789" spans="38:38" x14ac:dyDescent="0.2">
      <c r="AL3789" s="177"/>
    </row>
    <row r="3790" spans="38:38" x14ac:dyDescent="0.2">
      <c r="AL3790" s="177"/>
    </row>
    <row r="3791" spans="38:38" x14ac:dyDescent="0.2">
      <c r="AL3791" s="177"/>
    </row>
    <row r="3792" spans="38:38" x14ac:dyDescent="0.2">
      <c r="AL3792" s="177"/>
    </row>
    <row r="3793" spans="38:38" x14ac:dyDescent="0.2">
      <c r="AL3793" s="177"/>
    </row>
    <row r="3794" spans="38:38" x14ac:dyDescent="0.2">
      <c r="AL3794" s="177"/>
    </row>
    <row r="3795" spans="38:38" x14ac:dyDescent="0.2">
      <c r="AL3795" s="177"/>
    </row>
    <row r="3796" spans="38:38" x14ac:dyDescent="0.2">
      <c r="AL3796" s="177"/>
    </row>
    <row r="3797" spans="38:38" x14ac:dyDescent="0.2">
      <c r="AL3797" s="177"/>
    </row>
    <row r="3798" spans="38:38" x14ac:dyDescent="0.2">
      <c r="AL3798" s="177"/>
    </row>
    <row r="3799" spans="38:38" x14ac:dyDescent="0.2">
      <c r="AL3799" s="177"/>
    </row>
    <row r="3800" spans="38:38" x14ac:dyDescent="0.2">
      <c r="AL3800" s="177"/>
    </row>
    <row r="3801" spans="38:38" x14ac:dyDescent="0.2">
      <c r="AL3801" s="177"/>
    </row>
    <row r="3802" spans="38:38" x14ac:dyDescent="0.2">
      <c r="AL3802" s="177"/>
    </row>
    <row r="3803" spans="38:38" x14ac:dyDescent="0.2">
      <c r="AL3803" s="177"/>
    </row>
    <row r="3804" spans="38:38" x14ac:dyDescent="0.2">
      <c r="AL3804" s="177"/>
    </row>
    <row r="3805" spans="38:38" x14ac:dyDescent="0.2">
      <c r="AL3805" s="177"/>
    </row>
    <row r="3806" spans="38:38" x14ac:dyDescent="0.2">
      <c r="AL3806" s="177"/>
    </row>
    <row r="3807" spans="38:38" x14ac:dyDescent="0.2">
      <c r="AL3807" s="177"/>
    </row>
    <row r="3808" spans="38:38" x14ac:dyDescent="0.2">
      <c r="AL3808" s="177"/>
    </row>
    <row r="3809" spans="38:38" x14ac:dyDescent="0.2">
      <c r="AL3809" s="177"/>
    </row>
    <row r="3810" spans="38:38" x14ac:dyDescent="0.2">
      <c r="AL3810" s="177"/>
    </row>
    <row r="3811" spans="38:38" x14ac:dyDescent="0.2">
      <c r="AL3811" s="177"/>
    </row>
    <row r="3812" spans="38:38" x14ac:dyDescent="0.2">
      <c r="AL3812" s="177"/>
    </row>
    <row r="3813" spans="38:38" x14ac:dyDescent="0.2">
      <c r="AL3813" s="177"/>
    </row>
    <row r="3814" spans="38:38" x14ac:dyDescent="0.2">
      <c r="AL3814" s="177"/>
    </row>
    <row r="3815" spans="38:38" x14ac:dyDescent="0.2">
      <c r="AL3815" s="177"/>
    </row>
    <row r="3816" spans="38:38" x14ac:dyDescent="0.2">
      <c r="AL3816" s="177"/>
    </row>
    <row r="3817" spans="38:38" x14ac:dyDescent="0.2">
      <c r="AL3817" s="177"/>
    </row>
    <row r="3818" spans="38:38" x14ac:dyDescent="0.2">
      <c r="AL3818" s="177"/>
    </row>
    <row r="3819" spans="38:38" x14ac:dyDescent="0.2">
      <c r="AL3819" s="177"/>
    </row>
    <row r="3820" spans="38:38" x14ac:dyDescent="0.2">
      <c r="AL3820" s="177"/>
    </row>
    <row r="3821" spans="38:38" x14ac:dyDescent="0.2">
      <c r="AL3821" s="177"/>
    </row>
    <row r="3822" spans="38:38" x14ac:dyDescent="0.2">
      <c r="AL3822" s="177"/>
    </row>
    <row r="3823" spans="38:38" x14ac:dyDescent="0.2">
      <c r="AL3823" s="177"/>
    </row>
    <row r="3824" spans="38:38" x14ac:dyDescent="0.2">
      <c r="AL3824" s="177"/>
    </row>
    <row r="3825" spans="38:38" x14ac:dyDescent="0.2">
      <c r="AL3825" s="177"/>
    </row>
    <row r="3826" spans="38:38" x14ac:dyDescent="0.2">
      <c r="AL3826" s="177"/>
    </row>
    <row r="3827" spans="38:38" x14ac:dyDescent="0.2">
      <c r="AL3827" s="177"/>
    </row>
    <row r="3828" spans="38:38" x14ac:dyDescent="0.2">
      <c r="AL3828" s="177"/>
    </row>
    <row r="3829" spans="38:38" x14ac:dyDescent="0.2">
      <c r="AL3829" s="177"/>
    </row>
    <row r="3830" spans="38:38" x14ac:dyDescent="0.2">
      <c r="AL3830" s="177"/>
    </row>
    <row r="3831" spans="38:38" x14ac:dyDescent="0.2">
      <c r="AL3831" s="177"/>
    </row>
    <row r="3832" spans="38:38" x14ac:dyDescent="0.2">
      <c r="AL3832" s="177"/>
    </row>
    <row r="3833" spans="38:38" x14ac:dyDescent="0.2">
      <c r="AL3833" s="177"/>
    </row>
    <row r="3834" spans="38:38" x14ac:dyDescent="0.2">
      <c r="AL3834" s="177"/>
    </row>
    <row r="3835" spans="38:38" x14ac:dyDescent="0.2">
      <c r="AL3835" s="177"/>
    </row>
    <row r="3836" spans="38:38" x14ac:dyDescent="0.2">
      <c r="AL3836" s="177"/>
    </row>
    <row r="3837" spans="38:38" x14ac:dyDescent="0.2">
      <c r="AL3837" s="177"/>
    </row>
    <row r="3838" spans="38:38" x14ac:dyDescent="0.2">
      <c r="AL3838" s="177"/>
    </row>
    <row r="3839" spans="38:38" x14ac:dyDescent="0.2">
      <c r="AL3839" s="177"/>
    </row>
    <row r="3840" spans="38:38" x14ac:dyDescent="0.2">
      <c r="AL3840" s="177"/>
    </row>
    <row r="3841" spans="38:38" x14ac:dyDescent="0.2">
      <c r="AL3841" s="177"/>
    </row>
    <row r="3842" spans="38:38" x14ac:dyDescent="0.2">
      <c r="AL3842" s="177"/>
    </row>
    <row r="3843" spans="38:38" x14ac:dyDescent="0.2">
      <c r="AL3843" s="177"/>
    </row>
    <row r="3844" spans="38:38" x14ac:dyDescent="0.2">
      <c r="AL3844" s="177"/>
    </row>
    <row r="3845" spans="38:38" x14ac:dyDescent="0.2">
      <c r="AL3845" s="177"/>
    </row>
    <row r="3846" spans="38:38" x14ac:dyDescent="0.2">
      <c r="AL3846" s="177"/>
    </row>
    <row r="3847" spans="38:38" x14ac:dyDescent="0.2">
      <c r="AL3847" s="177"/>
    </row>
    <row r="3848" spans="38:38" x14ac:dyDescent="0.2">
      <c r="AL3848" s="177"/>
    </row>
    <row r="3849" spans="38:38" x14ac:dyDescent="0.2">
      <c r="AL3849" s="177"/>
    </row>
    <row r="3850" spans="38:38" x14ac:dyDescent="0.2">
      <c r="AL3850" s="177"/>
    </row>
    <row r="3851" spans="38:38" x14ac:dyDescent="0.2">
      <c r="AL3851" s="177"/>
    </row>
    <row r="3852" spans="38:38" x14ac:dyDescent="0.2">
      <c r="AL3852" s="177"/>
    </row>
    <row r="3853" spans="38:38" x14ac:dyDescent="0.2">
      <c r="AL3853" s="177"/>
    </row>
    <row r="3854" spans="38:38" x14ac:dyDescent="0.2">
      <c r="AL3854" s="177"/>
    </row>
    <row r="3855" spans="38:38" x14ac:dyDescent="0.2">
      <c r="AL3855" s="177"/>
    </row>
    <row r="3856" spans="38:38" x14ac:dyDescent="0.2">
      <c r="AL3856" s="177"/>
    </row>
    <row r="3857" spans="38:38" x14ac:dyDescent="0.2">
      <c r="AL3857" s="177"/>
    </row>
    <row r="3858" spans="38:38" x14ac:dyDescent="0.2">
      <c r="AL3858" s="177"/>
    </row>
    <row r="3859" spans="38:38" x14ac:dyDescent="0.2">
      <c r="AL3859" s="177"/>
    </row>
    <row r="3860" spans="38:38" x14ac:dyDescent="0.2">
      <c r="AL3860" s="177"/>
    </row>
    <row r="3861" spans="38:38" x14ac:dyDescent="0.2">
      <c r="AL3861" s="177"/>
    </row>
    <row r="3862" spans="38:38" x14ac:dyDescent="0.2">
      <c r="AL3862" s="177"/>
    </row>
    <row r="3863" spans="38:38" x14ac:dyDescent="0.2">
      <c r="AL3863" s="177"/>
    </row>
    <row r="3864" spans="38:38" x14ac:dyDescent="0.2">
      <c r="AL3864" s="177"/>
    </row>
    <row r="3865" spans="38:38" x14ac:dyDescent="0.2">
      <c r="AL3865" s="177"/>
    </row>
    <row r="3866" spans="38:38" x14ac:dyDescent="0.2">
      <c r="AL3866" s="177"/>
    </row>
    <row r="3867" spans="38:38" x14ac:dyDescent="0.2">
      <c r="AL3867" s="177"/>
    </row>
    <row r="3868" spans="38:38" x14ac:dyDescent="0.2">
      <c r="AL3868" s="177"/>
    </row>
    <row r="3869" spans="38:38" x14ac:dyDescent="0.2">
      <c r="AL3869" s="177"/>
    </row>
    <row r="3870" spans="38:38" x14ac:dyDescent="0.2">
      <c r="AL3870" s="177"/>
    </row>
    <row r="3871" spans="38:38" x14ac:dyDescent="0.2">
      <c r="AL3871" s="177"/>
    </row>
    <row r="3872" spans="38:38" x14ac:dyDescent="0.2">
      <c r="AL3872" s="177"/>
    </row>
    <row r="3873" spans="38:38" x14ac:dyDescent="0.2">
      <c r="AL3873" s="177"/>
    </row>
    <row r="3874" spans="38:38" x14ac:dyDescent="0.2">
      <c r="AL3874" s="177"/>
    </row>
    <row r="3875" spans="38:38" x14ac:dyDescent="0.2">
      <c r="AL3875" s="177"/>
    </row>
    <row r="3876" spans="38:38" x14ac:dyDescent="0.2">
      <c r="AL3876" s="177"/>
    </row>
    <row r="3877" spans="38:38" x14ac:dyDescent="0.2">
      <c r="AL3877" s="177"/>
    </row>
    <row r="3878" spans="38:38" x14ac:dyDescent="0.2">
      <c r="AL3878" s="177"/>
    </row>
    <row r="3879" spans="38:38" x14ac:dyDescent="0.2">
      <c r="AL3879" s="177"/>
    </row>
    <row r="3880" spans="38:38" x14ac:dyDescent="0.2">
      <c r="AL3880" s="177"/>
    </row>
    <row r="3881" spans="38:38" x14ac:dyDescent="0.2">
      <c r="AL3881" s="177"/>
    </row>
    <row r="3882" spans="38:38" x14ac:dyDescent="0.2">
      <c r="AL3882" s="177"/>
    </row>
    <row r="3883" spans="38:38" x14ac:dyDescent="0.2">
      <c r="AL3883" s="177"/>
    </row>
    <row r="3884" spans="38:38" x14ac:dyDescent="0.2">
      <c r="AL3884" s="177"/>
    </row>
    <row r="3885" spans="38:38" x14ac:dyDescent="0.2">
      <c r="AL3885" s="177"/>
    </row>
    <row r="3886" spans="38:38" x14ac:dyDescent="0.2">
      <c r="AL3886" s="177"/>
    </row>
    <row r="3887" spans="38:38" x14ac:dyDescent="0.2">
      <c r="AL3887" s="177"/>
    </row>
    <row r="3888" spans="38:38" x14ac:dyDescent="0.2">
      <c r="AL3888" s="177"/>
    </row>
    <row r="3889" spans="38:38" x14ac:dyDescent="0.2">
      <c r="AL3889" s="177"/>
    </row>
    <row r="3890" spans="38:38" x14ac:dyDescent="0.2">
      <c r="AL3890" s="177"/>
    </row>
    <row r="3891" spans="38:38" x14ac:dyDescent="0.2">
      <c r="AL3891" s="177"/>
    </row>
    <row r="3892" spans="38:38" x14ac:dyDescent="0.2">
      <c r="AL3892" s="177"/>
    </row>
    <row r="3893" spans="38:38" x14ac:dyDescent="0.2">
      <c r="AL3893" s="177"/>
    </row>
    <row r="3894" spans="38:38" x14ac:dyDescent="0.2">
      <c r="AL3894" s="177"/>
    </row>
    <row r="3895" spans="38:38" x14ac:dyDescent="0.2">
      <c r="AL3895" s="177"/>
    </row>
    <row r="3896" spans="38:38" x14ac:dyDescent="0.2">
      <c r="AL3896" s="177"/>
    </row>
    <row r="3897" spans="38:38" x14ac:dyDescent="0.2">
      <c r="AL3897" s="177"/>
    </row>
    <row r="3898" spans="38:38" x14ac:dyDescent="0.2">
      <c r="AL3898" s="177"/>
    </row>
    <row r="3899" spans="38:38" x14ac:dyDescent="0.2">
      <c r="AL3899" s="177"/>
    </row>
    <row r="3900" spans="38:38" x14ac:dyDescent="0.2">
      <c r="AL3900" s="177"/>
    </row>
    <row r="3901" spans="38:38" x14ac:dyDescent="0.2">
      <c r="AL3901" s="177"/>
    </row>
    <row r="3902" spans="38:38" x14ac:dyDescent="0.2">
      <c r="AL3902" s="177"/>
    </row>
    <row r="3903" spans="38:38" x14ac:dyDescent="0.2">
      <c r="AL3903" s="177"/>
    </row>
    <row r="3904" spans="38:38" x14ac:dyDescent="0.2">
      <c r="AL3904" s="177"/>
    </row>
    <row r="3905" spans="38:38" x14ac:dyDescent="0.2">
      <c r="AL3905" s="177"/>
    </row>
    <row r="3906" spans="38:38" x14ac:dyDescent="0.2">
      <c r="AL3906" s="177"/>
    </row>
    <row r="3907" spans="38:38" x14ac:dyDescent="0.2">
      <c r="AL3907" s="177"/>
    </row>
    <row r="3908" spans="38:38" x14ac:dyDescent="0.2">
      <c r="AL3908" s="177"/>
    </row>
    <row r="3909" spans="38:38" x14ac:dyDescent="0.2">
      <c r="AL3909" s="177"/>
    </row>
    <row r="3910" spans="38:38" x14ac:dyDescent="0.2">
      <c r="AL3910" s="177"/>
    </row>
    <row r="3911" spans="38:38" x14ac:dyDescent="0.2">
      <c r="AL3911" s="177"/>
    </row>
    <row r="3912" spans="38:38" x14ac:dyDescent="0.2">
      <c r="AL3912" s="177"/>
    </row>
    <row r="3913" spans="38:38" x14ac:dyDescent="0.2">
      <c r="AL3913" s="177"/>
    </row>
    <row r="3914" spans="38:38" x14ac:dyDescent="0.2">
      <c r="AL3914" s="177"/>
    </row>
    <row r="3915" spans="38:38" x14ac:dyDescent="0.2">
      <c r="AL3915" s="177"/>
    </row>
    <row r="3916" spans="38:38" x14ac:dyDescent="0.2">
      <c r="AL3916" s="177"/>
    </row>
    <row r="3917" spans="38:38" x14ac:dyDescent="0.2">
      <c r="AL3917" s="177"/>
    </row>
    <row r="3918" spans="38:38" x14ac:dyDescent="0.2">
      <c r="AL3918" s="177"/>
    </row>
    <row r="3919" spans="38:38" x14ac:dyDescent="0.2">
      <c r="AL3919" s="177"/>
    </row>
    <row r="3920" spans="38:38" x14ac:dyDescent="0.2">
      <c r="AL3920" s="177"/>
    </row>
    <row r="3921" spans="38:38" x14ac:dyDescent="0.2">
      <c r="AL3921" s="177"/>
    </row>
    <row r="3922" spans="38:38" x14ac:dyDescent="0.2">
      <c r="AL3922" s="177"/>
    </row>
    <row r="3923" spans="38:38" x14ac:dyDescent="0.2">
      <c r="AL3923" s="177"/>
    </row>
    <row r="3924" spans="38:38" x14ac:dyDescent="0.2">
      <c r="AL3924" s="177"/>
    </row>
    <row r="3925" spans="38:38" x14ac:dyDescent="0.2">
      <c r="AL3925" s="177"/>
    </row>
    <row r="3926" spans="38:38" x14ac:dyDescent="0.2">
      <c r="AL3926" s="177"/>
    </row>
    <row r="3927" spans="38:38" x14ac:dyDescent="0.2">
      <c r="AL3927" s="177"/>
    </row>
    <row r="3928" spans="38:38" x14ac:dyDescent="0.2">
      <c r="AL3928" s="177"/>
    </row>
    <row r="3929" spans="38:38" x14ac:dyDescent="0.2">
      <c r="AL3929" s="177"/>
    </row>
    <row r="3930" spans="38:38" x14ac:dyDescent="0.2">
      <c r="AL3930" s="177"/>
    </row>
    <row r="3931" spans="38:38" x14ac:dyDescent="0.2">
      <c r="AL3931" s="177"/>
    </row>
    <row r="3932" spans="38:38" x14ac:dyDescent="0.2">
      <c r="AL3932" s="177"/>
    </row>
    <row r="3933" spans="38:38" x14ac:dyDescent="0.2">
      <c r="AL3933" s="177"/>
    </row>
    <row r="3934" spans="38:38" x14ac:dyDescent="0.2">
      <c r="AL3934" s="177"/>
    </row>
    <row r="3935" spans="38:38" x14ac:dyDescent="0.2">
      <c r="AL3935" s="177"/>
    </row>
    <row r="3936" spans="38:38" x14ac:dyDescent="0.2">
      <c r="AL3936" s="177"/>
    </row>
    <row r="3937" spans="38:38" x14ac:dyDescent="0.2">
      <c r="AL3937" s="177"/>
    </row>
    <row r="3938" spans="38:38" x14ac:dyDescent="0.2">
      <c r="AL3938" s="177"/>
    </row>
    <row r="3939" spans="38:38" x14ac:dyDescent="0.2">
      <c r="AL3939" s="177"/>
    </row>
    <row r="3940" spans="38:38" x14ac:dyDescent="0.2">
      <c r="AL3940" s="177"/>
    </row>
    <row r="3941" spans="38:38" x14ac:dyDescent="0.2">
      <c r="AL3941" s="177"/>
    </row>
    <row r="3942" spans="38:38" x14ac:dyDescent="0.2">
      <c r="AL3942" s="177"/>
    </row>
    <row r="3943" spans="38:38" x14ac:dyDescent="0.2">
      <c r="AL3943" s="177"/>
    </row>
    <row r="3944" spans="38:38" x14ac:dyDescent="0.2">
      <c r="AL3944" s="177"/>
    </row>
    <row r="3945" spans="38:38" x14ac:dyDescent="0.2">
      <c r="AL3945" s="177"/>
    </row>
    <row r="3946" spans="38:38" x14ac:dyDescent="0.2">
      <c r="AL3946" s="177"/>
    </row>
    <row r="3947" spans="38:38" x14ac:dyDescent="0.2">
      <c r="AL3947" s="177"/>
    </row>
    <row r="3948" spans="38:38" x14ac:dyDescent="0.2">
      <c r="AL3948" s="177"/>
    </row>
    <row r="3949" spans="38:38" x14ac:dyDescent="0.2">
      <c r="AL3949" s="177"/>
    </row>
    <row r="3950" spans="38:38" x14ac:dyDescent="0.2">
      <c r="AL3950" s="177"/>
    </row>
    <row r="3951" spans="38:38" x14ac:dyDescent="0.2">
      <c r="AL3951" s="177"/>
    </row>
    <row r="3952" spans="38:38" x14ac:dyDescent="0.2">
      <c r="AL3952" s="177"/>
    </row>
    <row r="3953" spans="38:38" x14ac:dyDescent="0.2">
      <c r="AL3953" s="177"/>
    </row>
    <row r="3954" spans="38:38" x14ac:dyDescent="0.2">
      <c r="AL3954" s="177"/>
    </row>
    <row r="3955" spans="38:38" x14ac:dyDescent="0.2">
      <c r="AL3955" s="177"/>
    </row>
    <row r="3956" spans="38:38" x14ac:dyDescent="0.2">
      <c r="AL3956" s="177"/>
    </row>
    <row r="3957" spans="38:38" x14ac:dyDescent="0.2">
      <c r="AL3957" s="177"/>
    </row>
    <row r="3958" spans="38:38" x14ac:dyDescent="0.2">
      <c r="AL3958" s="177"/>
    </row>
    <row r="3959" spans="38:38" x14ac:dyDescent="0.2">
      <c r="AL3959" s="177"/>
    </row>
    <row r="3960" spans="38:38" x14ac:dyDescent="0.2">
      <c r="AL3960" s="177"/>
    </row>
    <row r="3961" spans="38:38" x14ac:dyDescent="0.2">
      <c r="AL3961" s="177"/>
    </row>
    <row r="3962" spans="38:38" x14ac:dyDescent="0.2">
      <c r="AL3962" s="177"/>
    </row>
    <row r="3963" spans="38:38" x14ac:dyDescent="0.2">
      <c r="AL3963" s="177"/>
    </row>
    <row r="3964" spans="38:38" x14ac:dyDescent="0.2">
      <c r="AL3964" s="177"/>
    </row>
    <row r="3965" spans="38:38" x14ac:dyDescent="0.2">
      <c r="AL3965" s="177"/>
    </row>
    <row r="3966" spans="38:38" x14ac:dyDescent="0.2">
      <c r="AL3966" s="177"/>
    </row>
    <row r="3967" spans="38:38" x14ac:dyDescent="0.2">
      <c r="AL3967" s="177"/>
    </row>
    <row r="3968" spans="38:38" x14ac:dyDescent="0.2">
      <c r="AL3968" s="177"/>
    </row>
    <row r="3969" spans="38:38" x14ac:dyDescent="0.2">
      <c r="AL3969" s="177"/>
    </row>
    <row r="3970" spans="38:38" x14ac:dyDescent="0.2">
      <c r="AL3970" s="177"/>
    </row>
    <row r="3971" spans="38:38" x14ac:dyDescent="0.2">
      <c r="AL3971" s="177"/>
    </row>
    <row r="3972" spans="38:38" x14ac:dyDescent="0.2">
      <c r="AL3972" s="177"/>
    </row>
    <row r="3973" spans="38:38" x14ac:dyDescent="0.2">
      <c r="AL3973" s="177"/>
    </row>
    <row r="3974" spans="38:38" x14ac:dyDescent="0.2">
      <c r="AL3974" s="177"/>
    </row>
    <row r="3975" spans="38:38" x14ac:dyDescent="0.2">
      <c r="AL3975" s="177"/>
    </row>
    <row r="3976" spans="38:38" x14ac:dyDescent="0.2">
      <c r="AL3976" s="177"/>
    </row>
    <row r="3977" spans="38:38" x14ac:dyDescent="0.2">
      <c r="AL3977" s="177"/>
    </row>
    <row r="3978" spans="38:38" x14ac:dyDescent="0.2">
      <c r="AL3978" s="177"/>
    </row>
    <row r="3979" spans="38:38" x14ac:dyDescent="0.2">
      <c r="AL3979" s="177"/>
    </row>
    <row r="3980" spans="38:38" x14ac:dyDescent="0.2">
      <c r="AL3980" s="177"/>
    </row>
    <row r="3981" spans="38:38" x14ac:dyDescent="0.2">
      <c r="AL3981" s="177"/>
    </row>
    <row r="3982" spans="38:38" x14ac:dyDescent="0.2">
      <c r="AL3982" s="177"/>
    </row>
    <row r="3983" spans="38:38" x14ac:dyDescent="0.2">
      <c r="AL3983" s="177"/>
    </row>
    <row r="3984" spans="38:38" x14ac:dyDescent="0.2">
      <c r="AL3984" s="177"/>
    </row>
    <row r="3985" spans="38:38" x14ac:dyDescent="0.2">
      <c r="AL3985" s="177"/>
    </row>
    <row r="3986" spans="38:38" x14ac:dyDescent="0.2">
      <c r="AL3986" s="177"/>
    </row>
    <row r="3987" spans="38:38" x14ac:dyDescent="0.2">
      <c r="AL3987" s="177"/>
    </row>
    <row r="3988" spans="38:38" x14ac:dyDescent="0.2">
      <c r="AL3988" s="177"/>
    </row>
    <row r="3989" spans="38:38" x14ac:dyDescent="0.2">
      <c r="AL3989" s="177"/>
    </row>
    <row r="3990" spans="38:38" x14ac:dyDescent="0.2">
      <c r="AL3990" s="177"/>
    </row>
    <row r="3991" spans="38:38" x14ac:dyDescent="0.2">
      <c r="AL3991" s="177"/>
    </row>
    <row r="3992" spans="38:38" x14ac:dyDescent="0.2">
      <c r="AL3992" s="177"/>
    </row>
    <row r="3993" spans="38:38" x14ac:dyDescent="0.2">
      <c r="AL3993" s="177"/>
    </row>
    <row r="3994" spans="38:38" x14ac:dyDescent="0.2">
      <c r="AL3994" s="177"/>
    </row>
    <row r="3995" spans="38:38" x14ac:dyDescent="0.2">
      <c r="AL3995" s="177"/>
    </row>
    <row r="3996" spans="38:38" x14ac:dyDescent="0.2">
      <c r="AL3996" s="177"/>
    </row>
    <row r="3997" spans="38:38" x14ac:dyDescent="0.2">
      <c r="AL3997" s="177"/>
    </row>
    <row r="3998" spans="38:38" x14ac:dyDescent="0.2">
      <c r="AL3998" s="177"/>
    </row>
    <row r="3999" spans="38:38" x14ac:dyDescent="0.2">
      <c r="AL3999" s="177"/>
    </row>
    <row r="4000" spans="38:38" x14ac:dyDescent="0.2">
      <c r="AL4000" s="177"/>
    </row>
    <row r="4001" spans="38:38" x14ac:dyDescent="0.2">
      <c r="AL4001" s="177"/>
    </row>
    <row r="4002" spans="38:38" x14ac:dyDescent="0.2">
      <c r="AL4002" s="177"/>
    </row>
    <row r="4003" spans="38:38" x14ac:dyDescent="0.2">
      <c r="AL4003" s="177"/>
    </row>
    <row r="4004" spans="38:38" x14ac:dyDescent="0.2">
      <c r="AL4004" s="177"/>
    </row>
    <row r="4005" spans="38:38" x14ac:dyDescent="0.2">
      <c r="AL4005" s="177"/>
    </row>
    <row r="4006" spans="38:38" x14ac:dyDescent="0.2">
      <c r="AL4006" s="177"/>
    </row>
    <row r="4007" spans="38:38" x14ac:dyDescent="0.2">
      <c r="AL4007" s="177"/>
    </row>
    <row r="4008" spans="38:38" x14ac:dyDescent="0.2">
      <c r="AL4008" s="177"/>
    </row>
    <row r="4009" spans="38:38" x14ac:dyDescent="0.2">
      <c r="AL4009" s="177"/>
    </row>
    <row r="4010" spans="38:38" x14ac:dyDescent="0.2">
      <c r="AL4010" s="177"/>
    </row>
    <row r="4011" spans="38:38" x14ac:dyDescent="0.2">
      <c r="AL4011" s="177"/>
    </row>
    <row r="4012" spans="38:38" x14ac:dyDescent="0.2">
      <c r="AL4012" s="177"/>
    </row>
    <row r="4013" spans="38:38" x14ac:dyDescent="0.2">
      <c r="AL4013" s="177"/>
    </row>
    <row r="4014" spans="38:38" x14ac:dyDescent="0.2">
      <c r="AL4014" s="177"/>
    </row>
    <row r="4015" spans="38:38" x14ac:dyDescent="0.2">
      <c r="AL4015" s="177"/>
    </row>
    <row r="4016" spans="38:38" x14ac:dyDescent="0.2">
      <c r="AL4016" s="177"/>
    </row>
    <row r="4017" spans="38:38" x14ac:dyDescent="0.2">
      <c r="AL4017" s="177"/>
    </row>
    <row r="4018" spans="38:38" x14ac:dyDescent="0.2">
      <c r="AL4018" s="177"/>
    </row>
    <row r="4019" spans="38:38" x14ac:dyDescent="0.2">
      <c r="AL4019" s="177"/>
    </row>
    <row r="4020" spans="38:38" x14ac:dyDescent="0.2">
      <c r="AL4020" s="177"/>
    </row>
    <row r="4021" spans="38:38" x14ac:dyDescent="0.2">
      <c r="AL4021" s="177"/>
    </row>
    <row r="4022" spans="38:38" x14ac:dyDescent="0.2">
      <c r="AL4022" s="177"/>
    </row>
    <row r="4023" spans="38:38" x14ac:dyDescent="0.2">
      <c r="AL4023" s="177"/>
    </row>
    <row r="4024" spans="38:38" x14ac:dyDescent="0.2">
      <c r="AL4024" s="177"/>
    </row>
    <row r="4025" spans="38:38" x14ac:dyDescent="0.2">
      <c r="AL4025" s="177"/>
    </row>
    <row r="4026" spans="38:38" x14ac:dyDescent="0.2">
      <c r="AL4026" s="177"/>
    </row>
    <row r="4027" spans="38:38" x14ac:dyDescent="0.2">
      <c r="AL4027" s="177"/>
    </row>
    <row r="4028" spans="38:38" x14ac:dyDescent="0.2">
      <c r="AL4028" s="177"/>
    </row>
    <row r="4029" spans="38:38" x14ac:dyDescent="0.2">
      <c r="AL4029" s="177"/>
    </row>
    <row r="4030" spans="38:38" x14ac:dyDescent="0.2">
      <c r="AL4030" s="177"/>
    </row>
    <row r="4031" spans="38:38" x14ac:dyDescent="0.2">
      <c r="AL4031" s="177"/>
    </row>
    <row r="4032" spans="38:38" x14ac:dyDescent="0.2">
      <c r="AL4032" s="177"/>
    </row>
    <row r="4033" spans="38:38" x14ac:dyDescent="0.2">
      <c r="AL4033" s="177"/>
    </row>
    <row r="4034" spans="38:38" x14ac:dyDescent="0.2">
      <c r="AL4034" s="177"/>
    </row>
    <row r="4035" spans="38:38" x14ac:dyDescent="0.2">
      <c r="AL4035" s="177"/>
    </row>
    <row r="4036" spans="38:38" x14ac:dyDescent="0.2">
      <c r="AL4036" s="177"/>
    </row>
    <row r="4037" spans="38:38" x14ac:dyDescent="0.2">
      <c r="AL4037" s="177"/>
    </row>
    <row r="4038" spans="38:38" x14ac:dyDescent="0.2">
      <c r="AL4038" s="177"/>
    </row>
    <row r="4039" spans="38:38" x14ac:dyDescent="0.2">
      <c r="AL4039" s="177"/>
    </row>
    <row r="4040" spans="38:38" x14ac:dyDescent="0.2">
      <c r="AL4040" s="177"/>
    </row>
    <row r="4041" spans="38:38" x14ac:dyDescent="0.2">
      <c r="AL4041" s="177"/>
    </row>
    <row r="4042" spans="38:38" x14ac:dyDescent="0.2">
      <c r="AL4042" s="177"/>
    </row>
    <row r="4043" spans="38:38" x14ac:dyDescent="0.2">
      <c r="AL4043" s="177"/>
    </row>
    <row r="4044" spans="38:38" x14ac:dyDescent="0.2">
      <c r="AL4044" s="177"/>
    </row>
    <row r="4045" spans="38:38" x14ac:dyDescent="0.2">
      <c r="AL4045" s="177"/>
    </row>
    <row r="4046" spans="38:38" x14ac:dyDescent="0.2">
      <c r="AL4046" s="177"/>
    </row>
    <row r="4047" spans="38:38" x14ac:dyDescent="0.2">
      <c r="AL4047" s="177"/>
    </row>
    <row r="4048" spans="38:38" x14ac:dyDescent="0.2">
      <c r="AL4048" s="177"/>
    </row>
    <row r="4049" spans="38:38" x14ac:dyDescent="0.2">
      <c r="AL4049" s="177"/>
    </row>
    <row r="4050" spans="38:38" x14ac:dyDescent="0.2">
      <c r="AL4050" s="177"/>
    </row>
    <row r="4051" spans="38:38" x14ac:dyDescent="0.2">
      <c r="AL4051" s="177"/>
    </row>
    <row r="4052" spans="38:38" x14ac:dyDescent="0.2">
      <c r="AL4052" s="177"/>
    </row>
    <row r="4053" spans="38:38" x14ac:dyDescent="0.2">
      <c r="AL4053" s="177"/>
    </row>
    <row r="4054" spans="38:38" x14ac:dyDescent="0.2">
      <c r="AL4054" s="177"/>
    </row>
    <row r="4055" spans="38:38" x14ac:dyDescent="0.2">
      <c r="AL4055" s="177"/>
    </row>
    <row r="4056" spans="38:38" x14ac:dyDescent="0.2">
      <c r="AL4056" s="177"/>
    </row>
    <row r="4057" spans="38:38" x14ac:dyDescent="0.2">
      <c r="AL4057" s="177"/>
    </row>
    <row r="4058" spans="38:38" x14ac:dyDescent="0.2">
      <c r="AL4058" s="177"/>
    </row>
    <row r="4059" spans="38:38" x14ac:dyDescent="0.2">
      <c r="AL4059" s="177"/>
    </row>
    <row r="4060" spans="38:38" x14ac:dyDescent="0.2">
      <c r="AL4060" s="177"/>
    </row>
    <row r="4061" spans="38:38" x14ac:dyDescent="0.2">
      <c r="AL4061" s="177"/>
    </row>
    <row r="4062" spans="38:38" x14ac:dyDescent="0.2">
      <c r="AL4062" s="177"/>
    </row>
    <row r="4063" spans="38:38" x14ac:dyDescent="0.2">
      <c r="AL4063" s="177"/>
    </row>
    <row r="4064" spans="38:38" x14ac:dyDescent="0.2">
      <c r="AL4064" s="177"/>
    </row>
    <row r="4065" spans="38:38" x14ac:dyDescent="0.2">
      <c r="AL4065" s="177"/>
    </row>
    <row r="4066" spans="38:38" x14ac:dyDescent="0.2">
      <c r="AL4066" s="177"/>
    </row>
    <row r="4067" spans="38:38" x14ac:dyDescent="0.2">
      <c r="AL4067" s="177"/>
    </row>
    <row r="4068" spans="38:38" x14ac:dyDescent="0.2">
      <c r="AL4068" s="177"/>
    </row>
    <row r="4069" spans="38:38" x14ac:dyDescent="0.2">
      <c r="AL4069" s="177"/>
    </row>
    <row r="4070" spans="38:38" x14ac:dyDescent="0.2">
      <c r="AL4070" s="177"/>
    </row>
    <row r="4071" spans="38:38" x14ac:dyDescent="0.2">
      <c r="AL4071" s="177"/>
    </row>
    <row r="4072" spans="38:38" x14ac:dyDescent="0.2">
      <c r="AL4072" s="177"/>
    </row>
    <row r="4073" spans="38:38" x14ac:dyDescent="0.2">
      <c r="AL4073" s="177"/>
    </row>
    <row r="4074" spans="38:38" x14ac:dyDescent="0.2">
      <c r="AL4074" s="177"/>
    </row>
    <row r="4075" spans="38:38" x14ac:dyDescent="0.2">
      <c r="AL4075" s="177"/>
    </row>
    <row r="4076" spans="38:38" x14ac:dyDescent="0.2">
      <c r="AL4076" s="177"/>
    </row>
    <row r="4077" spans="38:38" x14ac:dyDescent="0.2">
      <c r="AL4077" s="177"/>
    </row>
    <row r="4078" spans="38:38" x14ac:dyDescent="0.2">
      <c r="AL4078" s="177"/>
    </row>
    <row r="4079" spans="38:38" x14ac:dyDescent="0.2">
      <c r="AL4079" s="177"/>
    </row>
    <row r="4080" spans="38:38" x14ac:dyDescent="0.2">
      <c r="AL4080" s="177"/>
    </row>
    <row r="4081" spans="38:38" x14ac:dyDescent="0.2">
      <c r="AL4081" s="177"/>
    </row>
    <row r="4082" spans="38:38" x14ac:dyDescent="0.2">
      <c r="AL4082" s="177"/>
    </row>
    <row r="4083" spans="38:38" x14ac:dyDescent="0.2">
      <c r="AL4083" s="177"/>
    </row>
    <row r="4084" spans="38:38" x14ac:dyDescent="0.2">
      <c r="AL4084" s="177"/>
    </row>
    <row r="4085" spans="38:38" x14ac:dyDescent="0.2">
      <c r="AL4085" s="177"/>
    </row>
    <row r="4086" spans="38:38" x14ac:dyDescent="0.2">
      <c r="AL4086" s="177"/>
    </row>
    <row r="4087" spans="38:38" x14ac:dyDescent="0.2">
      <c r="AL4087" s="177"/>
    </row>
    <row r="4088" spans="38:38" x14ac:dyDescent="0.2">
      <c r="AL4088" s="177"/>
    </row>
    <row r="4089" spans="38:38" x14ac:dyDescent="0.2">
      <c r="AL4089" s="177"/>
    </row>
    <row r="4090" spans="38:38" x14ac:dyDescent="0.2">
      <c r="AL4090" s="177"/>
    </row>
    <row r="4091" spans="38:38" x14ac:dyDescent="0.2">
      <c r="AL4091" s="177"/>
    </row>
    <row r="4092" spans="38:38" x14ac:dyDescent="0.2">
      <c r="AL4092" s="177"/>
    </row>
    <row r="4093" spans="38:38" x14ac:dyDescent="0.2">
      <c r="AL4093" s="177"/>
    </row>
    <row r="4094" spans="38:38" x14ac:dyDescent="0.2">
      <c r="AL4094" s="177"/>
    </row>
    <row r="4095" spans="38:38" x14ac:dyDescent="0.2">
      <c r="AL4095" s="177"/>
    </row>
    <row r="4096" spans="38:38" x14ac:dyDescent="0.2">
      <c r="AL4096" s="177"/>
    </row>
    <row r="4097" spans="38:38" x14ac:dyDescent="0.2">
      <c r="AL4097" s="177"/>
    </row>
    <row r="4098" spans="38:38" x14ac:dyDescent="0.2">
      <c r="AL4098" s="177"/>
    </row>
    <row r="4099" spans="38:38" x14ac:dyDescent="0.2">
      <c r="AL4099" s="177"/>
    </row>
    <row r="4100" spans="38:38" x14ac:dyDescent="0.2">
      <c r="AL4100" s="177"/>
    </row>
    <row r="4101" spans="38:38" x14ac:dyDescent="0.2">
      <c r="AL4101" s="177"/>
    </row>
    <row r="4102" spans="38:38" x14ac:dyDescent="0.2">
      <c r="AL4102" s="177"/>
    </row>
    <row r="4103" spans="38:38" x14ac:dyDescent="0.2">
      <c r="AL4103" s="177"/>
    </row>
    <row r="4104" spans="38:38" x14ac:dyDescent="0.2">
      <c r="AL4104" s="177"/>
    </row>
    <row r="4105" spans="38:38" x14ac:dyDescent="0.2">
      <c r="AL4105" s="177"/>
    </row>
    <row r="4106" spans="38:38" x14ac:dyDescent="0.2">
      <c r="AL4106" s="177"/>
    </row>
    <row r="4107" spans="38:38" x14ac:dyDescent="0.2">
      <c r="AL4107" s="177"/>
    </row>
    <row r="4108" spans="38:38" x14ac:dyDescent="0.2">
      <c r="AL4108" s="177"/>
    </row>
    <row r="4109" spans="38:38" x14ac:dyDescent="0.2">
      <c r="AL4109" s="177"/>
    </row>
    <row r="4110" spans="38:38" x14ac:dyDescent="0.2">
      <c r="AL4110" s="177"/>
    </row>
    <row r="4111" spans="38:38" x14ac:dyDescent="0.2">
      <c r="AL4111" s="177"/>
    </row>
    <row r="4112" spans="38:38" x14ac:dyDescent="0.2">
      <c r="AL4112" s="177"/>
    </row>
    <row r="4113" spans="38:38" x14ac:dyDescent="0.2">
      <c r="AL4113" s="177"/>
    </row>
    <row r="4114" spans="38:38" x14ac:dyDescent="0.2">
      <c r="AL4114" s="177"/>
    </row>
    <row r="4115" spans="38:38" x14ac:dyDescent="0.2">
      <c r="AL4115" s="177"/>
    </row>
    <row r="4116" spans="38:38" x14ac:dyDescent="0.2">
      <c r="AL4116" s="177"/>
    </row>
    <row r="4117" spans="38:38" x14ac:dyDescent="0.2">
      <c r="AL4117" s="177"/>
    </row>
    <row r="4118" spans="38:38" x14ac:dyDescent="0.2">
      <c r="AL4118" s="177"/>
    </row>
    <row r="4119" spans="38:38" x14ac:dyDescent="0.2">
      <c r="AL4119" s="177"/>
    </row>
    <row r="4120" spans="38:38" x14ac:dyDescent="0.2">
      <c r="AL4120" s="177"/>
    </row>
    <row r="4121" spans="38:38" x14ac:dyDescent="0.2">
      <c r="AL4121" s="177"/>
    </row>
    <row r="4122" spans="38:38" x14ac:dyDescent="0.2">
      <c r="AL4122" s="177"/>
    </row>
    <row r="4123" spans="38:38" x14ac:dyDescent="0.2">
      <c r="AL4123" s="177"/>
    </row>
    <row r="4124" spans="38:38" x14ac:dyDescent="0.2">
      <c r="AL4124" s="177"/>
    </row>
    <row r="4125" spans="38:38" x14ac:dyDescent="0.2">
      <c r="AL4125" s="177"/>
    </row>
    <row r="4126" spans="38:38" x14ac:dyDescent="0.2">
      <c r="AL4126" s="177"/>
    </row>
    <row r="4127" spans="38:38" x14ac:dyDescent="0.2">
      <c r="AL4127" s="177"/>
    </row>
    <row r="4128" spans="38:38" x14ac:dyDescent="0.2">
      <c r="AL4128" s="177"/>
    </row>
    <row r="4129" spans="38:38" x14ac:dyDescent="0.2">
      <c r="AL4129" s="177"/>
    </row>
    <row r="4130" spans="38:38" x14ac:dyDescent="0.2">
      <c r="AL4130" s="177"/>
    </row>
    <row r="4131" spans="38:38" x14ac:dyDescent="0.2">
      <c r="AL4131" s="177"/>
    </row>
    <row r="4132" spans="38:38" x14ac:dyDescent="0.2">
      <c r="AL4132" s="177"/>
    </row>
    <row r="4133" spans="38:38" x14ac:dyDescent="0.2">
      <c r="AL4133" s="177"/>
    </row>
    <row r="4134" spans="38:38" x14ac:dyDescent="0.2">
      <c r="AL4134" s="177"/>
    </row>
    <row r="4135" spans="38:38" x14ac:dyDescent="0.2">
      <c r="AL4135" s="177"/>
    </row>
    <row r="4136" spans="38:38" x14ac:dyDescent="0.2">
      <c r="AL4136" s="177"/>
    </row>
    <row r="4137" spans="38:38" x14ac:dyDescent="0.2">
      <c r="AL4137" s="177"/>
    </row>
    <row r="4138" spans="38:38" x14ac:dyDescent="0.2">
      <c r="AL4138" s="177"/>
    </row>
    <row r="4139" spans="38:38" x14ac:dyDescent="0.2">
      <c r="AL4139" s="177"/>
    </row>
    <row r="4140" spans="38:38" x14ac:dyDescent="0.2">
      <c r="AL4140" s="177"/>
    </row>
    <row r="4141" spans="38:38" x14ac:dyDescent="0.2">
      <c r="AL4141" s="177"/>
    </row>
    <row r="4142" spans="38:38" x14ac:dyDescent="0.2">
      <c r="AL4142" s="177"/>
    </row>
    <row r="4143" spans="38:38" x14ac:dyDescent="0.2">
      <c r="AL4143" s="177"/>
    </row>
    <row r="4144" spans="38:38" x14ac:dyDescent="0.2">
      <c r="AL4144" s="177"/>
    </row>
    <row r="4145" spans="38:38" x14ac:dyDescent="0.2">
      <c r="AL4145" s="177"/>
    </row>
    <row r="4146" spans="38:38" x14ac:dyDescent="0.2">
      <c r="AL4146" s="177"/>
    </row>
    <row r="4147" spans="38:38" x14ac:dyDescent="0.2">
      <c r="AL4147" s="177"/>
    </row>
    <row r="4148" spans="38:38" x14ac:dyDescent="0.2">
      <c r="AL4148" s="177"/>
    </row>
    <row r="4149" spans="38:38" x14ac:dyDescent="0.2">
      <c r="AL4149" s="177"/>
    </row>
    <row r="4150" spans="38:38" x14ac:dyDescent="0.2">
      <c r="AL4150" s="177"/>
    </row>
    <row r="4151" spans="38:38" x14ac:dyDescent="0.2">
      <c r="AL4151" s="177"/>
    </row>
    <row r="4152" spans="38:38" x14ac:dyDescent="0.2">
      <c r="AL4152" s="177"/>
    </row>
    <row r="4153" spans="38:38" x14ac:dyDescent="0.2">
      <c r="AL4153" s="177"/>
    </row>
    <row r="4154" spans="38:38" x14ac:dyDescent="0.2">
      <c r="AL4154" s="177"/>
    </row>
    <row r="4155" spans="38:38" x14ac:dyDescent="0.2">
      <c r="AL4155" s="177"/>
    </row>
    <row r="4156" spans="38:38" x14ac:dyDescent="0.2">
      <c r="AL4156" s="177"/>
    </row>
    <row r="4157" spans="38:38" x14ac:dyDescent="0.2">
      <c r="AL4157" s="177"/>
    </row>
    <row r="4158" spans="38:38" x14ac:dyDescent="0.2">
      <c r="AL4158" s="177"/>
    </row>
    <row r="4159" spans="38:38" x14ac:dyDescent="0.2">
      <c r="AL4159" s="177"/>
    </row>
    <row r="4160" spans="38:38" x14ac:dyDescent="0.2">
      <c r="AL4160" s="177"/>
    </row>
    <row r="4161" spans="38:38" x14ac:dyDescent="0.2">
      <c r="AL4161" s="177"/>
    </row>
    <row r="4162" spans="38:38" x14ac:dyDescent="0.2">
      <c r="AL4162" s="177"/>
    </row>
    <row r="4163" spans="38:38" x14ac:dyDescent="0.2">
      <c r="AL4163" s="177"/>
    </row>
    <row r="4164" spans="38:38" x14ac:dyDescent="0.2">
      <c r="AL4164" s="177"/>
    </row>
    <row r="4165" spans="38:38" x14ac:dyDescent="0.2">
      <c r="AL4165" s="177"/>
    </row>
    <row r="4166" spans="38:38" x14ac:dyDescent="0.2">
      <c r="AL4166" s="177"/>
    </row>
    <row r="4167" spans="38:38" x14ac:dyDescent="0.2">
      <c r="AL4167" s="177"/>
    </row>
    <row r="4168" spans="38:38" x14ac:dyDescent="0.2">
      <c r="AL4168" s="177"/>
    </row>
    <row r="4169" spans="38:38" x14ac:dyDescent="0.2">
      <c r="AL4169" s="177"/>
    </row>
    <row r="4170" spans="38:38" x14ac:dyDescent="0.2">
      <c r="AL4170" s="177"/>
    </row>
    <row r="4171" spans="38:38" x14ac:dyDescent="0.2">
      <c r="AL4171" s="177"/>
    </row>
    <row r="4172" spans="38:38" x14ac:dyDescent="0.2">
      <c r="AL4172" s="177"/>
    </row>
    <row r="4173" spans="38:38" x14ac:dyDescent="0.2">
      <c r="AL4173" s="177"/>
    </row>
    <row r="4174" spans="38:38" x14ac:dyDescent="0.2">
      <c r="AL4174" s="177"/>
    </row>
    <row r="4175" spans="38:38" x14ac:dyDescent="0.2">
      <c r="AL4175" s="177"/>
    </row>
    <row r="4176" spans="38:38" x14ac:dyDescent="0.2">
      <c r="AL4176" s="177"/>
    </row>
    <row r="4177" spans="38:38" x14ac:dyDescent="0.2">
      <c r="AL4177" s="177"/>
    </row>
    <row r="4178" spans="38:38" x14ac:dyDescent="0.2">
      <c r="AL4178" s="177"/>
    </row>
    <row r="4179" spans="38:38" x14ac:dyDescent="0.2">
      <c r="AL4179" s="177"/>
    </row>
    <row r="4180" spans="38:38" x14ac:dyDescent="0.2">
      <c r="AL4180" s="177"/>
    </row>
    <row r="4181" spans="38:38" x14ac:dyDescent="0.2">
      <c r="AL4181" s="177"/>
    </row>
    <row r="4182" spans="38:38" x14ac:dyDescent="0.2">
      <c r="AL4182" s="177"/>
    </row>
    <row r="4183" spans="38:38" x14ac:dyDescent="0.2">
      <c r="AL4183" s="177"/>
    </row>
    <row r="4184" spans="38:38" x14ac:dyDescent="0.2">
      <c r="AL4184" s="177"/>
    </row>
    <row r="4185" spans="38:38" x14ac:dyDescent="0.2">
      <c r="AL4185" s="177"/>
    </row>
    <row r="4186" spans="38:38" x14ac:dyDescent="0.2">
      <c r="AL4186" s="177"/>
    </row>
    <row r="4187" spans="38:38" x14ac:dyDescent="0.2">
      <c r="AL4187" s="177"/>
    </row>
    <row r="4188" spans="38:38" x14ac:dyDescent="0.2">
      <c r="AL4188" s="177"/>
    </row>
    <row r="4189" spans="38:38" x14ac:dyDescent="0.2">
      <c r="AL4189" s="177"/>
    </row>
    <row r="4190" spans="38:38" x14ac:dyDescent="0.2">
      <c r="AL4190" s="177"/>
    </row>
    <row r="4191" spans="38:38" x14ac:dyDescent="0.2">
      <c r="AL4191" s="177"/>
    </row>
    <row r="4192" spans="38:38" x14ac:dyDescent="0.2">
      <c r="AL4192" s="177"/>
    </row>
    <row r="4193" spans="38:38" x14ac:dyDescent="0.2">
      <c r="AL4193" s="177"/>
    </row>
    <row r="4194" spans="38:38" x14ac:dyDescent="0.2">
      <c r="AL4194" s="177"/>
    </row>
    <row r="4195" spans="38:38" x14ac:dyDescent="0.2">
      <c r="AL4195" s="177"/>
    </row>
    <row r="4196" spans="38:38" x14ac:dyDescent="0.2">
      <c r="AL4196" s="177"/>
    </row>
    <row r="4197" spans="38:38" x14ac:dyDescent="0.2">
      <c r="AL4197" s="177"/>
    </row>
    <row r="4198" spans="38:38" x14ac:dyDescent="0.2">
      <c r="AL4198" s="177"/>
    </row>
    <row r="4199" spans="38:38" x14ac:dyDescent="0.2">
      <c r="AL4199" s="177"/>
    </row>
    <row r="4200" spans="38:38" x14ac:dyDescent="0.2">
      <c r="AL4200" s="177"/>
    </row>
    <row r="4201" spans="38:38" x14ac:dyDescent="0.2">
      <c r="AL4201" s="177"/>
    </row>
    <row r="4202" spans="38:38" x14ac:dyDescent="0.2">
      <c r="AL4202" s="177"/>
    </row>
    <row r="4203" spans="38:38" x14ac:dyDescent="0.2">
      <c r="AL4203" s="177"/>
    </row>
    <row r="4204" spans="38:38" x14ac:dyDescent="0.2">
      <c r="AL4204" s="177"/>
    </row>
    <row r="4205" spans="38:38" x14ac:dyDescent="0.2">
      <c r="AL4205" s="177"/>
    </row>
    <row r="4206" spans="38:38" x14ac:dyDescent="0.2">
      <c r="AL4206" s="177"/>
    </row>
    <row r="4207" spans="38:38" x14ac:dyDescent="0.2">
      <c r="AL4207" s="177"/>
    </row>
    <row r="4208" spans="38:38" x14ac:dyDescent="0.2">
      <c r="AL4208" s="177"/>
    </row>
    <row r="4209" spans="38:38" x14ac:dyDescent="0.2">
      <c r="AL4209" s="177"/>
    </row>
    <row r="4210" spans="38:38" x14ac:dyDescent="0.2">
      <c r="AL4210" s="177"/>
    </row>
    <row r="4211" spans="38:38" x14ac:dyDescent="0.2">
      <c r="AL4211" s="177"/>
    </row>
    <row r="4212" spans="38:38" x14ac:dyDescent="0.2">
      <c r="AL4212" s="177"/>
    </row>
    <row r="4213" spans="38:38" x14ac:dyDescent="0.2">
      <c r="AL4213" s="177"/>
    </row>
    <row r="4214" spans="38:38" x14ac:dyDescent="0.2">
      <c r="AL4214" s="177"/>
    </row>
    <row r="4215" spans="38:38" x14ac:dyDescent="0.2">
      <c r="AL4215" s="177"/>
    </row>
    <row r="4216" spans="38:38" x14ac:dyDescent="0.2">
      <c r="AL4216" s="177"/>
    </row>
    <row r="4217" spans="38:38" x14ac:dyDescent="0.2">
      <c r="AL4217" s="177"/>
    </row>
    <row r="4218" spans="38:38" x14ac:dyDescent="0.2">
      <c r="AL4218" s="177"/>
    </row>
    <row r="4219" spans="38:38" x14ac:dyDescent="0.2">
      <c r="AL4219" s="177"/>
    </row>
    <row r="4220" spans="38:38" x14ac:dyDescent="0.2">
      <c r="AL4220" s="177"/>
    </row>
    <row r="4221" spans="38:38" x14ac:dyDescent="0.2">
      <c r="AL4221" s="177"/>
    </row>
    <row r="4222" spans="38:38" x14ac:dyDescent="0.2">
      <c r="AL4222" s="177"/>
    </row>
    <row r="4223" spans="38:38" x14ac:dyDescent="0.2">
      <c r="AL4223" s="177"/>
    </row>
    <row r="4224" spans="38:38" x14ac:dyDescent="0.2">
      <c r="AL4224" s="177"/>
    </row>
    <row r="4225" spans="38:38" x14ac:dyDescent="0.2">
      <c r="AL4225" s="177"/>
    </row>
    <row r="4226" spans="38:38" x14ac:dyDescent="0.2">
      <c r="AL4226" s="177"/>
    </row>
    <row r="4227" spans="38:38" x14ac:dyDescent="0.2">
      <c r="AL4227" s="177"/>
    </row>
    <row r="4228" spans="38:38" x14ac:dyDescent="0.2">
      <c r="AL4228" s="177"/>
    </row>
    <row r="4229" spans="38:38" x14ac:dyDescent="0.2">
      <c r="AL4229" s="177"/>
    </row>
    <row r="4230" spans="38:38" x14ac:dyDescent="0.2">
      <c r="AL4230" s="177"/>
    </row>
    <row r="4231" spans="38:38" x14ac:dyDescent="0.2">
      <c r="AL4231" s="177"/>
    </row>
    <row r="4232" spans="38:38" x14ac:dyDescent="0.2">
      <c r="AL4232" s="177"/>
    </row>
    <row r="4233" spans="38:38" x14ac:dyDescent="0.2">
      <c r="AL4233" s="177"/>
    </row>
    <row r="4234" spans="38:38" x14ac:dyDescent="0.2">
      <c r="AL4234" s="177"/>
    </row>
    <row r="4235" spans="38:38" x14ac:dyDescent="0.2">
      <c r="AL4235" s="177"/>
    </row>
    <row r="4236" spans="38:38" x14ac:dyDescent="0.2">
      <c r="AL4236" s="177"/>
    </row>
    <row r="4237" spans="38:38" x14ac:dyDescent="0.2">
      <c r="AL4237" s="177"/>
    </row>
    <row r="4238" spans="38:38" x14ac:dyDescent="0.2">
      <c r="AL4238" s="177"/>
    </row>
    <row r="4239" spans="38:38" x14ac:dyDescent="0.2">
      <c r="AL4239" s="177"/>
    </row>
    <row r="4240" spans="38:38" x14ac:dyDescent="0.2">
      <c r="AL4240" s="177"/>
    </row>
    <row r="4241" spans="38:38" x14ac:dyDescent="0.2">
      <c r="AL4241" s="177"/>
    </row>
    <row r="4242" spans="38:38" x14ac:dyDescent="0.2">
      <c r="AL4242" s="177"/>
    </row>
    <row r="4243" spans="38:38" x14ac:dyDescent="0.2">
      <c r="AL4243" s="177"/>
    </row>
    <row r="4244" spans="38:38" x14ac:dyDescent="0.2">
      <c r="AL4244" s="177"/>
    </row>
    <row r="4245" spans="38:38" x14ac:dyDescent="0.2">
      <c r="AL4245" s="177"/>
    </row>
    <row r="4246" spans="38:38" x14ac:dyDescent="0.2">
      <c r="AL4246" s="177"/>
    </row>
    <row r="4247" spans="38:38" x14ac:dyDescent="0.2">
      <c r="AL4247" s="177"/>
    </row>
    <row r="4248" spans="38:38" x14ac:dyDescent="0.2">
      <c r="AL4248" s="177"/>
    </row>
    <row r="4249" spans="38:38" x14ac:dyDescent="0.2">
      <c r="AL4249" s="177"/>
    </row>
    <row r="4250" spans="38:38" x14ac:dyDescent="0.2">
      <c r="AL4250" s="177"/>
    </row>
    <row r="4251" spans="38:38" x14ac:dyDescent="0.2">
      <c r="AL4251" s="177"/>
    </row>
    <row r="4252" spans="38:38" x14ac:dyDescent="0.2">
      <c r="AL4252" s="177"/>
    </row>
    <row r="4253" spans="38:38" x14ac:dyDescent="0.2">
      <c r="AL4253" s="177"/>
    </row>
    <row r="4254" spans="38:38" x14ac:dyDescent="0.2">
      <c r="AL4254" s="177"/>
    </row>
    <row r="4255" spans="38:38" x14ac:dyDescent="0.2">
      <c r="AL4255" s="177"/>
    </row>
    <row r="4256" spans="38:38" x14ac:dyDescent="0.2">
      <c r="AL4256" s="177"/>
    </row>
    <row r="4257" spans="38:38" x14ac:dyDescent="0.2">
      <c r="AL4257" s="177"/>
    </row>
    <row r="4258" spans="38:38" x14ac:dyDescent="0.2">
      <c r="AL4258" s="177"/>
    </row>
    <row r="4259" spans="38:38" x14ac:dyDescent="0.2">
      <c r="AL4259" s="177"/>
    </row>
    <row r="4260" spans="38:38" x14ac:dyDescent="0.2">
      <c r="AL4260" s="177"/>
    </row>
    <row r="4261" spans="38:38" x14ac:dyDescent="0.2">
      <c r="AL4261" s="177"/>
    </row>
    <row r="4262" spans="38:38" x14ac:dyDescent="0.2">
      <c r="AL4262" s="177"/>
    </row>
    <row r="4263" spans="38:38" x14ac:dyDescent="0.2">
      <c r="AL4263" s="177"/>
    </row>
    <row r="4264" spans="38:38" x14ac:dyDescent="0.2">
      <c r="AL4264" s="177"/>
    </row>
    <row r="4265" spans="38:38" x14ac:dyDescent="0.2">
      <c r="AL4265" s="177"/>
    </row>
    <row r="4266" spans="38:38" x14ac:dyDescent="0.2">
      <c r="AL4266" s="177"/>
    </row>
    <row r="4267" spans="38:38" x14ac:dyDescent="0.2">
      <c r="AL4267" s="177"/>
    </row>
    <row r="4268" spans="38:38" x14ac:dyDescent="0.2">
      <c r="AL4268" s="177"/>
    </row>
    <row r="4269" spans="38:38" x14ac:dyDescent="0.2">
      <c r="AL4269" s="177"/>
    </row>
    <row r="4270" spans="38:38" x14ac:dyDescent="0.2">
      <c r="AL4270" s="177"/>
    </row>
    <row r="4271" spans="38:38" x14ac:dyDescent="0.2">
      <c r="AL4271" s="177"/>
    </row>
    <row r="4272" spans="38:38" x14ac:dyDescent="0.2">
      <c r="AL4272" s="177"/>
    </row>
    <row r="4273" spans="38:38" x14ac:dyDescent="0.2">
      <c r="AL4273" s="177"/>
    </row>
    <row r="4274" spans="38:38" x14ac:dyDescent="0.2">
      <c r="AL4274" s="177"/>
    </row>
    <row r="4275" spans="38:38" x14ac:dyDescent="0.2">
      <c r="AL4275" s="177"/>
    </row>
    <row r="4276" spans="38:38" x14ac:dyDescent="0.2">
      <c r="AL4276" s="177"/>
    </row>
    <row r="4277" spans="38:38" x14ac:dyDescent="0.2">
      <c r="AL4277" s="177"/>
    </row>
    <row r="4278" spans="38:38" x14ac:dyDescent="0.2">
      <c r="AL4278" s="177"/>
    </row>
    <row r="4279" spans="38:38" x14ac:dyDescent="0.2">
      <c r="AL4279" s="177"/>
    </row>
    <row r="4280" spans="38:38" x14ac:dyDescent="0.2">
      <c r="AL4280" s="177"/>
    </row>
    <row r="4281" spans="38:38" x14ac:dyDescent="0.2">
      <c r="AL4281" s="177"/>
    </row>
    <row r="4282" spans="38:38" x14ac:dyDescent="0.2">
      <c r="AL4282" s="177"/>
    </row>
    <row r="4283" spans="38:38" x14ac:dyDescent="0.2">
      <c r="AL4283" s="177"/>
    </row>
    <row r="4284" spans="38:38" x14ac:dyDescent="0.2">
      <c r="AL4284" s="177"/>
    </row>
    <row r="4285" spans="38:38" x14ac:dyDescent="0.2">
      <c r="AL4285" s="177"/>
    </row>
    <row r="4286" spans="38:38" x14ac:dyDescent="0.2">
      <c r="AL4286" s="177"/>
    </row>
    <row r="4287" spans="38:38" x14ac:dyDescent="0.2">
      <c r="AL4287" s="177"/>
    </row>
    <row r="4288" spans="38:38" x14ac:dyDescent="0.2">
      <c r="AL4288" s="177"/>
    </row>
    <row r="4289" spans="38:38" x14ac:dyDescent="0.2">
      <c r="AL4289" s="177"/>
    </row>
    <row r="4290" spans="38:38" x14ac:dyDescent="0.2">
      <c r="AL4290" s="177"/>
    </row>
    <row r="4291" spans="38:38" x14ac:dyDescent="0.2">
      <c r="AL4291" s="177"/>
    </row>
    <row r="4292" spans="38:38" x14ac:dyDescent="0.2">
      <c r="AL4292" s="177"/>
    </row>
    <row r="4293" spans="38:38" x14ac:dyDescent="0.2">
      <c r="AL4293" s="177"/>
    </row>
    <row r="4294" spans="38:38" x14ac:dyDescent="0.2">
      <c r="AL4294" s="177"/>
    </row>
    <row r="4295" spans="38:38" x14ac:dyDescent="0.2">
      <c r="AL4295" s="177"/>
    </row>
    <row r="4296" spans="38:38" x14ac:dyDescent="0.2">
      <c r="AL4296" s="177"/>
    </row>
    <row r="4297" spans="38:38" x14ac:dyDescent="0.2">
      <c r="AL4297" s="177"/>
    </row>
    <row r="4298" spans="38:38" x14ac:dyDescent="0.2">
      <c r="AL4298" s="177"/>
    </row>
    <row r="4299" spans="38:38" x14ac:dyDescent="0.2">
      <c r="AL4299" s="177"/>
    </row>
    <row r="4300" spans="38:38" x14ac:dyDescent="0.2">
      <c r="AL4300" s="177"/>
    </row>
    <row r="4301" spans="38:38" x14ac:dyDescent="0.2">
      <c r="AL4301" s="177"/>
    </row>
    <row r="4302" spans="38:38" x14ac:dyDescent="0.2">
      <c r="AL4302" s="177"/>
    </row>
    <row r="4303" spans="38:38" x14ac:dyDescent="0.2">
      <c r="AL4303" s="177"/>
    </row>
    <row r="4304" spans="38:38" x14ac:dyDescent="0.2">
      <c r="AL4304" s="177"/>
    </row>
    <row r="4305" spans="38:38" x14ac:dyDescent="0.2">
      <c r="AL4305" s="177"/>
    </row>
    <row r="4306" spans="38:38" x14ac:dyDescent="0.2">
      <c r="AL4306" s="177"/>
    </row>
    <row r="4307" spans="38:38" x14ac:dyDescent="0.2">
      <c r="AL4307" s="177"/>
    </row>
    <row r="4308" spans="38:38" x14ac:dyDescent="0.2">
      <c r="AL4308" s="177"/>
    </row>
    <row r="4309" spans="38:38" x14ac:dyDescent="0.2">
      <c r="AL4309" s="177"/>
    </row>
    <row r="4310" spans="38:38" x14ac:dyDescent="0.2">
      <c r="AL4310" s="177"/>
    </row>
    <row r="4311" spans="38:38" x14ac:dyDescent="0.2">
      <c r="AL4311" s="177"/>
    </row>
    <row r="4312" spans="38:38" x14ac:dyDescent="0.2">
      <c r="AL4312" s="177"/>
    </row>
    <row r="4313" spans="38:38" x14ac:dyDescent="0.2">
      <c r="AL4313" s="177"/>
    </row>
    <row r="4314" spans="38:38" x14ac:dyDescent="0.2">
      <c r="AL4314" s="177"/>
    </row>
    <row r="4315" spans="38:38" x14ac:dyDescent="0.2">
      <c r="AL4315" s="177"/>
    </row>
    <row r="4316" spans="38:38" x14ac:dyDescent="0.2">
      <c r="AL4316" s="177"/>
    </row>
    <row r="4317" spans="38:38" x14ac:dyDescent="0.2">
      <c r="AL4317" s="177"/>
    </row>
    <row r="4318" spans="38:38" x14ac:dyDescent="0.2">
      <c r="AL4318" s="177"/>
    </row>
    <row r="4319" spans="38:38" x14ac:dyDescent="0.2">
      <c r="AL4319" s="177"/>
    </row>
    <row r="4320" spans="38:38" x14ac:dyDescent="0.2">
      <c r="AL4320" s="177"/>
    </row>
    <row r="4321" spans="38:38" x14ac:dyDescent="0.2">
      <c r="AL4321" s="177"/>
    </row>
    <row r="4322" spans="38:38" x14ac:dyDescent="0.2">
      <c r="AL4322" s="177"/>
    </row>
    <row r="4323" spans="38:38" x14ac:dyDescent="0.2">
      <c r="AL4323" s="177"/>
    </row>
    <row r="4324" spans="38:38" x14ac:dyDescent="0.2">
      <c r="AL4324" s="177"/>
    </row>
    <row r="4325" spans="38:38" x14ac:dyDescent="0.2">
      <c r="AL4325" s="177"/>
    </row>
    <row r="4326" spans="38:38" x14ac:dyDescent="0.2">
      <c r="AL4326" s="177"/>
    </row>
    <row r="4327" spans="38:38" x14ac:dyDescent="0.2">
      <c r="AL4327" s="177"/>
    </row>
    <row r="4328" spans="38:38" x14ac:dyDescent="0.2">
      <c r="AL4328" s="177"/>
    </row>
    <row r="4329" spans="38:38" x14ac:dyDescent="0.2">
      <c r="AL4329" s="177"/>
    </row>
    <row r="4330" spans="38:38" x14ac:dyDescent="0.2">
      <c r="AL4330" s="177"/>
    </row>
    <row r="4331" spans="38:38" x14ac:dyDescent="0.2">
      <c r="AL4331" s="177"/>
    </row>
    <row r="4332" spans="38:38" x14ac:dyDescent="0.2">
      <c r="AL4332" s="177"/>
    </row>
    <row r="4333" spans="38:38" x14ac:dyDescent="0.2">
      <c r="AL4333" s="177"/>
    </row>
    <row r="4334" spans="38:38" x14ac:dyDescent="0.2">
      <c r="AL4334" s="177"/>
    </row>
    <row r="4335" spans="38:38" x14ac:dyDescent="0.2">
      <c r="AL4335" s="177"/>
    </row>
    <row r="4336" spans="38:38" x14ac:dyDescent="0.2">
      <c r="AL4336" s="177"/>
    </row>
    <row r="4337" spans="38:38" x14ac:dyDescent="0.2">
      <c r="AL4337" s="177"/>
    </row>
    <row r="4338" spans="38:38" x14ac:dyDescent="0.2">
      <c r="AL4338" s="177"/>
    </row>
    <row r="4339" spans="38:38" x14ac:dyDescent="0.2">
      <c r="AL4339" s="177"/>
    </row>
    <row r="4340" spans="38:38" x14ac:dyDescent="0.2">
      <c r="AL4340" s="177"/>
    </row>
    <row r="4341" spans="38:38" x14ac:dyDescent="0.2">
      <c r="AL4341" s="177"/>
    </row>
    <row r="4342" spans="38:38" x14ac:dyDescent="0.2">
      <c r="AL4342" s="177"/>
    </row>
    <row r="4343" spans="38:38" x14ac:dyDescent="0.2">
      <c r="AL4343" s="177"/>
    </row>
    <row r="4344" spans="38:38" x14ac:dyDescent="0.2">
      <c r="AL4344" s="177"/>
    </row>
    <row r="4345" spans="38:38" x14ac:dyDescent="0.2">
      <c r="AL4345" s="177"/>
    </row>
    <row r="4346" spans="38:38" x14ac:dyDescent="0.2">
      <c r="AL4346" s="177"/>
    </row>
    <row r="4347" spans="38:38" x14ac:dyDescent="0.2">
      <c r="AL4347" s="177"/>
    </row>
    <row r="4348" spans="38:38" x14ac:dyDescent="0.2">
      <c r="AL4348" s="177"/>
    </row>
    <row r="4349" spans="38:38" x14ac:dyDescent="0.2">
      <c r="AL4349" s="177"/>
    </row>
    <row r="4350" spans="38:38" x14ac:dyDescent="0.2">
      <c r="AL4350" s="177"/>
    </row>
    <row r="4351" spans="38:38" x14ac:dyDescent="0.2">
      <c r="AL4351" s="177"/>
    </row>
    <row r="4352" spans="38:38" x14ac:dyDescent="0.2">
      <c r="AL4352" s="177"/>
    </row>
    <row r="4353" spans="38:38" x14ac:dyDescent="0.2">
      <c r="AL4353" s="177"/>
    </row>
    <row r="4354" spans="38:38" x14ac:dyDescent="0.2">
      <c r="AL4354" s="177"/>
    </row>
    <row r="4355" spans="38:38" x14ac:dyDescent="0.2">
      <c r="AL4355" s="177"/>
    </row>
    <row r="4356" spans="38:38" x14ac:dyDescent="0.2">
      <c r="AL4356" s="177"/>
    </row>
    <row r="4357" spans="38:38" x14ac:dyDescent="0.2">
      <c r="AL4357" s="177"/>
    </row>
    <row r="4358" spans="38:38" x14ac:dyDescent="0.2">
      <c r="AL4358" s="177"/>
    </row>
    <row r="4359" spans="38:38" x14ac:dyDescent="0.2">
      <c r="AL4359" s="177"/>
    </row>
    <row r="4360" spans="38:38" x14ac:dyDescent="0.2">
      <c r="AL4360" s="177"/>
    </row>
    <row r="4361" spans="38:38" x14ac:dyDescent="0.2">
      <c r="AL4361" s="177"/>
    </row>
    <row r="4362" spans="38:38" x14ac:dyDescent="0.2">
      <c r="AL4362" s="177"/>
    </row>
    <row r="4363" spans="38:38" x14ac:dyDescent="0.2">
      <c r="AL4363" s="177"/>
    </row>
    <row r="4364" spans="38:38" x14ac:dyDescent="0.2">
      <c r="AL4364" s="177"/>
    </row>
    <row r="4365" spans="38:38" x14ac:dyDescent="0.2">
      <c r="AL4365" s="177"/>
    </row>
    <row r="4366" spans="38:38" x14ac:dyDescent="0.2">
      <c r="AL4366" s="177"/>
    </row>
    <row r="4367" spans="38:38" x14ac:dyDescent="0.2">
      <c r="AL4367" s="177"/>
    </row>
    <row r="4368" spans="38:38" x14ac:dyDescent="0.2">
      <c r="AL4368" s="177"/>
    </row>
    <row r="4369" spans="38:38" x14ac:dyDescent="0.2">
      <c r="AL4369" s="177"/>
    </row>
    <row r="4370" spans="38:38" x14ac:dyDescent="0.2">
      <c r="AL4370" s="177"/>
    </row>
    <row r="4371" spans="38:38" x14ac:dyDescent="0.2">
      <c r="AL4371" s="177"/>
    </row>
    <row r="4372" spans="38:38" x14ac:dyDescent="0.2">
      <c r="AL4372" s="177"/>
    </row>
    <row r="4373" spans="38:38" x14ac:dyDescent="0.2">
      <c r="AL4373" s="177"/>
    </row>
    <row r="4374" spans="38:38" x14ac:dyDescent="0.2">
      <c r="AL4374" s="177"/>
    </row>
    <row r="4375" spans="38:38" x14ac:dyDescent="0.2">
      <c r="AL4375" s="177"/>
    </row>
    <row r="4376" spans="38:38" x14ac:dyDescent="0.2">
      <c r="AL4376" s="177"/>
    </row>
    <row r="4377" spans="38:38" x14ac:dyDescent="0.2">
      <c r="AL4377" s="177"/>
    </row>
    <row r="4378" spans="38:38" x14ac:dyDescent="0.2">
      <c r="AL4378" s="177"/>
    </row>
    <row r="4379" spans="38:38" x14ac:dyDescent="0.2">
      <c r="AL4379" s="177"/>
    </row>
    <row r="4380" spans="38:38" x14ac:dyDescent="0.2">
      <c r="AL4380" s="177"/>
    </row>
    <row r="4381" spans="38:38" x14ac:dyDescent="0.2">
      <c r="AL4381" s="177"/>
    </row>
    <row r="4382" spans="38:38" x14ac:dyDescent="0.2">
      <c r="AL4382" s="177"/>
    </row>
    <row r="4383" spans="38:38" x14ac:dyDescent="0.2">
      <c r="AL4383" s="177"/>
    </row>
    <row r="4384" spans="38:38" x14ac:dyDescent="0.2">
      <c r="AL4384" s="177"/>
    </row>
    <row r="4385" spans="38:38" x14ac:dyDescent="0.2">
      <c r="AL4385" s="177"/>
    </row>
    <row r="4386" spans="38:38" x14ac:dyDescent="0.2">
      <c r="AL4386" s="177"/>
    </row>
    <row r="4387" spans="38:38" x14ac:dyDescent="0.2">
      <c r="AL4387" s="177"/>
    </row>
    <row r="4388" spans="38:38" x14ac:dyDescent="0.2">
      <c r="AL4388" s="177"/>
    </row>
    <row r="4389" spans="38:38" x14ac:dyDescent="0.2">
      <c r="AL4389" s="177"/>
    </row>
    <row r="4390" spans="38:38" x14ac:dyDescent="0.2">
      <c r="AL4390" s="177"/>
    </row>
    <row r="4391" spans="38:38" x14ac:dyDescent="0.2">
      <c r="AL4391" s="177"/>
    </row>
    <row r="4392" spans="38:38" x14ac:dyDescent="0.2">
      <c r="AL4392" s="177"/>
    </row>
    <row r="4393" spans="38:38" x14ac:dyDescent="0.2">
      <c r="AL4393" s="177"/>
    </row>
    <row r="4394" spans="38:38" x14ac:dyDescent="0.2">
      <c r="AL4394" s="177"/>
    </row>
    <row r="4395" spans="38:38" x14ac:dyDescent="0.2">
      <c r="AL4395" s="177"/>
    </row>
    <row r="4396" spans="38:38" x14ac:dyDescent="0.2">
      <c r="AL4396" s="177"/>
    </row>
    <row r="4397" spans="38:38" x14ac:dyDescent="0.2">
      <c r="AL4397" s="177"/>
    </row>
    <row r="4398" spans="38:38" x14ac:dyDescent="0.2">
      <c r="AL4398" s="177"/>
    </row>
    <row r="4399" spans="38:38" x14ac:dyDescent="0.2">
      <c r="AL4399" s="177"/>
    </row>
    <row r="4400" spans="38:38" x14ac:dyDescent="0.2">
      <c r="AL4400" s="177"/>
    </row>
    <row r="4401" spans="38:38" x14ac:dyDescent="0.2">
      <c r="AL4401" s="177"/>
    </row>
    <row r="4402" spans="38:38" x14ac:dyDescent="0.2">
      <c r="AL4402" s="177"/>
    </row>
    <row r="4403" spans="38:38" x14ac:dyDescent="0.2">
      <c r="AL4403" s="177"/>
    </row>
    <row r="4404" spans="38:38" x14ac:dyDescent="0.2">
      <c r="AL4404" s="177"/>
    </row>
    <row r="4405" spans="38:38" x14ac:dyDescent="0.2">
      <c r="AL4405" s="177"/>
    </row>
    <row r="4406" spans="38:38" x14ac:dyDescent="0.2">
      <c r="AL4406" s="177"/>
    </row>
    <row r="4407" spans="38:38" x14ac:dyDescent="0.2">
      <c r="AL4407" s="177"/>
    </row>
    <row r="4408" spans="38:38" x14ac:dyDescent="0.2">
      <c r="AL4408" s="177"/>
    </row>
    <row r="4409" spans="38:38" x14ac:dyDescent="0.2">
      <c r="AL4409" s="177"/>
    </row>
    <row r="4410" spans="38:38" x14ac:dyDescent="0.2">
      <c r="AL4410" s="177"/>
    </row>
    <row r="4411" spans="38:38" x14ac:dyDescent="0.2">
      <c r="AL4411" s="177"/>
    </row>
    <row r="4412" spans="38:38" x14ac:dyDescent="0.2">
      <c r="AL4412" s="177"/>
    </row>
    <row r="4413" spans="38:38" x14ac:dyDescent="0.2">
      <c r="AL4413" s="177"/>
    </row>
    <row r="4414" spans="38:38" x14ac:dyDescent="0.2">
      <c r="AL4414" s="177"/>
    </row>
    <row r="4415" spans="38:38" x14ac:dyDescent="0.2">
      <c r="AL4415" s="177"/>
    </row>
    <row r="4416" spans="38:38" x14ac:dyDescent="0.2">
      <c r="AL4416" s="177"/>
    </row>
    <row r="4417" spans="38:38" x14ac:dyDescent="0.2">
      <c r="AL4417" s="177"/>
    </row>
    <row r="4418" spans="38:38" x14ac:dyDescent="0.2">
      <c r="AL4418" s="177"/>
    </row>
    <row r="4419" spans="38:38" x14ac:dyDescent="0.2">
      <c r="AL4419" s="177"/>
    </row>
    <row r="4420" spans="38:38" x14ac:dyDescent="0.2">
      <c r="AL4420" s="177"/>
    </row>
    <row r="4421" spans="38:38" x14ac:dyDescent="0.2">
      <c r="AL4421" s="177"/>
    </row>
    <row r="4422" spans="38:38" x14ac:dyDescent="0.2">
      <c r="AL4422" s="177"/>
    </row>
    <row r="4423" spans="38:38" x14ac:dyDescent="0.2">
      <c r="AL4423" s="177"/>
    </row>
    <row r="4424" spans="38:38" x14ac:dyDescent="0.2">
      <c r="AL4424" s="177"/>
    </row>
    <row r="4425" spans="38:38" x14ac:dyDescent="0.2">
      <c r="AL4425" s="177"/>
    </row>
    <row r="4426" spans="38:38" x14ac:dyDescent="0.2">
      <c r="AL4426" s="177"/>
    </row>
    <row r="4427" spans="38:38" x14ac:dyDescent="0.2">
      <c r="AL4427" s="177"/>
    </row>
    <row r="4428" spans="38:38" x14ac:dyDescent="0.2">
      <c r="AL4428" s="177"/>
    </row>
    <row r="4429" spans="38:38" x14ac:dyDescent="0.2">
      <c r="AL4429" s="177"/>
    </row>
    <row r="4430" spans="38:38" x14ac:dyDescent="0.2">
      <c r="AL4430" s="177"/>
    </row>
    <row r="4431" spans="38:38" x14ac:dyDescent="0.2">
      <c r="AL4431" s="177"/>
    </row>
    <row r="4432" spans="38:38" x14ac:dyDescent="0.2">
      <c r="AL4432" s="177"/>
    </row>
    <row r="4433" spans="38:38" x14ac:dyDescent="0.2">
      <c r="AL4433" s="177"/>
    </row>
    <row r="4434" spans="38:38" x14ac:dyDescent="0.2">
      <c r="AL4434" s="177"/>
    </row>
    <row r="4435" spans="38:38" x14ac:dyDescent="0.2">
      <c r="AL4435" s="177"/>
    </row>
    <row r="4436" spans="38:38" x14ac:dyDescent="0.2">
      <c r="AL4436" s="177"/>
    </row>
    <row r="4437" spans="38:38" x14ac:dyDescent="0.2">
      <c r="AL4437" s="177"/>
    </row>
    <row r="4438" spans="38:38" x14ac:dyDescent="0.2">
      <c r="AL4438" s="177"/>
    </row>
    <row r="4439" spans="38:38" x14ac:dyDescent="0.2">
      <c r="AL4439" s="177"/>
    </row>
    <row r="4440" spans="38:38" x14ac:dyDescent="0.2">
      <c r="AL4440" s="177"/>
    </row>
    <row r="4441" spans="38:38" x14ac:dyDescent="0.2">
      <c r="AL4441" s="177"/>
    </row>
    <row r="4442" spans="38:38" x14ac:dyDescent="0.2">
      <c r="AL4442" s="177"/>
    </row>
    <row r="4443" spans="38:38" x14ac:dyDescent="0.2">
      <c r="AL4443" s="177"/>
    </row>
    <row r="4444" spans="38:38" x14ac:dyDescent="0.2">
      <c r="AL4444" s="177"/>
    </row>
    <row r="4445" spans="38:38" x14ac:dyDescent="0.2">
      <c r="AL4445" s="177"/>
    </row>
    <row r="4446" spans="38:38" x14ac:dyDescent="0.2">
      <c r="AL4446" s="177"/>
    </row>
    <row r="4447" spans="38:38" x14ac:dyDescent="0.2">
      <c r="AL4447" s="177"/>
    </row>
    <row r="4448" spans="38:38" x14ac:dyDescent="0.2">
      <c r="AL4448" s="177"/>
    </row>
    <row r="4449" spans="38:38" x14ac:dyDescent="0.2">
      <c r="AL4449" s="177"/>
    </row>
    <row r="4450" spans="38:38" x14ac:dyDescent="0.2">
      <c r="AL4450" s="177"/>
    </row>
    <row r="4451" spans="38:38" x14ac:dyDescent="0.2">
      <c r="AL4451" s="177"/>
    </row>
    <row r="4452" spans="38:38" x14ac:dyDescent="0.2">
      <c r="AL4452" s="177"/>
    </row>
    <row r="4453" spans="38:38" x14ac:dyDescent="0.2">
      <c r="AL4453" s="177"/>
    </row>
    <row r="4454" spans="38:38" x14ac:dyDescent="0.2">
      <c r="AL4454" s="177"/>
    </row>
    <row r="4455" spans="38:38" x14ac:dyDescent="0.2">
      <c r="AL4455" s="177"/>
    </row>
    <row r="4456" spans="38:38" x14ac:dyDescent="0.2">
      <c r="AL4456" s="177"/>
    </row>
    <row r="4457" spans="38:38" x14ac:dyDescent="0.2">
      <c r="AL4457" s="177"/>
    </row>
    <row r="4458" spans="38:38" x14ac:dyDescent="0.2">
      <c r="AL4458" s="177"/>
    </row>
    <row r="4459" spans="38:38" x14ac:dyDescent="0.2">
      <c r="AL4459" s="177"/>
    </row>
    <row r="4460" spans="38:38" x14ac:dyDescent="0.2">
      <c r="AL4460" s="177"/>
    </row>
    <row r="4461" spans="38:38" x14ac:dyDescent="0.2">
      <c r="AL4461" s="177"/>
    </row>
    <row r="4462" spans="38:38" x14ac:dyDescent="0.2">
      <c r="AL4462" s="177"/>
    </row>
    <row r="4463" spans="38:38" x14ac:dyDescent="0.2">
      <c r="AL4463" s="177"/>
    </row>
    <row r="4464" spans="38:38" x14ac:dyDescent="0.2">
      <c r="AL4464" s="177"/>
    </row>
    <row r="4465" spans="38:38" x14ac:dyDescent="0.2">
      <c r="AL4465" s="177"/>
    </row>
    <row r="4466" spans="38:38" x14ac:dyDescent="0.2">
      <c r="AL4466" s="177"/>
    </row>
    <row r="4467" spans="38:38" x14ac:dyDescent="0.2">
      <c r="AL4467" s="177"/>
    </row>
    <row r="4468" spans="38:38" x14ac:dyDescent="0.2">
      <c r="AL4468" s="177"/>
    </row>
    <row r="4469" spans="38:38" x14ac:dyDescent="0.2">
      <c r="AL4469" s="177"/>
    </row>
    <row r="4470" spans="38:38" x14ac:dyDescent="0.2">
      <c r="AL4470" s="177"/>
    </row>
    <row r="4471" spans="38:38" x14ac:dyDescent="0.2">
      <c r="AL4471" s="177"/>
    </row>
    <row r="4472" spans="38:38" x14ac:dyDescent="0.2">
      <c r="AL4472" s="177"/>
    </row>
    <row r="4473" spans="38:38" x14ac:dyDescent="0.2">
      <c r="AL4473" s="177"/>
    </row>
    <row r="4474" spans="38:38" x14ac:dyDescent="0.2">
      <c r="AL4474" s="177"/>
    </row>
    <row r="4475" spans="38:38" x14ac:dyDescent="0.2">
      <c r="AL4475" s="177"/>
    </row>
    <row r="4476" spans="38:38" x14ac:dyDescent="0.2">
      <c r="AL4476" s="177"/>
    </row>
    <row r="4477" spans="38:38" x14ac:dyDescent="0.2">
      <c r="AL4477" s="177"/>
    </row>
    <row r="4478" spans="38:38" x14ac:dyDescent="0.2">
      <c r="AL4478" s="177"/>
    </row>
    <row r="4479" spans="38:38" x14ac:dyDescent="0.2">
      <c r="AL4479" s="177"/>
    </row>
    <row r="4480" spans="38:38" x14ac:dyDescent="0.2">
      <c r="AL4480" s="177"/>
    </row>
    <row r="4481" spans="38:38" x14ac:dyDescent="0.2">
      <c r="AL4481" s="177"/>
    </row>
    <row r="4482" spans="38:38" x14ac:dyDescent="0.2">
      <c r="AL4482" s="177"/>
    </row>
    <row r="4483" spans="38:38" x14ac:dyDescent="0.2">
      <c r="AL4483" s="177"/>
    </row>
    <row r="4484" spans="38:38" x14ac:dyDescent="0.2">
      <c r="AL4484" s="177"/>
    </row>
    <row r="4485" spans="38:38" x14ac:dyDescent="0.2">
      <c r="AL4485" s="177"/>
    </row>
    <row r="4486" spans="38:38" x14ac:dyDescent="0.2">
      <c r="AL4486" s="177"/>
    </row>
    <row r="4487" spans="38:38" x14ac:dyDescent="0.2">
      <c r="AL4487" s="177"/>
    </row>
    <row r="4488" spans="38:38" x14ac:dyDescent="0.2">
      <c r="AL4488" s="177"/>
    </row>
    <row r="4489" spans="38:38" x14ac:dyDescent="0.2">
      <c r="AL4489" s="177"/>
    </row>
    <row r="4490" spans="38:38" x14ac:dyDescent="0.2">
      <c r="AL4490" s="177"/>
    </row>
    <row r="4491" spans="38:38" x14ac:dyDescent="0.2">
      <c r="AL4491" s="177"/>
    </row>
    <row r="4492" spans="38:38" x14ac:dyDescent="0.2">
      <c r="AL4492" s="177"/>
    </row>
    <row r="4493" spans="38:38" x14ac:dyDescent="0.2">
      <c r="AL4493" s="177"/>
    </row>
    <row r="4494" spans="38:38" x14ac:dyDescent="0.2">
      <c r="AL4494" s="177"/>
    </row>
    <row r="4495" spans="38:38" x14ac:dyDescent="0.2">
      <c r="AL4495" s="177"/>
    </row>
    <row r="4496" spans="38:38" x14ac:dyDescent="0.2">
      <c r="AL4496" s="177"/>
    </row>
    <row r="4497" spans="38:38" x14ac:dyDescent="0.2">
      <c r="AL4497" s="177"/>
    </row>
    <row r="4498" spans="38:38" x14ac:dyDescent="0.2">
      <c r="AL4498" s="177"/>
    </row>
    <row r="4499" spans="38:38" x14ac:dyDescent="0.2">
      <c r="AL4499" s="177"/>
    </row>
    <row r="4500" spans="38:38" x14ac:dyDescent="0.2">
      <c r="AL4500" s="177"/>
    </row>
    <row r="4501" spans="38:38" x14ac:dyDescent="0.2">
      <c r="AL4501" s="177"/>
    </row>
    <row r="4502" spans="38:38" x14ac:dyDescent="0.2">
      <c r="AL4502" s="177"/>
    </row>
    <row r="4503" spans="38:38" x14ac:dyDescent="0.2">
      <c r="AL4503" s="177"/>
    </row>
    <row r="4504" spans="38:38" x14ac:dyDescent="0.2">
      <c r="AL4504" s="177"/>
    </row>
    <row r="4505" spans="38:38" x14ac:dyDescent="0.2">
      <c r="AL4505" s="177"/>
    </row>
    <row r="4506" spans="38:38" x14ac:dyDescent="0.2">
      <c r="AL4506" s="177"/>
    </row>
    <row r="4507" spans="38:38" x14ac:dyDescent="0.2">
      <c r="AL4507" s="177"/>
    </row>
    <row r="4508" spans="38:38" x14ac:dyDescent="0.2">
      <c r="AL4508" s="177"/>
    </row>
    <row r="4509" spans="38:38" x14ac:dyDescent="0.2">
      <c r="AL4509" s="177"/>
    </row>
    <row r="4510" spans="38:38" x14ac:dyDescent="0.2">
      <c r="AL4510" s="177"/>
    </row>
    <row r="4511" spans="38:38" x14ac:dyDescent="0.2">
      <c r="AL4511" s="177"/>
    </row>
    <row r="4512" spans="38:38" x14ac:dyDescent="0.2">
      <c r="AL4512" s="177"/>
    </row>
    <row r="4513" spans="38:38" x14ac:dyDescent="0.2">
      <c r="AL4513" s="177"/>
    </row>
    <row r="4514" spans="38:38" x14ac:dyDescent="0.2">
      <c r="AL4514" s="177"/>
    </row>
    <row r="4515" spans="38:38" x14ac:dyDescent="0.2">
      <c r="AL4515" s="177"/>
    </row>
    <row r="4516" spans="38:38" x14ac:dyDescent="0.2">
      <c r="AL4516" s="177"/>
    </row>
    <row r="4517" spans="38:38" x14ac:dyDescent="0.2">
      <c r="AL4517" s="177"/>
    </row>
    <row r="4518" spans="38:38" x14ac:dyDescent="0.2">
      <c r="AL4518" s="177"/>
    </row>
    <row r="4519" spans="38:38" x14ac:dyDescent="0.2">
      <c r="AL4519" s="177"/>
    </row>
    <row r="4520" spans="38:38" x14ac:dyDescent="0.2">
      <c r="AL4520" s="177"/>
    </row>
    <row r="4521" spans="38:38" x14ac:dyDescent="0.2">
      <c r="AL4521" s="177"/>
    </row>
    <row r="4522" spans="38:38" x14ac:dyDescent="0.2">
      <c r="AL4522" s="177"/>
    </row>
    <row r="4523" spans="38:38" x14ac:dyDescent="0.2">
      <c r="AL4523" s="177"/>
    </row>
    <row r="4524" spans="38:38" x14ac:dyDescent="0.2">
      <c r="AL4524" s="177"/>
    </row>
    <row r="4525" spans="38:38" x14ac:dyDescent="0.2">
      <c r="AL4525" s="177"/>
    </row>
    <row r="4526" spans="38:38" x14ac:dyDescent="0.2">
      <c r="AL4526" s="177"/>
    </row>
    <row r="4527" spans="38:38" x14ac:dyDescent="0.2">
      <c r="AL4527" s="177"/>
    </row>
    <row r="4528" spans="38:38" x14ac:dyDescent="0.2">
      <c r="AL4528" s="177"/>
    </row>
    <row r="4529" spans="38:38" x14ac:dyDescent="0.2">
      <c r="AL4529" s="177"/>
    </row>
    <row r="4530" spans="38:38" x14ac:dyDescent="0.2">
      <c r="AL4530" s="177"/>
    </row>
    <row r="4531" spans="38:38" x14ac:dyDescent="0.2">
      <c r="AL4531" s="177"/>
    </row>
    <row r="4532" spans="38:38" x14ac:dyDescent="0.2">
      <c r="AL4532" s="177"/>
    </row>
    <row r="4533" spans="38:38" x14ac:dyDescent="0.2">
      <c r="AL4533" s="177"/>
    </row>
    <row r="4534" spans="38:38" x14ac:dyDescent="0.2">
      <c r="AL4534" s="177"/>
    </row>
    <row r="4535" spans="38:38" x14ac:dyDescent="0.2">
      <c r="AL4535" s="177"/>
    </row>
    <row r="4536" spans="38:38" x14ac:dyDescent="0.2">
      <c r="AL4536" s="177"/>
    </row>
    <row r="4537" spans="38:38" x14ac:dyDescent="0.2">
      <c r="AL4537" s="177"/>
    </row>
    <row r="4538" spans="38:38" x14ac:dyDescent="0.2">
      <c r="AL4538" s="177"/>
    </row>
    <row r="4539" spans="38:38" x14ac:dyDescent="0.2">
      <c r="AL4539" s="177"/>
    </row>
    <row r="4540" spans="38:38" x14ac:dyDescent="0.2">
      <c r="AL4540" s="177"/>
    </row>
    <row r="4541" spans="38:38" x14ac:dyDescent="0.2">
      <c r="AL4541" s="177"/>
    </row>
    <row r="4542" spans="38:38" x14ac:dyDescent="0.2">
      <c r="AL4542" s="177"/>
    </row>
    <row r="4543" spans="38:38" x14ac:dyDescent="0.2">
      <c r="AL4543" s="177"/>
    </row>
    <row r="4544" spans="38:38" x14ac:dyDescent="0.2">
      <c r="AL4544" s="177"/>
    </row>
    <row r="4545" spans="38:38" x14ac:dyDescent="0.2">
      <c r="AL4545" s="177"/>
    </row>
    <row r="4546" spans="38:38" x14ac:dyDescent="0.2">
      <c r="AL4546" s="177"/>
    </row>
    <row r="4547" spans="38:38" x14ac:dyDescent="0.2">
      <c r="AL4547" s="177"/>
    </row>
    <row r="4548" spans="38:38" x14ac:dyDescent="0.2">
      <c r="AL4548" s="177"/>
    </row>
    <row r="4549" spans="38:38" x14ac:dyDescent="0.2">
      <c r="AL4549" s="177"/>
    </row>
    <row r="4550" spans="38:38" x14ac:dyDescent="0.2">
      <c r="AL4550" s="177"/>
    </row>
    <row r="4551" spans="38:38" x14ac:dyDescent="0.2">
      <c r="AL4551" s="177"/>
    </row>
    <row r="4552" spans="38:38" x14ac:dyDescent="0.2">
      <c r="AL4552" s="177"/>
    </row>
    <row r="4553" spans="38:38" x14ac:dyDescent="0.2">
      <c r="AL4553" s="177"/>
    </row>
    <row r="4554" spans="38:38" x14ac:dyDescent="0.2">
      <c r="AL4554" s="177"/>
    </row>
    <row r="4555" spans="38:38" x14ac:dyDescent="0.2">
      <c r="AL4555" s="177"/>
    </row>
    <row r="4556" spans="38:38" x14ac:dyDescent="0.2">
      <c r="AL4556" s="177"/>
    </row>
    <row r="4557" spans="38:38" x14ac:dyDescent="0.2">
      <c r="AL4557" s="177"/>
    </row>
    <row r="4558" spans="38:38" x14ac:dyDescent="0.2">
      <c r="AL4558" s="177"/>
    </row>
    <row r="4559" spans="38:38" x14ac:dyDescent="0.2">
      <c r="AL4559" s="177"/>
    </row>
    <row r="4560" spans="38:38" x14ac:dyDescent="0.2">
      <c r="AL4560" s="177"/>
    </row>
    <row r="4561" spans="38:38" x14ac:dyDescent="0.2">
      <c r="AL4561" s="177"/>
    </row>
    <row r="4562" spans="38:38" x14ac:dyDescent="0.2">
      <c r="AL4562" s="177"/>
    </row>
    <row r="4563" spans="38:38" x14ac:dyDescent="0.2">
      <c r="AL4563" s="177"/>
    </row>
    <row r="4564" spans="38:38" x14ac:dyDescent="0.2">
      <c r="AL4564" s="177"/>
    </row>
    <row r="4565" spans="38:38" x14ac:dyDescent="0.2">
      <c r="AL4565" s="177"/>
    </row>
    <row r="4566" spans="38:38" x14ac:dyDescent="0.2">
      <c r="AL4566" s="177"/>
    </row>
    <row r="4567" spans="38:38" x14ac:dyDescent="0.2">
      <c r="AL4567" s="177"/>
    </row>
    <row r="4568" spans="38:38" x14ac:dyDescent="0.2">
      <c r="AL4568" s="177"/>
    </row>
    <row r="4569" spans="38:38" x14ac:dyDescent="0.2">
      <c r="AL4569" s="177"/>
    </row>
    <row r="4570" spans="38:38" x14ac:dyDescent="0.2">
      <c r="AL4570" s="177"/>
    </row>
    <row r="4571" spans="38:38" x14ac:dyDescent="0.2">
      <c r="AL4571" s="177"/>
    </row>
    <row r="4572" spans="38:38" x14ac:dyDescent="0.2">
      <c r="AL4572" s="177"/>
    </row>
    <row r="4573" spans="38:38" x14ac:dyDescent="0.2">
      <c r="AL4573" s="177"/>
    </row>
    <row r="4574" spans="38:38" x14ac:dyDescent="0.2">
      <c r="AL4574" s="177"/>
    </row>
    <row r="4575" spans="38:38" x14ac:dyDescent="0.2">
      <c r="AL4575" s="177"/>
    </row>
    <row r="4576" spans="38:38" x14ac:dyDescent="0.2">
      <c r="AL4576" s="177"/>
    </row>
    <row r="4577" spans="38:38" x14ac:dyDescent="0.2">
      <c r="AL4577" s="177"/>
    </row>
    <row r="4578" spans="38:38" x14ac:dyDescent="0.2">
      <c r="AL4578" s="177"/>
    </row>
    <row r="4579" spans="38:38" x14ac:dyDescent="0.2">
      <c r="AL4579" s="177"/>
    </row>
    <row r="4580" spans="38:38" x14ac:dyDescent="0.2">
      <c r="AL4580" s="177"/>
    </row>
    <row r="4581" spans="38:38" x14ac:dyDescent="0.2">
      <c r="AL4581" s="177"/>
    </row>
    <row r="4582" spans="38:38" x14ac:dyDescent="0.2">
      <c r="AL4582" s="177"/>
    </row>
    <row r="4583" spans="38:38" x14ac:dyDescent="0.2">
      <c r="AL4583" s="177"/>
    </row>
    <row r="4584" spans="38:38" x14ac:dyDescent="0.2">
      <c r="AL4584" s="177"/>
    </row>
    <row r="4585" spans="38:38" x14ac:dyDescent="0.2">
      <c r="AL4585" s="177"/>
    </row>
    <row r="4586" spans="38:38" x14ac:dyDescent="0.2">
      <c r="AL4586" s="177"/>
    </row>
    <row r="4587" spans="38:38" x14ac:dyDescent="0.2">
      <c r="AL4587" s="177"/>
    </row>
    <row r="4588" spans="38:38" x14ac:dyDescent="0.2">
      <c r="AL4588" s="177"/>
    </row>
    <row r="4589" spans="38:38" x14ac:dyDescent="0.2">
      <c r="AL4589" s="177"/>
    </row>
    <row r="4590" spans="38:38" x14ac:dyDescent="0.2">
      <c r="AL4590" s="177"/>
    </row>
    <row r="4591" spans="38:38" x14ac:dyDescent="0.2">
      <c r="AL4591" s="177"/>
    </row>
    <row r="4592" spans="38:38" x14ac:dyDescent="0.2">
      <c r="AL4592" s="177"/>
    </row>
    <row r="4593" spans="38:38" x14ac:dyDescent="0.2">
      <c r="AL4593" s="177"/>
    </row>
    <row r="4594" spans="38:38" x14ac:dyDescent="0.2">
      <c r="AL4594" s="177"/>
    </row>
    <row r="4595" spans="38:38" x14ac:dyDescent="0.2">
      <c r="AL4595" s="177"/>
    </row>
    <row r="4596" spans="38:38" x14ac:dyDescent="0.2">
      <c r="AL4596" s="177"/>
    </row>
    <row r="4597" spans="38:38" x14ac:dyDescent="0.2">
      <c r="AL4597" s="177"/>
    </row>
    <row r="4598" spans="38:38" x14ac:dyDescent="0.2">
      <c r="AL4598" s="177"/>
    </row>
    <row r="4599" spans="38:38" x14ac:dyDescent="0.2">
      <c r="AL4599" s="177"/>
    </row>
    <row r="4600" spans="38:38" x14ac:dyDescent="0.2">
      <c r="AL4600" s="177"/>
    </row>
    <row r="4601" spans="38:38" x14ac:dyDescent="0.2">
      <c r="AL4601" s="177"/>
    </row>
    <row r="4602" spans="38:38" x14ac:dyDescent="0.2">
      <c r="AL4602" s="177"/>
    </row>
    <row r="4603" spans="38:38" x14ac:dyDescent="0.2">
      <c r="AL4603" s="177"/>
    </row>
    <row r="4604" spans="38:38" x14ac:dyDescent="0.2">
      <c r="AL4604" s="177"/>
    </row>
    <row r="4605" spans="38:38" x14ac:dyDescent="0.2">
      <c r="AL4605" s="177"/>
    </row>
    <row r="4606" spans="38:38" x14ac:dyDescent="0.2">
      <c r="AL4606" s="177"/>
    </row>
    <row r="4607" spans="38:38" x14ac:dyDescent="0.2">
      <c r="AL4607" s="177"/>
    </row>
    <row r="4608" spans="38:38" x14ac:dyDescent="0.2">
      <c r="AL4608" s="177"/>
    </row>
    <row r="4609" spans="38:38" x14ac:dyDescent="0.2">
      <c r="AL4609" s="177"/>
    </row>
    <row r="4610" spans="38:38" x14ac:dyDescent="0.2">
      <c r="AL4610" s="177"/>
    </row>
    <row r="4611" spans="38:38" x14ac:dyDescent="0.2">
      <c r="AL4611" s="177"/>
    </row>
    <row r="4612" spans="38:38" x14ac:dyDescent="0.2">
      <c r="AL4612" s="177"/>
    </row>
    <row r="4613" spans="38:38" x14ac:dyDescent="0.2">
      <c r="AL4613" s="177"/>
    </row>
    <row r="4614" spans="38:38" x14ac:dyDescent="0.2">
      <c r="AL4614" s="177"/>
    </row>
    <row r="4615" spans="38:38" x14ac:dyDescent="0.2">
      <c r="AL4615" s="177"/>
    </row>
    <row r="4616" spans="38:38" x14ac:dyDescent="0.2">
      <c r="AL4616" s="177"/>
    </row>
    <row r="4617" spans="38:38" x14ac:dyDescent="0.2">
      <c r="AL4617" s="177"/>
    </row>
    <row r="4618" spans="38:38" x14ac:dyDescent="0.2">
      <c r="AL4618" s="177"/>
    </row>
    <row r="4619" spans="38:38" x14ac:dyDescent="0.2">
      <c r="AL4619" s="177"/>
    </row>
    <row r="4620" spans="38:38" x14ac:dyDescent="0.2">
      <c r="AL4620" s="177"/>
    </row>
    <row r="4621" spans="38:38" x14ac:dyDescent="0.2">
      <c r="AL4621" s="177"/>
    </row>
    <row r="4622" spans="38:38" x14ac:dyDescent="0.2">
      <c r="AL4622" s="177"/>
    </row>
    <row r="4623" spans="38:38" x14ac:dyDescent="0.2">
      <c r="AL4623" s="177"/>
    </row>
    <row r="4624" spans="38:38" x14ac:dyDescent="0.2">
      <c r="AL4624" s="177"/>
    </row>
    <row r="4625" spans="38:38" x14ac:dyDescent="0.2">
      <c r="AL4625" s="177"/>
    </row>
    <row r="4626" spans="38:38" x14ac:dyDescent="0.2">
      <c r="AL4626" s="177"/>
    </row>
    <row r="4627" spans="38:38" x14ac:dyDescent="0.2">
      <c r="AL4627" s="177"/>
    </row>
    <row r="4628" spans="38:38" x14ac:dyDescent="0.2">
      <c r="AL4628" s="177"/>
    </row>
    <row r="4629" spans="38:38" x14ac:dyDescent="0.2">
      <c r="AL4629" s="177"/>
    </row>
    <row r="4630" spans="38:38" x14ac:dyDescent="0.2">
      <c r="AL4630" s="177"/>
    </row>
    <row r="4631" spans="38:38" x14ac:dyDescent="0.2">
      <c r="AL4631" s="177"/>
    </row>
    <row r="4632" spans="38:38" x14ac:dyDescent="0.2">
      <c r="AL4632" s="177"/>
    </row>
    <row r="4633" spans="38:38" x14ac:dyDescent="0.2">
      <c r="AL4633" s="177"/>
    </row>
    <row r="4634" spans="38:38" x14ac:dyDescent="0.2">
      <c r="AL4634" s="177"/>
    </row>
    <row r="4635" spans="38:38" x14ac:dyDescent="0.2">
      <c r="AL4635" s="177"/>
    </row>
    <row r="4636" spans="38:38" x14ac:dyDescent="0.2">
      <c r="AL4636" s="177"/>
    </row>
    <row r="4637" spans="38:38" x14ac:dyDescent="0.2">
      <c r="AL4637" s="177"/>
    </row>
    <row r="4638" spans="38:38" x14ac:dyDescent="0.2">
      <c r="AL4638" s="177"/>
    </row>
    <row r="4639" spans="38:38" x14ac:dyDescent="0.2">
      <c r="AL4639" s="177"/>
    </row>
    <row r="4640" spans="38:38" x14ac:dyDescent="0.2">
      <c r="AL4640" s="177"/>
    </row>
    <row r="4641" spans="38:38" x14ac:dyDescent="0.2">
      <c r="AL4641" s="177"/>
    </row>
    <row r="4642" spans="38:38" x14ac:dyDescent="0.2">
      <c r="AL4642" s="177"/>
    </row>
    <row r="4643" spans="38:38" x14ac:dyDescent="0.2">
      <c r="AL4643" s="177"/>
    </row>
    <row r="4644" spans="38:38" x14ac:dyDescent="0.2">
      <c r="AL4644" s="177"/>
    </row>
    <row r="4645" spans="38:38" x14ac:dyDescent="0.2">
      <c r="AL4645" s="177"/>
    </row>
    <row r="4646" spans="38:38" x14ac:dyDescent="0.2">
      <c r="AL4646" s="177"/>
    </row>
    <row r="4647" spans="38:38" x14ac:dyDescent="0.2">
      <c r="AL4647" s="177"/>
    </row>
    <row r="4648" spans="38:38" x14ac:dyDescent="0.2">
      <c r="AL4648" s="177"/>
    </row>
    <row r="4649" spans="38:38" x14ac:dyDescent="0.2">
      <c r="AL4649" s="177"/>
    </row>
    <row r="4650" spans="38:38" x14ac:dyDescent="0.2">
      <c r="AL4650" s="177"/>
    </row>
    <row r="4651" spans="38:38" x14ac:dyDescent="0.2">
      <c r="AL4651" s="177"/>
    </row>
    <row r="4652" spans="38:38" x14ac:dyDescent="0.2">
      <c r="AL4652" s="177"/>
    </row>
    <row r="4653" spans="38:38" x14ac:dyDescent="0.2">
      <c r="AL4653" s="177"/>
    </row>
    <row r="4654" spans="38:38" x14ac:dyDescent="0.2">
      <c r="AL4654" s="177"/>
    </row>
    <row r="4655" spans="38:38" x14ac:dyDescent="0.2">
      <c r="AL4655" s="177"/>
    </row>
    <row r="4656" spans="38:38" x14ac:dyDescent="0.2">
      <c r="AL4656" s="177"/>
    </row>
    <row r="4657" spans="38:38" x14ac:dyDescent="0.2">
      <c r="AL4657" s="177"/>
    </row>
    <row r="4658" spans="38:38" x14ac:dyDescent="0.2">
      <c r="AL4658" s="177"/>
    </row>
    <row r="4659" spans="38:38" x14ac:dyDescent="0.2">
      <c r="AL4659" s="177"/>
    </row>
    <row r="4660" spans="38:38" x14ac:dyDescent="0.2">
      <c r="AL4660" s="177"/>
    </row>
    <row r="4661" spans="38:38" x14ac:dyDescent="0.2">
      <c r="AL4661" s="177"/>
    </row>
    <row r="4662" spans="38:38" x14ac:dyDescent="0.2">
      <c r="AL4662" s="177"/>
    </row>
    <row r="4663" spans="38:38" x14ac:dyDescent="0.2">
      <c r="AL4663" s="177"/>
    </row>
    <row r="4664" spans="38:38" x14ac:dyDescent="0.2">
      <c r="AL4664" s="177"/>
    </row>
    <row r="4665" spans="38:38" x14ac:dyDescent="0.2">
      <c r="AL4665" s="177"/>
    </row>
    <row r="4666" spans="38:38" x14ac:dyDescent="0.2">
      <c r="AL4666" s="177"/>
    </row>
    <row r="4667" spans="38:38" x14ac:dyDescent="0.2">
      <c r="AL4667" s="177"/>
    </row>
    <row r="4668" spans="38:38" x14ac:dyDescent="0.2">
      <c r="AL4668" s="177"/>
    </row>
    <row r="4669" spans="38:38" x14ac:dyDescent="0.2">
      <c r="AL4669" s="177"/>
    </row>
    <row r="4670" spans="38:38" x14ac:dyDescent="0.2">
      <c r="AL4670" s="177"/>
    </row>
    <row r="4671" spans="38:38" x14ac:dyDescent="0.2">
      <c r="AL4671" s="177"/>
    </row>
    <row r="4672" spans="38:38" x14ac:dyDescent="0.2">
      <c r="AL4672" s="177"/>
    </row>
    <row r="4673" spans="38:38" x14ac:dyDescent="0.2">
      <c r="AL4673" s="177"/>
    </row>
    <row r="4674" spans="38:38" x14ac:dyDescent="0.2">
      <c r="AL4674" s="177"/>
    </row>
    <row r="4675" spans="38:38" x14ac:dyDescent="0.2">
      <c r="AL4675" s="177"/>
    </row>
    <row r="4676" spans="38:38" x14ac:dyDescent="0.2">
      <c r="AL4676" s="177"/>
    </row>
    <row r="4677" spans="38:38" x14ac:dyDescent="0.2">
      <c r="AL4677" s="177"/>
    </row>
    <row r="4678" spans="38:38" x14ac:dyDescent="0.2">
      <c r="AL4678" s="177"/>
    </row>
    <row r="4679" spans="38:38" x14ac:dyDescent="0.2">
      <c r="AL4679" s="177"/>
    </row>
    <row r="4680" spans="38:38" x14ac:dyDescent="0.2">
      <c r="AL4680" s="177"/>
    </row>
    <row r="4681" spans="38:38" x14ac:dyDescent="0.2">
      <c r="AL4681" s="177"/>
    </row>
    <row r="4682" spans="38:38" x14ac:dyDescent="0.2">
      <c r="AL4682" s="177"/>
    </row>
    <row r="4683" spans="38:38" x14ac:dyDescent="0.2">
      <c r="AL4683" s="177"/>
    </row>
    <row r="4684" spans="38:38" x14ac:dyDescent="0.2">
      <c r="AL4684" s="177"/>
    </row>
    <row r="4685" spans="38:38" x14ac:dyDescent="0.2">
      <c r="AL4685" s="177"/>
    </row>
    <row r="4686" spans="38:38" x14ac:dyDescent="0.2">
      <c r="AL4686" s="177"/>
    </row>
    <row r="4687" spans="38:38" x14ac:dyDescent="0.2">
      <c r="AL4687" s="177"/>
    </row>
    <row r="4688" spans="38:38" x14ac:dyDescent="0.2">
      <c r="AL4688" s="177"/>
    </row>
    <row r="4689" spans="38:38" x14ac:dyDescent="0.2">
      <c r="AL4689" s="177"/>
    </row>
    <row r="4690" spans="38:38" x14ac:dyDescent="0.2">
      <c r="AL4690" s="177"/>
    </row>
    <row r="4691" spans="38:38" x14ac:dyDescent="0.2">
      <c r="AL4691" s="177"/>
    </row>
    <row r="4692" spans="38:38" x14ac:dyDescent="0.2">
      <c r="AL4692" s="177"/>
    </row>
    <row r="4693" spans="38:38" x14ac:dyDescent="0.2">
      <c r="AL4693" s="177"/>
    </row>
    <row r="4694" spans="38:38" x14ac:dyDescent="0.2">
      <c r="AL4694" s="177"/>
    </row>
    <row r="4695" spans="38:38" x14ac:dyDescent="0.2">
      <c r="AL4695" s="177"/>
    </row>
    <row r="4696" spans="38:38" x14ac:dyDescent="0.2">
      <c r="AL4696" s="177"/>
    </row>
    <row r="4697" spans="38:38" x14ac:dyDescent="0.2">
      <c r="AL4697" s="177"/>
    </row>
    <row r="4698" spans="38:38" x14ac:dyDescent="0.2">
      <c r="AL4698" s="177"/>
    </row>
    <row r="4699" spans="38:38" x14ac:dyDescent="0.2">
      <c r="AL4699" s="177"/>
    </row>
    <row r="4700" spans="38:38" x14ac:dyDescent="0.2">
      <c r="AL4700" s="177"/>
    </row>
    <row r="4701" spans="38:38" x14ac:dyDescent="0.2">
      <c r="AL4701" s="177"/>
    </row>
    <row r="4702" spans="38:38" x14ac:dyDescent="0.2">
      <c r="AL4702" s="177"/>
    </row>
    <row r="4703" spans="38:38" x14ac:dyDescent="0.2">
      <c r="AL4703" s="177"/>
    </row>
    <row r="4704" spans="38:38" x14ac:dyDescent="0.2">
      <c r="AL4704" s="177"/>
    </row>
    <row r="4705" spans="38:38" x14ac:dyDescent="0.2">
      <c r="AL4705" s="177"/>
    </row>
    <row r="4706" spans="38:38" x14ac:dyDescent="0.2">
      <c r="AL4706" s="177"/>
    </row>
    <row r="4707" spans="38:38" x14ac:dyDescent="0.2">
      <c r="AL4707" s="177"/>
    </row>
    <row r="4708" spans="38:38" x14ac:dyDescent="0.2">
      <c r="AL4708" s="177"/>
    </row>
    <row r="4709" spans="38:38" x14ac:dyDescent="0.2">
      <c r="AL4709" s="177"/>
    </row>
    <row r="4710" spans="38:38" x14ac:dyDescent="0.2">
      <c r="AL4710" s="177"/>
    </row>
    <row r="4711" spans="38:38" x14ac:dyDescent="0.2">
      <c r="AL4711" s="177"/>
    </row>
    <row r="4712" spans="38:38" x14ac:dyDescent="0.2">
      <c r="AL4712" s="177"/>
    </row>
    <row r="4713" spans="38:38" x14ac:dyDescent="0.2">
      <c r="AL4713" s="177"/>
    </row>
    <row r="4714" spans="38:38" x14ac:dyDescent="0.2">
      <c r="AL4714" s="177"/>
    </row>
    <row r="4715" spans="38:38" x14ac:dyDescent="0.2">
      <c r="AL4715" s="177"/>
    </row>
    <row r="4716" spans="38:38" x14ac:dyDescent="0.2">
      <c r="AL4716" s="177"/>
    </row>
    <row r="4717" spans="38:38" x14ac:dyDescent="0.2">
      <c r="AL4717" s="177"/>
    </row>
    <row r="4718" spans="38:38" x14ac:dyDescent="0.2">
      <c r="AL4718" s="177"/>
    </row>
    <row r="4719" spans="38:38" x14ac:dyDescent="0.2">
      <c r="AL4719" s="177"/>
    </row>
    <row r="4720" spans="38:38" x14ac:dyDescent="0.2">
      <c r="AL4720" s="177"/>
    </row>
    <row r="4721" spans="38:38" x14ac:dyDescent="0.2">
      <c r="AL4721" s="177"/>
    </row>
    <row r="4722" spans="38:38" x14ac:dyDescent="0.2">
      <c r="AL4722" s="177"/>
    </row>
    <row r="4723" spans="38:38" x14ac:dyDescent="0.2">
      <c r="AL4723" s="177"/>
    </row>
    <row r="4724" spans="38:38" x14ac:dyDescent="0.2">
      <c r="AL4724" s="177"/>
    </row>
    <row r="4725" spans="38:38" x14ac:dyDescent="0.2">
      <c r="AL4725" s="177"/>
    </row>
    <row r="4726" spans="38:38" x14ac:dyDescent="0.2">
      <c r="AL4726" s="177"/>
    </row>
    <row r="4727" spans="38:38" x14ac:dyDescent="0.2">
      <c r="AL4727" s="177"/>
    </row>
    <row r="4728" spans="38:38" x14ac:dyDescent="0.2">
      <c r="AL4728" s="177"/>
    </row>
    <row r="4729" spans="38:38" x14ac:dyDescent="0.2">
      <c r="AL4729" s="177"/>
    </row>
    <row r="4730" spans="38:38" x14ac:dyDescent="0.2">
      <c r="AL4730" s="177"/>
    </row>
    <row r="4731" spans="38:38" x14ac:dyDescent="0.2">
      <c r="AL4731" s="177"/>
    </row>
    <row r="4732" spans="38:38" x14ac:dyDescent="0.2">
      <c r="AL4732" s="177"/>
    </row>
    <row r="4733" spans="38:38" x14ac:dyDescent="0.2">
      <c r="AL4733" s="177"/>
    </row>
    <row r="4734" spans="38:38" x14ac:dyDescent="0.2">
      <c r="AL4734" s="177"/>
    </row>
    <row r="4735" spans="38:38" x14ac:dyDescent="0.2">
      <c r="AL4735" s="177"/>
    </row>
    <row r="4736" spans="38:38" x14ac:dyDescent="0.2">
      <c r="AL4736" s="177"/>
    </row>
    <row r="4737" spans="38:38" x14ac:dyDescent="0.2">
      <c r="AL4737" s="177"/>
    </row>
    <row r="4738" spans="38:38" x14ac:dyDescent="0.2">
      <c r="AL4738" s="177"/>
    </row>
    <row r="4739" spans="38:38" x14ac:dyDescent="0.2">
      <c r="AL4739" s="177"/>
    </row>
    <row r="4740" spans="38:38" x14ac:dyDescent="0.2">
      <c r="AL4740" s="177"/>
    </row>
    <row r="4741" spans="38:38" x14ac:dyDescent="0.2">
      <c r="AL4741" s="177"/>
    </row>
    <row r="4742" spans="38:38" x14ac:dyDescent="0.2">
      <c r="AL4742" s="177"/>
    </row>
    <row r="4743" spans="38:38" x14ac:dyDescent="0.2">
      <c r="AL4743" s="177"/>
    </row>
    <row r="4744" spans="38:38" x14ac:dyDescent="0.2">
      <c r="AL4744" s="177"/>
    </row>
    <row r="4745" spans="38:38" x14ac:dyDescent="0.2">
      <c r="AL4745" s="177"/>
    </row>
    <row r="4746" spans="38:38" x14ac:dyDescent="0.2">
      <c r="AL4746" s="177"/>
    </row>
    <row r="4747" spans="38:38" x14ac:dyDescent="0.2">
      <c r="AL4747" s="177"/>
    </row>
    <row r="4748" spans="38:38" x14ac:dyDescent="0.2">
      <c r="AL4748" s="177"/>
    </row>
    <row r="4749" spans="38:38" x14ac:dyDescent="0.2">
      <c r="AL4749" s="177"/>
    </row>
    <row r="4750" spans="38:38" x14ac:dyDescent="0.2">
      <c r="AL4750" s="177"/>
    </row>
    <row r="4751" spans="38:38" x14ac:dyDescent="0.2">
      <c r="AL4751" s="177"/>
    </row>
    <row r="4752" spans="38:38" x14ac:dyDescent="0.2">
      <c r="AL4752" s="177"/>
    </row>
    <row r="4753" spans="38:38" x14ac:dyDescent="0.2">
      <c r="AL4753" s="177"/>
    </row>
    <row r="4754" spans="38:38" x14ac:dyDescent="0.2">
      <c r="AL4754" s="177"/>
    </row>
    <row r="4755" spans="38:38" x14ac:dyDescent="0.2">
      <c r="AL4755" s="177"/>
    </row>
    <row r="4756" spans="38:38" x14ac:dyDescent="0.2">
      <c r="AL4756" s="177"/>
    </row>
    <row r="4757" spans="38:38" x14ac:dyDescent="0.2">
      <c r="AL4757" s="177"/>
    </row>
    <row r="4758" spans="38:38" x14ac:dyDescent="0.2">
      <c r="AL4758" s="177"/>
    </row>
    <row r="4759" spans="38:38" x14ac:dyDescent="0.2">
      <c r="AL4759" s="177"/>
    </row>
    <row r="4760" spans="38:38" x14ac:dyDescent="0.2">
      <c r="AL4760" s="177"/>
    </row>
    <row r="4761" spans="38:38" x14ac:dyDescent="0.2">
      <c r="AL4761" s="177"/>
    </row>
    <row r="4762" spans="38:38" x14ac:dyDescent="0.2">
      <c r="AL4762" s="177"/>
    </row>
    <row r="4763" spans="38:38" x14ac:dyDescent="0.2">
      <c r="AL4763" s="177"/>
    </row>
    <row r="4764" spans="38:38" x14ac:dyDescent="0.2">
      <c r="AL4764" s="177"/>
    </row>
    <row r="4765" spans="38:38" x14ac:dyDescent="0.2">
      <c r="AL4765" s="177"/>
    </row>
    <row r="4766" spans="38:38" x14ac:dyDescent="0.2">
      <c r="AL4766" s="177"/>
    </row>
    <row r="4767" spans="38:38" x14ac:dyDescent="0.2">
      <c r="AL4767" s="177"/>
    </row>
    <row r="4768" spans="38:38" x14ac:dyDescent="0.2">
      <c r="AL4768" s="177"/>
    </row>
    <row r="4769" spans="38:38" x14ac:dyDescent="0.2">
      <c r="AL4769" s="177"/>
    </row>
    <row r="4770" spans="38:38" x14ac:dyDescent="0.2">
      <c r="AL4770" s="177"/>
    </row>
    <row r="4771" spans="38:38" x14ac:dyDescent="0.2">
      <c r="AL4771" s="177"/>
    </row>
    <row r="4772" spans="38:38" x14ac:dyDescent="0.2">
      <c r="AL4772" s="177"/>
    </row>
    <row r="4773" spans="38:38" x14ac:dyDescent="0.2">
      <c r="AL4773" s="177"/>
    </row>
    <row r="4774" spans="38:38" x14ac:dyDescent="0.2">
      <c r="AL4774" s="177"/>
    </row>
    <row r="4775" spans="38:38" x14ac:dyDescent="0.2">
      <c r="AL4775" s="177"/>
    </row>
    <row r="4776" spans="38:38" x14ac:dyDescent="0.2">
      <c r="AL4776" s="177"/>
    </row>
    <row r="4777" spans="38:38" x14ac:dyDescent="0.2">
      <c r="AL4777" s="177"/>
    </row>
    <row r="4778" spans="38:38" x14ac:dyDescent="0.2">
      <c r="AL4778" s="177"/>
    </row>
    <row r="4779" spans="38:38" x14ac:dyDescent="0.2">
      <c r="AL4779" s="177"/>
    </row>
    <row r="4780" spans="38:38" x14ac:dyDescent="0.2">
      <c r="AL4780" s="177"/>
    </row>
    <row r="4781" spans="38:38" x14ac:dyDescent="0.2">
      <c r="AL4781" s="177"/>
    </row>
    <row r="4782" spans="38:38" x14ac:dyDescent="0.2">
      <c r="AL4782" s="177"/>
    </row>
    <row r="4783" spans="38:38" x14ac:dyDescent="0.2">
      <c r="AL4783" s="177"/>
    </row>
    <row r="4784" spans="38:38" x14ac:dyDescent="0.2">
      <c r="AL4784" s="177"/>
    </row>
    <row r="4785" spans="38:38" x14ac:dyDescent="0.2">
      <c r="AL4785" s="177"/>
    </row>
    <row r="4786" spans="38:38" x14ac:dyDescent="0.2">
      <c r="AL4786" s="177"/>
    </row>
    <row r="4787" spans="38:38" x14ac:dyDescent="0.2">
      <c r="AL4787" s="177"/>
    </row>
    <row r="4788" spans="38:38" x14ac:dyDescent="0.2">
      <c r="AL4788" s="177"/>
    </row>
    <row r="4789" spans="38:38" x14ac:dyDescent="0.2">
      <c r="AL4789" s="177"/>
    </row>
    <row r="4790" spans="38:38" x14ac:dyDescent="0.2">
      <c r="AL4790" s="177"/>
    </row>
    <row r="4791" spans="38:38" x14ac:dyDescent="0.2">
      <c r="AL4791" s="177"/>
    </row>
    <row r="4792" spans="38:38" x14ac:dyDescent="0.2">
      <c r="AL4792" s="177"/>
    </row>
    <row r="4793" spans="38:38" x14ac:dyDescent="0.2">
      <c r="AL4793" s="177"/>
    </row>
    <row r="4794" spans="38:38" x14ac:dyDescent="0.2">
      <c r="AL4794" s="177"/>
    </row>
    <row r="4795" spans="38:38" x14ac:dyDescent="0.2">
      <c r="AL4795" s="177"/>
    </row>
    <row r="4796" spans="38:38" x14ac:dyDescent="0.2">
      <c r="AL4796" s="177"/>
    </row>
    <row r="4797" spans="38:38" x14ac:dyDescent="0.2">
      <c r="AL4797" s="177"/>
    </row>
    <row r="4798" spans="38:38" x14ac:dyDescent="0.2">
      <c r="AL4798" s="177"/>
    </row>
    <row r="4799" spans="38:38" x14ac:dyDescent="0.2">
      <c r="AL4799" s="177"/>
    </row>
    <row r="4800" spans="38:38" x14ac:dyDescent="0.2">
      <c r="AL4800" s="177"/>
    </row>
    <row r="4801" spans="38:38" x14ac:dyDescent="0.2">
      <c r="AL4801" s="177"/>
    </row>
    <row r="4802" spans="38:38" x14ac:dyDescent="0.2">
      <c r="AL4802" s="177"/>
    </row>
    <row r="4803" spans="38:38" x14ac:dyDescent="0.2">
      <c r="AL4803" s="177"/>
    </row>
    <row r="4804" spans="38:38" x14ac:dyDescent="0.2">
      <c r="AL4804" s="177"/>
    </row>
    <row r="4805" spans="38:38" x14ac:dyDescent="0.2">
      <c r="AL4805" s="177"/>
    </row>
    <row r="4806" spans="38:38" x14ac:dyDescent="0.2">
      <c r="AL4806" s="177"/>
    </row>
    <row r="4807" spans="38:38" x14ac:dyDescent="0.2">
      <c r="AL4807" s="177"/>
    </row>
    <row r="4808" spans="38:38" x14ac:dyDescent="0.2">
      <c r="AL4808" s="177"/>
    </row>
    <row r="4809" spans="38:38" x14ac:dyDescent="0.2">
      <c r="AL4809" s="177"/>
    </row>
    <row r="4810" spans="38:38" x14ac:dyDescent="0.2">
      <c r="AL4810" s="177"/>
    </row>
    <row r="4811" spans="38:38" x14ac:dyDescent="0.2">
      <c r="AL4811" s="177"/>
    </row>
    <row r="4812" spans="38:38" x14ac:dyDescent="0.2">
      <c r="AL4812" s="177"/>
    </row>
    <row r="4813" spans="38:38" x14ac:dyDescent="0.2">
      <c r="AL4813" s="177"/>
    </row>
    <row r="4814" spans="38:38" x14ac:dyDescent="0.2">
      <c r="AL4814" s="177"/>
    </row>
    <row r="4815" spans="38:38" x14ac:dyDescent="0.2">
      <c r="AL4815" s="177"/>
    </row>
    <row r="4816" spans="38:38" x14ac:dyDescent="0.2">
      <c r="AL4816" s="177"/>
    </row>
    <row r="4817" spans="38:38" x14ac:dyDescent="0.2">
      <c r="AL4817" s="177"/>
    </row>
    <row r="4818" spans="38:38" x14ac:dyDescent="0.2">
      <c r="AL4818" s="177"/>
    </row>
    <row r="4819" spans="38:38" x14ac:dyDescent="0.2">
      <c r="AL4819" s="177"/>
    </row>
    <row r="4820" spans="38:38" x14ac:dyDescent="0.2">
      <c r="AL4820" s="177"/>
    </row>
    <row r="4821" spans="38:38" x14ac:dyDescent="0.2">
      <c r="AL4821" s="177"/>
    </row>
    <row r="4822" spans="38:38" x14ac:dyDescent="0.2">
      <c r="AL4822" s="177"/>
    </row>
    <row r="4823" spans="38:38" x14ac:dyDescent="0.2">
      <c r="AL4823" s="177"/>
    </row>
    <row r="4824" spans="38:38" x14ac:dyDescent="0.2">
      <c r="AL4824" s="177"/>
    </row>
    <row r="4825" spans="38:38" x14ac:dyDescent="0.2">
      <c r="AL4825" s="177"/>
    </row>
    <row r="4826" spans="38:38" x14ac:dyDescent="0.2">
      <c r="AL4826" s="177"/>
    </row>
    <row r="4827" spans="38:38" x14ac:dyDescent="0.2">
      <c r="AL4827" s="177"/>
    </row>
    <row r="4828" spans="38:38" x14ac:dyDescent="0.2">
      <c r="AL4828" s="177"/>
    </row>
    <row r="4829" spans="38:38" x14ac:dyDescent="0.2">
      <c r="AL4829" s="177"/>
    </row>
    <row r="4830" spans="38:38" x14ac:dyDescent="0.2">
      <c r="AL4830" s="177"/>
    </row>
    <row r="4831" spans="38:38" x14ac:dyDescent="0.2">
      <c r="AL4831" s="177"/>
    </row>
    <row r="4832" spans="38:38" x14ac:dyDescent="0.2">
      <c r="AL4832" s="177"/>
    </row>
    <row r="4833" spans="38:38" x14ac:dyDescent="0.2">
      <c r="AL4833" s="177"/>
    </row>
    <row r="4834" spans="38:38" x14ac:dyDescent="0.2">
      <c r="AL4834" s="177"/>
    </row>
    <row r="4835" spans="38:38" x14ac:dyDescent="0.2">
      <c r="AL4835" s="177"/>
    </row>
    <row r="4836" spans="38:38" x14ac:dyDescent="0.2">
      <c r="AL4836" s="177"/>
    </row>
    <row r="4837" spans="38:38" x14ac:dyDescent="0.2">
      <c r="AL4837" s="177"/>
    </row>
    <row r="4838" spans="38:38" x14ac:dyDescent="0.2">
      <c r="AL4838" s="177"/>
    </row>
    <row r="4839" spans="38:38" x14ac:dyDescent="0.2">
      <c r="AL4839" s="177"/>
    </row>
    <row r="4840" spans="38:38" x14ac:dyDescent="0.2">
      <c r="AL4840" s="177"/>
    </row>
    <row r="4841" spans="38:38" x14ac:dyDescent="0.2">
      <c r="AL4841" s="177"/>
    </row>
    <row r="4842" spans="38:38" x14ac:dyDescent="0.2">
      <c r="AL4842" s="177"/>
    </row>
    <row r="4843" spans="38:38" x14ac:dyDescent="0.2">
      <c r="AL4843" s="177"/>
    </row>
    <row r="4844" spans="38:38" x14ac:dyDescent="0.2">
      <c r="AL4844" s="177"/>
    </row>
    <row r="4845" spans="38:38" x14ac:dyDescent="0.2">
      <c r="AL4845" s="177"/>
    </row>
    <row r="4846" spans="38:38" x14ac:dyDescent="0.2">
      <c r="AL4846" s="177"/>
    </row>
    <row r="4847" spans="38:38" x14ac:dyDescent="0.2">
      <c r="AL4847" s="177"/>
    </row>
    <row r="4848" spans="38:38" x14ac:dyDescent="0.2">
      <c r="AL4848" s="177"/>
    </row>
    <row r="4849" spans="38:38" x14ac:dyDescent="0.2">
      <c r="AL4849" s="177"/>
    </row>
    <row r="4850" spans="38:38" x14ac:dyDescent="0.2">
      <c r="AL4850" s="177"/>
    </row>
    <row r="4851" spans="38:38" x14ac:dyDescent="0.2">
      <c r="AL4851" s="177"/>
    </row>
    <row r="4852" spans="38:38" x14ac:dyDescent="0.2">
      <c r="AL4852" s="177"/>
    </row>
    <row r="4853" spans="38:38" x14ac:dyDescent="0.2">
      <c r="AL4853" s="177"/>
    </row>
    <row r="4854" spans="38:38" x14ac:dyDescent="0.2">
      <c r="AL4854" s="177"/>
    </row>
    <row r="4855" spans="38:38" x14ac:dyDescent="0.2">
      <c r="AL4855" s="177"/>
    </row>
    <row r="4856" spans="38:38" x14ac:dyDescent="0.2">
      <c r="AL4856" s="177"/>
    </row>
    <row r="4857" spans="38:38" x14ac:dyDescent="0.2">
      <c r="AL4857" s="177"/>
    </row>
    <row r="4858" spans="38:38" x14ac:dyDescent="0.2">
      <c r="AL4858" s="177"/>
    </row>
    <row r="4859" spans="38:38" x14ac:dyDescent="0.2">
      <c r="AL4859" s="177"/>
    </row>
    <row r="4860" spans="38:38" x14ac:dyDescent="0.2">
      <c r="AL4860" s="177"/>
    </row>
    <row r="4861" spans="38:38" x14ac:dyDescent="0.2">
      <c r="AL4861" s="177"/>
    </row>
    <row r="4862" spans="38:38" x14ac:dyDescent="0.2">
      <c r="AL4862" s="177"/>
    </row>
    <row r="4863" spans="38:38" x14ac:dyDescent="0.2">
      <c r="AL4863" s="177"/>
    </row>
    <row r="4864" spans="38:38" x14ac:dyDescent="0.2">
      <c r="AL4864" s="177"/>
    </row>
    <row r="4865" spans="38:38" x14ac:dyDescent="0.2">
      <c r="AL4865" s="177"/>
    </row>
    <row r="4866" spans="38:38" x14ac:dyDescent="0.2">
      <c r="AL4866" s="177"/>
    </row>
    <row r="4867" spans="38:38" x14ac:dyDescent="0.2">
      <c r="AL4867" s="177"/>
    </row>
    <row r="4868" spans="38:38" x14ac:dyDescent="0.2">
      <c r="AL4868" s="177"/>
    </row>
    <row r="4869" spans="38:38" x14ac:dyDescent="0.2">
      <c r="AL4869" s="177"/>
    </row>
    <row r="4870" spans="38:38" x14ac:dyDescent="0.2">
      <c r="AL4870" s="177"/>
    </row>
    <row r="4871" spans="38:38" x14ac:dyDescent="0.2">
      <c r="AL4871" s="177"/>
    </row>
    <row r="4872" spans="38:38" x14ac:dyDescent="0.2">
      <c r="AL4872" s="177"/>
    </row>
    <row r="4873" spans="38:38" x14ac:dyDescent="0.2">
      <c r="AL4873" s="177"/>
    </row>
    <row r="4874" spans="38:38" x14ac:dyDescent="0.2">
      <c r="AL4874" s="177"/>
    </row>
    <row r="4875" spans="38:38" x14ac:dyDescent="0.2">
      <c r="AL4875" s="177"/>
    </row>
    <row r="4876" spans="38:38" x14ac:dyDescent="0.2">
      <c r="AL4876" s="177"/>
    </row>
    <row r="4877" spans="38:38" x14ac:dyDescent="0.2">
      <c r="AL4877" s="177"/>
    </row>
    <row r="4878" spans="38:38" x14ac:dyDescent="0.2">
      <c r="AL4878" s="177"/>
    </row>
    <row r="4879" spans="38:38" x14ac:dyDescent="0.2">
      <c r="AL4879" s="177"/>
    </row>
    <row r="4880" spans="38:38" x14ac:dyDescent="0.2">
      <c r="AL4880" s="177"/>
    </row>
    <row r="4881" spans="38:38" x14ac:dyDescent="0.2">
      <c r="AL4881" s="177"/>
    </row>
    <row r="4882" spans="38:38" x14ac:dyDescent="0.2">
      <c r="AL4882" s="177"/>
    </row>
    <row r="4883" spans="38:38" x14ac:dyDescent="0.2">
      <c r="AL4883" s="177"/>
    </row>
    <row r="4884" spans="38:38" x14ac:dyDescent="0.2">
      <c r="AL4884" s="177"/>
    </row>
    <row r="4885" spans="38:38" x14ac:dyDescent="0.2">
      <c r="AL4885" s="177"/>
    </row>
    <row r="4886" spans="38:38" x14ac:dyDescent="0.2">
      <c r="AL4886" s="177"/>
    </row>
    <row r="4887" spans="38:38" x14ac:dyDescent="0.2">
      <c r="AL4887" s="177"/>
    </row>
    <row r="4888" spans="38:38" x14ac:dyDescent="0.2">
      <c r="AL4888" s="177"/>
    </row>
    <row r="4889" spans="38:38" x14ac:dyDescent="0.2">
      <c r="AL4889" s="177"/>
    </row>
    <row r="4890" spans="38:38" x14ac:dyDescent="0.2">
      <c r="AL4890" s="177"/>
    </row>
    <row r="4891" spans="38:38" x14ac:dyDescent="0.2">
      <c r="AL4891" s="177"/>
    </row>
    <row r="4892" spans="38:38" x14ac:dyDescent="0.2">
      <c r="AL4892" s="177"/>
    </row>
    <row r="4893" spans="38:38" x14ac:dyDescent="0.2">
      <c r="AL4893" s="177"/>
    </row>
    <row r="4894" spans="38:38" x14ac:dyDescent="0.2">
      <c r="AL4894" s="177"/>
    </row>
    <row r="4895" spans="38:38" x14ac:dyDescent="0.2">
      <c r="AL4895" s="177"/>
    </row>
    <row r="4896" spans="38:38" x14ac:dyDescent="0.2">
      <c r="AL4896" s="177"/>
    </row>
    <row r="4897" spans="38:38" x14ac:dyDescent="0.2">
      <c r="AL4897" s="177"/>
    </row>
    <row r="4898" spans="38:38" x14ac:dyDescent="0.2">
      <c r="AL4898" s="177"/>
    </row>
    <row r="4899" spans="38:38" x14ac:dyDescent="0.2">
      <c r="AL4899" s="177"/>
    </row>
    <row r="4900" spans="38:38" x14ac:dyDescent="0.2">
      <c r="AL4900" s="177"/>
    </row>
    <row r="4901" spans="38:38" x14ac:dyDescent="0.2">
      <c r="AL4901" s="177"/>
    </row>
    <row r="4902" spans="38:38" x14ac:dyDescent="0.2">
      <c r="AL4902" s="177"/>
    </row>
    <row r="4903" spans="38:38" x14ac:dyDescent="0.2">
      <c r="AL4903" s="177"/>
    </row>
    <row r="4904" spans="38:38" x14ac:dyDescent="0.2">
      <c r="AL4904" s="177"/>
    </row>
    <row r="4905" spans="38:38" x14ac:dyDescent="0.2">
      <c r="AL4905" s="177"/>
    </row>
    <row r="4906" spans="38:38" x14ac:dyDescent="0.2">
      <c r="AL4906" s="177"/>
    </row>
    <row r="4907" spans="38:38" x14ac:dyDescent="0.2">
      <c r="AL4907" s="177"/>
    </row>
    <row r="4908" spans="38:38" x14ac:dyDescent="0.2">
      <c r="AL4908" s="177"/>
    </row>
    <row r="4909" spans="38:38" x14ac:dyDescent="0.2">
      <c r="AL4909" s="177"/>
    </row>
    <row r="4910" spans="38:38" x14ac:dyDescent="0.2">
      <c r="AL4910" s="177"/>
    </row>
    <row r="4911" spans="38:38" x14ac:dyDescent="0.2">
      <c r="AL4911" s="177"/>
    </row>
    <row r="4912" spans="38:38" x14ac:dyDescent="0.2">
      <c r="AL4912" s="177"/>
    </row>
    <row r="4913" spans="38:38" x14ac:dyDescent="0.2">
      <c r="AL4913" s="177"/>
    </row>
    <row r="4914" spans="38:38" x14ac:dyDescent="0.2">
      <c r="AL4914" s="177"/>
    </row>
    <row r="4915" spans="38:38" x14ac:dyDescent="0.2">
      <c r="AL4915" s="177"/>
    </row>
    <row r="4916" spans="38:38" x14ac:dyDescent="0.2">
      <c r="AL4916" s="177"/>
    </row>
    <row r="4917" spans="38:38" x14ac:dyDescent="0.2">
      <c r="AL4917" s="177"/>
    </row>
    <row r="4918" spans="38:38" x14ac:dyDescent="0.2">
      <c r="AL4918" s="177"/>
    </row>
    <row r="4919" spans="38:38" x14ac:dyDescent="0.2">
      <c r="AL4919" s="177"/>
    </row>
    <row r="4920" spans="38:38" x14ac:dyDescent="0.2">
      <c r="AL4920" s="177"/>
    </row>
    <row r="4921" spans="38:38" x14ac:dyDescent="0.2">
      <c r="AL4921" s="177"/>
    </row>
    <row r="4922" spans="38:38" x14ac:dyDescent="0.2">
      <c r="AL4922" s="177"/>
    </row>
    <row r="4923" spans="38:38" x14ac:dyDescent="0.2">
      <c r="AL4923" s="177"/>
    </row>
    <row r="4924" spans="38:38" x14ac:dyDescent="0.2">
      <c r="AL4924" s="177"/>
    </row>
    <row r="4925" spans="38:38" x14ac:dyDescent="0.2">
      <c r="AL4925" s="177"/>
    </row>
    <row r="4926" spans="38:38" x14ac:dyDescent="0.2">
      <c r="AL4926" s="177"/>
    </row>
    <row r="4927" spans="38:38" x14ac:dyDescent="0.2">
      <c r="AL4927" s="177"/>
    </row>
    <row r="4928" spans="38:38" x14ac:dyDescent="0.2">
      <c r="AL4928" s="177"/>
    </row>
    <row r="4929" spans="38:38" x14ac:dyDescent="0.2">
      <c r="AL4929" s="177"/>
    </row>
    <row r="4930" spans="38:38" x14ac:dyDescent="0.2">
      <c r="AL4930" s="177"/>
    </row>
    <row r="4931" spans="38:38" x14ac:dyDescent="0.2">
      <c r="AL4931" s="177"/>
    </row>
    <row r="4932" spans="38:38" x14ac:dyDescent="0.2">
      <c r="AL4932" s="177"/>
    </row>
    <row r="4933" spans="38:38" x14ac:dyDescent="0.2">
      <c r="AL4933" s="177"/>
    </row>
    <row r="4934" spans="38:38" x14ac:dyDescent="0.2">
      <c r="AL4934" s="177"/>
    </row>
    <row r="4935" spans="38:38" x14ac:dyDescent="0.2">
      <c r="AL4935" s="177"/>
    </row>
    <row r="4936" spans="38:38" x14ac:dyDescent="0.2">
      <c r="AL4936" s="177"/>
    </row>
    <row r="4937" spans="38:38" x14ac:dyDescent="0.2">
      <c r="AL4937" s="177"/>
    </row>
    <row r="4938" spans="38:38" x14ac:dyDescent="0.2">
      <c r="AL4938" s="177"/>
    </row>
    <row r="4939" spans="38:38" x14ac:dyDescent="0.2">
      <c r="AL4939" s="177"/>
    </row>
    <row r="4940" spans="38:38" x14ac:dyDescent="0.2">
      <c r="AL4940" s="177"/>
    </row>
    <row r="4941" spans="38:38" x14ac:dyDescent="0.2">
      <c r="AL4941" s="177"/>
    </row>
    <row r="4942" spans="38:38" x14ac:dyDescent="0.2">
      <c r="AL4942" s="177"/>
    </row>
    <row r="4943" spans="38:38" x14ac:dyDescent="0.2">
      <c r="AL4943" s="177"/>
    </row>
    <row r="4944" spans="38:38" x14ac:dyDescent="0.2">
      <c r="AL4944" s="177"/>
    </row>
    <row r="4945" spans="38:38" x14ac:dyDescent="0.2">
      <c r="AL4945" s="177"/>
    </row>
    <row r="4946" spans="38:38" x14ac:dyDescent="0.2">
      <c r="AL4946" s="177"/>
    </row>
    <row r="4947" spans="38:38" x14ac:dyDescent="0.2">
      <c r="AL4947" s="177"/>
    </row>
    <row r="4948" spans="38:38" x14ac:dyDescent="0.2">
      <c r="AL4948" s="177"/>
    </row>
    <row r="4949" spans="38:38" x14ac:dyDescent="0.2">
      <c r="AL4949" s="177"/>
    </row>
    <row r="4950" spans="38:38" x14ac:dyDescent="0.2">
      <c r="AL4950" s="177"/>
    </row>
    <row r="4951" spans="38:38" x14ac:dyDescent="0.2">
      <c r="AL4951" s="177"/>
    </row>
    <row r="4952" spans="38:38" x14ac:dyDescent="0.2">
      <c r="AL4952" s="177"/>
    </row>
    <row r="4953" spans="38:38" x14ac:dyDescent="0.2">
      <c r="AL4953" s="177"/>
    </row>
    <row r="4954" spans="38:38" x14ac:dyDescent="0.2">
      <c r="AL4954" s="177"/>
    </row>
    <row r="4955" spans="38:38" x14ac:dyDescent="0.2">
      <c r="AL4955" s="177"/>
    </row>
    <row r="4956" spans="38:38" x14ac:dyDescent="0.2">
      <c r="AL4956" s="177"/>
    </row>
    <row r="4957" spans="38:38" x14ac:dyDescent="0.2">
      <c r="AL4957" s="177"/>
    </row>
    <row r="4958" spans="38:38" x14ac:dyDescent="0.2">
      <c r="AL4958" s="177"/>
    </row>
    <row r="4959" spans="38:38" x14ac:dyDescent="0.2">
      <c r="AL4959" s="177"/>
    </row>
    <row r="4960" spans="38:38" x14ac:dyDescent="0.2">
      <c r="AL4960" s="177"/>
    </row>
    <row r="4961" spans="38:38" x14ac:dyDescent="0.2">
      <c r="AL4961" s="177"/>
    </row>
    <row r="4962" spans="38:38" x14ac:dyDescent="0.2">
      <c r="AL4962" s="177"/>
    </row>
    <row r="4963" spans="38:38" x14ac:dyDescent="0.2">
      <c r="AL4963" s="177"/>
    </row>
    <row r="4964" spans="38:38" x14ac:dyDescent="0.2">
      <c r="AL4964" s="177"/>
    </row>
    <row r="4965" spans="38:38" x14ac:dyDescent="0.2">
      <c r="AL4965" s="177"/>
    </row>
    <row r="4966" spans="38:38" x14ac:dyDescent="0.2">
      <c r="AL4966" s="177"/>
    </row>
    <row r="4967" spans="38:38" x14ac:dyDescent="0.2">
      <c r="AL4967" s="177"/>
    </row>
    <row r="4968" spans="38:38" x14ac:dyDescent="0.2">
      <c r="AL4968" s="177"/>
    </row>
    <row r="4969" spans="38:38" x14ac:dyDescent="0.2">
      <c r="AL4969" s="177"/>
    </row>
    <row r="4970" spans="38:38" x14ac:dyDescent="0.2">
      <c r="AL4970" s="177"/>
    </row>
    <row r="4971" spans="38:38" x14ac:dyDescent="0.2">
      <c r="AL4971" s="177"/>
    </row>
    <row r="4972" spans="38:38" x14ac:dyDescent="0.2">
      <c r="AL4972" s="177"/>
    </row>
    <row r="4973" spans="38:38" x14ac:dyDescent="0.2">
      <c r="AL4973" s="177"/>
    </row>
    <row r="4974" spans="38:38" x14ac:dyDescent="0.2">
      <c r="AL4974" s="177"/>
    </row>
    <row r="4975" spans="38:38" x14ac:dyDescent="0.2">
      <c r="AL4975" s="177"/>
    </row>
    <row r="4976" spans="38:38" x14ac:dyDescent="0.2">
      <c r="AL4976" s="177"/>
    </row>
    <row r="4977" spans="38:38" x14ac:dyDescent="0.2">
      <c r="AL4977" s="177"/>
    </row>
    <row r="4978" spans="38:38" x14ac:dyDescent="0.2">
      <c r="AL4978" s="177"/>
    </row>
    <row r="4979" spans="38:38" x14ac:dyDescent="0.2">
      <c r="AL4979" s="177"/>
    </row>
    <row r="4980" spans="38:38" x14ac:dyDescent="0.2">
      <c r="AL4980" s="177"/>
    </row>
    <row r="4981" spans="38:38" x14ac:dyDescent="0.2">
      <c r="AL4981" s="177"/>
    </row>
    <row r="4982" spans="38:38" x14ac:dyDescent="0.2">
      <c r="AL4982" s="177"/>
    </row>
    <row r="4983" spans="38:38" x14ac:dyDescent="0.2">
      <c r="AL4983" s="177"/>
    </row>
    <row r="4984" spans="38:38" x14ac:dyDescent="0.2">
      <c r="AL4984" s="177"/>
    </row>
    <row r="4985" spans="38:38" x14ac:dyDescent="0.2">
      <c r="AL4985" s="177"/>
    </row>
    <row r="4986" spans="38:38" x14ac:dyDescent="0.2">
      <c r="AL4986" s="177"/>
    </row>
    <row r="4987" spans="38:38" x14ac:dyDescent="0.2">
      <c r="AL4987" s="177"/>
    </row>
    <row r="4988" spans="38:38" x14ac:dyDescent="0.2">
      <c r="AL4988" s="177"/>
    </row>
    <row r="4989" spans="38:38" x14ac:dyDescent="0.2">
      <c r="AL4989" s="177"/>
    </row>
    <row r="4990" spans="38:38" x14ac:dyDescent="0.2">
      <c r="AL4990" s="177"/>
    </row>
    <row r="4991" spans="38:38" x14ac:dyDescent="0.2">
      <c r="AL4991" s="177"/>
    </row>
    <row r="4992" spans="38:38" x14ac:dyDescent="0.2">
      <c r="AL4992" s="177"/>
    </row>
    <row r="4993" spans="38:38" x14ac:dyDescent="0.2">
      <c r="AL4993" s="177"/>
    </row>
    <row r="4994" spans="38:38" x14ac:dyDescent="0.2">
      <c r="AL4994" s="177"/>
    </row>
    <row r="4995" spans="38:38" x14ac:dyDescent="0.2">
      <c r="AL4995" s="177"/>
    </row>
    <row r="4996" spans="38:38" x14ac:dyDescent="0.2">
      <c r="AL4996" s="177"/>
    </row>
    <row r="4997" spans="38:38" x14ac:dyDescent="0.2">
      <c r="AL4997" s="177"/>
    </row>
    <row r="4998" spans="38:38" x14ac:dyDescent="0.2">
      <c r="AL4998" s="177"/>
    </row>
    <row r="4999" spans="38:38" x14ac:dyDescent="0.2">
      <c r="AL4999" s="177"/>
    </row>
    <row r="5000" spans="38:38" x14ac:dyDescent="0.2">
      <c r="AL5000" s="177"/>
    </row>
    <row r="5001" spans="38:38" x14ac:dyDescent="0.2">
      <c r="AL5001" s="177"/>
    </row>
    <row r="5002" spans="38:38" x14ac:dyDescent="0.2">
      <c r="AL5002" s="177"/>
    </row>
    <row r="5003" spans="38:38" x14ac:dyDescent="0.2">
      <c r="AL5003" s="177"/>
    </row>
    <row r="5004" spans="38:38" x14ac:dyDescent="0.2">
      <c r="AL5004" s="177"/>
    </row>
    <row r="5005" spans="38:38" x14ac:dyDescent="0.2">
      <c r="AL5005" s="177"/>
    </row>
    <row r="5006" spans="38:38" x14ac:dyDescent="0.2">
      <c r="AL5006" s="177"/>
    </row>
    <row r="5007" spans="38:38" x14ac:dyDescent="0.2">
      <c r="AL5007" s="177"/>
    </row>
    <row r="5008" spans="38:38" x14ac:dyDescent="0.2">
      <c r="AL5008" s="177"/>
    </row>
    <row r="5009" spans="38:38" x14ac:dyDescent="0.2">
      <c r="AL5009" s="177"/>
    </row>
    <row r="5010" spans="38:38" x14ac:dyDescent="0.2">
      <c r="AL5010" s="177"/>
    </row>
    <row r="5011" spans="38:38" x14ac:dyDescent="0.2">
      <c r="AL5011" s="177"/>
    </row>
    <row r="5012" spans="38:38" x14ac:dyDescent="0.2">
      <c r="AL5012" s="177"/>
    </row>
    <row r="5013" spans="38:38" x14ac:dyDescent="0.2">
      <c r="AL5013" s="177"/>
    </row>
    <row r="5014" spans="38:38" x14ac:dyDescent="0.2">
      <c r="AL5014" s="177"/>
    </row>
    <row r="5015" spans="38:38" x14ac:dyDescent="0.2">
      <c r="AL5015" s="177"/>
    </row>
    <row r="5016" spans="38:38" x14ac:dyDescent="0.2">
      <c r="AL5016" s="177"/>
    </row>
    <row r="5017" spans="38:38" x14ac:dyDescent="0.2">
      <c r="AL5017" s="177"/>
    </row>
    <row r="5018" spans="38:38" x14ac:dyDescent="0.2">
      <c r="AL5018" s="177"/>
    </row>
    <row r="5019" spans="38:38" x14ac:dyDescent="0.2">
      <c r="AL5019" s="177"/>
    </row>
    <row r="5020" spans="38:38" x14ac:dyDescent="0.2">
      <c r="AL5020" s="177"/>
    </row>
    <row r="5021" spans="38:38" x14ac:dyDescent="0.2">
      <c r="AL5021" s="177"/>
    </row>
    <row r="5022" spans="38:38" x14ac:dyDescent="0.2">
      <c r="AL5022" s="177"/>
    </row>
    <row r="5023" spans="38:38" x14ac:dyDescent="0.2">
      <c r="AL5023" s="177"/>
    </row>
    <row r="5024" spans="38:38" x14ac:dyDescent="0.2">
      <c r="AL5024" s="177"/>
    </row>
    <row r="5025" spans="38:38" x14ac:dyDescent="0.2">
      <c r="AL5025" s="177"/>
    </row>
    <row r="5026" spans="38:38" x14ac:dyDescent="0.2">
      <c r="AL5026" s="177"/>
    </row>
    <row r="5027" spans="38:38" x14ac:dyDescent="0.2">
      <c r="AL5027" s="177"/>
    </row>
    <row r="5028" spans="38:38" x14ac:dyDescent="0.2">
      <c r="AL5028" s="177"/>
    </row>
    <row r="5029" spans="38:38" x14ac:dyDescent="0.2">
      <c r="AL5029" s="177"/>
    </row>
    <row r="5030" spans="38:38" x14ac:dyDescent="0.2">
      <c r="AL5030" s="177"/>
    </row>
    <row r="5031" spans="38:38" x14ac:dyDescent="0.2">
      <c r="AL5031" s="177"/>
    </row>
    <row r="5032" spans="38:38" x14ac:dyDescent="0.2">
      <c r="AL5032" s="177"/>
    </row>
    <row r="5033" spans="38:38" x14ac:dyDescent="0.2">
      <c r="AL5033" s="177"/>
    </row>
    <row r="5034" spans="38:38" x14ac:dyDescent="0.2">
      <c r="AL5034" s="177"/>
    </row>
    <row r="5035" spans="38:38" x14ac:dyDescent="0.2">
      <c r="AL5035" s="177"/>
    </row>
    <row r="5036" spans="38:38" x14ac:dyDescent="0.2">
      <c r="AL5036" s="177"/>
    </row>
    <row r="5037" spans="38:38" x14ac:dyDescent="0.2">
      <c r="AL5037" s="177"/>
    </row>
    <row r="5038" spans="38:38" x14ac:dyDescent="0.2">
      <c r="AL5038" s="177"/>
    </row>
    <row r="5039" spans="38:38" x14ac:dyDescent="0.2">
      <c r="AL5039" s="177"/>
    </row>
    <row r="5040" spans="38:38" x14ac:dyDescent="0.2">
      <c r="AL5040" s="177"/>
    </row>
    <row r="5041" spans="38:38" x14ac:dyDescent="0.2">
      <c r="AL5041" s="177"/>
    </row>
    <row r="5042" spans="38:38" x14ac:dyDescent="0.2">
      <c r="AL5042" s="177"/>
    </row>
    <row r="5043" spans="38:38" x14ac:dyDescent="0.2">
      <c r="AL5043" s="177"/>
    </row>
    <row r="5044" spans="38:38" x14ac:dyDescent="0.2">
      <c r="AL5044" s="177"/>
    </row>
    <row r="5045" spans="38:38" x14ac:dyDescent="0.2">
      <c r="AL5045" s="177"/>
    </row>
    <row r="5046" spans="38:38" x14ac:dyDescent="0.2">
      <c r="AL5046" s="177"/>
    </row>
    <row r="5047" spans="38:38" x14ac:dyDescent="0.2">
      <c r="AL5047" s="177"/>
    </row>
    <row r="5048" spans="38:38" x14ac:dyDescent="0.2">
      <c r="AL5048" s="177"/>
    </row>
    <row r="5049" spans="38:38" x14ac:dyDescent="0.2">
      <c r="AL5049" s="177"/>
    </row>
    <row r="5050" spans="38:38" x14ac:dyDescent="0.2">
      <c r="AL5050" s="177"/>
    </row>
    <row r="5051" spans="38:38" x14ac:dyDescent="0.2">
      <c r="AL5051" s="177"/>
    </row>
    <row r="5052" spans="38:38" x14ac:dyDescent="0.2">
      <c r="AL5052" s="177"/>
    </row>
    <row r="5053" spans="38:38" x14ac:dyDescent="0.2">
      <c r="AL5053" s="177"/>
    </row>
    <row r="5054" spans="38:38" x14ac:dyDescent="0.2">
      <c r="AL5054" s="177"/>
    </row>
    <row r="5055" spans="38:38" x14ac:dyDescent="0.2">
      <c r="AL5055" s="177"/>
    </row>
    <row r="5056" spans="38:38" x14ac:dyDescent="0.2">
      <c r="AL5056" s="177"/>
    </row>
    <row r="5057" spans="38:38" x14ac:dyDescent="0.2">
      <c r="AL5057" s="177"/>
    </row>
    <row r="5058" spans="38:38" x14ac:dyDescent="0.2">
      <c r="AL5058" s="177"/>
    </row>
    <row r="5059" spans="38:38" x14ac:dyDescent="0.2">
      <c r="AL5059" s="177"/>
    </row>
    <row r="5060" spans="38:38" x14ac:dyDescent="0.2">
      <c r="AL5060" s="177"/>
    </row>
    <row r="5061" spans="38:38" x14ac:dyDescent="0.2">
      <c r="AL5061" s="177"/>
    </row>
    <row r="5062" spans="38:38" x14ac:dyDescent="0.2">
      <c r="AL5062" s="177"/>
    </row>
    <row r="5063" spans="38:38" x14ac:dyDescent="0.2">
      <c r="AL5063" s="177"/>
    </row>
    <row r="5064" spans="38:38" x14ac:dyDescent="0.2">
      <c r="AL5064" s="177"/>
    </row>
    <row r="5065" spans="38:38" x14ac:dyDescent="0.2">
      <c r="AL5065" s="177"/>
    </row>
    <row r="5066" spans="38:38" x14ac:dyDescent="0.2">
      <c r="AL5066" s="177"/>
    </row>
    <row r="5067" spans="38:38" x14ac:dyDescent="0.2">
      <c r="AL5067" s="177"/>
    </row>
    <row r="5068" spans="38:38" x14ac:dyDescent="0.2">
      <c r="AL5068" s="177"/>
    </row>
    <row r="5069" spans="38:38" x14ac:dyDescent="0.2">
      <c r="AL5069" s="177"/>
    </row>
    <row r="5070" spans="38:38" x14ac:dyDescent="0.2">
      <c r="AL5070" s="177"/>
    </row>
    <row r="5071" spans="38:38" x14ac:dyDescent="0.2">
      <c r="AL5071" s="177"/>
    </row>
    <row r="5072" spans="38:38" x14ac:dyDescent="0.2">
      <c r="AL5072" s="177"/>
    </row>
    <row r="5073" spans="38:38" x14ac:dyDescent="0.2">
      <c r="AL5073" s="177"/>
    </row>
    <row r="5074" spans="38:38" x14ac:dyDescent="0.2">
      <c r="AL5074" s="177"/>
    </row>
    <row r="5075" spans="38:38" x14ac:dyDescent="0.2">
      <c r="AL5075" s="177"/>
    </row>
    <row r="5076" spans="38:38" x14ac:dyDescent="0.2">
      <c r="AL5076" s="177"/>
    </row>
    <row r="5077" spans="38:38" x14ac:dyDescent="0.2">
      <c r="AL5077" s="177"/>
    </row>
    <row r="5078" spans="38:38" x14ac:dyDescent="0.2">
      <c r="AL5078" s="177"/>
    </row>
    <row r="5079" spans="38:38" x14ac:dyDescent="0.2">
      <c r="AL5079" s="177"/>
    </row>
    <row r="5080" spans="38:38" x14ac:dyDescent="0.2">
      <c r="AL5080" s="177"/>
    </row>
    <row r="5081" spans="38:38" x14ac:dyDescent="0.2">
      <c r="AL5081" s="177"/>
    </row>
    <row r="5082" spans="38:38" x14ac:dyDescent="0.2">
      <c r="AL5082" s="177"/>
    </row>
    <row r="5083" spans="38:38" x14ac:dyDescent="0.2">
      <c r="AL5083" s="177"/>
    </row>
    <row r="5084" spans="38:38" x14ac:dyDescent="0.2">
      <c r="AL5084" s="177"/>
    </row>
    <row r="5085" spans="38:38" x14ac:dyDescent="0.2">
      <c r="AL5085" s="177"/>
    </row>
    <row r="5086" spans="38:38" x14ac:dyDescent="0.2">
      <c r="AL5086" s="177"/>
    </row>
    <row r="5087" spans="38:38" x14ac:dyDescent="0.2">
      <c r="AL5087" s="177"/>
    </row>
    <row r="5088" spans="38:38" x14ac:dyDescent="0.2">
      <c r="AL5088" s="177"/>
    </row>
    <row r="5089" spans="38:38" x14ac:dyDescent="0.2">
      <c r="AL5089" s="177"/>
    </row>
    <row r="5090" spans="38:38" x14ac:dyDescent="0.2">
      <c r="AL5090" s="177"/>
    </row>
    <row r="5091" spans="38:38" x14ac:dyDescent="0.2">
      <c r="AL5091" s="177"/>
    </row>
    <row r="5092" spans="38:38" x14ac:dyDescent="0.2">
      <c r="AL5092" s="177"/>
    </row>
    <row r="5093" spans="38:38" x14ac:dyDescent="0.2">
      <c r="AL5093" s="177"/>
    </row>
    <row r="5094" spans="38:38" x14ac:dyDescent="0.2">
      <c r="AL5094" s="177"/>
    </row>
    <row r="5095" spans="38:38" x14ac:dyDescent="0.2">
      <c r="AL5095" s="177"/>
    </row>
    <row r="5096" spans="38:38" x14ac:dyDescent="0.2">
      <c r="AL5096" s="177"/>
    </row>
    <row r="5097" spans="38:38" x14ac:dyDescent="0.2">
      <c r="AL5097" s="177"/>
    </row>
    <row r="5098" spans="38:38" x14ac:dyDescent="0.2">
      <c r="AL5098" s="177"/>
    </row>
    <row r="5099" spans="38:38" x14ac:dyDescent="0.2">
      <c r="AL5099" s="177"/>
    </row>
    <row r="5100" spans="38:38" x14ac:dyDescent="0.2">
      <c r="AL5100" s="177"/>
    </row>
    <row r="5101" spans="38:38" x14ac:dyDescent="0.2">
      <c r="AL5101" s="177"/>
    </row>
    <row r="5102" spans="38:38" x14ac:dyDescent="0.2">
      <c r="AL5102" s="177"/>
    </row>
    <row r="5103" spans="38:38" x14ac:dyDescent="0.2">
      <c r="AL5103" s="177"/>
    </row>
    <row r="5104" spans="38:38" x14ac:dyDescent="0.2">
      <c r="AL5104" s="177"/>
    </row>
    <row r="5105" spans="38:38" x14ac:dyDescent="0.2">
      <c r="AL5105" s="177"/>
    </row>
    <row r="5106" spans="38:38" x14ac:dyDescent="0.2">
      <c r="AL5106" s="177"/>
    </row>
    <row r="5107" spans="38:38" x14ac:dyDescent="0.2">
      <c r="AL5107" s="177"/>
    </row>
    <row r="5108" spans="38:38" x14ac:dyDescent="0.2">
      <c r="AL5108" s="177"/>
    </row>
    <row r="5109" spans="38:38" x14ac:dyDescent="0.2">
      <c r="AL5109" s="177"/>
    </row>
    <row r="5110" spans="38:38" x14ac:dyDescent="0.2">
      <c r="AL5110" s="177"/>
    </row>
    <row r="5111" spans="38:38" x14ac:dyDescent="0.2">
      <c r="AL5111" s="177"/>
    </row>
    <row r="5112" spans="38:38" x14ac:dyDescent="0.2">
      <c r="AL5112" s="177"/>
    </row>
    <row r="5113" spans="38:38" x14ac:dyDescent="0.2">
      <c r="AL5113" s="177"/>
    </row>
    <row r="5114" spans="38:38" x14ac:dyDescent="0.2">
      <c r="AL5114" s="177"/>
    </row>
    <row r="5115" spans="38:38" x14ac:dyDescent="0.2">
      <c r="AL5115" s="177"/>
    </row>
    <row r="5116" spans="38:38" x14ac:dyDescent="0.2">
      <c r="AL5116" s="177"/>
    </row>
    <row r="5117" spans="38:38" x14ac:dyDescent="0.2">
      <c r="AL5117" s="177"/>
    </row>
    <row r="5118" spans="38:38" x14ac:dyDescent="0.2">
      <c r="AL5118" s="177"/>
    </row>
    <row r="5119" spans="38:38" x14ac:dyDescent="0.2">
      <c r="AL5119" s="177"/>
    </row>
    <row r="5120" spans="38:38" x14ac:dyDescent="0.2">
      <c r="AL5120" s="177"/>
    </row>
    <row r="5121" spans="38:38" x14ac:dyDescent="0.2">
      <c r="AL5121" s="177"/>
    </row>
    <row r="5122" spans="38:38" x14ac:dyDescent="0.2">
      <c r="AL5122" s="177"/>
    </row>
    <row r="5123" spans="38:38" x14ac:dyDescent="0.2">
      <c r="AL5123" s="177"/>
    </row>
    <row r="5124" spans="38:38" x14ac:dyDescent="0.2">
      <c r="AL5124" s="177"/>
    </row>
    <row r="5125" spans="38:38" x14ac:dyDescent="0.2">
      <c r="AL5125" s="177"/>
    </row>
    <row r="5126" spans="38:38" x14ac:dyDescent="0.2">
      <c r="AL5126" s="177"/>
    </row>
    <row r="5127" spans="38:38" x14ac:dyDescent="0.2">
      <c r="AL5127" s="177"/>
    </row>
    <row r="5128" spans="38:38" x14ac:dyDescent="0.2">
      <c r="AL5128" s="177"/>
    </row>
    <row r="5129" spans="38:38" x14ac:dyDescent="0.2">
      <c r="AL5129" s="177"/>
    </row>
    <row r="5130" spans="38:38" x14ac:dyDescent="0.2">
      <c r="AL5130" s="177"/>
    </row>
    <row r="5131" spans="38:38" x14ac:dyDescent="0.2">
      <c r="AL5131" s="177"/>
    </row>
    <row r="5132" spans="38:38" x14ac:dyDescent="0.2">
      <c r="AL5132" s="177"/>
    </row>
    <row r="5133" spans="38:38" x14ac:dyDescent="0.2">
      <c r="AL5133" s="177"/>
    </row>
    <row r="5134" spans="38:38" x14ac:dyDescent="0.2">
      <c r="AL5134" s="177"/>
    </row>
    <row r="5135" spans="38:38" x14ac:dyDescent="0.2">
      <c r="AL5135" s="177"/>
    </row>
    <row r="5136" spans="38:38" x14ac:dyDescent="0.2">
      <c r="AL5136" s="177"/>
    </row>
    <row r="5137" spans="38:38" x14ac:dyDescent="0.2">
      <c r="AL5137" s="177"/>
    </row>
    <row r="5138" spans="38:38" x14ac:dyDescent="0.2">
      <c r="AL5138" s="177"/>
    </row>
    <row r="5139" spans="38:38" x14ac:dyDescent="0.2">
      <c r="AL5139" s="177"/>
    </row>
    <row r="5140" spans="38:38" x14ac:dyDescent="0.2">
      <c r="AL5140" s="177"/>
    </row>
    <row r="5141" spans="38:38" x14ac:dyDescent="0.2">
      <c r="AL5141" s="177"/>
    </row>
    <row r="5142" spans="38:38" x14ac:dyDescent="0.2">
      <c r="AL5142" s="177"/>
    </row>
    <row r="5143" spans="38:38" x14ac:dyDescent="0.2">
      <c r="AL5143" s="177"/>
    </row>
    <row r="5144" spans="38:38" x14ac:dyDescent="0.2">
      <c r="AL5144" s="177"/>
    </row>
    <row r="5145" spans="38:38" x14ac:dyDescent="0.2">
      <c r="AL5145" s="177"/>
    </row>
    <row r="5146" spans="38:38" x14ac:dyDescent="0.2">
      <c r="AL5146" s="177"/>
    </row>
    <row r="5147" spans="38:38" x14ac:dyDescent="0.2">
      <c r="AL5147" s="177"/>
    </row>
    <row r="5148" spans="38:38" x14ac:dyDescent="0.2">
      <c r="AL5148" s="177"/>
    </row>
    <row r="5149" spans="38:38" x14ac:dyDescent="0.2">
      <c r="AL5149" s="177"/>
    </row>
    <row r="5150" spans="38:38" x14ac:dyDescent="0.2">
      <c r="AL5150" s="177"/>
    </row>
    <row r="5151" spans="38:38" x14ac:dyDescent="0.2">
      <c r="AL5151" s="177"/>
    </row>
    <row r="5152" spans="38:38" x14ac:dyDescent="0.2">
      <c r="AL5152" s="177"/>
    </row>
    <row r="5153" spans="38:38" x14ac:dyDescent="0.2">
      <c r="AL5153" s="177"/>
    </row>
    <row r="5154" spans="38:38" x14ac:dyDescent="0.2">
      <c r="AL5154" s="177"/>
    </row>
    <row r="5155" spans="38:38" x14ac:dyDescent="0.2">
      <c r="AL5155" s="177"/>
    </row>
    <row r="5156" spans="38:38" x14ac:dyDescent="0.2">
      <c r="AL5156" s="177"/>
    </row>
    <row r="5157" spans="38:38" x14ac:dyDescent="0.2">
      <c r="AL5157" s="177"/>
    </row>
    <row r="5158" spans="38:38" x14ac:dyDescent="0.2">
      <c r="AL5158" s="177"/>
    </row>
    <row r="5159" spans="38:38" x14ac:dyDescent="0.2">
      <c r="AL5159" s="177"/>
    </row>
    <row r="5160" spans="38:38" x14ac:dyDescent="0.2">
      <c r="AL5160" s="177"/>
    </row>
    <row r="5161" spans="38:38" x14ac:dyDescent="0.2">
      <c r="AL5161" s="177"/>
    </row>
    <row r="5162" spans="38:38" x14ac:dyDescent="0.2">
      <c r="AL5162" s="177"/>
    </row>
    <row r="5163" spans="38:38" x14ac:dyDescent="0.2">
      <c r="AL5163" s="177"/>
    </row>
    <row r="5164" spans="38:38" x14ac:dyDescent="0.2">
      <c r="AL5164" s="177"/>
    </row>
    <row r="5165" spans="38:38" x14ac:dyDescent="0.2">
      <c r="AL5165" s="177"/>
    </row>
    <row r="5166" spans="38:38" x14ac:dyDescent="0.2">
      <c r="AL5166" s="177"/>
    </row>
    <row r="5167" spans="38:38" x14ac:dyDescent="0.2">
      <c r="AL5167" s="177"/>
    </row>
    <row r="5168" spans="38:38" x14ac:dyDescent="0.2">
      <c r="AL5168" s="177"/>
    </row>
    <row r="5169" spans="38:38" x14ac:dyDescent="0.2">
      <c r="AL5169" s="177"/>
    </row>
    <row r="5170" spans="38:38" x14ac:dyDescent="0.2">
      <c r="AL5170" s="177"/>
    </row>
    <row r="5171" spans="38:38" x14ac:dyDescent="0.2">
      <c r="AL5171" s="177"/>
    </row>
    <row r="5172" spans="38:38" x14ac:dyDescent="0.2">
      <c r="AL5172" s="177"/>
    </row>
    <row r="5173" spans="38:38" x14ac:dyDescent="0.2">
      <c r="AL5173" s="177"/>
    </row>
    <row r="5174" spans="38:38" x14ac:dyDescent="0.2">
      <c r="AL5174" s="177"/>
    </row>
    <row r="5175" spans="38:38" x14ac:dyDescent="0.2">
      <c r="AL5175" s="177"/>
    </row>
    <row r="5176" spans="38:38" x14ac:dyDescent="0.2">
      <c r="AL5176" s="177"/>
    </row>
    <row r="5177" spans="38:38" x14ac:dyDescent="0.2">
      <c r="AL5177" s="177"/>
    </row>
    <row r="5178" spans="38:38" x14ac:dyDescent="0.2">
      <c r="AL5178" s="177"/>
    </row>
    <row r="5179" spans="38:38" x14ac:dyDescent="0.2">
      <c r="AL5179" s="177"/>
    </row>
    <row r="5180" spans="38:38" x14ac:dyDescent="0.2">
      <c r="AL5180" s="177"/>
    </row>
    <row r="5181" spans="38:38" x14ac:dyDescent="0.2">
      <c r="AL5181" s="177"/>
    </row>
    <row r="5182" spans="38:38" x14ac:dyDescent="0.2">
      <c r="AL5182" s="177"/>
    </row>
    <row r="5183" spans="38:38" x14ac:dyDescent="0.2">
      <c r="AL5183" s="177"/>
    </row>
    <row r="5184" spans="38:38" x14ac:dyDescent="0.2">
      <c r="AL5184" s="177"/>
    </row>
    <row r="5185" spans="38:38" x14ac:dyDescent="0.2">
      <c r="AL5185" s="177"/>
    </row>
    <row r="5186" spans="38:38" x14ac:dyDescent="0.2">
      <c r="AL5186" s="177"/>
    </row>
    <row r="5187" spans="38:38" x14ac:dyDescent="0.2">
      <c r="AL5187" s="177"/>
    </row>
    <row r="5188" spans="38:38" x14ac:dyDescent="0.2">
      <c r="AL5188" s="177"/>
    </row>
    <row r="5189" spans="38:38" x14ac:dyDescent="0.2">
      <c r="AL5189" s="177"/>
    </row>
    <row r="5190" spans="38:38" x14ac:dyDescent="0.2">
      <c r="AL5190" s="177"/>
    </row>
    <row r="5191" spans="38:38" x14ac:dyDescent="0.2">
      <c r="AL5191" s="177"/>
    </row>
    <row r="5192" spans="38:38" x14ac:dyDescent="0.2">
      <c r="AL5192" s="177"/>
    </row>
    <row r="5193" spans="38:38" x14ac:dyDescent="0.2">
      <c r="AL5193" s="177"/>
    </row>
    <row r="5194" spans="38:38" x14ac:dyDescent="0.2">
      <c r="AL5194" s="177"/>
    </row>
    <row r="5195" spans="38:38" x14ac:dyDescent="0.2">
      <c r="AL5195" s="177"/>
    </row>
    <row r="5196" spans="38:38" x14ac:dyDescent="0.2">
      <c r="AL5196" s="177"/>
    </row>
    <row r="5197" spans="38:38" x14ac:dyDescent="0.2">
      <c r="AL5197" s="177"/>
    </row>
    <row r="5198" spans="38:38" x14ac:dyDescent="0.2">
      <c r="AL5198" s="177"/>
    </row>
    <row r="5199" spans="38:38" x14ac:dyDescent="0.2">
      <c r="AL5199" s="177"/>
    </row>
    <row r="5200" spans="38:38" x14ac:dyDescent="0.2">
      <c r="AL5200" s="177"/>
    </row>
    <row r="5201" spans="38:38" x14ac:dyDescent="0.2">
      <c r="AL5201" s="177"/>
    </row>
    <row r="5202" spans="38:38" x14ac:dyDescent="0.2">
      <c r="AL5202" s="177"/>
    </row>
    <row r="5203" spans="38:38" x14ac:dyDescent="0.2">
      <c r="AL5203" s="177"/>
    </row>
    <row r="5204" spans="38:38" x14ac:dyDescent="0.2">
      <c r="AL5204" s="177"/>
    </row>
    <row r="5205" spans="38:38" x14ac:dyDescent="0.2">
      <c r="AL5205" s="177"/>
    </row>
    <row r="5206" spans="38:38" x14ac:dyDescent="0.2">
      <c r="AL5206" s="177"/>
    </row>
    <row r="5207" spans="38:38" x14ac:dyDescent="0.2">
      <c r="AL5207" s="177"/>
    </row>
    <row r="5208" spans="38:38" x14ac:dyDescent="0.2">
      <c r="AL5208" s="177"/>
    </row>
    <row r="5209" spans="38:38" x14ac:dyDescent="0.2">
      <c r="AL5209" s="177"/>
    </row>
    <row r="5210" spans="38:38" x14ac:dyDescent="0.2">
      <c r="AL5210" s="177"/>
    </row>
    <row r="5211" spans="38:38" x14ac:dyDescent="0.2">
      <c r="AL5211" s="177"/>
    </row>
    <row r="5212" spans="38:38" x14ac:dyDescent="0.2">
      <c r="AL5212" s="177"/>
    </row>
    <row r="5213" spans="38:38" x14ac:dyDescent="0.2">
      <c r="AL5213" s="177"/>
    </row>
    <row r="5214" spans="38:38" x14ac:dyDescent="0.2">
      <c r="AL5214" s="177"/>
    </row>
    <row r="5215" spans="38:38" x14ac:dyDescent="0.2">
      <c r="AL5215" s="177"/>
    </row>
    <row r="5216" spans="38:38" x14ac:dyDescent="0.2">
      <c r="AL5216" s="177"/>
    </row>
    <row r="5217" spans="38:38" x14ac:dyDescent="0.2">
      <c r="AL5217" s="177"/>
    </row>
    <row r="5218" spans="38:38" x14ac:dyDescent="0.2">
      <c r="AL5218" s="177"/>
    </row>
    <row r="5219" spans="38:38" x14ac:dyDescent="0.2">
      <c r="AL5219" s="177"/>
    </row>
    <row r="5220" spans="38:38" x14ac:dyDescent="0.2">
      <c r="AL5220" s="177"/>
    </row>
    <row r="5221" spans="38:38" x14ac:dyDescent="0.2">
      <c r="AL5221" s="177"/>
    </row>
    <row r="5222" spans="38:38" x14ac:dyDescent="0.2">
      <c r="AL5222" s="177"/>
    </row>
    <row r="5223" spans="38:38" x14ac:dyDescent="0.2">
      <c r="AL5223" s="177"/>
    </row>
    <row r="5224" spans="38:38" x14ac:dyDescent="0.2">
      <c r="AL5224" s="177"/>
    </row>
    <row r="5225" spans="38:38" x14ac:dyDescent="0.2">
      <c r="AL5225" s="177"/>
    </row>
    <row r="5226" spans="38:38" x14ac:dyDescent="0.2">
      <c r="AL5226" s="177"/>
    </row>
    <row r="5227" spans="38:38" x14ac:dyDescent="0.2">
      <c r="AL5227" s="177"/>
    </row>
    <row r="5228" spans="38:38" x14ac:dyDescent="0.2">
      <c r="AL5228" s="177"/>
    </row>
    <row r="5229" spans="38:38" x14ac:dyDescent="0.2">
      <c r="AL5229" s="177"/>
    </row>
    <row r="5230" spans="38:38" x14ac:dyDescent="0.2">
      <c r="AL5230" s="177"/>
    </row>
    <row r="5231" spans="38:38" x14ac:dyDescent="0.2">
      <c r="AL5231" s="177"/>
    </row>
    <row r="5232" spans="38:38" x14ac:dyDescent="0.2">
      <c r="AL5232" s="177"/>
    </row>
    <row r="5233" spans="38:38" x14ac:dyDescent="0.2">
      <c r="AL5233" s="177"/>
    </row>
    <row r="5234" spans="38:38" x14ac:dyDescent="0.2">
      <c r="AL5234" s="177"/>
    </row>
    <row r="5235" spans="38:38" x14ac:dyDescent="0.2">
      <c r="AL5235" s="177"/>
    </row>
    <row r="5236" spans="38:38" x14ac:dyDescent="0.2">
      <c r="AL5236" s="177"/>
    </row>
    <row r="5237" spans="38:38" x14ac:dyDescent="0.2">
      <c r="AL5237" s="177"/>
    </row>
    <row r="5238" spans="38:38" x14ac:dyDescent="0.2">
      <c r="AL5238" s="177"/>
    </row>
    <row r="5239" spans="38:38" x14ac:dyDescent="0.2">
      <c r="AL5239" s="177"/>
    </row>
    <row r="5240" spans="38:38" x14ac:dyDescent="0.2">
      <c r="AL5240" s="177"/>
    </row>
    <row r="5241" spans="38:38" x14ac:dyDescent="0.2">
      <c r="AL5241" s="177"/>
    </row>
    <row r="5242" spans="38:38" x14ac:dyDescent="0.2">
      <c r="AL5242" s="177"/>
    </row>
    <row r="5243" spans="38:38" x14ac:dyDescent="0.2">
      <c r="AL5243" s="177"/>
    </row>
    <row r="5244" spans="38:38" x14ac:dyDescent="0.2">
      <c r="AL5244" s="177"/>
    </row>
    <row r="5245" spans="38:38" x14ac:dyDescent="0.2">
      <c r="AL5245" s="177"/>
    </row>
    <row r="5246" spans="38:38" x14ac:dyDescent="0.2">
      <c r="AL5246" s="177"/>
    </row>
    <row r="5247" spans="38:38" x14ac:dyDescent="0.2">
      <c r="AL5247" s="177"/>
    </row>
    <row r="5248" spans="38:38" x14ac:dyDescent="0.2">
      <c r="AL5248" s="177"/>
    </row>
    <row r="5249" spans="38:38" x14ac:dyDescent="0.2">
      <c r="AL5249" s="177"/>
    </row>
    <row r="5250" spans="38:38" x14ac:dyDescent="0.2">
      <c r="AL5250" s="177"/>
    </row>
    <row r="5251" spans="38:38" x14ac:dyDescent="0.2">
      <c r="AL5251" s="177"/>
    </row>
    <row r="5252" spans="38:38" x14ac:dyDescent="0.2">
      <c r="AL5252" s="177"/>
    </row>
    <row r="5253" spans="38:38" x14ac:dyDescent="0.2">
      <c r="AL5253" s="177"/>
    </row>
    <row r="5254" spans="38:38" x14ac:dyDescent="0.2">
      <c r="AL5254" s="177"/>
    </row>
    <row r="5255" spans="38:38" x14ac:dyDescent="0.2">
      <c r="AL5255" s="177"/>
    </row>
    <row r="5256" spans="38:38" x14ac:dyDescent="0.2">
      <c r="AL5256" s="177"/>
    </row>
    <row r="5257" spans="38:38" x14ac:dyDescent="0.2">
      <c r="AL5257" s="177"/>
    </row>
    <row r="5258" spans="38:38" x14ac:dyDescent="0.2">
      <c r="AL5258" s="177"/>
    </row>
    <row r="5259" spans="38:38" x14ac:dyDescent="0.2">
      <c r="AL5259" s="177"/>
    </row>
    <row r="5260" spans="38:38" x14ac:dyDescent="0.2">
      <c r="AL5260" s="177"/>
    </row>
    <row r="5261" spans="38:38" x14ac:dyDescent="0.2">
      <c r="AL5261" s="177"/>
    </row>
    <row r="5262" spans="38:38" x14ac:dyDescent="0.2">
      <c r="AL5262" s="177"/>
    </row>
    <row r="5263" spans="38:38" x14ac:dyDescent="0.2">
      <c r="AL5263" s="177"/>
    </row>
    <row r="5264" spans="38:38" x14ac:dyDescent="0.2">
      <c r="AL5264" s="177"/>
    </row>
    <row r="5265" spans="38:38" x14ac:dyDescent="0.2">
      <c r="AL5265" s="177"/>
    </row>
    <row r="5266" spans="38:38" x14ac:dyDescent="0.2">
      <c r="AL5266" s="177"/>
    </row>
    <row r="5267" spans="38:38" x14ac:dyDescent="0.2">
      <c r="AL5267" s="177"/>
    </row>
    <row r="5268" spans="38:38" x14ac:dyDescent="0.2">
      <c r="AL5268" s="177"/>
    </row>
    <row r="5269" spans="38:38" x14ac:dyDescent="0.2">
      <c r="AL5269" s="177"/>
    </row>
    <row r="5270" spans="38:38" x14ac:dyDescent="0.2">
      <c r="AL5270" s="177"/>
    </row>
    <row r="5271" spans="38:38" x14ac:dyDescent="0.2">
      <c r="AL5271" s="177"/>
    </row>
    <row r="5272" spans="38:38" x14ac:dyDescent="0.2">
      <c r="AL5272" s="177"/>
    </row>
    <row r="5273" spans="38:38" x14ac:dyDescent="0.2">
      <c r="AL5273" s="177"/>
    </row>
    <row r="5274" spans="38:38" x14ac:dyDescent="0.2">
      <c r="AL5274" s="177"/>
    </row>
    <row r="5275" spans="38:38" x14ac:dyDescent="0.2">
      <c r="AL5275" s="177"/>
    </row>
    <row r="5276" spans="38:38" x14ac:dyDescent="0.2">
      <c r="AL5276" s="177"/>
    </row>
    <row r="5277" spans="38:38" x14ac:dyDescent="0.2">
      <c r="AL5277" s="177"/>
    </row>
    <row r="5278" spans="38:38" x14ac:dyDescent="0.2">
      <c r="AL5278" s="177"/>
    </row>
    <row r="5279" spans="38:38" x14ac:dyDescent="0.2">
      <c r="AL5279" s="177"/>
    </row>
    <row r="5280" spans="38:38" x14ac:dyDescent="0.2">
      <c r="AL5280" s="177"/>
    </row>
    <row r="5281" spans="38:38" x14ac:dyDescent="0.2">
      <c r="AL5281" s="177"/>
    </row>
    <row r="5282" spans="38:38" x14ac:dyDescent="0.2">
      <c r="AL5282" s="177"/>
    </row>
    <row r="5283" spans="38:38" x14ac:dyDescent="0.2">
      <c r="AL5283" s="177"/>
    </row>
    <row r="5284" spans="38:38" x14ac:dyDescent="0.2">
      <c r="AL5284" s="177"/>
    </row>
    <row r="5285" spans="38:38" x14ac:dyDescent="0.2">
      <c r="AL5285" s="177"/>
    </row>
    <row r="5286" spans="38:38" x14ac:dyDescent="0.2">
      <c r="AL5286" s="177"/>
    </row>
    <row r="5287" spans="38:38" x14ac:dyDescent="0.2">
      <c r="AL5287" s="177"/>
    </row>
    <row r="5288" spans="38:38" x14ac:dyDescent="0.2">
      <c r="AL5288" s="177"/>
    </row>
    <row r="5289" spans="38:38" x14ac:dyDescent="0.2">
      <c r="AL5289" s="177"/>
    </row>
    <row r="5290" spans="38:38" x14ac:dyDescent="0.2">
      <c r="AL5290" s="177"/>
    </row>
    <row r="5291" spans="38:38" x14ac:dyDescent="0.2">
      <c r="AL5291" s="177"/>
    </row>
    <row r="5292" spans="38:38" x14ac:dyDescent="0.2">
      <c r="AL5292" s="177"/>
    </row>
    <row r="5293" spans="38:38" x14ac:dyDescent="0.2">
      <c r="AL5293" s="177"/>
    </row>
    <row r="5294" spans="38:38" x14ac:dyDescent="0.2">
      <c r="AL5294" s="177"/>
    </row>
    <row r="5295" spans="38:38" x14ac:dyDescent="0.2">
      <c r="AL5295" s="177"/>
    </row>
    <row r="5296" spans="38:38" x14ac:dyDescent="0.2">
      <c r="AL5296" s="177"/>
    </row>
    <row r="5297" spans="38:38" x14ac:dyDescent="0.2">
      <c r="AL5297" s="177"/>
    </row>
    <row r="5298" spans="38:38" x14ac:dyDescent="0.2">
      <c r="AL5298" s="177"/>
    </row>
    <row r="5299" spans="38:38" x14ac:dyDescent="0.2">
      <c r="AL5299" s="177"/>
    </row>
    <row r="5300" spans="38:38" x14ac:dyDescent="0.2">
      <c r="AL5300" s="177"/>
    </row>
    <row r="5301" spans="38:38" x14ac:dyDescent="0.2">
      <c r="AL5301" s="177"/>
    </row>
    <row r="5302" spans="38:38" x14ac:dyDescent="0.2">
      <c r="AL5302" s="177"/>
    </row>
    <row r="5303" spans="38:38" x14ac:dyDescent="0.2">
      <c r="AL5303" s="177"/>
    </row>
    <row r="5304" spans="38:38" x14ac:dyDescent="0.2">
      <c r="AL5304" s="177"/>
    </row>
    <row r="5305" spans="38:38" x14ac:dyDescent="0.2">
      <c r="AL5305" s="177"/>
    </row>
    <row r="5306" spans="38:38" x14ac:dyDescent="0.2">
      <c r="AL5306" s="177"/>
    </row>
    <row r="5307" spans="38:38" x14ac:dyDescent="0.2">
      <c r="AL5307" s="177"/>
    </row>
    <row r="5308" spans="38:38" x14ac:dyDescent="0.2">
      <c r="AL5308" s="177"/>
    </row>
    <row r="5309" spans="38:38" x14ac:dyDescent="0.2">
      <c r="AL5309" s="177"/>
    </row>
    <row r="5310" spans="38:38" x14ac:dyDescent="0.2">
      <c r="AL5310" s="177"/>
    </row>
    <row r="5311" spans="38:38" x14ac:dyDescent="0.2">
      <c r="AL5311" s="177"/>
    </row>
    <row r="5312" spans="38:38" x14ac:dyDescent="0.2">
      <c r="AL5312" s="177"/>
    </row>
    <row r="5313" spans="38:38" x14ac:dyDescent="0.2">
      <c r="AL5313" s="177"/>
    </row>
    <row r="5314" spans="38:38" x14ac:dyDescent="0.2">
      <c r="AL5314" s="177"/>
    </row>
    <row r="5315" spans="38:38" x14ac:dyDescent="0.2">
      <c r="AL5315" s="177"/>
    </row>
    <row r="5316" spans="38:38" x14ac:dyDescent="0.2">
      <c r="AL5316" s="177"/>
    </row>
    <row r="5317" spans="38:38" x14ac:dyDescent="0.2">
      <c r="AL5317" s="177"/>
    </row>
    <row r="5318" spans="38:38" x14ac:dyDescent="0.2">
      <c r="AL5318" s="177"/>
    </row>
    <row r="5319" spans="38:38" x14ac:dyDescent="0.2">
      <c r="AL5319" s="177"/>
    </row>
    <row r="5320" spans="38:38" x14ac:dyDescent="0.2">
      <c r="AL5320" s="177"/>
    </row>
    <row r="5321" spans="38:38" x14ac:dyDescent="0.2">
      <c r="AL5321" s="177"/>
    </row>
    <row r="5322" spans="38:38" x14ac:dyDescent="0.2">
      <c r="AL5322" s="177"/>
    </row>
    <row r="5323" spans="38:38" x14ac:dyDescent="0.2">
      <c r="AL5323" s="177"/>
    </row>
    <row r="5324" spans="38:38" x14ac:dyDescent="0.2">
      <c r="AL5324" s="177"/>
    </row>
    <row r="5325" spans="38:38" x14ac:dyDescent="0.2">
      <c r="AL5325" s="177"/>
    </row>
    <row r="5326" spans="38:38" x14ac:dyDescent="0.2">
      <c r="AL5326" s="177"/>
    </row>
    <row r="5327" spans="38:38" x14ac:dyDescent="0.2">
      <c r="AL5327" s="177"/>
    </row>
    <row r="5328" spans="38:38" x14ac:dyDescent="0.2">
      <c r="AL5328" s="177"/>
    </row>
    <row r="5329" spans="38:38" x14ac:dyDescent="0.2">
      <c r="AL5329" s="177"/>
    </row>
    <row r="5330" spans="38:38" x14ac:dyDescent="0.2">
      <c r="AL5330" s="177"/>
    </row>
    <row r="5331" spans="38:38" x14ac:dyDescent="0.2">
      <c r="AL5331" s="177"/>
    </row>
    <row r="5332" spans="38:38" x14ac:dyDescent="0.2">
      <c r="AL5332" s="177"/>
    </row>
    <row r="5333" spans="38:38" x14ac:dyDescent="0.2">
      <c r="AL5333" s="177"/>
    </row>
    <row r="5334" spans="38:38" x14ac:dyDescent="0.2">
      <c r="AL5334" s="177"/>
    </row>
    <row r="5335" spans="38:38" x14ac:dyDescent="0.2">
      <c r="AL5335" s="177"/>
    </row>
    <row r="5336" spans="38:38" x14ac:dyDescent="0.2">
      <c r="AL5336" s="177"/>
    </row>
    <row r="5337" spans="38:38" x14ac:dyDescent="0.2">
      <c r="AL5337" s="177"/>
    </row>
    <row r="5338" spans="38:38" x14ac:dyDescent="0.2">
      <c r="AL5338" s="177"/>
    </row>
    <row r="5339" spans="38:38" x14ac:dyDescent="0.2">
      <c r="AL5339" s="177"/>
    </row>
    <row r="5340" spans="38:38" x14ac:dyDescent="0.2">
      <c r="AL5340" s="177"/>
    </row>
    <row r="5341" spans="38:38" x14ac:dyDescent="0.2">
      <c r="AL5341" s="177"/>
    </row>
    <row r="5342" spans="38:38" x14ac:dyDescent="0.2">
      <c r="AL5342" s="177"/>
    </row>
    <row r="5343" spans="38:38" x14ac:dyDescent="0.2">
      <c r="AL5343" s="177"/>
    </row>
    <row r="5344" spans="38:38" x14ac:dyDescent="0.2">
      <c r="AL5344" s="177"/>
    </row>
    <row r="5345" spans="38:38" x14ac:dyDescent="0.2">
      <c r="AL5345" s="177"/>
    </row>
    <row r="5346" spans="38:38" x14ac:dyDescent="0.2">
      <c r="AL5346" s="177"/>
    </row>
    <row r="5347" spans="38:38" x14ac:dyDescent="0.2">
      <c r="AL5347" s="177"/>
    </row>
    <row r="5348" spans="38:38" x14ac:dyDescent="0.2">
      <c r="AL5348" s="177"/>
    </row>
    <row r="5349" spans="38:38" x14ac:dyDescent="0.2">
      <c r="AL5349" s="177"/>
    </row>
    <row r="5350" spans="38:38" x14ac:dyDescent="0.2">
      <c r="AL5350" s="177"/>
    </row>
    <row r="5351" spans="38:38" x14ac:dyDescent="0.2">
      <c r="AL5351" s="177"/>
    </row>
    <row r="5352" spans="38:38" x14ac:dyDescent="0.2">
      <c r="AL5352" s="177"/>
    </row>
    <row r="5353" spans="38:38" x14ac:dyDescent="0.2">
      <c r="AL5353" s="177"/>
    </row>
    <row r="5354" spans="38:38" x14ac:dyDescent="0.2">
      <c r="AL5354" s="177"/>
    </row>
    <row r="5355" spans="38:38" x14ac:dyDescent="0.2">
      <c r="AL5355" s="177"/>
    </row>
    <row r="5356" spans="38:38" x14ac:dyDescent="0.2">
      <c r="AL5356" s="177"/>
    </row>
    <row r="5357" spans="38:38" x14ac:dyDescent="0.2">
      <c r="AL5357" s="177"/>
    </row>
    <row r="5358" spans="38:38" x14ac:dyDescent="0.2">
      <c r="AL5358" s="177"/>
    </row>
    <row r="5359" spans="38:38" x14ac:dyDescent="0.2">
      <c r="AL5359" s="177"/>
    </row>
    <row r="5360" spans="38:38" x14ac:dyDescent="0.2">
      <c r="AL5360" s="177"/>
    </row>
    <row r="5361" spans="38:38" x14ac:dyDescent="0.2">
      <c r="AL5361" s="177"/>
    </row>
    <row r="5362" spans="38:38" x14ac:dyDescent="0.2">
      <c r="AL5362" s="177"/>
    </row>
    <row r="5363" spans="38:38" x14ac:dyDescent="0.2">
      <c r="AL5363" s="177"/>
    </row>
    <row r="5364" spans="38:38" x14ac:dyDescent="0.2">
      <c r="AL5364" s="177"/>
    </row>
    <row r="5365" spans="38:38" x14ac:dyDescent="0.2">
      <c r="AL5365" s="177"/>
    </row>
    <row r="5366" spans="38:38" x14ac:dyDescent="0.2">
      <c r="AL5366" s="177"/>
    </row>
    <row r="5367" spans="38:38" x14ac:dyDescent="0.2">
      <c r="AL5367" s="177"/>
    </row>
    <row r="5368" spans="38:38" x14ac:dyDescent="0.2">
      <c r="AL5368" s="177"/>
    </row>
    <row r="5369" spans="38:38" x14ac:dyDescent="0.2">
      <c r="AL5369" s="177"/>
    </row>
    <row r="5370" spans="38:38" x14ac:dyDescent="0.2">
      <c r="AL5370" s="177"/>
    </row>
    <row r="5371" spans="38:38" x14ac:dyDescent="0.2">
      <c r="AL5371" s="177"/>
    </row>
    <row r="5372" spans="38:38" x14ac:dyDescent="0.2">
      <c r="AL5372" s="177"/>
    </row>
    <row r="5373" spans="38:38" x14ac:dyDescent="0.2">
      <c r="AL5373" s="177"/>
    </row>
    <row r="5374" spans="38:38" x14ac:dyDescent="0.2">
      <c r="AL5374" s="177"/>
    </row>
    <row r="5375" spans="38:38" x14ac:dyDescent="0.2">
      <c r="AL5375" s="177"/>
    </row>
    <row r="5376" spans="38:38" x14ac:dyDescent="0.2">
      <c r="AL5376" s="177"/>
    </row>
    <row r="5377" spans="38:38" x14ac:dyDescent="0.2">
      <c r="AL5377" s="177"/>
    </row>
    <row r="5378" spans="38:38" x14ac:dyDescent="0.2">
      <c r="AL5378" s="177"/>
    </row>
    <row r="5379" spans="38:38" x14ac:dyDescent="0.2">
      <c r="AL5379" s="177"/>
    </row>
    <row r="5380" spans="38:38" x14ac:dyDescent="0.2">
      <c r="AL5380" s="177"/>
    </row>
    <row r="5381" spans="38:38" x14ac:dyDescent="0.2">
      <c r="AL5381" s="177"/>
    </row>
    <row r="5382" spans="38:38" x14ac:dyDescent="0.2">
      <c r="AL5382" s="177"/>
    </row>
    <row r="5383" spans="38:38" x14ac:dyDescent="0.2">
      <c r="AL5383" s="177"/>
    </row>
    <row r="5384" spans="38:38" x14ac:dyDescent="0.2">
      <c r="AL5384" s="177"/>
    </row>
    <row r="5385" spans="38:38" x14ac:dyDescent="0.2">
      <c r="AL5385" s="177"/>
    </row>
    <row r="5386" spans="38:38" x14ac:dyDescent="0.2">
      <c r="AL5386" s="177"/>
    </row>
    <row r="5387" spans="38:38" x14ac:dyDescent="0.2">
      <c r="AL5387" s="177"/>
    </row>
    <row r="5388" spans="38:38" x14ac:dyDescent="0.2">
      <c r="AL5388" s="177"/>
    </row>
    <row r="5389" spans="38:38" x14ac:dyDescent="0.2">
      <c r="AL5389" s="177"/>
    </row>
    <row r="5390" spans="38:38" x14ac:dyDescent="0.2">
      <c r="AL5390" s="177"/>
    </row>
    <row r="5391" spans="38:38" x14ac:dyDescent="0.2">
      <c r="AL5391" s="177"/>
    </row>
    <row r="5392" spans="38:38" x14ac:dyDescent="0.2">
      <c r="AL5392" s="177"/>
    </row>
    <row r="5393" spans="38:38" x14ac:dyDescent="0.2">
      <c r="AL5393" s="177"/>
    </row>
    <row r="5394" spans="38:38" x14ac:dyDescent="0.2">
      <c r="AL5394" s="177"/>
    </row>
    <row r="5395" spans="38:38" x14ac:dyDescent="0.2">
      <c r="AL5395" s="177"/>
    </row>
    <row r="5396" spans="38:38" x14ac:dyDescent="0.2">
      <c r="AL5396" s="177"/>
    </row>
    <row r="5397" spans="38:38" x14ac:dyDescent="0.2">
      <c r="AL5397" s="177"/>
    </row>
    <row r="5398" spans="38:38" x14ac:dyDescent="0.2">
      <c r="AL5398" s="177"/>
    </row>
    <row r="5399" spans="38:38" x14ac:dyDescent="0.2">
      <c r="AL5399" s="177"/>
    </row>
    <row r="5400" spans="38:38" x14ac:dyDescent="0.2">
      <c r="AL5400" s="177"/>
    </row>
    <row r="5401" spans="38:38" x14ac:dyDescent="0.2">
      <c r="AL5401" s="177"/>
    </row>
    <row r="5402" spans="38:38" x14ac:dyDescent="0.2">
      <c r="AL5402" s="177"/>
    </row>
    <row r="5403" spans="38:38" x14ac:dyDescent="0.2">
      <c r="AL5403" s="177"/>
    </row>
    <row r="5404" spans="38:38" x14ac:dyDescent="0.2">
      <c r="AL5404" s="177"/>
    </row>
    <row r="5405" spans="38:38" x14ac:dyDescent="0.2">
      <c r="AL5405" s="177"/>
    </row>
    <row r="5406" spans="38:38" x14ac:dyDescent="0.2">
      <c r="AL5406" s="177"/>
    </row>
    <row r="5407" spans="38:38" x14ac:dyDescent="0.2">
      <c r="AL5407" s="177"/>
    </row>
    <row r="5408" spans="38:38" x14ac:dyDescent="0.2">
      <c r="AL5408" s="177"/>
    </row>
    <row r="5409" spans="38:38" x14ac:dyDescent="0.2">
      <c r="AL5409" s="177"/>
    </row>
    <row r="5410" spans="38:38" x14ac:dyDescent="0.2">
      <c r="AL5410" s="177"/>
    </row>
    <row r="5411" spans="38:38" x14ac:dyDescent="0.2">
      <c r="AL5411" s="177"/>
    </row>
    <row r="5412" spans="38:38" x14ac:dyDescent="0.2">
      <c r="AL5412" s="177"/>
    </row>
    <row r="5413" spans="38:38" x14ac:dyDescent="0.2">
      <c r="AL5413" s="177"/>
    </row>
    <row r="5414" spans="38:38" x14ac:dyDescent="0.2">
      <c r="AL5414" s="177"/>
    </row>
    <row r="5415" spans="38:38" x14ac:dyDescent="0.2">
      <c r="AL5415" s="177"/>
    </row>
    <row r="5416" spans="38:38" x14ac:dyDescent="0.2">
      <c r="AL5416" s="177"/>
    </row>
    <row r="5417" spans="38:38" x14ac:dyDescent="0.2">
      <c r="AL5417" s="177"/>
    </row>
    <row r="5418" spans="38:38" x14ac:dyDescent="0.2">
      <c r="AL5418" s="177"/>
    </row>
    <row r="5419" spans="38:38" x14ac:dyDescent="0.2">
      <c r="AL5419" s="177"/>
    </row>
    <row r="5420" spans="38:38" x14ac:dyDescent="0.2">
      <c r="AL5420" s="177"/>
    </row>
    <row r="5421" spans="38:38" x14ac:dyDescent="0.2">
      <c r="AL5421" s="177"/>
    </row>
    <row r="5422" spans="38:38" x14ac:dyDescent="0.2">
      <c r="AL5422" s="177"/>
    </row>
    <row r="5423" spans="38:38" x14ac:dyDescent="0.2">
      <c r="AL5423" s="177"/>
    </row>
    <row r="5424" spans="38:38" x14ac:dyDescent="0.2">
      <c r="AL5424" s="177"/>
    </row>
    <row r="5425" spans="38:38" x14ac:dyDescent="0.2">
      <c r="AL5425" s="177"/>
    </row>
    <row r="5426" spans="38:38" x14ac:dyDescent="0.2">
      <c r="AL5426" s="177"/>
    </row>
    <row r="5427" spans="38:38" x14ac:dyDescent="0.2">
      <c r="AL5427" s="177"/>
    </row>
    <row r="5428" spans="38:38" x14ac:dyDescent="0.2">
      <c r="AL5428" s="177"/>
    </row>
    <row r="5429" spans="38:38" x14ac:dyDescent="0.2">
      <c r="AL5429" s="177"/>
    </row>
    <row r="5430" spans="38:38" x14ac:dyDescent="0.2">
      <c r="AL5430" s="177"/>
    </row>
    <row r="5431" spans="38:38" x14ac:dyDescent="0.2">
      <c r="AL5431" s="177"/>
    </row>
    <row r="5432" spans="38:38" x14ac:dyDescent="0.2">
      <c r="AL5432" s="177"/>
    </row>
    <row r="5433" spans="38:38" x14ac:dyDescent="0.2">
      <c r="AL5433" s="177"/>
    </row>
    <row r="5434" spans="38:38" x14ac:dyDescent="0.2">
      <c r="AL5434" s="177"/>
    </row>
    <row r="5435" spans="38:38" x14ac:dyDescent="0.2">
      <c r="AL5435" s="177"/>
    </row>
    <row r="5436" spans="38:38" x14ac:dyDescent="0.2">
      <c r="AL5436" s="177"/>
    </row>
    <row r="5437" spans="38:38" x14ac:dyDescent="0.2">
      <c r="AL5437" s="177"/>
    </row>
    <row r="5438" spans="38:38" x14ac:dyDescent="0.2">
      <c r="AL5438" s="177"/>
    </row>
    <row r="5439" spans="38:38" x14ac:dyDescent="0.2">
      <c r="AL5439" s="177"/>
    </row>
    <row r="5440" spans="38:38" x14ac:dyDescent="0.2">
      <c r="AL5440" s="177"/>
    </row>
    <row r="5441" spans="38:38" x14ac:dyDescent="0.2">
      <c r="AL5441" s="177"/>
    </row>
    <row r="5442" spans="38:38" x14ac:dyDescent="0.2">
      <c r="AL5442" s="177"/>
    </row>
    <row r="5443" spans="38:38" x14ac:dyDescent="0.2">
      <c r="AL5443" s="177"/>
    </row>
    <row r="5444" spans="38:38" x14ac:dyDescent="0.2">
      <c r="AL5444" s="177"/>
    </row>
    <row r="5445" spans="38:38" x14ac:dyDescent="0.2">
      <c r="AL5445" s="177"/>
    </row>
    <row r="5446" spans="38:38" x14ac:dyDescent="0.2">
      <c r="AL5446" s="177"/>
    </row>
    <row r="5447" spans="38:38" x14ac:dyDescent="0.2">
      <c r="AL5447" s="177"/>
    </row>
    <row r="5448" spans="38:38" x14ac:dyDescent="0.2">
      <c r="AL5448" s="177"/>
    </row>
    <row r="5449" spans="38:38" x14ac:dyDescent="0.2">
      <c r="AL5449" s="177"/>
    </row>
    <row r="5450" spans="38:38" x14ac:dyDescent="0.2">
      <c r="AL5450" s="177"/>
    </row>
    <row r="5451" spans="38:38" x14ac:dyDescent="0.2">
      <c r="AL5451" s="177"/>
    </row>
    <row r="5452" spans="38:38" x14ac:dyDescent="0.2">
      <c r="AL5452" s="177"/>
    </row>
    <row r="5453" spans="38:38" x14ac:dyDescent="0.2">
      <c r="AL5453" s="177"/>
    </row>
    <row r="5454" spans="38:38" x14ac:dyDescent="0.2">
      <c r="AL5454" s="177"/>
    </row>
    <row r="5455" spans="38:38" x14ac:dyDescent="0.2">
      <c r="AL5455" s="177"/>
    </row>
    <row r="5456" spans="38:38" x14ac:dyDescent="0.2">
      <c r="AL5456" s="177"/>
    </row>
    <row r="5457" spans="38:38" x14ac:dyDescent="0.2">
      <c r="AL5457" s="177"/>
    </row>
    <row r="5458" spans="38:38" x14ac:dyDescent="0.2">
      <c r="AL5458" s="177"/>
    </row>
    <row r="5459" spans="38:38" x14ac:dyDescent="0.2">
      <c r="AL5459" s="177"/>
    </row>
    <row r="5460" spans="38:38" x14ac:dyDescent="0.2">
      <c r="AL5460" s="177"/>
    </row>
    <row r="5461" spans="38:38" x14ac:dyDescent="0.2">
      <c r="AL5461" s="177"/>
    </row>
    <row r="5462" spans="38:38" x14ac:dyDescent="0.2">
      <c r="AL5462" s="177"/>
    </row>
    <row r="5463" spans="38:38" x14ac:dyDescent="0.2">
      <c r="AL5463" s="177"/>
    </row>
    <row r="5464" spans="38:38" x14ac:dyDescent="0.2">
      <c r="AL5464" s="177"/>
    </row>
    <row r="5465" spans="38:38" x14ac:dyDescent="0.2">
      <c r="AL5465" s="177"/>
    </row>
    <row r="5466" spans="38:38" x14ac:dyDescent="0.2">
      <c r="AL5466" s="177"/>
    </row>
    <row r="5467" spans="38:38" x14ac:dyDescent="0.2">
      <c r="AL5467" s="177"/>
    </row>
    <row r="5468" spans="38:38" x14ac:dyDescent="0.2">
      <c r="AL5468" s="177"/>
    </row>
    <row r="5469" spans="38:38" x14ac:dyDescent="0.2">
      <c r="AL5469" s="177"/>
    </row>
    <row r="5470" spans="38:38" x14ac:dyDescent="0.2">
      <c r="AL5470" s="177"/>
    </row>
    <row r="5471" spans="38:38" x14ac:dyDescent="0.2">
      <c r="AL5471" s="177"/>
    </row>
    <row r="5472" spans="38:38" x14ac:dyDescent="0.2">
      <c r="AL5472" s="177"/>
    </row>
    <row r="5473" spans="38:38" x14ac:dyDescent="0.2">
      <c r="AL5473" s="177"/>
    </row>
    <row r="5474" spans="38:38" x14ac:dyDescent="0.2">
      <c r="AL5474" s="177"/>
    </row>
    <row r="5475" spans="38:38" x14ac:dyDescent="0.2">
      <c r="AL5475" s="177"/>
    </row>
    <row r="5476" spans="38:38" x14ac:dyDescent="0.2">
      <c r="AL5476" s="177"/>
    </row>
    <row r="5477" spans="38:38" x14ac:dyDescent="0.2">
      <c r="AL5477" s="177"/>
    </row>
    <row r="5478" spans="38:38" x14ac:dyDescent="0.2">
      <c r="AL5478" s="177"/>
    </row>
    <row r="5479" spans="38:38" x14ac:dyDescent="0.2">
      <c r="AL5479" s="177"/>
    </row>
    <row r="5480" spans="38:38" x14ac:dyDescent="0.2">
      <c r="AL5480" s="177"/>
    </row>
    <row r="5481" spans="38:38" x14ac:dyDescent="0.2">
      <c r="AL5481" s="177"/>
    </row>
    <row r="5482" spans="38:38" x14ac:dyDescent="0.2">
      <c r="AL5482" s="177"/>
    </row>
    <row r="5483" spans="38:38" x14ac:dyDescent="0.2">
      <c r="AL5483" s="177"/>
    </row>
    <row r="5484" spans="38:38" x14ac:dyDescent="0.2">
      <c r="AL5484" s="177"/>
    </row>
    <row r="5485" spans="38:38" x14ac:dyDescent="0.2">
      <c r="AL5485" s="177"/>
    </row>
    <row r="5486" spans="38:38" x14ac:dyDescent="0.2">
      <c r="AL5486" s="177"/>
    </row>
    <row r="5487" spans="38:38" x14ac:dyDescent="0.2">
      <c r="AL5487" s="177"/>
    </row>
    <row r="5488" spans="38:38" x14ac:dyDescent="0.2">
      <c r="AL5488" s="177"/>
    </row>
    <row r="5489" spans="38:38" x14ac:dyDescent="0.2">
      <c r="AL5489" s="177"/>
    </row>
    <row r="5490" spans="38:38" x14ac:dyDescent="0.2">
      <c r="AL5490" s="177"/>
    </row>
    <row r="5491" spans="38:38" x14ac:dyDescent="0.2">
      <c r="AL5491" s="177"/>
    </row>
    <row r="5492" spans="38:38" x14ac:dyDescent="0.2">
      <c r="AL5492" s="177"/>
    </row>
    <row r="5493" spans="38:38" x14ac:dyDescent="0.2">
      <c r="AL5493" s="177"/>
    </row>
    <row r="5494" spans="38:38" x14ac:dyDescent="0.2">
      <c r="AL5494" s="177"/>
    </row>
    <row r="5495" spans="38:38" x14ac:dyDescent="0.2">
      <c r="AL5495" s="177"/>
    </row>
    <row r="5496" spans="38:38" x14ac:dyDescent="0.2">
      <c r="AL5496" s="177"/>
    </row>
    <row r="5497" spans="38:38" x14ac:dyDescent="0.2">
      <c r="AL5497" s="177"/>
    </row>
    <row r="5498" spans="38:38" x14ac:dyDescent="0.2">
      <c r="AL5498" s="177"/>
    </row>
    <row r="5499" spans="38:38" x14ac:dyDescent="0.2">
      <c r="AL5499" s="177"/>
    </row>
    <row r="5500" spans="38:38" x14ac:dyDescent="0.2">
      <c r="AL5500" s="177"/>
    </row>
    <row r="5501" spans="38:38" x14ac:dyDescent="0.2">
      <c r="AL5501" s="177"/>
    </row>
    <row r="5502" spans="38:38" x14ac:dyDescent="0.2">
      <c r="AL5502" s="177"/>
    </row>
    <row r="5503" spans="38:38" x14ac:dyDescent="0.2">
      <c r="AL5503" s="177"/>
    </row>
    <row r="5504" spans="38:38" x14ac:dyDescent="0.2">
      <c r="AL5504" s="177"/>
    </row>
    <row r="5505" spans="38:38" x14ac:dyDescent="0.2">
      <c r="AL5505" s="177"/>
    </row>
    <row r="5506" spans="38:38" x14ac:dyDescent="0.2">
      <c r="AL5506" s="177"/>
    </row>
    <row r="5507" spans="38:38" x14ac:dyDescent="0.2">
      <c r="AL5507" s="177"/>
    </row>
    <row r="5508" spans="38:38" x14ac:dyDescent="0.2">
      <c r="AL5508" s="177"/>
    </row>
    <row r="5509" spans="38:38" x14ac:dyDescent="0.2">
      <c r="AL5509" s="177"/>
    </row>
    <row r="5510" spans="38:38" x14ac:dyDescent="0.2">
      <c r="AL5510" s="177"/>
    </row>
    <row r="5511" spans="38:38" x14ac:dyDescent="0.2">
      <c r="AL5511" s="177"/>
    </row>
    <row r="5512" spans="38:38" x14ac:dyDescent="0.2">
      <c r="AL5512" s="177"/>
    </row>
    <row r="5513" spans="38:38" x14ac:dyDescent="0.2">
      <c r="AL5513" s="177"/>
    </row>
    <row r="5514" spans="38:38" x14ac:dyDescent="0.2">
      <c r="AL5514" s="177"/>
    </row>
    <row r="5515" spans="38:38" x14ac:dyDescent="0.2">
      <c r="AL5515" s="177"/>
    </row>
    <row r="5516" spans="38:38" x14ac:dyDescent="0.2">
      <c r="AL5516" s="177"/>
    </row>
    <row r="5517" spans="38:38" x14ac:dyDescent="0.2">
      <c r="AL5517" s="177"/>
    </row>
    <row r="5518" spans="38:38" x14ac:dyDescent="0.2">
      <c r="AL5518" s="177"/>
    </row>
    <row r="5519" spans="38:38" x14ac:dyDescent="0.2">
      <c r="AL5519" s="177"/>
    </row>
    <row r="5520" spans="38:38" x14ac:dyDescent="0.2">
      <c r="AL5520" s="177"/>
    </row>
    <row r="5521" spans="38:38" x14ac:dyDescent="0.2">
      <c r="AL5521" s="177"/>
    </row>
    <row r="5522" spans="38:38" x14ac:dyDescent="0.2">
      <c r="AL5522" s="177"/>
    </row>
    <row r="5523" spans="38:38" x14ac:dyDescent="0.2">
      <c r="AL5523" s="177"/>
    </row>
    <row r="5524" spans="38:38" x14ac:dyDescent="0.2">
      <c r="AL5524" s="177"/>
    </row>
    <row r="5525" spans="38:38" x14ac:dyDescent="0.2">
      <c r="AL5525" s="177"/>
    </row>
    <row r="5526" spans="38:38" x14ac:dyDescent="0.2">
      <c r="AL5526" s="177"/>
    </row>
    <row r="5527" spans="38:38" x14ac:dyDescent="0.2">
      <c r="AL5527" s="177"/>
    </row>
    <row r="5528" spans="38:38" x14ac:dyDescent="0.2">
      <c r="AL5528" s="177"/>
    </row>
    <row r="5529" spans="38:38" x14ac:dyDescent="0.2">
      <c r="AL5529" s="177"/>
    </row>
    <row r="5530" spans="38:38" x14ac:dyDescent="0.2">
      <c r="AL5530" s="177"/>
    </row>
    <row r="5531" spans="38:38" x14ac:dyDescent="0.2">
      <c r="AL5531" s="177"/>
    </row>
    <row r="5532" spans="38:38" x14ac:dyDescent="0.2">
      <c r="AL5532" s="177"/>
    </row>
    <row r="5533" spans="38:38" x14ac:dyDescent="0.2">
      <c r="AL5533" s="177"/>
    </row>
    <row r="5534" spans="38:38" x14ac:dyDescent="0.2">
      <c r="AL5534" s="177"/>
    </row>
    <row r="5535" spans="38:38" x14ac:dyDescent="0.2">
      <c r="AL5535" s="177"/>
    </row>
    <row r="5536" spans="38:38" x14ac:dyDescent="0.2">
      <c r="AL5536" s="177"/>
    </row>
    <row r="5537" spans="38:38" x14ac:dyDescent="0.2">
      <c r="AL5537" s="177"/>
    </row>
    <row r="5538" spans="38:38" x14ac:dyDescent="0.2">
      <c r="AL5538" s="177"/>
    </row>
    <row r="5539" spans="38:38" x14ac:dyDescent="0.2">
      <c r="AL5539" s="177"/>
    </row>
    <row r="5540" spans="38:38" x14ac:dyDescent="0.2">
      <c r="AL5540" s="177"/>
    </row>
    <row r="5541" spans="38:38" x14ac:dyDescent="0.2">
      <c r="AL5541" s="177"/>
    </row>
    <row r="5542" spans="38:38" x14ac:dyDescent="0.2">
      <c r="AL5542" s="177"/>
    </row>
    <row r="5543" spans="38:38" x14ac:dyDescent="0.2">
      <c r="AL5543" s="177"/>
    </row>
    <row r="5544" spans="38:38" x14ac:dyDescent="0.2">
      <c r="AL5544" s="177"/>
    </row>
    <row r="5545" spans="38:38" x14ac:dyDescent="0.2">
      <c r="AL5545" s="177"/>
    </row>
    <row r="5546" spans="38:38" x14ac:dyDescent="0.2">
      <c r="AL5546" s="177"/>
    </row>
    <row r="5547" spans="38:38" x14ac:dyDescent="0.2">
      <c r="AL5547" s="177"/>
    </row>
    <row r="5548" spans="38:38" x14ac:dyDescent="0.2">
      <c r="AL5548" s="177"/>
    </row>
    <row r="5549" spans="38:38" x14ac:dyDescent="0.2">
      <c r="AL5549" s="177"/>
    </row>
    <row r="5550" spans="38:38" x14ac:dyDescent="0.2">
      <c r="AL5550" s="177"/>
    </row>
    <row r="5551" spans="38:38" x14ac:dyDescent="0.2">
      <c r="AL5551" s="177"/>
    </row>
    <row r="5552" spans="38:38" x14ac:dyDescent="0.2">
      <c r="AL5552" s="177"/>
    </row>
    <row r="5553" spans="38:38" x14ac:dyDescent="0.2">
      <c r="AL5553" s="177"/>
    </row>
    <row r="5554" spans="38:38" x14ac:dyDescent="0.2">
      <c r="AL5554" s="177"/>
    </row>
    <row r="5555" spans="38:38" x14ac:dyDescent="0.2">
      <c r="AL5555" s="177"/>
    </row>
    <row r="5556" spans="38:38" x14ac:dyDescent="0.2">
      <c r="AL5556" s="177"/>
    </row>
    <row r="5557" spans="38:38" x14ac:dyDescent="0.2">
      <c r="AL5557" s="177"/>
    </row>
    <row r="5558" spans="38:38" x14ac:dyDescent="0.2">
      <c r="AL5558" s="177"/>
    </row>
    <row r="5559" spans="38:38" x14ac:dyDescent="0.2">
      <c r="AL5559" s="177"/>
    </row>
    <row r="5560" spans="38:38" x14ac:dyDescent="0.2">
      <c r="AL5560" s="177"/>
    </row>
    <row r="5561" spans="38:38" x14ac:dyDescent="0.2">
      <c r="AL5561" s="177"/>
    </row>
    <row r="5562" spans="38:38" x14ac:dyDescent="0.2">
      <c r="AL5562" s="177"/>
    </row>
    <row r="5563" spans="38:38" x14ac:dyDescent="0.2">
      <c r="AL5563" s="177"/>
    </row>
    <row r="5564" spans="38:38" x14ac:dyDescent="0.2">
      <c r="AL5564" s="177"/>
    </row>
    <row r="5565" spans="38:38" x14ac:dyDescent="0.2">
      <c r="AL5565" s="177"/>
    </row>
    <row r="5566" spans="38:38" x14ac:dyDescent="0.2">
      <c r="AL5566" s="177"/>
    </row>
    <row r="5567" spans="38:38" x14ac:dyDescent="0.2">
      <c r="AL5567" s="177"/>
    </row>
    <row r="5568" spans="38:38" x14ac:dyDescent="0.2">
      <c r="AL5568" s="177"/>
    </row>
    <row r="5569" spans="38:38" x14ac:dyDescent="0.2">
      <c r="AL5569" s="177"/>
    </row>
    <row r="5570" spans="38:38" x14ac:dyDescent="0.2">
      <c r="AL5570" s="177"/>
    </row>
    <row r="5571" spans="38:38" x14ac:dyDescent="0.2">
      <c r="AL5571" s="177"/>
    </row>
    <row r="5572" spans="38:38" x14ac:dyDescent="0.2">
      <c r="AL5572" s="177"/>
    </row>
    <row r="5573" spans="38:38" x14ac:dyDescent="0.2">
      <c r="AL5573" s="177"/>
    </row>
    <row r="5574" spans="38:38" x14ac:dyDescent="0.2">
      <c r="AL5574" s="177"/>
    </row>
    <row r="5575" spans="38:38" x14ac:dyDescent="0.2">
      <c r="AL5575" s="177"/>
    </row>
    <row r="5576" spans="38:38" x14ac:dyDescent="0.2">
      <c r="AL5576" s="177"/>
    </row>
    <row r="5577" spans="38:38" x14ac:dyDescent="0.2">
      <c r="AL5577" s="177"/>
    </row>
    <row r="5578" spans="38:38" x14ac:dyDescent="0.2">
      <c r="AL5578" s="177"/>
    </row>
    <row r="5579" spans="38:38" x14ac:dyDescent="0.2">
      <c r="AL5579" s="177"/>
    </row>
    <row r="5580" spans="38:38" x14ac:dyDescent="0.2">
      <c r="AL5580" s="177"/>
    </row>
    <row r="5581" spans="38:38" x14ac:dyDescent="0.2">
      <c r="AL5581" s="177"/>
    </row>
    <row r="5582" spans="38:38" x14ac:dyDescent="0.2">
      <c r="AL5582" s="177"/>
    </row>
    <row r="5583" spans="38:38" x14ac:dyDescent="0.2">
      <c r="AL5583" s="177"/>
    </row>
    <row r="5584" spans="38:38" x14ac:dyDescent="0.2">
      <c r="AL5584" s="177"/>
    </row>
    <row r="5585" spans="38:38" x14ac:dyDescent="0.2">
      <c r="AL5585" s="177"/>
    </row>
    <row r="5586" spans="38:38" x14ac:dyDescent="0.2">
      <c r="AL5586" s="177"/>
    </row>
    <row r="5587" spans="38:38" x14ac:dyDescent="0.2">
      <c r="AL5587" s="177"/>
    </row>
    <row r="5588" spans="38:38" x14ac:dyDescent="0.2">
      <c r="AL5588" s="177"/>
    </row>
    <row r="5589" spans="38:38" x14ac:dyDescent="0.2">
      <c r="AL5589" s="177"/>
    </row>
    <row r="5590" spans="38:38" x14ac:dyDescent="0.2">
      <c r="AL5590" s="177"/>
    </row>
    <row r="5591" spans="38:38" x14ac:dyDescent="0.2">
      <c r="AL5591" s="177"/>
    </row>
    <row r="5592" spans="38:38" x14ac:dyDescent="0.2">
      <c r="AL5592" s="177"/>
    </row>
    <row r="5593" spans="38:38" x14ac:dyDescent="0.2">
      <c r="AL5593" s="177"/>
    </row>
    <row r="5594" spans="38:38" x14ac:dyDescent="0.2">
      <c r="AL5594" s="177"/>
    </row>
    <row r="5595" spans="38:38" x14ac:dyDescent="0.2">
      <c r="AL5595" s="177"/>
    </row>
    <row r="5596" spans="38:38" x14ac:dyDescent="0.2">
      <c r="AL5596" s="177"/>
    </row>
    <row r="5597" spans="38:38" x14ac:dyDescent="0.2">
      <c r="AL5597" s="177"/>
    </row>
    <row r="5598" spans="38:38" x14ac:dyDescent="0.2">
      <c r="AL5598" s="177"/>
    </row>
    <row r="5599" spans="38:38" x14ac:dyDescent="0.2">
      <c r="AL5599" s="177"/>
    </row>
    <row r="5600" spans="38:38" x14ac:dyDescent="0.2">
      <c r="AL5600" s="177"/>
    </row>
    <row r="5601" spans="38:38" x14ac:dyDescent="0.2">
      <c r="AL5601" s="177"/>
    </row>
    <row r="5602" spans="38:38" x14ac:dyDescent="0.2">
      <c r="AL5602" s="177"/>
    </row>
    <row r="5603" spans="38:38" x14ac:dyDescent="0.2">
      <c r="AL5603" s="177"/>
    </row>
    <row r="5604" spans="38:38" x14ac:dyDescent="0.2">
      <c r="AL5604" s="177"/>
    </row>
    <row r="5605" spans="38:38" x14ac:dyDescent="0.2">
      <c r="AL5605" s="177"/>
    </row>
    <row r="5606" spans="38:38" x14ac:dyDescent="0.2">
      <c r="AL5606" s="177"/>
    </row>
    <row r="5607" spans="38:38" x14ac:dyDescent="0.2">
      <c r="AL5607" s="177"/>
    </row>
    <row r="5608" spans="38:38" x14ac:dyDescent="0.2">
      <c r="AL5608" s="177"/>
    </row>
    <row r="5609" spans="38:38" x14ac:dyDescent="0.2">
      <c r="AL5609" s="177"/>
    </row>
    <row r="5610" spans="38:38" x14ac:dyDescent="0.2">
      <c r="AL5610" s="177"/>
    </row>
    <row r="5611" spans="38:38" x14ac:dyDescent="0.2">
      <c r="AL5611" s="177"/>
    </row>
    <row r="5612" spans="38:38" x14ac:dyDescent="0.2">
      <c r="AL5612" s="177"/>
    </row>
    <row r="5613" spans="38:38" x14ac:dyDescent="0.2">
      <c r="AL5613" s="177"/>
    </row>
    <row r="5614" spans="38:38" x14ac:dyDescent="0.2">
      <c r="AL5614" s="177"/>
    </row>
    <row r="5615" spans="38:38" x14ac:dyDescent="0.2">
      <c r="AL5615" s="177"/>
    </row>
    <row r="5616" spans="38:38" x14ac:dyDescent="0.2">
      <c r="AL5616" s="177"/>
    </row>
    <row r="5617" spans="38:38" x14ac:dyDescent="0.2">
      <c r="AL5617" s="177"/>
    </row>
    <row r="5618" spans="38:38" x14ac:dyDescent="0.2">
      <c r="AL5618" s="177"/>
    </row>
    <row r="5619" spans="38:38" x14ac:dyDescent="0.2">
      <c r="AL5619" s="177"/>
    </row>
    <row r="5620" spans="38:38" x14ac:dyDescent="0.2">
      <c r="AL5620" s="177"/>
    </row>
    <row r="5621" spans="38:38" x14ac:dyDescent="0.2">
      <c r="AL5621" s="177"/>
    </row>
    <row r="5622" spans="38:38" x14ac:dyDescent="0.2">
      <c r="AL5622" s="177"/>
    </row>
    <row r="5623" spans="38:38" x14ac:dyDescent="0.2">
      <c r="AL5623" s="177"/>
    </row>
    <row r="5624" spans="38:38" x14ac:dyDescent="0.2">
      <c r="AL5624" s="177"/>
    </row>
    <row r="5625" spans="38:38" x14ac:dyDescent="0.2">
      <c r="AL5625" s="177"/>
    </row>
    <row r="5626" spans="38:38" x14ac:dyDescent="0.2">
      <c r="AL5626" s="177"/>
    </row>
    <row r="5627" spans="38:38" x14ac:dyDescent="0.2">
      <c r="AL5627" s="177"/>
    </row>
    <row r="5628" spans="38:38" x14ac:dyDescent="0.2">
      <c r="AL5628" s="177"/>
    </row>
    <row r="5629" spans="38:38" x14ac:dyDescent="0.2">
      <c r="AL5629" s="177"/>
    </row>
    <row r="5630" spans="38:38" x14ac:dyDescent="0.2">
      <c r="AL5630" s="177"/>
    </row>
    <row r="5631" spans="38:38" x14ac:dyDescent="0.2">
      <c r="AL5631" s="177"/>
    </row>
    <row r="5632" spans="38:38" x14ac:dyDescent="0.2">
      <c r="AL5632" s="177"/>
    </row>
    <row r="5633" spans="38:38" x14ac:dyDescent="0.2">
      <c r="AL5633" s="177"/>
    </row>
    <row r="5634" spans="38:38" x14ac:dyDescent="0.2">
      <c r="AL5634" s="177"/>
    </row>
    <row r="5635" spans="38:38" x14ac:dyDescent="0.2">
      <c r="AL5635" s="177"/>
    </row>
    <row r="5636" spans="38:38" x14ac:dyDescent="0.2">
      <c r="AL5636" s="177"/>
    </row>
    <row r="5637" spans="38:38" x14ac:dyDescent="0.2">
      <c r="AL5637" s="177"/>
    </row>
    <row r="5638" spans="38:38" x14ac:dyDescent="0.2">
      <c r="AL5638" s="177"/>
    </row>
    <row r="5639" spans="38:38" x14ac:dyDescent="0.2">
      <c r="AL5639" s="177"/>
    </row>
    <row r="5640" spans="38:38" x14ac:dyDescent="0.2">
      <c r="AL5640" s="177"/>
    </row>
    <row r="5641" spans="38:38" x14ac:dyDescent="0.2">
      <c r="AL5641" s="177"/>
    </row>
    <row r="5642" spans="38:38" x14ac:dyDescent="0.2">
      <c r="AL5642" s="177"/>
    </row>
    <row r="5643" spans="38:38" x14ac:dyDescent="0.2">
      <c r="AL5643" s="177"/>
    </row>
    <row r="5644" spans="38:38" x14ac:dyDescent="0.2">
      <c r="AL5644" s="177"/>
    </row>
    <row r="5645" spans="38:38" x14ac:dyDescent="0.2">
      <c r="AL5645" s="177"/>
    </row>
    <row r="5646" spans="38:38" x14ac:dyDescent="0.2">
      <c r="AL5646" s="177"/>
    </row>
    <row r="5647" spans="38:38" x14ac:dyDescent="0.2">
      <c r="AL5647" s="177"/>
    </row>
    <row r="5648" spans="38:38" x14ac:dyDescent="0.2">
      <c r="AL5648" s="177"/>
    </row>
    <row r="5649" spans="38:38" x14ac:dyDescent="0.2">
      <c r="AL5649" s="177"/>
    </row>
    <row r="5650" spans="38:38" x14ac:dyDescent="0.2">
      <c r="AL5650" s="177"/>
    </row>
    <row r="5651" spans="38:38" x14ac:dyDescent="0.2">
      <c r="AL5651" s="177"/>
    </row>
    <row r="5652" spans="38:38" x14ac:dyDescent="0.2">
      <c r="AL5652" s="177"/>
    </row>
    <row r="5653" spans="38:38" x14ac:dyDescent="0.2">
      <c r="AL5653" s="177"/>
    </row>
    <row r="5654" spans="38:38" x14ac:dyDescent="0.2">
      <c r="AL5654" s="177"/>
    </row>
    <row r="5655" spans="38:38" x14ac:dyDescent="0.2">
      <c r="AL5655" s="177"/>
    </row>
    <row r="5656" spans="38:38" x14ac:dyDescent="0.2">
      <c r="AL5656" s="177"/>
    </row>
    <row r="5657" spans="38:38" x14ac:dyDescent="0.2">
      <c r="AL5657" s="177"/>
    </row>
    <row r="5658" spans="38:38" x14ac:dyDescent="0.2">
      <c r="AL5658" s="177"/>
    </row>
    <row r="5659" spans="38:38" x14ac:dyDescent="0.2">
      <c r="AL5659" s="177"/>
    </row>
    <row r="5660" spans="38:38" x14ac:dyDescent="0.2">
      <c r="AL5660" s="177"/>
    </row>
    <row r="5661" spans="38:38" x14ac:dyDescent="0.2">
      <c r="AL5661" s="177"/>
    </row>
    <row r="5662" spans="38:38" x14ac:dyDescent="0.2">
      <c r="AL5662" s="177"/>
    </row>
    <row r="5663" spans="38:38" x14ac:dyDescent="0.2">
      <c r="AL5663" s="177"/>
    </row>
    <row r="5664" spans="38:38" x14ac:dyDescent="0.2">
      <c r="AL5664" s="177"/>
    </row>
    <row r="5665" spans="38:38" x14ac:dyDescent="0.2">
      <c r="AL5665" s="177"/>
    </row>
    <row r="5666" spans="38:38" x14ac:dyDescent="0.2">
      <c r="AL5666" s="177"/>
    </row>
    <row r="5667" spans="38:38" x14ac:dyDescent="0.2">
      <c r="AL5667" s="177"/>
    </row>
    <row r="5668" spans="38:38" x14ac:dyDescent="0.2">
      <c r="AL5668" s="177"/>
    </row>
    <row r="5669" spans="38:38" x14ac:dyDescent="0.2">
      <c r="AL5669" s="177"/>
    </row>
    <row r="5670" spans="38:38" x14ac:dyDescent="0.2">
      <c r="AL5670" s="177"/>
    </row>
    <row r="5671" spans="38:38" x14ac:dyDescent="0.2">
      <c r="AL5671" s="177"/>
    </row>
    <row r="5672" spans="38:38" x14ac:dyDescent="0.2">
      <c r="AL5672" s="177"/>
    </row>
    <row r="5673" spans="38:38" x14ac:dyDescent="0.2">
      <c r="AL5673" s="177"/>
    </row>
    <row r="5674" spans="38:38" x14ac:dyDescent="0.2">
      <c r="AL5674" s="177"/>
    </row>
    <row r="5675" spans="38:38" x14ac:dyDescent="0.2">
      <c r="AL5675" s="177"/>
    </row>
    <row r="5676" spans="38:38" x14ac:dyDescent="0.2">
      <c r="AL5676" s="177"/>
    </row>
    <row r="5677" spans="38:38" x14ac:dyDescent="0.2">
      <c r="AL5677" s="177"/>
    </row>
    <row r="5678" spans="38:38" x14ac:dyDescent="0.2">
      <c r="AL5678" s="177"/>
    </row>
    <row r="5679" spans="38:38" x14ac:dyDescent="0.2">
      <c r="AL5679" s="177"/>
    </row>
    <row r="5680" spans="38:38" x14ac:dyDescent="0.2">
      <c r="AL5680" s="177"/>
    </row>
    <row r="5681" spans="38:38" x14ac:dyDescent="0.2">
      <c r="AL5681" s="177"/>
    </row>
    <row r="5682" spans="38:38" x14ac:dyDescent="0.2">
      <c r="AL5682" s="177"/>
    </row>
    <row r="5683" spans="38:38" x14ac:dyDescent="0.2">
      <c r="AL5683" s="177"/>
    </row>
    <row r="5684" spans="38:38" x14ac:dyDescent="0.2">
      <c r="AL5684" s="177"/>
    </row>
    <row r="5685" spans="38:38" x14ac:dyDescent="0.2">
      <c r="AL5685" s="177"/>
    </row>
    <row r="5686" spans="38:38" x14ac:dyDescent="0.2">
      <c r="AL5686" s="177"/>
    </row>
    <row r="5687" spans="38:38" x14ac:dyDescent="0.2">
      <c r="AL5687" s="177"/>
    </row>
    <row r="5688" spans="38:38" x14ac:dyDescent="0.2">
      <c r="AL5688" s="177"/>
    </row>
    <row r="5689" spans="38:38" x14ac:dyDescent="0.2">
      <c r="AL5689" s="177"/>
    </row>
    <row r="5690" spans="38:38" x14ac:dyDescent="0.2">
      <c r="AL5690" s="177"/>
    </row>
    <row r="5691" spans="38:38" x14ac:dyDescent="0.2">
      <c r="AL5691" s="177"/>
    </row>
    <row r="5692" spans="38:38" x14ac:dyDescent="0.2">
      <c r="AL5692" s="177"/>
    </row>
    <row r="5693" spans="38:38" x14ac:dyDescent="0.2">
      <c r="AL5693" s="177"/>
    </row>
    <row r="5694" spans="38:38" x14ac:dyDescent="0.2">
      <c r="AL5694" s="177"/>
    </row>
    <row r="5695" spans="38:38" x14ac:dyDescent="0.2">
      <c r="AL5695" s="177"/>
    </row>
    <row r="5696" spans="38:38" x14ac:dyDescent="0.2">
      <c r="AL5696" s="177"/>
    </row>
    <row r="5697" spans="38:38" x14ac:dyDescent="0.2">
      <c r="AL5697" s="177"/>
    </row>
    <row r="5698" spans="38:38" x14ac:dyDescent="0.2">
      <c r="AL5698" s="177"/>
    </row>
    <row r="5699" spans="38:38" x14ac:dyDescent="0.2">
      <c r="AL5699" s="177"/>
    </row>
    <row r="5700" spans="38:38" x14ac:dyDescent="0.2">
      <c r="AL5700" s="177"/>
    </row>
    <row r="5701" spans="38:38" x14ac:dyDescent="0.2">
      <c r="AL5701" s="177"/>
    </row>
    <row r="5702" spans="38:38" x14ac:dyDescent="0.2">
      <c r="AL5702" s="177"/>
    </row>
    <row r="5703" spans="38:38" x14ac:dyDescent="0.2">
      <c r="AL5703" s="177"/>
    </row>
    <row r="5704" spans="38:38" x14ac:dyDescent="0.2">
      <c r="AL5704" s="177"/>
    </row>
    <row r="5705" spans="38:38" x14ac:dyDescent="0.2">
      <c r="AL5705" s="177"/>
    </row>
    <row r="5706" spans="38:38" x14ac:dyDescent="0.2">
      <c r="AL5706" s="177"/>
    </row>
    <row r="5707" spans="38:38" x14ac:dyDescent="0.2">
      <c r="AL5707" s="177"/>
    </row>
    <row r="5708" spans="38:38" x14ac:dyDescent="0.2">
      <c r="AL5708" s="177"/>
    </row>
    <row r="5709" spans="38:38" x14ac:dyDescent="0.2">
      <c r="AL5709" s="177"/>
    </row>
    <row r="5710" spans="38:38" x14ac:dyDescent="0.2">
      <c r="AL5710" s="177"/>
    </row>
    <row r="5711" spans="38:38" x14ac:dyDescent="0.2">
      <c r="AL5711" s="177"/>
    </row>
    <row r="5712" spans="38:38" x14ac:dyDescent="0.2">
      <c r="AL5712" s="177"/>
    </row>
    <row r="5713" spans="38:38" x14ac:dyDescent="0.2">
      <c r="AL5713" s="177"/>
    </row>
    <row r="5714" spans="38:38" x14ac:dyDescent="0.2">
      <c r="AL5714" s="177"/>
    </row>
    <row r="5715" spans="38:38" x14ac:dyDescent="0.2">
      <c r="AL5715" s="177"/>
    </row>
    <row r="5716" spans="38:38" x14ac:dyDescent="0.2">
      <c r="AL5716" s="177"/>
    </row>
    <row r="5717" spans="38:38" x14ac:dyDescent="0.2">
      <c r="AL5717" s="177"/>
    </row>
    <row r="5718" spans="38:38" x14ac:dyDescent="0.2">
      <c r="AL5718" s="177"/>
    </row>
    <row r="5719" spans="38:38" x14ac:dyDescent="0.2">
      <c r="AL5719" s="177"/>
    </row>
    <row r="5720" spans="38:38" x14ac:dyDescent="0.2">
      <c r="AL5720" s="177"/>
    </row>
    <row r="5721" spans="38:38" x14ac:dyDescent="0.2">
      <c r="AL5721" s="177"/>
    </row>
    <row r="5722" spans="38:38" x14ac:dyDescent="0.2">
      <c r="AL5722" s="177"/>
    </row>
    <row r="5723" spans="38:38" x14ac:dyDescent="0.2">
      <c r="AL5723" s="177"/>
    </row>
    <row r="5724" spans="38:38" x14ac:dyDescent="0.2">
      <c r="AL5724" s="177"/>
    </row>
    <row r="5725" spans="38:38" x14ac:dyDescent="0.2">
      <c r="AL5725" s="177"/>
    </row>
    <row r="5726" spans="38:38" x14ac:dyDescent="0.2">
      <c r="AL5726" s="177"/>
    </row>
    <row r="5727" spans="38:38" x14ac:dyDescent="0.2">
      <c r="AL5727" s="177"/>
    </row>
    <row r="5728" spans="38:38" x14ac:dyDescent="0.2">
      <c r="AL5728" s="177"/>
    </row>
    <row r="5729" spans="38:38" x14ac:dyDescent="0.2">
      <c r="AL5729" s="177"/>
    </row>
    <row r="5730" spans="38:38" x14ac:dyDescent="0.2">
      <c r="AL5730" s="177"/>
    </row>
    <row r="5731" spans="38:38" x14ac:dyDescent="0.2">
      <c r="AL5731" s="177"/>
    </row>
    <row r="5732" spans="38:38" x14ac:dyDescent="0.2">
      <c r="AL5732" s="177"/>
    </row>
    <row r="5733" spans="38:38" x14ac:dyDescent="0.2">
      <c r="AL5733" s="177"/>
    </row>
    <row r="5734" spans="38:38" x14ac:dyDescent="0.2">
      <c r="AL5734" s="177"/>
    </row>
    <row r="5735" spans="38:38" x14ac:dyDescent="0.2">
      <c r="AL5735" s="177"/>
    </row>
    <row r="5736" spans="38:38" x14ac:dyDescent="0.2">
      <c r="AL5736" s="177"/>
    </row>
    <row r="5737" spans="38:38" x14ac:dyDescent="0.2">
      <c r="AL5737" s="177"/>
    </row>
    <row r="5738" spans="38:38" x14ac:dyDescent="0.2">
      <c r="AL5738" s="177"/>
    </row>
    <row r="5739" spans="38:38" x14ac:dyDescent="0.2">
      <c r="AL5739" s="177"/>
    </row>
    <row r="5740" spans="38:38" x14ac:dyDescent="0.2">
      <c r="AL5740" s="177"/>
    </row>
    <row r="5741" spans="38:38" x14ac:dyDescent="0.2">
      <c r="AL5741" s="177"/>
    </row>
    <row r="5742" spans="38:38" x14ac:dyDescent="0.2">
      <c r="AL5742" s="177"/>
    </row>
    <row r="5743" spans="38:38" x14ac:dyDescent="0.2">
      <c r="AL5743" s="177"/>
    </row>
    <row r="5744" spans="38:38" x14ac:dyDescent="0.2">
      <c r="AL5744" s="177"/>
    </row>
    <row r="5745" spans="38:38" x14ac:dyDescent="0.2">
      <c r="AL5745" s="177"/>
    </row>
    <row r="5746" spans="38:38" x14ac:dyDescent="0.2">
      <c r="AL5746" s="177"/>
    </row>
    <row r="5747" spans="38:38" x14ac:dyDescent="0.2">
      <c r="AL5747" s="177"/>
    </row>
    <row r="5748" spans="38:38" x14ac:dyDescent="0.2">
      <c r="AL5748" s="177"/>
    </row>
    <row r="5749" spans="38:38" x14ac:dyDescent="0.2">
      <c r="AL5749" s="177"/>
    </row>
    <row r="5750" spans="38:38" x14ac:dyDescent="0.2">
      <c r="AL5750" s="177"/>
    </row>
    <row r="5751" spans="38:38" x14ac:dyDescent="0.2">
      <c r="AL5751" s="177"/>
    </row>
    <row r="5752" spans="38:38" x14ac:dyDescent="0.2">
      <c r="AL5752" s="177"/>
    </row>
    <row r="5753" spans="38:38" x14ac:dyDescent="0.2">
      <c r="AL5753" s="177"/>
    </row>
    <row r="5754" spans="38:38" x14ac:dyDescent="0.2">
      <c r="AL5754" s="177"/>
    </row>
    <row r="5755" spans="38:38" x14ac:dyDescent="0.2">
      <c r="AL5755" s="177"/>
    </row>
    <row r="5756" spans="38:38" x14ac:dyDescent="0.2">
      <c r="AL5756" s="177"/>
    </row>
    <row r="5757" spans="38:38" x14ac:dyDescent="0.2">
      <c r="AL5757" s="177"/>
    </row>
    <row r="5758" spans="38:38" x14ac:dyDescent="0.2">
      <c r="AL5758" s="177"/>
    </row>
    <row r="5759" spans="38:38" x14ac:dyDescent="0.2">
      <c r="AL5759" s="177"/>
    </row>
    <row r="5760" spans="38:38" x14ac:dyDescent="0.2">
      <c r="AL5760" s="177"/>
    </row>
    <row r="5761" spans="38:38" x14ac:dyDescent="0.2">
      <c r="AL5761" s="177"/>
    </row>
    <row r="5762" spans="38:38" x14ac:dyDescent="0.2">
      <c r="AL5762" s="177"/>
    </row>
    <row r="5763" spans="38:38" x14ac:dyDescent="0.2">
      <c r="AL5763" s="177"/>
    </row>
    <row r="5764" spans="38:38" x14ac:dyDescent="0.2">
      <c r="AL5764" s="177"/>
    </row>
    <row r="5765" spans="38:38" x14ac:dyDescent="0.2">
      <c r="AL5765" s="177"/>
    </row>
    <row r="5766" spans="38:38" x14ac:dyDescent="0.2">
      <c r="AL5766" s="177"/>
    </row>
    <row r="5767" spans="38:38" x14ac:dyDescent="0.2">
      <c r="AL5767" s="177"/>
    </row>
    <row r="5768" spans="38:38" x14ac:dyDescent="0.2">
      <c r="AL5768" s="177"/>
    </row>
    <row r="5769" spans="38:38" x14ac:dyDescent="0.2">
      <c r="AL5769" s="177"/>
    </row>
    <row r="5770" spans="38:38" x14ac:dyDescent="0.2">
      <c r="AL5770" s="177"/>
    </row>
    <row r="5771" spans="38:38" x14ac:dyDescent="0.2">
      <c r="AL5771" s="177"/>
    </row>
    <row r="5772" spans="38:38" x14ac:dyDescent="0.2">
      <c r="AL5772" s="177"/>
    </row>
    <row r="5773" spans="38:38" x14ac:dyDescent="0.2">
      <c r="AL5773" s="177"/>
    </row>
    <row r="5774" spans="38:38" x14ac:dyDescent="0.2">
      <c r="AL5774" s="177"/>
    </row>
    <row r="5775" spans="38:38" x14ac:dyDescent="0.2">
      <c r="AL5775" s="177"/>
    </row>
    <row r="5776" spans="38:38" x14ac:dyDescent="0.2">
      <c r="AL5776" s="177"/>
    </row>
    <row r="5777" spans="38:38" x14ac:dyDescent="0.2">
      <c r="AL5777" s="177"/>
    </row>
    <row r="5778" spans="38:38" x14ac:dyDescent="0.2">
      <c r="AL5778" s="177"/>
    </row>
    <row r="5779" spans="38:38" x14ac:dyDescent="0.2">
      <c r="AL5779" s="177"/>
    </row>
    <row r="5780" spans="38:38" x14ac:dyDescent="0.2">
      <c r="AL5780" s="177"/>
    </row>
    <row r="5781" spans="38:38" x14ac:dyDescent="0.2">
      <c r="AL5781" s="177"/>
    </row>
    <row r="5782" spans="38:38" x14ac:dyDescent="0.2">
      <c r="AL5782" s="177"/>
    </row>
    <row r="5783" spans="38:38" x14ac:dyDescent="0.2">
      <c r="AL5783" s="177"/>
    </row>
    <row r="5784" spans="38:38" x14ac:dyDescent="0.2">
      <c r="AL5784" s="177"/>
    </row>
    <row r="5785" spans="38:38" x14ac:dyDescent="0.2">
      <c r="AL5785" s="177"/>
    </row>
    <row r="5786" spans="38:38" x14ac:dyDescent="0.2">
      <c r="AL5786" s="177"/>
    </row>
    <row r="5787" spans="38:38" x14ac:dyDescent="0.2">
      <c r="AL5787" s="177"/>
    </row>
    <row r="5788" spans="38:38" x14ac:dyDescent="0.2">
      <c r="AL5788" s="177"/>
    </row>
    <row r="5789" spans="38:38" x14ac:dyDescent="0.2">
      <c r="AL5789" s="177"/>
    </row>
    <row r="5790" spans="38:38" x14ac:dyDescent="0.2">
      <c r="AL5790" s="177"/>
    </row>
    <row r="5791" spans="38:38" x14ac:dyDescent="0.2">
      <c r="AL5791" s="177"/>
    </row>
    <row r="5792" spans="38:38" x14ac:dyDescent="0.2">
      <c r="AL5792" s="177"/>
    </row>
    <row r="5793" spans="38:38" x14ac:dyDescent="0.2">
      <c r="AL5793" s="177"/>
    </row>
    <row r="5794" spans="38:38" x14ac:dyDescent="0.2">
      <c r="AL5794" s="177"/>
    </row>
    <row r="5795" spans="38:38" x14ac:dyDescent="0.2">
      <c r="AL5795" s="177"/>
    </row>
    <row r="5796" spans="38:38" x14ac:dyDescent="0.2">
      <c r="AL5796" s="177"/>
    </row>
    <row r="5797" spans="38:38" x14ac:dyDescent="0.2">
      <c r="AL5797" s="177"/>
    </row>
    <row r="5798" spans="38:38" x14ac:dyDescent="0.2">
      <c r="AL5798" s="177"/>
    </row>
    <row r="5799" spans="38:38" x14ac:dyDescent="0.2">
      <c r="AL5799" s="177"/>
    </row>
    <row r="5800" spans="38:38" x14ac:dyDescent="0.2">
      <c r="AL5800" s="177"/>
    </row>
    <row r="5801" spans="38:38" x14ac:dyDescent="0.2">
      <c r="AL5801" s="177"/>
    </row>
    <row r="5802" spans="38:38" x14ac:dyDescent="0.2">
      <c r="AL5802" s="177"/>
    </row>
    <row r="5803" spans="38:38" x14ac:dyDescent="0.2">
      <c r="AL5803" s="177"/>
    </row>
    <row r="5804" spans="38:38" x14ac:dyDescent="0.2">
      <c r="AL5804" s="177"/>
    </row>
    <row r="5805" spans="38:38" x14ac:dyDescent="0.2">
      <c r="AL5805" s="177"/>
    </row>
    <row r="5806" spans="38:38" x14ac:dyDescent="0.2">
      <c r="AL5806" s="177"/>
    </row>
    <row r="5807" spans="38:38" x14ac:dyDescent="0.2">
      <c r="AL5807" s="177"/>
    </row>
    <row r="5808" spans="38:38" x14ac:dyDescent="0.2">
      <c r="AL5808" s="177"/>
    </row>
    <row r="5809" spans="38:38" x14ac:dyDescent="0.2">
      <c r="AL5809" s="177"/>
    </row>
    <row r="5810" spans="38:38" x14ac:dyDescent="0.2">
      <c r="AL5810" s="177"/>
    </row>
    <row r="5811" spans="38:38" x14ac:dyDescent="0.2">
      <c r="AL5811" s="177"/>
    </row>
    <row r="5812" spans="38:38" x14ac:dyDescent="0.2">
      <c r="AL5812" s="177"/>
    </row>
    <row r="5813" spans="38:38" x14ac:dyDescent="0.2">
      <c r="AL5813" s="177"/>
    </row>
    <row r="5814" spans="38:38" x14ac:dyDescent="0.2">
      <c r="AL5814" s="177"/>
    </row>
    <row r="5815" spans="38:38" x14ac:dyDescent="0.2">
      <c r="AL5815" s="177"/>
    </row>
    <row r="5816" spans="38:38" x14ac:dyDescent="0.2">
      <c r="AL5816" s="177"/>
    </row>
    <row r="5817" spans="38:38" x14ac:dyDescent="0.2">
      <c r="AL5817" s="177"/>
    </row>
    <row r="5818" spans="38:38" x14ac:dyDescent="0.2">
      <c r="AL5818" s="177"/>
    </row>
    <row r="5819" spans="38:38" x14ac:dyDescent="0.2">
      <c r="AL5819" s="177"/>
    </row>
    <row r="5820" spans="38:38" x14ac:dyDescent="0.2">
      <c r="AL5820" s="177"/>
    </row>
    <row r="5821" spans="38:38" x14ac:dyDescent="0.2">
      <c r="AL5821" s="177"/>
    </row>
    <row r="5822" spans="38:38" x14ac:dyDescent="0.2">
      <c r="AL5822" s="177"/>
    </row>
    <row r="5823" spans="38:38" x14ac:dyDescent="0.2">
      <c r="AL5823" s="177"/>
    </row>
    <row r="5824" spans="38:38" x14ac:dyDescent="0.2">
      <c r="AL5824" s="177"/>
    </row>
    <row r="5825" spans="38:38" x14ac:dyDescent="0.2">
      <c r="AL5825" s="177"/>
    </row>
    <row r="5826" spans="38:38" x14ac:dyDescent="0.2">
      <c r="AL5826" s="177"/>
    </row>
    <row r="5827" spans="38:38" x14ac:dyDescent="0.2">
      <c r="AL5827" s="177"/>
    </row>
    <row r="5828" spans="38:38" x14ac:dyDescent="0.2">
      <c r="AL5828" s="177"/>
    </row>
    <row r="5829" spans="38:38" x14ac:dyDescent="0.2">
      <c r="AL5829" s="177"/>
    </row>
    <row r="5830" spans="38:38" x14ac:dyDescent="0.2">
      <c r="AL5830" s="177"/>
    </row>
    <row r="5831" spans="38:38" x14ac:dyDescent="0.2">
      <c r="AL5831" s="177"/>
    </row>
    <row r="5832" spans="38:38" x14ac:dyDescent="0.2">
      <c r="AL5832" s="177"/>
    </row>
    <row r="5833" spans="38:38" x14ac:dyDescent="0.2">
      <c r="AL5833" s="177"/>
    </row>
    <row r="5834" spans="38:38" x14ac:dyDescent="0.2">
      <c r="AL5834" s="177"/>
    </row>
    <row r="5835" spans="38:38" x14ac:dyDescent="0.2">
      <c r="AL5835" s="177"/>
    </row>
    <row r="5836" spans="38:38" x14ac:dyDescent="0.2">
      <c r="AL5836" s="177"/>
    </row>
    <row r="5837" spans="38:38" x14ac:dyDescent="0.2">
      <c r="AL5837" s="177"/>
    </row>
    <row r="5838" spans="38:38" x14ac:dyDescent="0.2">
      <c r="AL5838" s="177"/>
    </row>
    <row r="5839" spans="38:38" x14ac:dyDescent="0.2">
      <c r="AL5839" s="177"/>
    </row>
    <row r="5840" spans="38:38" x14ac:dyDescent="0.2">
      <c r="AL5840" s="177"/>
    </row>
    <row r="5841" spans="38:38" x14ac:dyDescent="0.2">
      <c r="AL5841" s="177"/>
    </row>
    <row r="5842" spans="38:38" x14ac:dyDescent="0.2">
      <c r="AL5842" s="177"/>
    </row>
    <row r="5843" spans="38:38" x14ac:dyDescent="0.2">
      <c r="AL5843" s="177"/>
    </row>
    <row r="5844" spans="38:38" x14ac:dyDescent="0.2">
      <c r="AL5844" s="177"/>
    </row>
    <row r="5845" spans="38:38" x14ac:dyDescent="0.2">
      <c r="AL5845" s="177"/>
    </row>
    <row r="5846" spans="38:38" x14ac:dyDescent="0.2">
      <c r="AL5846" s="177"/>
    </row>
    <row r="5847" spans="38:38" x14ac:dyDescent="0.2">
      <c r="AL5847" s="177"/>
    </row>
    <row r="5848" spans="38:38" x14ac:dyDescent="0.2">
      <c r="AL5848" s="177"/>
    </row>
    <row r="5849" spans="38:38" x14ac:dyDescent="0.2">
      <c r="AL5849" s="177"/>
    </row>
    <row r="5850" spans="38:38" x14ac:dyDescent="0.2">
      <c r="AL5850" s="177"/>
    </row>
    <row r="5851" spans="38:38" x14ac:dyDescent="0.2">
      <c r="AL5851" s="177"/>
    </row>
    <row r="5852" spans="38:38" x14ac:dyDescent="0.2">
      <c r="AL5852" s="177"/>
    </row>
    <row r="5853" spans="38:38" x14ac:dyDescent="0.2">
      <c r="AL5853" s="177"/>
    </row>
    <row r="5854" spans="38:38" x14ac:dyDescent="0.2">
      <c r="AL5854" s="177"/>
    </row>
    <row r="5855" spans="38:38" x14ac:dyDescent="0.2">
      <c r="AL5855" s="177"/>
    </row>
    <row r="5856" spans="38:38" x14ac:dyDescent="0.2">
      <c r="AL5856" s="177"/>
    </row>
    <row r="5857" spans="38:38" x14ac:dyDescent="0.2">
      <c r="AL5857" s="177"/>
    </row>
    <row r="5858" spans="38:38" x14ac:dyDescent="0.2">
      <c r="AL5858" s="177"/>
    </row>
    <row r="5859" spans="38:38" x14ac:dyDescent="0.2">
      <c r="AL5859" s="177"/>
    </row>
    <row r="5860" spans="38:38" x14ac:dyDescent="0.2">
      <c r="AL5860" s="177"/>
    </row>
    <row r="5861" spans="38:38" x14ac:dyDescent="0.2">
      <c r="AL5861" s="177"/>
    </row>
    <row r="5862" spans="38:38" x14ac:dyDescent="0.2">
      <c r="AL5862" s="177"/>
    </row>
    <row r="5863" spans="38:38" x14ac:dyDescent="0.2">
      <c r="AL5863" s="177"/>
    </row>
    <row r="5864" spans="38:38" x14ac:dyDescent="0.2">
      <c r="AL5864" s="177"/>
    </row>
    <row r="5865" spans="38:38" x14ac:dyDescent="0.2">
      <c r="AL5865" s="177"/>
    </row>
    <row r="5866" spans="38:38" x14ac:dyDescent="0.2">
      <c r="AL5866" s="177"/>
    </row>
    <row r="5867" spans="38:38" x14ac:dyDescent="0.2">
      <c r="AL5867" s="177"/>
    </row>
    <row r="5868" spans="38:38" x14ac:dyDescent="0.2">
      <c r="AL5868" s="177"/>
    </row>
    <row r="5869" spans="38:38" x14ac:dyDescent="0.2">
      <c r="AL5869" s="177"/>
    </row>
    <row r="5870" spans="38:38" x14ac:dyDescent="0.2">
      <c r="AL5870" s="177"/>
    </row>
    <row r="5871" spans="38:38" x14ac:dyDescent="0.2">
      <c r="AL5871" s="177"/>
    </row>
    <row r="5872" spans="38:38" x14ac:dyDescent="0.2">
      <c r="AL5872" s="177"/>
    </row>
    <row r="5873" spans="38:38" x14ac:dyDescent="0.2">
      <c r="AL5873" s="177"/>
    </row>
    <row r="5874" spans="38:38" x14ac:dyDescent="0.2">
      <c r="AL5874" s="177"/>
    </row>
    <row r="5875" spans="38:38" x14ac:dyDescent="0.2">
      <c r="AL5875" s="177"/>
    </row>
    <row r="5876" spans="38:38" x14ac:dyDescent="0.2">
      <c r="AL5876" s="177"/>
    </row>
    <row r="5877" spans="38:38" x14ac:dyDescent="0.2">
      <c r="AL5877" s="177"/>
    </row>
    <row r="5878" spans="38:38" x14ac:dyDescent="0.2">
      <c r="AL5878" s="177"/>
    </row>
    <row r="5879" spans="38:38" x14ac:dyDescent="0.2">
      <c r="AL5879" s="177"/>
    </row>
    <row r="5880" spans="38:38" x14ac:dyDescent="0.2">
      <c r="AL5880" s="177"/>
    </row>
    <row r="5881" spans="38:38" x14ac:dyDescent="0.2">
      <c r="AL5881" s="177"/>
    </row>
    <row r="5882" spans="38:38" x14ac:dyDescent="0.2">
      <c r="AL5882" s="177"/>
    </row>
    <row r="5883" spans="38:38" x14ac:dyDescent="0.2">
      <c r="AL5883" s="177"/>
    </row>
    <row r="5884" spans="38:38" x14ac:dyDescent="0.2">
      <c r="AL5884" s="177"/>
    </row>
    <row r="5885" spans="38:38" x14ac:dyDescent="0.2">
      <c r="AL5885" s="177"/>
    </row>
    <row r="5886" spans="38:38" x14ac:dyDescent="0.2">
      <c r="AL5886" s="177"/>
    </row>
    <row r="5887" spans="38:38" x14ac:dyDescent="0.2">
      <c r="AL5887" s="177"/>
    </row>
    <row r="5888" spans="38:38" x14ac:dyDescent="0.2">
      <c r="AL5888" s="177"/>
    </row>
    <row r="5889" spans="38:38" x14ac:dyDescent="0.2">
      <c r="AL5889" s="177"/>
    </row>
    <row r="5890" spans="38:38" x14ac:dyDescent="0.2">
      <c r="AL5890" s="177"/>
    </row>
    <row r="5891" spans="38:38" x14ac:dyDescent="0.2">
      <c r="AL5891" s="177"/>
    </row>
    <row r="5892" spans="38:38" x14ac:dyDescent="0.2">
      <c r="AL5892" s="177"/>
    </row>
    <row r="5893" spans="38:38" x14ac:dyDescent="0.2">
      <c r="AL5893" s="177"/>
    </row>
    <row r="5894" spans="38:38" x14ac:dyDescent="0.2">
      <c r="AL5894" s="177"/>
    </row>
    <row r="5895" spans="38:38" x14ac:dyDescent="0.2">
      <c r="AL5895" s="177"/>
    </row>
    <row r="5896" spans="38:38" x14ac:dyDescent="0.2">
      <c r="AL5896" s="177"/>
    </row>
    <row r="5897" spans="38:38" x14ac:dyDescent="0.2">
      <c r="AL5897" s="177"/>
    </row>
    <row r="5898" spans="38:38" x14ac:dyDescent="0.2">
      <c r="AL5898" s="177"/>
    </row>
    <row r="5899" spans="38:38" x14ac:dyDescent="0.2">
      <c r="AL5899" s="177"/>
    </row>
    <row r="5900" spans="38:38" x14ac:dyDescent="0.2">
      <c r="AL5900" s="177"/>
    </row>
    <row r="5901" spans="38:38" x14ac:dyDescent="0.2">
      <c r="AL5901" s="177"/>
    </row>
    <row r="5902" spans="38:38" x14ac:dyDescent="0.2">
      <c r="AL5902" s="177"/>
    </row>
    <row r="5903" spans="38:38" x14ac:dyDescent="0.2">
      <c r="AL5903" s="177"/>
    </row>
    <row r="5904" spans="38:38" x14ac:dyDescent="0.2">
      <c r="AL5904" s="177"/>
    </row>
    <row r="5905" spans="38:38" x14ac:dyDescent="0.2">
      <c r="AL5905" s="177"/>
    </row>
    <row r="5906" spans="38:38" x14ac:dyDescent="0.2">
      <c r="AL5906" s="177"/>
    </row>
    <row r="5907" spans="38:38" x14ac:dyDescent="0.2">
      <c r="AL5907" s="177"/>
    </row>
    <row r="5908" spans="38:38" x14ac:dyDescent="0.2">
      <c r="AL5908" s="177"/>
    </row>
    <row r="5909" spans="38:38" x14ac:dyDescent="0.2">
      <c r="AL5909" s="177"/>
    </row>
    <row r="5910" spans="38:38" x14ac:dyDescent="0.2">
      <c r="AL5910" s="177"/>
    </row>
    <row r="5911" spans="38:38" x14ac:dyDescent="0.2">
      <c r="AL5911" s="177"/>
    </row>
    <row r="5912" spans="38:38" x14ac:dyDescent="0.2">
      <c r="AL5912" s="177"/>
    </row>
    <row r="5913" spans="38:38" x14ac:dyDescent="0.2">
      <c r="AL5913" s="177"/>
    </row>
    <row r="5914" spans="38:38" x14ac:dyDescent="0.2">
      <c r="AL5914" s="177"/>
    </row>
    <row r="5915" spans="38:38" x14ac:dyDescent="0.2">
      <c r="AL5915" s="177"/>
    </row>
    <row r="5916" spans="38:38" x14ac:dyDescent="0.2">
      <c r="AL5916" s="177"/>
    </row>
    <row r="5917" spans="38:38" x14ac:dyDescent="0.2">
      <c r="AL5917" s="177"/>
    </row>
    <row r="5918" spans="38:38" x14ac:dyDescent="0.2">
      <c r="AL5918" s="177"/>
    </row>
    <row r="5919" spans="38:38" x14ac:dyDescent="0.2">
      <c r="AL5919" s="177"/>
    </row>
    <row r="5920" spans="38:38" x14ac:dyDescent="0.2">
      <c r="AL5920" s="177"/>
    </row>
    <row r="5921" spans="38:38" x14ac:dyDescent="0.2">
      <c r="AL5921" s="177"/>
    </row>
    <row r="5922" spans="38:38" x14ac:dyDescent="0.2">
      <c r="AL5922" s="177"/>
    </row>
    <row r="5923" spans="38:38" x14ac:dyDescent="0.2">
      <c r="AL5923" s="177"/>
    </row>
    <row r="5924" spans="38:38" x14ac:dyDescent="0.2">
      <c r="AL5924" s="177"/>
    </row>
    <row r="5925" spans="38:38" x14ac:dyDescent="0.2">
      <c r="AL5925" s="177"/>
    </row>
    <row r="5926" spans="38:38" x14ac:dyDescent="0.2">
      <c r="AL5926" s="177"/>
    </row>
    <row r="5927" spans="38:38" x14ac:dyDescent="0.2">
      <c r="AL5927" s="177"/>
    </row>
    <row r="5928" spans="38:38" x14ac:dyDescent="0.2">
      <c r="AL5928" s="177"/>
    </row>
    <row r="5929" spans="38:38" x14ac:dyDescent="0.2">
      <c r="AL5929" s="177"/>
    </row>
    <row r="5930" spans="38:38" x14ac:dyDescent="0.2">
      <c r="AL5930" s="177"/>
    </row>
    <row r="5931" spans="38:38" x14ac:dyDescent="0.2">
      <c r="AL5931" s="177"/>
    </row>
    <row r="5932" spans="38:38" x14ac:dyDescent="0.2">
      <c r="AL5932" s="177"/>
    </row>
    <row r="5933" spans="38:38" x14ac:dyDescent="0.2">
      <c r="AL5933" s="177"/>
    </row>
    <row r="5934" spans="38:38" x14ac:dyDescent="0.2">
      <c r="AL5934" s="177"/>
    </row>
    <row r="5935" spans="38:38" x14ac:dyDescent="0.2">
      <c r="AL5935" s="177"/>
    </row>
    <row r="5936" spans="38:38" x14ac:dyDescent="0.2">
      <c r="AL5936" s="177"/>
    </row>
    <row r="5937" spans="38:38" x14ac:dyDescent="0.2">
      <c r="AL5937" s="177"/>
    </row>
    <row r="5938" spans="38:38" x14ac:dyDescent="0.2">
      <c r="AL5938" s="177"/>
    </row>
    <row r="5939" spans="38:38" x14ac:dyDescent="0.2">
      <c r="AL5939" s="177"/>
    </row>
    <row r="5940" spans="38:38" x14ac:dyDescent="0.2">
      <c r="AL5940" s="177"/>
    </row>
    <row r="5941" spans="38:38" x14ac:dyDescent="0.2">
      <c r="AL5941" s="177"/>
    </row>
    <row r="5942" spans="38:38" x14ac:dyDescent="0.2">
      <c r="AL5942" s="177"/>
    </row>
    <row r="5943" spans="38:38" x14ac:dyDescent="0.2">
      <c r="AL5943" s="177"/>
    </row>
    <row r="5944" spans="38:38" x14ac:dyDescent="0.2">
      <c r="AL5944" s="177"/>
    </row>
    <row r="5945" spans="38:38" x14ac:dyDescent="0.2">
      <c r="AL5945" s="177"/>
    </row>
    <row r="5946" spans="38:38" x14ac:dyDescent="0.2">
      <c r="AL5946" s="177"/>
    </row>
    <row r="5947" spans="38:38" x14ac:dyDescent="0.2">
      <c r="AL5947" s="177"/>
    </row>
    <row r="5948" spans="38:38" x14ac:dyDescent="0.2">
      <c r="AL5948" s="177"/>
    </row>
    <row r="5949" spans="38:38" x14ac:dyDescent="0.2">
      <c r="AL5949" s="177"/>
    </row>
    <row r="5950" spans="38:38" x14ac:dyDescent="0.2">
      <c r="AL5950" s="177"/>
    </row>
    <row r="5951" spans="38:38" x14ac:dyDescent="0.2">
      <c r="AL5951" s="177"/>
    </row>
    <row r="5952" spans="38:38" x14ac:dyDescent="0.2">
      <c r="AL5952" s="177"/>
    </row>
    <row r="5953" spans="38:38" x14ac:dyDescent="0.2">
      <c r="AL5953" s="177"/>
    </row>
    <row r="5954" spans="38:38" x14ac:dyDescent="0.2">
      <c r="AL5954" s="177"/>
    </row>
    <row r="5955" spans="38:38" x14ac:dyDescent="0.2">
      <c r="AL5955" s="177"/>
    </row>
    <row r="5956" spans="38:38" x14ac:dyDescent="0.2">
      <c r="AL5956" s="177"/>
    </row>
    <row r="5957" spans="38:38" x14ac:dyDescent="0.2">
      <c r="AL5957" s="177"/>
    </row>
    <row r="5958" spans="38:38" x14ac:dyDescent="0.2">
      <c r="AL5958" s="177"/>
    </row>
    <row r="5959" spans="38:38" x14ac:dyDescent="0.2">
      <c r="AL5959" s="177"/>
    </row>
    <row r="5960" spans="38:38" x14ac:dyDescent="0.2">
      <c r="AL5960" s="177"/>
    </row>
    <row r="5961" spans="38:38" x14ac:dyDescent="0.2">
      <c r="AL5961" s="177"/>
    </row>
    <row r="5962" spans="38:38" x14ac:dyDescent="0.2">
      <c r="AL5962" s="177"/>
    </row>
    <row r="5963" spans="38:38" x14ac:dyDescent="0.2">
      <c r="AL5963" s="177"/>
    </row>
    <row r="5964" spans="38:38" x14ac:dyDescent="0.2">
      <c r="AL5964" s="177"/>
    </row>
    <row r="5965" spans="38:38" x14ac:dyDescent="0.2">
      <c r="AL5965" s="177"/>
    </row>
    <row r="5966" spans="38:38" x14ac:dyDescent="0.2">
      <c r="AL5966" s="177"/>
    </row>
    <row r="5967" spans="38:38" x14ac:dyDescent="0.2">
      <c r="AL5967" s="177"/>
    </row>
    <row r="5968" spans="38:38" x14ac:dyDescent="0.2">
      <c r="AL5968" s="177"/>
    </row>
    <row r="5969" spans="38:38" x14ac:dyDescent="0.2">
      <c r="AL5969" s="177"/>
    </row>
    <row r="5970" spans="38:38" x14ac:dyDescent="0.2">
      <c r="AL5970" s="177"/>
    </row>
    <row r="5971" spans="38:38" x14ac:dyDescent="0.2">
      <c r="AL5971" s="177"/>
    </row>
    <row r="5972" spans="38:38" x14ac:dyDescent="0.2">
      <c r="AL5972" s="177"/>
    </row>
    <row r="5973" spans="38:38" x14ac:dyDescent="0.2">
      <c r="AL5973" s="177"/>
    </row>
    <row r="5974" spans="38:38" x14ac:dyDescent="0.2">
      <c r="AL5974" s="177"/>
    </row>
    <row r="5975" spans="38:38" x14ac:dyDescent="0.2">
      <c r="AL5975" s="177"/>
    </row>
    <row r="5976" spans="38:38" x14ac:dyDescent="0.2">
      <c r="AL5976" s="177"/>
    </row>
    <row r="5977" spans="38:38" x14ac:dyDescent="0.2">
      <c r="AL5977" s="177"/>
    </row>
    <row r="5978" spans="38:38" x14ac:dyDescent="0.2">
      <c r="AL5978" s="177"/>
    </row>
    <row r="5979" spans="38:38" x14ac:dyDescent="0.2">
      <c r="AL5979" s="177"/>
    </row>
    <row r="5980" spans="38:38" x14ac:dyDescent="0.2">
      <c r="AL5980" s="177"/>
    </row>
    <row r="5981" spans="38:38" x14ac:dyDescent="0.2">
      <c r="AL5981" s="177"/>
    </row>
    <row r="5982" spans="38:38" x14ac:dyDescent="0.2">
      <c r="AL5982" s="177"/>
    </row>
    <row r="5983" spans="38:38" x14ac:dyDescent="0.2">
      <c r="AL5983" s="177"/>
    </row>
    <row r="5984" spans="38:38" x14ac:dyDescent="0.2">
      <c r="AL5984" s="177"/>
    </row>
    <row r="5985" spans="38:38" x14ac:dyDescent="0.2">
      <c r="AL5985" s="177"/>
    </row>
    <row r="5986" spans="38:38" x14ac:dyDescent="0.2">
      <c r="AL5986" s="177"/>
    </row>
    <row r="5987" spans="38:38" x14ac:dyDescent="0.2">
      <c r="AL5987" s="177"/>
    </row>
    <row r="5988" spans="38:38" x14ac:dyDescent="0.2">
      <c r="AL5988" s="177"/>
    </row>
    <row r="5989" spans="38:38" x14ac:dyDescent="0.2">
      <c r="AL5989" s="177"/>
    </row>
    <row r="5990" spans="38:38" x14ac:dyDescent="0.2">
      <c r="AL5990" s="177"/>
    </row>
    <row r="5991" spans="38:38" x14ac:dyDescent="0.2">
      <c r="AL5991" s="177"/>
    </row>
    <row r="5992" spans="38:38" x14ac:dyDescent="0.2">
      <c r="AL5992" s="177"/>
    </row>
    <row r="5993" spans="38:38" x14ac:dyDescent="0.2">
      <c r="AL5993" s="177"/>
    </row>
    <row r="5994" spans="38:38" x14ac:dyDescent="0.2">
      <c r="AL5994" s="177"/>
    </row>
    <row r="5995" spans="38:38" x14ac:dyDescent="0.2">
      <c r="AL5995" s="177"/>
    </row>
    <row r="5996" spans="38:38" x14ac:dyDescent="0.2">
      <c r="AL5996" s="177"/>
    </row>
    <row r="5997" spans="38:38" x14ac:dyDescent="0.2">
      <c r="AL5997" s="177"/>
    </row>
    <row r="5998" spans="38:38" x14ac:dyDescent="0.2">
      <c r="AL5998" s="177"/>
    </row>
    <row r="5999" spans="38:38" x14ac:dyDescent="0.2">
      <c r="AL5999" s="177"/>
    </row>
    <row r="6000" spans="38:38" x14ac:dyDescent="0.2">
      <c r="AL6000" s="177"/>
    </row>
    <row r="6001" spans="38:38" x14ac:dyDescent="0.2">
      <c r="AL6001" s="177"/>
    </row>
    <row r="6002" spans="38:38" x14ac:dyDescent="0.2">
      <c r="AL6002" s="177"/>
    </row>
    <row r="6003" spans="38:38" x14ac:dyDescent="0.2">
      <c r="AL6003" s="177"/>
    </row>
    <row r="6004" spans="38:38" x14ac:dyDescent="0.2">
      <c r="AL6004" s="177"/>
    </row>
    <row r="6005" spans="38:38" x14ac:dyDescent="0.2">
      <c r="AL6005" s="177"/>
    </row>
    <row r="6006" spans="38:38" x14ac:dyDescent="0.2">
      <c r="AL6006" s="177"/>
    </row>
    <row r="6007" spans="38:38" x14ac:dyDescent="0.2">
      <c r="AL6007" s="177"/>
    </row>
    <row r="6008" spans="38:38" x14ac:dyDescent="0.2">
      <c r="AL6008" s="177"/>
    </row>
    <row r="6009" spans="38:38" x14ac:dyDescent="0.2">
      <c r="AL6009" s="177"/>
    </row>
    <row r="6010" spans="38:38" x14ac:dyDescent="0.2">
      <c r="AL6010" s="177"/>
    </row>
    <row r="6011" spans="38:38" x14ac:dyDescent="0.2">
      <c r="AL6011" s="177"/>
    </row>
    <row r="6012" spans="38:38" x14ac:dyDescent="0.2">
      <c r="AL6012" s="177"/>
    </row>
    <row r="6013" spans="38:38" x14ac:dyDescent="0.2">
      <c r="AL6013" s="177"/>
    </row>
    <row r="6014" spans="38:38" x14ac:dyDescent="0.2">
      <c r="AL6014" s="177"/>
    </row>
    <row r="6015" spans="38:38" x14ac:dyDescent="0.2">
      <c r="AL6015" s="177"/>
    </row>
    <row r="6016" spans="38:38" x14ac:dyDescent="0.2">
      <c r="AL6016" s="177"/>
    </row>
    <row r="6017" spans="38:38" x14ac:dyDescent="0.2">
      <c r="AL6017" s="177"/>
    </row>
    <row r="6018" spans="38:38" x14ac:dyDescent="0.2">
      <c r="AL6018" s="177"/>
    </row>
    <row r="6019" spans="38:38" x14ac:dyDescent="0.2">
      <c r="AL6019" s="177"/>
    </row>
    <row r="6020" spans="38:38" x14ac:dyDescent="0.2">
      <c r="AL6020" s="177"/>
    </row>
    <row r="6021" spans="38:38" x14ac:dyDescent="0.2">
      <c r="AL6021" s="177"/>
    </row>
    <row r="6022" spans="38:38" x14ac:dyDescent="0.2">
      <c r="AL6022" s="177"/>
    </row>
    <row r="6023" spans="38:38" x14ac:dyDescent="0.2">
      <c r="AL6023" s="177"/>
    </row>
    <row r="6024" spans="38:38" x14ac:dyDescent="0.2">
      <c r="AL6024" s="177"/>
    </row>
    <row r="6025" spans="38:38" x14ac:dyDescent="0.2">
      <c r="AL6025" s="177"/>
    </row>
    <row r="6026" spans="38:38" x14ac:dyDescent="0.2">
      <c r="AL6026" s="177"/>
    </row>
    <row r="6027" spans="38:38" x14ac:dyDescent="0.2">
      <c r="AL6027" s="177"/>
    </row>
    <row r="6028" spans="38:38" x14ac:dyDescent="0.2">
      <c r="AL6028" s="177"/>
    </row>
    <row r="6029" spans="38:38" x14ac:dyDescent="0.2">
      <c r="AL6029" s="177"/>
    </row>
    <row r="6030" spans="38:38" x14ac:dyDescent="0.2">
      <c r="AL6030" s="177"/>
    </row>
    <row r="6031" spans="38:38" x14ac:dyDescent="0.2">
      <c r="AL6031" s="177"/>
    </row>
    <row r="6032" spans="38:38" x14ac:dyDescent="0.2">
      <c r="AL6032" s="177"/>
    </row>
    <row r="6033" spans="38:38" x14ac:dyDescent="0.2">
      <c r="AL6033" s="177"/>
    </row>
    <row r="6034" spans="38:38" x14ac:dyDescent="0.2">
      <c r="AL6034" s="177"/>
    </row>
    <row r="6035" spans="38:38" x14ac:dyDescent="0.2">
      <c r="AL6035" s="177"/>
    </row>
    <row r="6036" spans="38:38" x14ac:dyDescent="0.2">
      <c r="AL6036" s="177"/>
    </row>
    <row r="6037" spans="38:38" x14ac:dyDescent="0.2">
      <c r="AL6037" s="177"/>
    </row>
    <row r="6038" spans="38:38" x14ac:dyDescent="0.2">
      <c r="AL6038" s="177"/>
    </row>
    <row r="6039" spans="38:38" x14ac:dyDescent="0.2">
      <c r="AL6039" s="177"/>
    </row>
    <row r="6040" spans="38:38" x14ac:dyDescent="0.2">
      <c r="AL6040" s="177"/>
    </row>
    <row r="6041" spans="38:38" x14ac:dyDescent="0.2">
      <c r="AL6041" s="177"/>
    </row>
    <row r="6042" spans="38:38" x14ac:dyDescent="0.2">
      <c r="AL6042" s="177"/>
    </row>
    <row r="6043" spans="38:38" x14ac:dyDescent="0.2">
      <c r="AL6043" s="177"/>
    </row>
    <row r="6044" spans="38:38" x14ac:dyDescent="0.2">
      <c r="AL6044" s="177"/>
    </row>
    <row r="6045" spans="38:38" x14ac:dyDescent="0.2">
      <c r="AL6045" s="177"/>
    </row>
    <row r="6046" spans="38:38" x14ac:dyDescent="0.2">
      <c r="AL6046" s="177"/>
    </row>
    <row r="6047" spans="38:38" x14ac:dyDescent="0.2">
      <c r="AL6047" s="177"/>
    </row>
    <row r="6048" spans="38:38" x14ac:dyDescent="0.2">
      <c r="AL6048" s="177"/>
    </row>
    <row r="6049" spans="38:38" x14ac:dyDescent="0.2">
      <c r="AL6049" s="177"/>
    </row>
    <row r="6050" spans="38:38" x14ac:dyDescent="0.2">
      <c r="AL6050" s="177"/>
    </row>
    <row r="6051" spans="38:38" x14ac:dyDescent="0.2">
      <c r="AL6051" s="177"/>
    </row>
    <row r="6052" spans="38:38" x14ac:dyDescent="0.2">
      <c r="AL6052" s="177"/>
    </row>
    <row r="6053" spans="38:38" x14ac:dyDescent="0.2">
      <c r="AL6053" s="177"/>
    </row>
    <row r="6054" spans="38:38" x14ac:dyDescent="0.2">
      <c r="AL6054" s="177"/>
    </row>
    <row r="6055" spans="38:38" x14ac:dyDescent="0.2">
      <c r="AL6055" s="177"/>
    </row>
    <row r="6056" spans="38:38" x14ac:dyDescent="0.2">
      <c r="AL6056" s="177"/>
    </row>
    <row r="6057" spans="38:38" x14ac:dyDescent="0.2">
      <c r="AL6057" s="177"/>
    </row>
    <row r="6058" spans="38:38" x14ac:dyDescent="0.2">
      <c r="AL6058" s="177"/>
    </row>
    <row r="6059" spans="38:38" x14ac:dyDescent="0.2">
      <c r="AL6059" s="177"/>
    </row>
    <row r="6060" spans="38:38" x14ac:dyDescent="0.2">
      <c r="AL6060" s="177"/>
    </row>
    <row r="6061" spans="38:38" x14ac:dyDescent="0.2">
      <c r="AL6061" s="177"/>
    </row>
    <row r="6062" spans="38:38" x14ac:dyDescent="0.2">
      <c r="AL6062" s="177"/>
    </row>
    <row r="6063" spans="38:38" x14ac:dyDescent="0.2">
      <c r="AL6063" s="177"/>
    </row>
    <row r="6064" spans="38:38" x14ac:dyDescent="0.2">
      <c r="AL6064" s="177"/>
    </row>
    <row r="6065" spans="38:38" x14ac:dyDescent="0.2">
      <c r="AL6065" s="177"/>
    </row>
    <row r="6066" spans="38:38" x14ac:dyDescent="0.2">
      <c r="AL6066" s="177"/>
    </row>
    <row r="6067" spans="38:38" x14ac:dyDescent="0.2">
      <c r="AL6067" s="177"/>
    </row>
    <row r="6068" spans="38:38" x14ac:dyDescent="0.2">
      <c r="AL6068" s="177"/>
    </row>
    <row r="6069" spans="38:38" x14ac:dyDescent="0.2">
      <c r="AL6069" s="177"/>
    </row>
    <row r="6070" spans="38:38" x14ac:dyDescent="0.2">
      <c r="AL6070" s="177"/>
    </row>
    <row r="6071" spans="38:38" x14ac:dyDescent="0.2">
      <c r="AL6071" s="177"/>
    </row>
    <row r="6072" spans="38:38" x14ac:dyDescent="0.2">
      <c r="AL6072" s="177"/>
    </row>
    <row r="6073" spans="38:38" x14ac:dyDescent="0.2">
      <c r="AL6073" s="177"/>
    </row>
    <row r="6074" spans="38:38" x14ac:dyDescent="0.2">
      <c r="AL6074" s="177"/>
    </row>
    <row r="6075" spans="38:38" x14ac:dyDescent="0.2">
      <c r="AL6075" s="177"/>
    </row>
    <row r="6076" spans="38:38" x14ac:dyDescent="0.2">
      <c r="AL6076" s="177"/>
    </row>
    <row r="6077" spans="38:38" x14ac:dyDescent="0.2">
      <c r="AL6077" s="177"/>
    </row>
    <row r="6078" spans="38:38" x14ac:dyDescent="0.2">
      <c r="AL6078" s="177"/>
    </row>
    <row r="6079" spans="38:38" x14ac:dyDescent="0.2">
      <c r="AL6079" s="177"/>
    </row>
    <row r="6080" spans="38:38" x14ac:dyDescent="0.2">
      <c r="AL6080" s="177"/>
    </row>
    <row r="6081" spans="38:38" x14ac:dyDescent="0.2">
      <c r="AL6081" s="177"/>
    </row>
    <row r="6082" spans="38:38" x14ac:dyDescent="0.2">
      <c r="AL6082" s="177"/>
    </row>
    <row r="6083" spans="38:38" x14ac:dyDescent="0.2">
      <c r="AL6083" s="177"/>
    </row>
    <row r="6084" spans="38:38" x14ac:dyDescent="0.2">
      <c r="AL6084" s="177"/>
    </row>
    <row r="6085" spans="38:38" x14ac:dyDescent="0.2">
      <c r="AL6085" s="177"/>
    </row>
    <row r="6086" spans="38:38" x14ac:dyDescent="0.2">
      <c r="AL6086" s="177"/>
    </row>
    <row r="6087" spans="38:38" x14ac:dyDescent="0.2">
      <c r="AL6087" s="177"/>
    </row>
    <row r="6088" spans="38:38" x14ac:dyDescent="0.2">
      <c r="AL6088" s="177"/>
    </row>
    <row r="6089" spans="38:38" x14ac:dyDescent="0.2">
      <c r="AL6089" s="177"/>
    </row>
    <row r="6090" spans="38:38" x14ac:dyDescent="0.2">
      <c r="AL6090" s="177"/>
    </row>
    <row r="6091" spans="38:38" x14ac:dyDescent="0.2">
      <c r="AL6091" s="177"/>
    </row>
    <row r="6092" spans="38:38" x14ac:dyDescent="0.2">
      <c r="AL6092" s="177"/>
    </row>
    <row r="6093" spans="38:38" x14ac:dyDescent="0.2">
      <c r="AL6093" s="177"/>
    </row>
    <row r="6094" spans="38:38" x14ac:dyDescent="0.2">
      <c r="AL6094" s="177"/>
    </row>
    <row r="6095" spans="38:38" x14ac:dyDescent="0.2">
      <c r="AL6095" s="177"/>
    </row>
    <row r="6096" spans="38:38" x14ac:dyDescent="0.2">
      <c r="AL6096" s="177"/>
    </row>
    <row r="6097" spans="38:38" x14ac:dyDescent="0.2">
      <c r="AL6097" s="177"/>
    </row>
    <row r="6098" spans="38:38" x14ac:dyDescent="0.2">
      <c r="AL6098" s="177"/>
    </row>
    <row r="6099" spans="38:38" x14ac:dyDescent="0.2">
      <c r="AL6099" s="177"/>
    </row>
    <row r="6100" spans="38:38" x14ac:dyDescent="0.2">
      <c r="AL6100" s="177"/>
    </row>
    <row r="6101" spans="38:38" x14ac:dyDescent="0.2">
      <c r="AL6101" s="177"/>
    </row>
    <row r="6102" spans="38:38" x14ac:dyDescent="0.2">
      <c r="AL6102" s="177"/>
    </row>
    <row r="6103" spans="38:38" x14ac:dyDescent="0.2">
      <c r="AL6103" s="177"/>
    </row>
    <row r="6104" spans="38:38" x14ac:dyDescent="0.2">
      <c r="AL6104" s="177"/>
    </row>
    <row r="6105" spans="38:38" x14ac:dyDescent="0.2">
      <c r="AL6105" s="177"/>
    </row>
    <row r="6106" spans="38:38" x14ac:dyDescent="0.2">
      <c r="AL6106" s="177"/>
    </row>
    <row r="6107" spans="38:38" x14ac:dyDescent="0.2">
      <c r="AL6107" s="177"/>
    </row>
    <row r="6108" spans="38:38" x14ac:dyDescent="0.2">
      <c r="AL6108" s="177"/>
    </row>
    <row r="6109" spans="38:38" x14ac:dyDescent="0.2">
      <c r="AL6109" s="177"/>
    </row>
    <row r="6110" spans="38:38" x14ac:dyDescent="0.2">
      <c r="AL6110" s="177"/>
    </row>
    <row r="6111" spans="38:38" x14ac:dyDescent="0.2">
      <c r="AL6111" s="177"/>
    </row>
    <row r="6112" spans="38:38" x14ac:dyDescent="0.2">
      <c r="AL6112" s="177"/>
    </row>
    <row r="6113" spans="38:38" x14ac:dyDescent="0.2">
      <c r="AL6113" s="177"/>
    </row>
    <row r="6114" spans="38:38" x14ac:dyDescent="0.2">
      <c r="AL6114" s="177"/>
    </row>
    <row r="6115" spans="38:38" x14ac:dyDescent="0.2">
      <c r="AL6115" s="177"/>
    </row>
    <row r="6116" spans="38:38" x14ac:dyDescent="0.2">
      <c r="AL6116" s="177"/>
    </row>
    <row r="6117" spans="38:38" x14ac:dyDescent="0.2">
      <c r="AL6117" s="177"/>
    </row>
    <row r="6118" spans="38:38" x14ac:dyDescent="0.2">
      <c r="AL6118" s="177"/>
    </row>
    <row r="6119" spans="38:38" x14ac:dyDescent="0.2">
      <c r="AL6119" s="177"/>
    </row>
    <row r="6120" spans="38:38" x14ac:dyDescent="0.2">
      <c r="AL6120" s="177"/>
    </row>
    <row r="6121" spans="38:38" x14ac:dyDescent="0.2">
      <c r="AL6121" s="177"/>
    </row>
    <row r="6122" spans="38:38" x14ac:dyDescent="0.2">
      <c r="AL6122" s="177"/>
    </row>
    <row r="6123" spans="38:38" x14ac:dyDescent="0.2">
      <c r="AL6123" s="177"/>
    </row>
    <row r="6124" spans="38:38" x14ac:dyDescent="0.2">
      <c r="AL6124" s="177"/>
    </row>
    <row r="6125" spans="38:38" x14ac:dyDescent="0.2">
      <c r="AL6125" s="177"/>
    </row>
    <row r="6126" spans="38:38" x14ac:dyDescent="0.2">
      <c r="AL6126" s="177"/>
    </row>
    <row r="6127" spans="38:38" x14ac:dyDescent="0.2">
      <c r="AL6127" s="177"/>
    </row>
    <row r="6128" spans="38:38" x14ac:dyDescent="0.2">
      <c r="AL6128" s="177"/>
    </row>
    <row r="6129" spans="38:38" x14ac:dyDescent="0.2">
      <c r="AL6129" s="177"/>
    </row>
    <row r="6130" spans="38:38" x14ac:dyDescent="0.2">
      <c r="AL6130" s="177"/>
    </row>
    <row r="6131" spans="38:38" x14ac:dyDescent="0.2">
      <c r="AL6131" s="177"/>
    </row>
    <row r="6132" spans="38:38" x14ac:dyDescent="0.2">
      <c r="AL6132" s="177"/>
    </row>
    <row r="6133" spans="38:38" x14ac:dyDescent="0.2">
      <c r="AL6133" s="177"/>
    </row>
    <row r="6134" spans="38:38" x14ac:dyDescent="0.2">
      <c r="AL6134" s="177"/>
    </row>
    <row r="6135" spans="38:38" x14ac:dyDescent="0.2">
      <c r="AL6135" s="177"/>
    </row>
    <row r="6136" spans="38:38" x14ac:dyDescent="0.2">
      <c r="AL6136" s="177"/>
    </row>
    <row r="6137" spans="38:38" x14ac:dyDescent="0.2">
      <c r="AL6137" s="177"/>
    </row>
    <row r="6138" spans="38:38" x14ac:dyDescent="0.2">
      <c r="AL6138" s="177"/>
    </row>
    <row r="6139" spans="38:38" x14ac:dyDescent="0.2">
      <c r="AL6139" s="177"/>
    </row>
    <row r="6140" spans="38:38" x14ac:dyDescent="0.2">
      <c r="AL6140" s="177"/>
    </row>
    <row r="6141" spans="38:38" x14ac:dyDescent="0.2">
      <c r="AL6141" s="177"/>
    </row>
    <row r="6142" spans="38:38" x14ac:dyDescent="0.2">
      <c r="AL6142" s="177"/>
    </row>
    <row r="6143" spans="38:38" x14ac:dyDescent="0.2">
      <c r="AL6143" s="177"/>
    </row>
    <row r="6144" spans="38:38" x14ac:dyDescent="0.2">
      <c r="AL6144" s="177"/>
    </row>
    <row r="6145" spans="38:38" x14ac:dyDescent="0.2">
      <c r="AL6145" s="177"/>
    </row>
    <row r="6146" spans="38:38" x14ac:dyDescent="0.2">
      <c r="AL6146" s="177"/>
    </row>
    <row r="6147" spans="38:38" x14ac:dyDescent="0.2">
      <c r="AL6147" s="177"/>
    </row>
    <row r="6148" spans="38:38" x14ac:dyDescent="0.2">
      <c r="AL6148" s="177"/>
    </row>
    <row r="6149" spans="38:38" x14ac:dyDescent="0.2">
      <c r="AL6149" s="177"/>
    </row>
    <row r="6150" spans="38:38" x14ac:dyDescent="0.2">
      <c r="AL6150" s="177"/>
    </row>
    <row r="6151" spans="38:38" x14ac:dyDescent="0.2">
      <c r="AL6151" s="177"/>
    </row>
    <row r="6152" spans="38:38" x14ac:dyDescent="0.2">
      <c r="AL6152" s="177"/>
    </row>
    <row r="6153" spans="38:38" x14ac:dyDescent="0.2">
      <c r="AL6153" s="177"/>
    </row>
    <row r="6154" spans="38:38" x14ac:dyDescent="0.2">
      <c r="AL6154" s="177"/>
    </row>
    <row r="6155" spans="38:38" x14ac:dyDescent="0.2">
      <c r="AL6155" s="177"/>
    </row>
    <row r="6156" spans="38:38" x14ac:dyDescent="0.2">
      <c r="AL6156" s="177"/>
    </row>
    <row r="6157" spans="38:38" x14ac:dyDescent="0.2">
      <c r="AL6157" s="177"/>
    </row>
    <row r="6158" spans="38:38" x14ac:dyDescent="0.2">
      <c r="AL6158" s="177"/>
    </row>
    <row r="6159" spans="38:38" x14ac:dyDescent="0.2">
      <c r="AL6159" s="177"/>
    </row>
    <row r="6160" spans="38:38" x14ac:dyDescent="0.2">
      <c r="AL6160" s="177"/>
    </row>
    <row r="6161" spans="38:38" x14ac:dyDescent="0.2">
      <c r="AL6161" s="177"/>
    </row>
    <row r="6162" spans="38:38" x14ac:dyDescent="0.2">
      <c r="AL6162" s="177"/>
    </row>
    <row r="6163" spans="38:38" x14ac:dyDescent="0.2">
      <c r="AL6163" s="177"/>
    </row>
    <row r="6164" spans="38:38" x14ac:dyDescent="0.2">
      <c r="AL6164" s="177"/>
    </row>
    <row r="6165" spans="38:38" x14ac:dyDescent="0.2">
      <c r="AL6165" s="177"/>
    </row>
    <row r="6166" spans="38:38" x14ac:dyDescent="0.2">
      <c r="AL6166" s="177"/>
    </row>
    <row r="6167" spans="38:38" x14ac:dyDescent="0.2">
      <c r="AL6167" s="177"/>
    </row>
    <row r="6168" spans="38:38" x14ac:dyDescent="0.2">
      <c r="AL6168" s="177"/>
    </row>
    <row r="6169" spans="38:38" x14ac:dyDescent="0.2">
      <c r="AL6169" s="177"/>
    </row>
    <row r="6170" spans="38:38" x14ac:dyDescent="0.2">
      <c r="AL6170" s="177"/>
    </row>
    <row r="6171" spans="38:38" x14ac:dyDescent="0.2">
      <c r="AL6171" s="177"/>
    </row>
    <row r="6172" spans="38:38" x14ac:dyDescent="0.2">
      <c r="AL6172" s="177"/>
    </row>
    <row r="6173" spans="38:38" x14ac:dyDescent="0.2">
      <c r="AL6173" s="177"/>
    </row>
    <row r="6174" spans="38:38" x14ac:dyDescent="0.2">
      <c r="AL6174" s="177"/>
    </row>
    <row r="6175" spans="38:38" x14ac:dyDescent="0.2">
      <c r="AL6175" s="177"/>
    </row>
    <row r="6176" spans="38:38" x14ac:dyDescent="0.2">
      <c r="AL6176" s="177"/>
    </row>
    <row r="6177" spans="38:38" x14ac:dyDescent="0.2">
      <c r="AL6177" s="177"/>
    </row>
    <row r="6178" spans="38:38" x14ac:dyDescent="0.2">
      <c r="AL6178" s="177"/>
    </row>
    <row r="6179" spans="38:38" x14ac:dyDescent="0.2">
      <c r="AL6179" s="177"/>
    </row>
    <row r="6180" spans="38:38" x14ac:dyDescent="0.2">
      <c r="AL6180" s="177"/>
    </row>
    <row r="6181" spans="38:38" x14ac:dyDescent="0.2">
      <c r="AL6181" s="177"/>
    </row>
    <row r="6182" spans="38:38" x14ac:dyDescent="0.2">
      <c r="AL6182" s="177"/>
    </row>
    <row r="6183" spans="38:38" x14ac:dyDescent="0.2">
      <c r="AL6183" s="177"/>
    </row>
    <row r="6184" spans="38:38" x14ac:dyDescent="0.2">
      <c r="AL6184" s="177"/>
    </row>
    <row r="6185" spans="38:38" x14ac:dyDescent="0.2">
      <c r="AL6185" s="177"/>
    </row>
    <row r="6186" spans="38:38" x14ac:dyDescent="0.2">
      <c r="AL6186" s="177"/>
    </row>
    <row r="6187" spans="38:38" x14ac:dyDescent="0.2">
      <c r="AL6187" s="177"/>
    </row>
    <row r="6188" spans="38:38" x14ac:dyDescent="0.2">
      <c r="AL6188" s="177"/>
    </row>
    <row r="6189" spans="38:38" x14ac:dyDescent="0.2">
      <c r="AL6189" s="177"/>
    </row>
    <row r="6190" spans="38:38" x14ac:dyDescent="0.2">
      <c r="AL6190" s="177"/>
    </row>
    <row r="6191" spans="38:38" x14ac:dyDescent="0.2">
      <c r="AL6191" s="177"/>
    </row>
    <row r="6192" spans="38:38" x14ac:dyDescent="0.2">
      <c r="AL6192" s="177"/>
    </row>
    <row r="6193" spans="38:38" x14ac:dyDescent="0.2">
      <c r="AL6193" s="177"/>
    </row>
    <row r="6194" spans="38:38" x14ac:dyDescent="0.2">
      <c r="AL6194" s="177"/>
    </row>
    <row r="6195" spans="38:38" x14ac:dyDescent="0.2">
      <c r="AL6195" s="177"/>
    </row>
    <row r="6196" spans="38:38" x14ac:dyDescent="0.2">
      <c r="AL6196" s="177"/>
    </row>
    <row r="6197" spans="38:38" x14ac:dyDescent="0.2">
      <c r="AL6197" s="177"/>
    </row>
    <row r="6198" spans="38:38" x14ac:dyDescent="0.2">
      <c r="AL6198" s="177"/>
    </row>
    <row r="6199" spans="38:38" x14ac:dyDescent="0.2">
      <c r="AL6199" s="177"/>
    </row>
    <row r="6200" spans="38:38" x14ac:dyDescent="0.2">
      <c r="AL6200" s="177"/>
    </row>
    <row r="6201" spans="38:38" x14ac:dyDescent="0.2">
      <c r="AL6201" s="177"/>
    </row>
    <row r="6202" spans="38:38" x14ac:dyDescent="0.2">
      <c r="AL6202" s="177"/>
    </row>
    <row r="6203" spans="38:38" x14ac:dyDescent="0.2">
      <c r="AL6203" s="177"/>
    </row>
    <row r="6204" spans="38:38" x14ac:dyDescent="0.2">
      <c r="AL6204" s="177"/>
    </row>
    <row r="6205" spans="38:38" x14ac:dyDescent="0.2">
      <c r="AL6205" s="177"/>
    </row>
    <row r="6206" spans="38:38" x14ac:dyDescent="0.2">
      <c r="AL6206" s="177"/>
    </row>
    <row r="6207" spans="38:38" x14ac:dyDescent="0.2">
      <c r="AL6207" s="177"/>
    </row>
    <row r="6208" spans="38:38" x14ac:dyDescent="0.2">
      <c r="AL6208" s="177"/>
    </row>
    <row r="6209" spans="38:38" x14ac:dyDescent="0.2">
      <c r="AL6209" s="177"/>
    </row>
    <row r="6210" spans="38:38" x14ac:dyDescent="0.2">
      <c r="AL6210" s="177"/>
    </row>
    <row r="6211" spans="38:38" x14ac:dyDescent="0.2">
      <c r="AL6211" s="177"/>
    </row>
    <row r="6212" spans="38:38" x14ac:dyDescent="0.2">
      <c r="AL6212" s="177"/>
    </row>
    <row r="6213" spans="38:38" x14ac:dyDescent="0.2">
      <c r="AL6213" s="177"/>
    </row>
    <row r="6214" spans="38:38" x14ac:dyDescent="0.2">
      <c r="AL6214" s="177"/>
    </row>
    <row r="6215" spans="38:38" x14ac:dyDescent="0.2">
      <c r="AL6215" s="177"/>
    </row>
    <row r="6216" spans="38:38" x14ac:dyDescent="0.2">
      <c r="AL6216" s="177"/>
    </row>
    <row r="6217" spans="38:38" x14ac:dyDescent="0.2">
      <c r="AL6217" s="177"/>
    </row>
    <row r="6218" spans="38:38" x14ac:dyDescent="0.2">
      <c r="AL6218" s="177"/>
    </row>
    <row r="6219" spans="38:38" x14ac:dyDescent="0.2">
      <c r="AL6219" s="177"/>
    </row>
    <row r="6220" spans="38:38" x14ac:dyDescent="0.2">
      <c r="AL6220" s="177"/>
    </row>
    <row r="6221" spans="38:38" x14ac:dyDescent="0.2">
      <c r="AL6221" s="177"/>
    </row>
    <row r="6222" spans="38:38" x14ac:dyDescent="0.2">
      <c r="AL6222" s="177"/>
    </row>
    <row r="6223" spans="38:38" x14ac:dyDescent="0.2">
      <c r="AL6223" s="177"/>
    </row>
    <row r="6224" spans="38:38" x14ac:dyDescent="0.2">
      <c r="AL6224" s="177"/>
    </row>
    <row r="6225" spans="38:38" x14ac:dyDescent="0.2">
      <c r="AL6225" s="177"/>
    </row>
    <row r="6226" spans="38:38" x14ac:dyDescent="0.2">
      <c r="AL6226" s="177"/>
    </row>
    <row r="6227" spans="38:38" x14ac:dyDescent="0.2">
      <c r="AL6227" s="177"/>
    </row>
    <row r="6228" spans="38:38" x14ac:dyDescent="0.2">
      <c r="AL6228" s="177"/>
    </row>
    <row r="6229" spans="38:38" x14ac:dyDescent="0.2">
      <c r="AL6229" s="177"/>
    </row>
    <row r="6230" spans="38:38" x14ac:dyDescent="0.2">
      <c r="AL6230" s="177"/>
    </row>
    <row r="6231" spans="38:38" x14ac:dyDescent="0.2">
      <c r="AL6231" s="177"/>
    </row>
    <row r="6232" spans="38:38" x14ac:dyDescent="0.2">
      <c r="AL6232" s="177"/>
    </row>
    <row r="6233" spans="38:38" x14ac:dyDescent="0.2">
      <c r="AL6233" s="177"/>
    </row>
    <row r="6234" spans="38:38" x14ac:dyDescent="0.2">
      <c r="AL6234" s="177"/>
    </row>
    <row r="6235" spans="38:38" x14ac:dyDescent="0.2">
      <c r="AL6235" s="177"/>
    </row>
    <row r="6236" spans="38:38" x14ac:dyDescent="0.2">
      <c r="AL6236" s="177"/>
    </row>
    <row r="6237" spans="38:38" x14ac:dyDescent="0.2">
      <c r="AL6237" s="177"/>
    </row>
    <row r="6238" spans="38:38" x14ac:dyDescent="0.2">
      <c r="AL6238" s="177"/>
    </row>
    <row r="6239" spans="38:38" x14ac:dyDescent="0.2">
      <c r="AL6239" s="177"/>
    </row>
    <row r="6240" spans="38:38" x14ac:dyDescent="0.2">
      <c r="AL6240" s="177"/>
    </row>
    <row r="6241" spans="38:38" x14ac:dyDescent="0.2">
      <c r="AL6241" s="177"/>
    </row>
    <row r="6242" spans="38:38" x14ac:dyDescent="0.2">
      <c r="AL6242" s="177"/>
    </row>
    <row r="6243" spans="38:38" x14ac:dyDescent="0.2">
      <c r="AL6243" s="177"/>
    </row>
    <row r="6244" spans="38:38" x14ac:dyDescent="0.2">
      <c r="AL6244" s="177"/>
    </row>
    <row r="6245" spans="38:38" x14ac:dyDescent="0.2">
      <c r="AL6245" s="177"/>
    </row>
    <row r="6246" spans="38:38" x14ac:dyDescent="0.2">
      <c r="AL6246" s="177"/>
    </row>
    <row r="6247" spans="38:38" x14ac:dyDescent="0.2">
      <c r="AL6247" s="177"/>
    </row>
    <row r="6248" spans="38:38" x14ac:dyDescent="0.2">
      <c r="AL6248" s="177"/>
    </row>
    <row r="6249" spans="38:38" x14ac:dyDescent="0.2">
      <c r="AL6249" s="177"/>
    </row>
    <row r="6250" spans="38:38" x14ac:dyDescent="0.2">
      <c r="AL6250" s="177"/>
    </row>
    <row r="6251" spans="38:38" x14ac:dyDescent="0.2">
      <c r="AL6251" s="177"/>
    </row>
    <row r="6252" spans="38:38" x14ac:dyDescent="0.2">
      <c r="AL6252" s="177"/>
    </row>
    <row r="6253" spans="38:38" x14ac:dyDescent="0.2">
      <c r="AL6253" s="177"/>
    </row>
    <row r="6254" spans="38:38" x14ac:dyDescent="0.2">
      <c r="AL6254" s="177"/>
    </row>
    <row r="6255" spans="38:38" x14ac:dyDescent="0.2">
      <c r="AL6255" s="177"/>
    </row>
    <row r="6256" spans="38:38" x14ac:dyDescent="0.2">
      <c r="AL6256" s="177"/>
    </row>
    <row r="6257" spans="38:38" x14ac:dyDescent="0.2">
      <c r="AL6257" s="177"/>
    </row>
    <row r="6258" spans="38:38" x14ac:dyDescent="0.2">
      <c r="AL6258" s="177"/>
    </row>
    <row r="6259" spans="38:38" x14ac:dyDescent="0.2">
      <c r="AL6259" s="177"/>
    </row>
    <row r="6260" spans="38:38" x14ac:dyDescent="0.2">
      <c r="AL6260" s="177"/>
    </row>
    <row r="6261" spans="38:38" x14ac:dyDescent="0.2">
      <c r="AL6261" s="177"/>
    </row>
    <row r="6262" spans="38:38" x14ac:dyDescent="0.2">
      <c r="AL6262" s="177"/>
    </row>
    <row r="6263" spans="38:38" x14ac:dyDescent="0.2">
      <c r="AL6263" s="177"/>
    </row>
    <row r="6264" spans="38:38" x14ac:dyDescent="0.2">
      <c r="AL6264" s="177"/>
    </row>
    <row r="6265" spans="38:38" x14ac:dyDescent="0.2">
      <c r="AL6265" s="177"/>
    </row>
    <row r="6266" spans="38:38" x14ac:dyDescent="0.2">
      <c r="AL6266" s="177"/>
    </row>
    <row r="6267" spans="38:38" x14ac:dyDescent="0.2">
      <c r="AL6267" s="177"/>
    </row>
    <row r="6268" spans="38:38" x14ac:dyDescent="0.2">
      <c r="AL6268" s="177"/>
    </row>
    <row r="6269" spans="38:38" x14ac:dyDescent="0.2">
      <c r="AL6269" s="177"/>
    </row>
    <row r="6270" spans="38:38" x14ac:dyDescent="0.2">
      <c r="AL6270" s="177"/>
    </row>
    <row r="6271" spans="38:38" x14ac:dyDescent="0.2">
      <c r="AL6271" s="177"/>
    </row>
    <row r="6272" spans="38:38" x14ac:dyDescent="0.2">
      <c r="AL6272" s="177"/>
    </row>
    <row r="6273" spans="38:38" x14ac:dyDescent="0.2">
      <c r="AL6273" s="177"/>
    </row>
    <row r="6274" spans="38:38" x14ac:dyDescent="0.2">
      <c r="AL6274" s="177"/>
    </row>
    <row r="6275" spans="38:38" x14ac:dyDescent="0.2">
      <c r="AL6275" s="177"/>
    </row>
    <row r="6276" spans="38:38" x14ac:dyDescent="0.2">
      <c r="AL6276" s="177"/>
    </row>
    <row r="6277" spans="38:38" x14ac:dyDescent="0.2">
      <c r="AL6277" s="177"/>
    </row>
    <row r="6278" spans="38:38" x14ac:dyDescent="0.2">
      <c r="AL6278" s="177"/>
    </row>
    <row r="6279" spans="38:38" x14ac:dyDescent="0.2">
      <c r="AL6279" s="177"/>
    </row>
    <row r="6280" spans="38:38" x14ac:dyDescent="0.2">
      <c r="AL6280" s="177"/>
    </row>
    <row r="6281" spans="38:38" x14ac:dyDescent="0.2">
      <c r="AL6281" s="177"/>
    </row>
    <row r="6282" spans="38:38" x14ac:dyDescent="0.2">
      <c r="AL6282" s="177"/>
    </row>
    <row r="6283" spans="38:38" x14ac:dyDescent="0.2">
      <c r="AL6283" s="177"/>
    </row>
    <row r="6284" spans="38:38" x14ac:dyDescent="0.2">
      <c r="AL6284" s="177"/>
    </row>
    <row r="6285" spans="38:38" x14ac:dyDescent="0.2">
      <c r="AL6285" s="177"/>
    </row>
    <row r="6286" spans="38:38" x14ac:dyDescent="0.2">
      <c r="AL6286" s="177"/>
    </row>
    <row r="6287" spans="38:38" x14ac:dyDescent="0.2">
      <c r="AL6287" s="177"/>
    </row>
    <row r="6288" spans="38:38" x14ac:dyDescent="0.2">
      <c r="AL6288" s="177"/>
    </row>
    <row r="6289" spans="38:38" x14ac:dyDescent="0.2">
      <c r="AL6289" s="177"/>
    </row>
    <row r="6290" spans="38:38" x14ac:dyDescent="0.2">
      <c r="AL6290" s="177"/>
    </row>
    <row r="6291" spans="38:38" x14ac:dyDescent="0.2">
      <c r="AL6291" s="177"/>
    </row>
    <row r="6292" spans="38:38" x14ac:dyDescent="0.2">
      <c r="AL6292" s="177"/>
    </row>
    <row r="6293" spans="38:38" x14ac:dyDescent="0.2">
      <c r="AL6293" s="177"/>
    </row>
    <row r="6294" spans="38:38" x14ac:dyDescent="0.2">
      <c r="AL6294" s="177"/>
    </row>
    <row r="6295" spans="38:38" x14ac:dyDescent="0.2">
      <c r="AL6295" s="177"/>
    </row>
    <row r="6296" spans="38:38" x14ac:dyDescent="0.2">
      <c r="AL6296" s="177"/>
    </row>
    <row r="6297" spans="38:38" x14ac:dyDescent="0.2">
      <c r="AL6297" s="177"/>
    </row>
    <row r="6298" spans="38:38" x14ac:dyDescent="0.2">
      <c r="AL6298" s="177"/>
    </row>
    <row r="6299" spans="38:38" x14ac:dyDescent="0.2">
      <c r="AL6299" s="177"/>
    </row>
    <row r="6300" spans="38:38" x14ac:dyDescent="0.2">
      <c r="AL6300" s="177"/>
    </row>
    <row r="6301" spans="38:38" x14ac:dyDescent="0.2">
      <c r="AL6301" s="177"/>
    </row>
    <row r="6302" spans="38:38" x14ac:dyDescent="0.2">
      <c r="AL6302" s="177"/>
    </row>
    <row r="6303" spans="38:38" x14ac:dyDescent="0.2">
      <c r="AL6303" s="177"/>
    </row>
    <row r="6304" spans="38:38" x14ac:dyDescent="0.2">
      <c r="AL6304" s="177"/>
    </row>
    <row r="6305" spans="38:38" x14ac:dyDescent="0.2">
      <c r="AL6305" s="177"/>
    </row>
    <row r="6306" spans="38:38" x14ac:dyDescent="0.2">
      <c r="AL6306" s="177"/>
    </row>
    <row r="6307" spans="38:38" x14ac:dyDescent="0.2">
      <c r="AL6307" s="177"/>
    </row>
    <row r="6308" spans="38:38" x14ac:dyDescent="0.2">
      <c r="AL6308" s="177"/>
    </row>
    <row r="6309" spans="38:38" x14ac:dyDescent="0.2">
      <c r="AL6309" s="177"/>
    </row>
    <row r="6310" spans="38:38" x14ac:dyDescent="0.2">
      <c r="AL6310" s="177"/>
    </row>
    <row r="6311" spans="38:38" x14ac:dyDescent="0.2">
      <c r="AL6311" s="177"/>
    </row>
    <row r="6312" spans="38:38" x14ac:dyDescent="0.2">
      <c r="AL6312" s="177"/>
    </row>
    <row r="6313" spans="38:38" x14ac:dyDescent="0.2">
      <c r="AL6313" s="177"/>
    </row>
    <row r="6314" spans="38:38" x14ac:dyDescent="0.2">
      <c r="AL6314" s="177"/>
    </row>
    <row r="6315" spans="38:38" x14ac:dyDescent="0.2">
      <c r="AL6315" s="177"/>
    </row>
    <row r="6316" spans="38:38" x14ac:dyDescent="0.2">
      <c r="AL6316" s="177"/>
    </row>
    <row r="6317" spans="38:38" x14ac:dyDescent="0.2">
      <c r="AL6317" s="177"/>
    </row>
    <row r="6318" spans="38:38" x14ac:dyDescent="0.2">
      <c r="AL6318" s="177"/>
    </row>
    <row r="6319" spans="38:38" x14ac:dyDescent="0.2">
      <c r="AL6319" s="177"/>
    </row>
    <row r="6320" spans="38:38" x14ac:dyDescent="0.2">
      <c r="AL6320" s="177"/>
    </row>
    <row r="6321" spans="38:38" x14ac:dyDescent="0.2">
      <c r="AL6321" s="177"/>
    </row>
    <row r="6322" spans="38:38" x14ac:dyDescent="0.2">
      <c r="AL6322" s="177"/>
    </row>
    <row r="6323" spans="38:38" x14ac:dyDescent="0.2">
      <c r="AL6323" s="177"/>
    </row>
    <row r="6324" spans="38:38" x14ac:dyDescent="0.2">
      <c r="AL6324" s="177"/>
    </row>
    <row r="6325" spans="38:38" x14ac:dyDescent="0.2">
      <c r="AL6325" s="177"/>
    </row>
    <row r="6326" spans="38:38" x14ac:dyDescent="0.2">
      <c r="AL6326" s="177"/>
    </row>
    <row r="6327" spans="38:38" x14ac:dyDescent="0.2">
      <c r="AL6327" s="177"/>
    </row>
    <row r="6328" spans="38:38" x14ac:dyDescent="0.2">
      <c r="AL6328" s="177"/>
    </row>
    <row r="6329" spans="38:38" x14ac:dyDescent="0.2">
      <c r="AL6329" s="177"/>
    </row>
    <row r="6330" spans="38:38" x14ac:dyDescent="0.2">
      <c r="AL6330" s="177"/>
    </row>
    <row r="6331" spans="38:38" x14ac:dyDescent="0.2">
      <c r="AL6331" s="177"/>
    </row>
    <row r="6332" spans="38:38" x14ac:dyDescent="0.2">
      <c r="AL6332" s="177"/>
    </row>
    <row r="6333" spans="38:38" x14ac:dyDescent="0.2">
      <c r="AL6333" s="177"/>
    </row>
    <row r="6334" spans="38:38" x14ac:dyDescent="0.2">
      <c r="AL6334" s="177"/>
    </row>
    <row r="6335" spans="38:38" x14ac:dyDescent="0.2">
      <c r="AL6335" s="177"/>
    </row>
    <row r="6336" spans="38:38" x14ac:dyDescent="0.2">
      <c r="AL6336" s="177"/>
    </row>
    <row r="6337" spans="38:38" x14ac:dyDescent="0.2">
      <c r="AL6337" s="177"/>
    </row>
    <row r="6338" spans="38:38" x14ac:dyDescent="0.2">
      <c r="AL6338" s="177"/>
    </row>
    <row r="6339" spans="38:38" x14ac:dyDescent="0.2">
      <c r="AL6339" s="177"/>
    </row>
    <row r="6340" spans="38:38" x14ac:dyDescent="0.2">
      <c r="AL6340" s="177"/>
    </row>
    <row r="6341" spans="38:38" x14ac:dyDescent="0.2">
      <c r="AL6341" s="177"/>
    </row>
    <row r="6342" spans="38:38" x14ac:dyDescent="0.2">
      <c r="AL6342" s="177"/>
    </row>
    <row r="6343" spans="38:38" x14ac:dyDescent="0.2">
      <c r="AL6343" s="177"/>
    </row>
    <row r="6344" spans="38:38" x14ac:dyDescent="0.2">
      <c r="AL6344" s="177"/>
    </row>
    <row r="6345" spans="38:38" x14ac:dyDescent="0.2">
      <c r="AL6345" s="177"/>
    </row>
    <row r="6346" spans="38:38" x14ac:dyDescent="0.2">
      <c r="AL6346" s="177"/>
    </row>
    <row r="6347" spans="38:38" x14ac:dyDescent="0.2">
      <c r="AL6347" s="177"/>
    </row>
    <row r="6348" spans="38:38" x14ac:dyDescent="0.2">
      <c r="AL6348" s="177"/>
    </row>
    <row r="6349" spans="38:38" x14ac:dyDescent="0.2">
      <c r="AL6349" s="177"/>
    </row>
    <row r="6350" spans="38:38" x14ac:dyDescent="0.2">
      <c r="AL6350" s="177"/>
    </row>
    <row r="6351" spans="38:38" x14ac:dyDescent="0.2">
      <c r="AL6351" s="177"/>
    </row>
    <row r="6352" spans="38:38" x14ac:dyDescent="0.2">
      <c r="AL6352" s="177"/>
    </row>
    <row r="6353" spans="38:38" x14ac:dyDescent="0.2">
      <c r="AL6353" s="177"/>
    </row>
    <row r="6354" spans="38:38" x14ac:dyDescent="0.2">
      <c r="AL6354" s="177"/>
    </row>
    <row r="6355" spans="38:38" x14ac:dyDescent="0.2">
      <c r="AL6355" s="177"/>
    </row>
    <row r="6356" spans="38:38" x14ac:dyDescent="0.2">
      <c r="AL6356" s="177"/>
    </row>
    <row r="6357" spans="38:38" x14ac:dyDescent="0.2">
      <c r="AL6357" s="177"/>
    </row>
    <row r="6358" spans="38:38" x14ac:dyDescent="0.2">
      <c r="AL6358" s="177"/>
    </row>
    <row r="6359" spans="38:38" x14ac:dyDescent="0.2">
      <c r="AL6359" s="177"/>
    </row>
    <row r="6360" spans="38:38" x14ac:dyDescent="0.2">
      <c r="AL6360" s="177"/>
    </row>
    <row r="6361" spans="38:38" x14ac:dyDescent="0.2">
      <c r="AL6361" s="177"/>
    </row>
    <row r="6362" spans="38:38" x14ac:dyDescent="0.2">
      <c r="AL6362" s="177"/>
    </row>
    <row r="6363" spans="38:38" x14ac:dyDescent="0.2">
      <c r="AL6363" s="177"/>
    </row>
    <row r="6364" spans="38:38" x14ac:dyDescent="0.2">
      <c r="AL6364" s="177"/>
    </row>
    <row r="6365" spans="38:38" x14ac:dyDescent="0.2">
      <c r="AL6365" s="177"/>
    </row>
    <row r="6366" spans="38:38" x14ac:dyDescent="0.2">
      <c r="AL6366" s="177"/>
    </row>
    <row r="6367" spans="38:38" x14ac:dyDescent="0.2">
      <c r="AL6367" s="177"/>
    </row>
    <row r="6368" spans="38:38" x14ac:dyDescent="0.2">
      <c r="AL6368" s="177"/>
    </row>
    <row r="6369" spans="38:38" x14ac:dyDescent="0.2">
      <c r="AL6369" s="177"/>
    </row>
    <row r="6370" spans="38:38" x14ac:dyDescent="0.2">
      <c r="AL6370" s="177"/>
    </row>
    <row r="6371" spans="38:38" x14ac:dyDescent="0.2">
      <c r="AL6371" s="177"/>
    </row>
    <row r="6372" spans="38:38" x14ac:dyDescent="0.2">
      <c r="AL6372" s="177"/>
    </row>
    <row r="6373" spans="38:38" x14ac:dyDescent="0.2">
      <c r="AL6373" s="177"/>
    </row>
    <row r="6374" spans="38:38" x14ac:dyDescent="0.2">
      <c r="AL6374" s="177"/>
    </row>
    <row r="6375" spans="38:38" x14ac:dyDescent="0.2">
      <c r="AL6375" s="177"/>
    </row>
    <row r="6376" spans="38:38" x14ac:dyDescent="0.2">
      <c r="AL6376" s="177"/>
    </row>
    <row r="6377" spans="38:38" x14ac:dyDescent="0.2">
      <c r="AL6377" s="177"/>
    </row>
    <row r="6378" spans="38:38" x14ac:dyDescent="0.2">
      <c r="AL6378" s="177"/>
    </row>
    <row r="6379" spans="38:38" x14ac:dyDescent="0.2">
      <c r="AL6379" s="177"/>
    </row>
    <row r="6380" spans="38:38" x14ac:dyDescent="0.2">
      <c r="AL6380" s="177"/>
    </row>
    <row r="6381" spans="38:38" x14ac:dyDescent="0.2">
      <c r="AL6381" s="177"/>
    </row>
    <row r="6382" spans="38:38" x14ac:dyDescent="0.2">
      <c r="AL6382" s="177"/>
    </row>
    <row r="6383" spans="38:38" x14ac:dyDescent="0.2">
      <c r="AL6383" s="177"/>
    </row>
    <row r="6384" spans="38:38" x14ac:dyDescent="0.2">
      <c r="AL6384" s="177"/>
    </row>
    <row r="6385" spans="38:38" x14ac:dyDescent="0.2">
      <c r="AL6385" s="177"/>
    </row>
    <row r="6386" spans="38:38" x14ac:dyDescent="0.2">
      <c r="AL6386" s="177"/>
    </row>
    <row r="6387" spans="38:38" x14ac:dyDescent="0.2">
      <c r="AL6387" s="177"/>
    </row>
    <row r="6388" spans="38:38" x14ac:dyDescent="0.2">
      <c r="AL6388" s="177"/>
    </row>
    <row r="6389" spans="38:38" x14ac:dyDescent="0.2">
      <c r="AL6389" s="177"/>
    </row>
    <row r="6390" spans="38:38" x14ac:dyDescent="0.2">
      <c r="AL6390" s="177"/>
    </row>
    <row r="6391" spans="38:38" x14ac:dyDescent="0.2">
      <c r="AL6391" s="177"/>
    </row>
    <row r="6392" spans="38:38" x14ac:dyDescent="0.2">
      <c r="AL6392" s="177"/>
    </row>
    <row r="6393" spans="38:38" x14ac:dyDescent="0.2">
      <c r="AL6393" s="177"/>
    </row>
    <row r="6394" spans="38:38" x14ac:dyDescent="0.2">
      <c r="AL6394" s="177"/>
    </row>
    <row r="6395" spans="38:38" x14ac:dyDescent="0.2">
      <c r="AL6395" s="177"/>
    </row>
    <row r="6396" spans="38:38" x14ac:dyDescent="0.2">
      <c r="AL6396" s="177"/>
    </row>
    <row r="6397" spans="38:38" x14ac:dyDescent="0.2">
      <c r="AL6397" s="177"/>
    </row>
    <row r="6398" spans="38:38" x14ac:dyDescent="0.2">
      <c r="AL6398" s="177"/>
    </row>
    <row r="6399" spans="38:38" x14ac:dyDescent="0.2">
      <c r="AL6399" s="177"/>
    </row>
    <row r="6400" spans="38:38" x14ac:dyDescent="0.2">
      <c r="AL6400" s="177"/>
    </row>
    <row r="6401" spans="38:38" x14ac:dyDescent="0.2">
      <c r="AL6401" s="177"/>
    </row>
    <row r="6402" spans="38:38" x14ac:dyDescent="0.2">
      <c r="AL6402" s="177"/>
    </row>
    <row r="6403" spans="38:38" x14ac:dyDescent="0.2">
      <c r="AL6403" s="177"/>
    </row>
    <row r="6404" spans="38:38" x14ac:dyDescent="0.2">
      <c r="AL6404" s="177"/>
    </row>
    <row r="6405" spans="38:38" x14ac:dyDescent="0.2">
      <c r="AL6405" s="177"/>
    </row>
    <row r="6406" spans="38:38" x14ac:dyDescent="0.2">
      <c r="AL6406" s="177"/>
    </row>
    <row r="6407" spans="38:38" x14ac:dyDescent="0.2">
      <c r="AL6407" s="177"/>
    </row>
    <row r="6408" spans="38:38" x14ac:dyDescent="0.2">
      <c r="AL6408" s="177"/>
    </row>
    <row r="6409" spans="38:38" x14ac:dyDescent="0.2">
      <c r="AL6409" s="177"/>
    </row>
    <row r="6410" spans="38:38" x14ac:dyDescent="0.2">
      <c r="AL6410" s="177"/>
    </row>
    <row r="6411" spans="38:38" x14ac:dyDescent="0.2">
      <c r="AL6411" s="177"/>
    </row>
    <row r="6412" spans="38:38" x14ac:dyDescent="0.2">
      <c r="AL6412" s="177"/>
    </row>
    <row r="6413" spans="38:38" x14ac:dyDescent="0.2">
      <c r="AL6413" s="177"/>
    </row>
    <row r="6414" spans="38:38" x14ac:dyDescent="0.2">
      <c r="AL6414" s="177"/>
    </row>
    <row r="6415" spans="38:38" x14ac:dyDescent="0.2">
      <c r="AL6415" s="177"/>
    </row>
    <row r="6416" spans="38:38" x14ac:dyDescent="0.2">
      <c r="AL6416" s="177"/>
    </row>
    <row r="6417" spans="38:38" x14ac:dyDescent="0.2">
      <c r="AL6417" s="177"/>
    </row>
    <row r="6418" spans="38:38" x14ac:dyDescent="0.2">
      <c r="AL6418" s="177"/>
    </row>
    <row r="6419" spans="38:38" x14ac:dyDescent="0.2">
      <c r="AL6419" s="177"/>
    </row>
    <row r="6420" spans="38:38" x14ac:dyDescent="0.2">
      <c r="AL6420" s="177"/>
    </row>
    <row r="6421" spans="38:38" x14ac:dyDescent="0.2">
      <c r="AL6421" s="177"/>
    </row>
    <row r="6422" spans="38:38" x14ac:dyDescent="0.2">
      <c r="AL6422" s="177"/>
    </row>
    <row r="6423" spans="38:38" x14ac:dyDescent="0.2">
      <c r="AL6423" s="177"/>
    </row>
    <row r="6424" spans="38:38" x14ac:dyDescent="0.2">
      <c r="AL6424" s="177"/>
    </row>
    <row r="6425" spans="38:38" x14ac:dyDescent="0.2">
      <c r="AL6425" s="177"/>
    </row>
    <row r="6426" spans="38:38" x14ac:dyDescent="0.2">
      <c r="AL6426" s="177"/>
    </row>
    <row r="6427" spans="38:38" x14ac:dyDescent="0.2">
      <c r="AL6427" s="177"/>
    </row>
    <row r="6428" spans="38:38" x14ac:dyDescent="0.2">
      <c r="AL6428" s="177"/>
    </row>
    <row r="6429" spans="38:38" x14ac:dyDescent="0.2">
      <c r="AL6429" s="177"/>
    </row>
    <row r="6430" spans="38:38" x14ac:dyDescent="0.2">
      <c r="AL6430" s="177"/>
    </row>
    <row r="6431" spans="38:38" x14ac:dyDescent="0.2">
      <c r="AL6431" s="177"/>
    </row>
    <row r="6432" spans="38:38" x14ac:dyDescent="0.2">
      <c r="AL6432" s="177"/>
    </row>
    <row r="6433" spans="38:38" x14ac:dyDescent="0.2">
      <c r="AL6433" s="177"/>
    </row>
    <row r="6434" spans="38:38" x14ac:dyDescent="0.2">
      <c r="AL6434" s="177"/>
    </row>
    <row r="6435" spans="38:38" x14ac:dyDescent="0.2">
      <c r="AL6435" s="177"/>
    </row>
    <row r="6436" spans="38:38" x14ac:dyDescent="0.2">
      <c r="AL6436" s="177"/>
    </row>
    <row r="6437" spans="38:38" x14ac:dyDescent="0.2">
      <c r="AL6437" s="177"/>
    </row>
    <row r="6438" spans="38:38" x14ac:dyDescent="0.2">
      <c r="AL6438" s="177"/>
    </row>
    <row r="6439" spans="38:38" x14ac:dyDescent="0.2">
      <c r="AL6439" s="177"/>
    </row>
    <row r="6440" spans="38:38" x14ac:dyDescent="0.2">
      <c r="AL6440" s="177"/>
    </row>
    <row r="6441" spans="38:38" x14ac:dyDescent="0.2">
      <c r="AL6441" s="177"/>
    </row>
    <row r="6442" spans="38:38" x14ac:dyDescent="0.2">
      <c r="AL6442" s="177"/>
    </row>
    <row r="6443" spans="38:38" x14ac:dyDescent="0.2">
      <c r="AL6443" s="177"/>
    </row>
    <row r="6444" spans="38:38" x14ac:dyDescent="0.2">
      <c r="AL6444" s="177"/>
    </row>
    <row r="6445" spans="38:38" x14ac:dyDescent="0.2">
      <c r="AL6445" s="177"/>
    </row>
    <row r="6446" spans="38:38" x14ac:dyDescent="0.2">
      <c r="AL6446" s="177"/>
    </row>
    <row r="6447" spans="38:38" x14ac:dyDescent="0.2">
      <c r="AL6447" s="177"/>
    </row>
    <row r="6448" spans="38:38" x14ac:dyDescent="0.2">
      <c r="AL6448" s="177"/>
    </row>
    <row r="6449" spans="38:38" x14ac:dyDescent="0.2">
      <c r="AL6449" s="177"/>
    </row>
    <row r="6450" spans="38:38" x14ac:dyDescent="0.2">
      <c r="AL6450" s="177"/>
    </row>
    <row r="6451" spans="38:38" x14ac:dyDescent="0.2">
      <c r="AL6451" s="177"/>
    </row>
    <row r="6452" spans="38:38" x14ac:dyDescent="0.2">
      <c r="AL6452" s="177"/>
    </row>
    <row r="6453" spans="38:38" x14ac:dyDescent="0.2">
      <c r="AL6453" s="177"/>
    </row>
    <row r="6454" spans="38:38" x14ac:dyDescent="0.2">
      <c r="AL6454" s="177"/>
    </row>
    <row r="6455" spans="38:38" x14ac:dyDescent="0.2">
      <c r="AL6455" s="177"/>
    </row>
    <row r="6456" spans="38:38" x14ac:dyDescent="0.2">
      <c r="AL6456" s="177"/>
    </row>
    <row r="6457" spans="38:38" x14ac:dyDescent="0.2">
      <c r="AL6457" s="177"/>
    </row>
    <row r="6458" spans="38:38" x14ac:dyDescent="0.2">
      <c r="AL6458" s="177"/>
    </row>
    <row r="6459" spans="38:38" x14ac:dyDescent="0.2">
      <c r="AL6459" s="177"/>
    </row>
    <row r="6460" spans="38:38" x14ac:dyDescent="0.2">
      <c r="AL6460" s="177"/>
    </row>
    <row r="6461" spans="38:38" x14ac:dyDescent="0.2">
      <c r="AL6461" s="177"/>
    </row>
    <row r="6462" spans="38:38" x14ac:dyDescent="0.2">
      <c r="AL6462" s="177"/>
    </row>
    <row r="6463" spans="38:38" x14ac:dyDescent="0.2">
      <c r="AL6463" s="177"/>
    </row>
    <row r="6464" spans="38:38" x14ac:dyDescent="0.2">
      <c r="AL6464" s="177"/>
    </row>
    <row r="6465" spans="38:38" x14ac:dyDescent="0.2">
      <c r="AL6465" s="177"/>
    </row>
    <row r="6466" spans="38:38" x14ac:dyDescent="0.2">
      <c r="AL6466" s="177"/>
    </row>
    <row r="6467" spans="38:38" x14ac:dyDescent="0.2">
      <c r="AL6467" s="177"/>
    </row>
    <row r="6468" spans="38:38" x14ac:dyDescent="0.2">
      <c r="AL6468" s="177"/>
    </row>
    <row r="6469" spans="38:38" x14ac:dyDescent="0.2">
      <c r="AL6469" s="177"/>
    </row>
    <row r="6470" spans="38:38" x14ac:dyDescent="0.2">
      <c r="AL6470" s="177"/>
    </row>
    <row r="6471" spans="38:38" x14ac:dyDescent="0.2">
      <c r="AL6471" s="177"/>
    </row>
    <row r="6472" spans="38:38" x14ac:dyDescent="0.2">
      <c r="AL6472" s="177"/>
    </row>
    <row r="6473" spans="38:38" x14ac:dyDescent="0.2">
      <c r="AL6473" s="177"/>
    </row>
    <row r="6474" spans="38:38" x14ac:dyDescent="0.2">
      <c r="AL6474" s="177"/>
    </row>
    <row r="6475" spans="38:38" x14ac:dyDescent="0.2">
      <c r="AL6475" s="177"/>
    </row>
    <row r="6476" spans="38:38" x14ac:dyDescent="0.2">
      <c r="AL6476" s="177"/>
    </row>
    <row r="6477" spans="38:38" x14ac:dyDescent="0.2">
      <c r="AL6477" s="177"/>
    </row>
    <row r="6478" spans="38:38" x14ac:dyDescent="0.2">
      <c r="AL6478" s="177"/>
    </row>
    <row r="6479" spans="38:38" x14ac:dyDescent="0.2">
      <c r="AL6479" s="177"/>
    </row>
    <row r="6480" spans="38:38" x14ac:dyDescent="0.2">
      <c r="AL6480" s="177"/>
    </row>
    <row r="6481" spans="38:38" x14ac:dyDescent="0.2">
      <c r="AL6481" s="177"/>
    </row>
    <row r="6482" spans="38:38" x14ac:dyDescent="0.2">
      <c r="AL6482" s="177"/>
    </row>
    <row r="6483" spans="38:38" x14ac:dyDescent="0.2">
      <c r="AL6483" s="177"/>
    </row>
    <row r="6484" spans="38:38" x14ac:dyDescent="0.2">
      <c r="AL6484" s="177"/>
    </row>
    <row r="6485" spans="38:38" x14ac:dyDescent="0.2">
      <c r="AL6485" s="177"/>
    </row>
    <row r="6486" spans="38:38" x14ac:dyDescent="0.2">
      <c r="AL6486" s="177"/>
    </row>
    <row r="6487" spans="38:38" x14ac:dyDescent="0.2">
      <c r="AL6487" s="177"/>
    </row>
    <row r="6488" spans="38:38" x14ac:dyDescent="0.2">
      <c r="AL6488" s="177"/>
    </row>
    <row r="6489" spans="38:38" x14ac:dyDescent="0.2">
      <c r="AL6489" s="177"/>
    </row>
    <row r="6490" spans="38:38" x14ac:dyDescent="0.2">
      <c r="AL6490" s="177"/>
    </row>
    <row r="6491" spans="38:38" x14ac:dyDescent="0.2">
      <c r="AL6491" s="177"/>
    </row>
    <row r="6492" spans="38:38" x14ac:dyDescent="0.2">
      <c r="AL6492" s="177"/>
    </row>
    <row r="6493" spans="38:38" x14ac:dyDescent="0.2">
      <c r="AL6493" s="177"/>
    </row>
    <row r="6494" spans="38:38" x14ac:dyDescent="0.2">
      <c r="AL6494" s="177"/>
    </row>
    <row r="6495" spans="38:38" x14ac:dyDescent="0.2">
      <c r="AL6495" s="177"/>
    </row>
    <row r="6496" spans="38:38" x14ac:dyDescent="0.2">
      <c r="AL6496" s="177"/>
    </row>
    <row r="6497" spans="38:38" x14ac:dyDescent="0.2">
      <c r="AL6497" s="177"/>
    </row>
    <row r="6498" spans="38:38" x14ac:dyDescent="0.2">
      <c r="AL6498" s="177"/>
    </row>
    <row r="6499" spans="38:38" x14ac:dyDescent="0.2">
      <c r="AL6499" s="177"/>
    </row>
    <row r="6500" spans="38:38" x14ac:dyDescent="0.2">
      <c r="AL6500" s="177"/>
    </row>
    <row r="6501" spans="38:38" x14ac:dyDescent="0.2">
      <c r="AL6501" s="177"/>
    </row>
    <row r="6502" spans="38:38" x14ac:dyDescent="0.2">
      <c r="AL6502" s="177"/>
    </row>
    <row r="6503" spans="38:38" x14ac:dyDescent="0.2">
      <c r="AL6503" s="177"/>
    </row>
    <row r="6504" spans="38:38" x14ac:dyDescent="0.2">
      <c r="AL6504" s="177"/>
    </row>
    <row r="6505" spans="38:38" x14ac:dyDescent="0.2">
      <c r="AL6505" s="177"/>
    </row>
    <row r="6506" spans="38:38" x14ac:dyDescent="0.2">
      <c r="AL6506" s="177"/>
    </row>
    <row r="6507" spans="38:38" x14ac:dyDescent="0.2">
      <c r="AL6507" s="177"/>
    </row>
    <row r="6508" spans="38:38" x14ac:dyDescent="0.2">
      <c r="AL6508" s="177"/>
    </row>
    <row r="6509" spans="38:38" x14ac:dyDescent="0.2">
      <c r="AL6509" s="177"/>
    </row>
    <row r="6510" spans="38:38" x14ac:dyDescent="0.2">
      <c r="AL6510" s="177"/>
    </row>
    <row r="6511" spans="38:38" x14ac:dyDescent="0.2">
      <c r="AL6511" s="177"/>
    </row>
    <row r="6512" spans="38:38" x14ac:dyDescent="0.2">
      <c r="AL6512" s="177"/>
    </row>
    <row r="6513" spans="38:38" x14ac:dyDescent="0.2">
      <c r="AL6513" s="177"/>
    </row>
    <row r="6514" spans="38:38" x14ac:dyDescent="0.2">
      <c r="AL6514" s="177"/>
    </row>
    <row r="6515" spans="38:38" x14ac:dyDescent="0.2">
      <c r="AL6515" s="177"/>
    </row>
    <row r="6516" spans="38:38" x14ac:dyDescent="0.2">
      <c r="AL6516" s="177"/>
    </row>
    <row r="6517" spans="38:38" x14ac:dyDescent="0.2">
      <c r="AL6517" s="177"/>
    </row>
    <row r="6518" spans="38:38" x14ac:dyDescent="0.2">
      <c r="AL6518" s="177"/>
    </row>
    <row r="6519" spans="38:38" x14ac:dyDescent="0.2">
      <c r="AL6519" s="177"/>
    </row>
    <row r="6520" spans="38:38" x14ac:dyDescent="0.2">
      <c r="AL6520" s="177"/>
    </row>
    <row r="6521" spans="38:38" x14ac:dyDescent="0.2">
      <c r="AL6521" s="177"/>
    </row>
    <row r="6522" spans="38:38" x14ac:dyDescent="0.2">
      <c r="AL6522" s="177"/>
    </row>
    <row r="6523" spans="38:38" x14ac:dyDescent="0.2">
      <c r="AL6523" s="177"/>
    </row>
    <row r="6524" spans="38:38" x14ac:dyDescent="0.2">
      <c r="AL6524" s="177"/>
    </row>
    <row r="6525" spans="38:38" x14ac:dyDescent="0.2">
      <c r="AL6525" s="177"/>
    </row>
    <row r="6526" spans="38:38" x14ac:dyDescent="0.2">
      <c r="AL6526" s="177"/>
    </row>
    <row r="6527" spans="38:38" x14ac:dyDescent="0.2">
      <c r="AL6527" s="177"/>
    </row>
    <row r="6528" spans="38:38" x14ac:dyDescent="0.2">
      <c r="AL6528" s="177"/>
    </row>
    <row r="6529" spans="38:38" x14ac:dyDescent="0.2">
      <c r="AL6529" s="177"/>
    </row>
    <row r="6530" spans="38:38" x14ac:dyDescent="0.2">
      <c r="AL6530" s="177"/>
    </row>
    <row r="6531" spans="38:38" x14ac:dyDescent="0.2">
      <c r="AL6531" s="177"/>
    </row>
    <row r="6532" spans="38:38" x14ac:dyDescent="0.2">
      <c r="AL6532" s="177"/>
    </row>
    <row r="6533" spans="38:38" x14ac:dyDescent="0.2">
      <c r="AL6533" s="177"/>
    </row>
    <row r="6534" spans="38:38" x14ac:dyDescent="0.2">
      <c r="AL6534" s="177"/>
    </row>
    <row r="6535" spans="38:38" x14ac:dyDescent="0.2">
      <c r="AL6535" s="177"/>
    </row>
    <row r="6536" spans="38:38" x14ac:dyDescent="0.2">
      <c r="AL6536" s="177"/>
    </row>
    <row r="6537" spans="38:38" x14ac:dyDescent="0.2">
      <c r="AL6537" s="177"/>
    </row>
    <row r="6538" spans="38:38" x14ac:dyDescent="0.2">
      <c r="AL6538" s="177"/>
    </row>
    <row r="6539" spans="38:38" x14ac:dyDescent="0.2">
      <c r="AL6539" s="177"/>
    </row>
    <row r="6540" spans="38:38" x14ac:dyDescent="0.2">
      <c r="AL6540" s="177"/>
    </row>
    <row r="6541" spans="38:38" x14ac:dyDescent="0.2">
      <c r="AL6541" s="177"/>
    </row>
    <row r="6542" spans="38:38" x14ac:dyDescent="0.2">
      <c r="AL6542" s="177"/>
    </row>
    <row r="6543" spans="38:38" x14ac:dyDescent="0.2">
      <c r="AL6543" s="177"/>
    </row>
    <row r="6544" spans="38:38" x14ac:dyDescent="0.2">
      <c r="AL6544" s="177"/>
    </row>
    <row r="6545" spans="38:38" x14ac:dyDescent="0.2">
      <c r="AL6545" s="177"/>
    </row>
    <row r="6546" spans="38:38" x14ac:dyDescent="0.2">
      <c r="AL6546" s="177"/>
    </row>
    <row r="6547" spans="38:38" x14ac:dyDescent="0.2">
      <c r="AL6547" s="177"/>
    </row>
    <row r="6548" spans="38:38" x14ac:dyDescent="0.2">
      <c r="AL6548" s="177"/>
    </row>
    <row r="6549" spans="38:38" x14ac:dyDescent="0.2">
      <c r="AL6549" s="177"/>
    </row>
    <row r="6550" spans="38:38" x14ac:dyDescent="0.2">
      <c r="AL6550" s="177"/>
    </row>
    <row r="6551" spans="38:38" x14ac:dyDescent="0.2">
      <c r="AL6551" s="177"/>
    </row>
    <row r="6552" spans="38:38" x14ac:dyDescent="0.2">
      <c r="AL6552" s="177"/>
    </row>
    <row r="6553" spans="38:38" x14ac:dyDescent="0.2">
      <c r="AL6553" s="177"/>
    </row>
    <row r="6554" spans="38:38" x14ac:dyDescent="0.2">
      <c r="AL6554" s="177"/>
    </row>
    <row r="6555" spans="38:38" x14ac:dyDescent="0.2">
      <c r="AL6555" s="177"/>
    </row>
    <row r="6556" spans="38:38" x14ac:dyDescent="0.2">
      <c r="AL6556" s="177"/>
    </row>
    <row r="6557" spans="38:38" x14ac:dyDescent="0.2">
      <c r="AL6557" s="177"/>
    </row>
    <row r="6558" spans="38:38" x14ac:dyDescent="0.2">
      <c r="AL6558" s="177"/>
    </row>
    <row r="6559" spans="38:38" x14ac:dyDescent="0.2">
      <c r="AL6559" s="177"/>
    </row>
    <row r="6560" spans="38:38" x14ac:dyDescent="0.2">
      <c r="AL6560" s="177"/>
    </row>
    <row r="6561" spans="38:38" x14ac:dyDescent="0.2">
      <c r="AL6561" s="177"/>
    </row>
    <row r="6562" spans="38:38" x14ac:dyDescent="0.2">
      <c r="AL6562" s="177"/>
    </row>
    <row r="6563" spans="38:38" x14ac:dyDescent="0.2">
      <c r="AL6563" s="177"/>
    </row>
    <row r="6564" spans="38:38" x14ac:dyDescent="0.2">
      <c r="AL6564" s="177"/>
    </row>
    <row r="6565" spans="38:38" x14ac:dyDescent="0.2">
      <c r="AL6565" s="177"/>
    </row>
    <row r="6566" spans="38:38" x14ac:dyDescent="0.2">
      <c r="AL6566" s="177"/>
    </row>
    <row r="6567" spans="38:38" x14ac:dyDescent="0.2">
      <c r="AL6567" s="177"/>
    </row>
    <row r="6568" spans="38:38" x14ac:dyDescent="0.2">
      <c r="AL6568" s="177"/>
    </row>
    <row r="6569" spans="38:38" x14ac:dyDescent="0.2">
      <c r="AL6569" s="177"/>
    </row>
    <row r="6570" spans="38:38" x14ac:dyDescent="0.2">
      <c r="AL6570" s="177"/>
    </row>
    <row r="6571" spans="38:38" x14ac:dyDescent="0.2">
      <c r="AL6571" s="177"/>
    </row>
    <row r="6572" spans="38:38" x14ac:dyDescent="0.2">
      <c r="AL6572" s="177"/>
    </row>
    <row r="6573" spans="38:38" x14ac:dyDescent="0.2">
      <c r="AL6573" s="177"/>
    </row>
    <row r="6574" spans="38:38" x14ac:dyDescent="0.2">
      <c r="AL6574" s="177"/>
    </row>
    <row r="6575" spans="38:38" x14ac:dyDescent="0.2">
      <c r="AL6575" s="177"/>
    </row>
    <row r="6576" spans="38:38" x14ac:dyDescent="0.2">
      <c r="AL6576" s="177"/>
    </row>
    <row r="6577" spans="38:38" x14ac:dyDescent="0.2">
      <c r="AL6577" s="177"/>
    </row>
    <row r="6578" spans="38:38" x14ac:dyDescent="0.2">
      <c r="AL6578" s="177"/>
    </row>
    <row r="6579" spans="38:38" x14ac:dyDescent="0.2">
      <c r="AL6579" s="177"/>
    </row>
    <row r="6580" spans="38:38" x14ac:dyDescent="0.2">
      <c r="AL6580" s="177"/>
    </row>
    <row r="6581" spans="38:38" x14ac:dyDescent="0.2">
      <c r="AL6581" s="177"/>
    </row>
    <row r="6582" spans="38:38" x14ac:dyDescent="0.2">
      <c r="AL6582" s="177"/>
    </row>
    <row r="6583" spans="38:38" x14ac:dyDescent="0.2">
      <c r="AL6583" s="177"/>
    </row>
    <row r="6584" spans="38:38" x14ac:dyDescent="0.2">
      <c r="AL6584" s="177"/>
    </row>
    <row r="6585" spans="38:38" x14ac:dyDescent="0.2">
      <c r="AL6585" s="177"/>
    </row>
    <row r="6586" spans="38:38" x14ac:dyDescent="0.2">
      <c r="AL6586" s="177"/>
    </row>
    <row r="6587" spans="38:38" x14ac:dyDescent="0.2">
      <c r="AL6587" s="177"/>
    </row>
    <row r="6588" spans="38:38" x14ac:dyDescent="0.2">
      <c r="AL6588" s="177"/>
    </row>
    <row r="6589" spans="38:38" x14ac:dyDescent="0.2">
      <c r="AL6589" s="177"/>
    </row>
    <row r="6590" spans="38:38" x14ac:dyDescent="0.2">
      <c r="AL6590" s="177"/>
    </row>
    <row r="6591" spans="38:38" x14ac:dyDescent="0.2">
      <c r="AL6591" s="177"/>
    </row>
    <row r="6592" spans="38:38" x14ac:dyDescent="0.2">
      <c r="AL6592" s="177"/>
    </row>
    <row r="6593" spans="38:38" x14ac:dyDescent="0.2">
      <c r="AL6593" s="177"/>
    </row>
    <row r="6594" spans="38:38" x14ac:dyDescent="0.2">
      <c r="AL6594" s="177"/>
    </row>
    <row r="6595" spans="38:38" x14ac:dyDescent="0.2">
      <c r="AL6595" s="177"/>
    </row>
    <row r="6596" spans="38:38" x14ac:dyDescent="0.2">
      <c r="AL6596" s="177"/>
    </row>
    <row r="6597" spans="38:38" x14ac:dyDescent="0.2">
      <c r="AL6597" s="177"/>
    </row>
    <row r="6598" spans="38:38" x14ac:dyDescent="0.2">
      <c r="AL6598" s="177"/>
    </row>
    <row r="6599" spans="38:38" x14ac:dyDescent="0.2">
      <c r="AL6599" s="177"/>
    </row>
    <row r="6600" spans="38:38" x14ac:dyDescent="0.2">
      <c r="AL6600" s="177"/>
    </row>
    <row r="6601" spans="38:38" x14ac:dyDescent="0.2">
      <c r="AL6601" s="177"/>
    </row>
    <row r="6602" spans="38:38" x14ac:dyDescent="0.2">
      <c r="AL6602" s="177"/>
    </row>
    <row r="6603" spans="38:38" x14ac:dyDescent="0.2">
      <c r="AL6603" s="177"/>
    </row>
    <row r="6604" spans="38:38" x14ac:dyDescent="0.2">
      <c r="AL6604" s="177"/>
    </row>
    <row r="6605" spans="38:38" x14ac:dyDescent="0.2">
      <c r="AL6605" s="177"/>
    </row>
    <row r="6606" spans="38:38" x14ac:dyDescent="0.2">
      <c r="AL6606" s="177"/>
    </row>
    <row r="6607" spans="38:38" x14ac:dyDescent="0.2">
      <c r="AL6607" s="177"/>
    </row>
    <row r="6608" spans="38:38" x14ac:dyDescent="0.2">
      <c r="AL6608" s="177"/>
    </row>
    <row r="6609" spans="38:38" x14ac:dyDescent="0.2">
      <c r="AL6609" s="177"/>
    </row>
    <row r="6610" spans="38:38" x14ac:dyDescent="0.2">
      <c r="AL6610" s="177"/>
    </row>
    <row r="6611" spans="38:38" x14ac:dyDescent="0.2">
      <c r="AL6611" s="177"/>
    </row>
    <row r="6612" spans="38:38" x14ac:dyDescent="0.2">
      <c r="AL6612" s="177"/>
    </row>
    <row r="6613" spans="38:38" x14ac:dyDescent="0.2">
      <c r="AL6613" s="177"/>
    </row>
    <row r="6614" spans="38:38" x14ac:dyDescent="0.2">
      <c r="AL6614" s="177"/>
    </row>
    <row r="6615" spans="38:38" x14ac:dyDescent="0.2">
      <c r="AL6615" s="177"/>
    </row>
    <row r="6616" spans="38:38" x14ac:dyDescent="0.2">
      <c r="AL6616" s="177"/>
    </row>
    <row r="6617" spans="38:38" x14ac:dyDescent="0.2">
      <c r="AL6617" s="177"/>
    </row>
    <row r="6618" spans="38:38" x14ac:dyDescent="0.2">
      <c r="AL6618" s="177"/>
    </row>
    <row r="6619" spans="38:38" x14ac:dyDescent="0.2">
      <c r="AL6619" s="177"/>
    </row>
    <row r="6620" spans="38:38" x14ac:dyDescent="0.2">
      <c r="AL6620" s="177"/>
    </row>
    <row r="6621" spans="38:38" x14ac:dyDescent="0.2">
      <c r="AL6621" s="177"/>
    </row>
    <row r="6622" spans="38:38" x14ac:dyDescent="0.2">
      <c r="AL6622" s="177"/>
    </row>
    <row r="6623" spans="38:38" x14ac:dyDescent="0.2">
      <c r="AL6623" s="177"/>
    </row>
    <row r="6624" spans="38:38" x14ac:dyDescent="0.2">
      <c r="AL6624" s="177"/>
    </row>
    <row r="6625" spans="38:38" x14ac:dyDescent="0.2">
      <c r="AL6625" s="177"/>
    </row>
    <row r="6626" spans="38:38" x14ac:dyDescent="0.2">
      <c r="AL6626" s="177"/>
    </row>
    <row r="6627" spans="38:38" x14ac:dyDescent="0.2">
      <c r="AL6627" s="177"/>
    </row>
    <row r="6628" spans="38:38" x14ac:dyDescent="0.2">
      <c r="AL6628" s="177"/>
    </row>
    <row r="6629" spans="38:38" x14ac:dyDescent="0.2">
      <c r="AL6629" s="177"/>
    </row>
    <row r="6630" spans="38:38" x14ac:dyDescent="0.2">
      <c r="AL6630" s="177"/>
    </row>
    <row r="6631" spans="38:38" x14ac:dyDescent="0.2">
      <c r="AL6631" s="177"/>
    </row>
    <row r="6632" spans="38:38" x14ac:dyDescent="0.2">
      <c r="AL6632" s="177"/>
    </row>
    <row r="6633" spans="38:38" x14ac:dyDescent="0.2">
      <c r="AL6633" s="177"/>
    </row>
    <row r="6634" spans="38:38" x14ac:dyDescent="0.2">
      <c r="AL6634" s="177"/>
    </row>
    <row r="6635" spans="38:38" x14ac:dyDescent="0.2">
      <c r="AL6635" s="177"/>
    </row>
    <row r="6636" spans="38:38" x14ac:dyDescent="0.2">
      <c r="AL6636" s="177"/>
    </row>
    <row r="6637" spans="38:38" x14ac:dyDescent="0.2">
      <c r="AL6637" s="177"/>
    </row>
    <row r="6638" spans="38:38" x14ac:dyDescent="0.2">
      <c r="AL6638" s="177"/>
    </row>
    <row r="6639" spans="38:38" x14ac:dyDescent="0.2">
      <c r="AL6639" s="177"/>
    </row>
    <row r="6640" spans="38:38" x14ac:dyDescent="0.2">
      <c r="AL6640" s="177"/>
    </row>
    <row r="6641" spans="38:38" x14ac:dyDescent="0.2">
      <c r="AL6641" s="177"/>
    </row>
    <row r="6642" spans="38:38" x14ac:dyDescent="0.2">
      <c r="AL6642" s="177"/>
    </row>
    <row r="6643" spans="38:38" x14ac:dyDescent="0.2">
      <c r="AL6643" s="177"/>
    </row>
    <row r="6644" spans="38:38" x14ac:dyDescent="0.2">
      <c r="AL6644" s="177"/>
    </row>
    <row r="6645" spans="38:38" x14ac:dyDescent="0.2">
      <c r="AL6645" s="177"/>
    </row>
    <row r="6646" spans="38:38" x14ac:dyDescent="0.2">
      <c r="AL6646" s="177"/>
    </row>
    <row r="6647" spans="38:38" x14ac:dyDescent="0.2">
      <c r="AL6647" s="177"/>
    </row>
    <row r="6648" spans="38:38" x14ac:dyDescent="0.2">
      <c r="AL6648" s="177"/>
    </row>
    <row r="6649" spans="38:38" x14ac:dyDescent="0.2">
      <c r="AL6649" s="177"/>
    </row>
    <row r="6650" spans="38:38" x14ac:dyDescent="0.2">
      <c r="AL6650" s="177"/>
    </row>
    <row r="6651" spans="38:38" x14ac:dyDescent="0.2">
      <c r="AL6651" s="177"/>
    </row>
    <row r="6652" spans="38:38" x14ac:dyDescent="0.2">
      <c r="AL6652" s="177"/>
    </row>
    <row r="6653" spans="38:38" x14ac:dyDescent="0.2">
      <c r="AL6653" s="177"/>
    </row>
    <row r="6654" spans="38:38" x14ac:dyDescent="0.2">
      <c r="AL6654" s="177"/>
    </row>
    <row r="6655" spans="38:38" x14ac:dyDescent="0.2">
      <c r="AL6655" s="177"/>
    </row>
    <row r="6656" spans="38:38" x14ac:dyDescent="0.2">
      <c r="AL6656" s="177"/>
    </row>
    <row r="6657" spans="38:38" x14ac:dyDescent="0.2">
      <c r="AL6657" s="177"/>
    </row>
    <row r="6658" spans="38:38" x14ac:dyDescent="0.2">
      <c r="AL6658" s="177"/>
    </row>
    <row r="6659" spans="38:38" x14ac:dyDescent="0.2">
      <c r="AL6659" s="177"/>
    </row>
    <row r="6660" spans="38:38" x14ac:dyDescent="0.2">
      <c r="AL6660" s="177"/>
    </row>
    <row r="6661" spans="38:38" x14ac:dyDescent="0.2">
      <c r="AL6661" s="177"/>
    </row>
    <row r="6662" spans="38:38" x14ac:dyDescent="0.2">
      <c r="AL6662" s="177"/>
    </row>
    <row r="6663" spans="38:38" x14ac:dyDescent="0.2">
      <c r="AL6663" s="177"/>
    </row>
    <row r="6664" spans="38:38" x14ac:dyDescent="0.2">
      <c r="AL6664" s="177"/>
    </row>
    <row r="6665" spans="38:38" x14ac:dyDescent="0.2">
      <c r="AL6665" s="177"/>
    </row>
    <row r="6666" spans="38:38" x14ac:dyDescent="0.2">
      <c r="AL6666" s="177"/>
    </row>
    <row r="6667" spans="38:38" x14ac:dyDescent="0.2">
      <c r="AL6667" s="177"/>
    </row>
    <row r="6668" spans="38:38" x14ac:dyDescent="0.2">
      <c r="AL6668" s="177"/>
    </row>
    <row r="6669" spans="38:38" x14ac:dyDescent="0.2">
      <c r="AL6669" s="177"/>
    </row>
    <row r="6670" spans="38:38" x14ac:dyDescent="0.2">
      <c r="AL6670" s="177"/>
    </row>
    <row r="6671" spans="38:38" x14ac:dyDescent="0.2">
      <c r="AL6671" s="177"/>
    </row>
    <row r="6672" spans="38:38" x14ac:dyDescent="0.2">
      <c r="AL6672" s="177"/>
    </row>
    <row r="6673" spans="38:38" x14ac:dyDescent="0.2">
      <c r="AL6673" s="177"/>
    </row>
    <row r="6674" spans="38:38" x14ac:dyDescent="0.2">
      <c r="AL6674" s="177"/>
    </row>
    <row r="6675" spans="38:38" x14ac:dyDescent="0.2">
      <c r="AL6675" s="177"/>
    </row>
    <row r="6676" spans="38:38" x14ac:dyDescent="0.2">
      <c r="AL6676" s="177"/>
    </row>
    <row r="6677" spans="38:38" x14ac:dyDescent="0.2">
      <c r="AL6677" s="177"/>
    </row>
    <row r="6678" spans="38:38" x14ac:dyDescent="0.2">
      <c r="AL6678" s="177"/>
    </row>
    <row r="6679" spans="38:38" x14ac:dyDescent="0.2">
      <c r="AL6679" s="177"/>
    </row>
    <row r="6680" spans="38:38" x14ac:dyDescent="0.2">
      <c r="AL6680" s="177"/>
    </row>
    <row r="6681" spans="38:38" x14ac:dyDescent="0.2">
      <c r="AL6681" s="177"/>
    </row>
    <row r="6682" spans="38:38" x14ac:dyDescent="0.2">
      <c r="AL6682" s="177"/>
    </row>
    <row r="6683" spans="38:38" x14ac:dyDescent="0.2">
      <c r="AL6683" s="177"/>
    </row>
    <row r="6684" spans="38:38" x14ac:dyDescent="0.2">
      <c r="AL6684" s="177"/>
    </row>
    <row r="6685" spans="38:38" x14ac:dyDescent="0.2">
      <c r="AL6685" s="177"/>
    </row>
    <row r="6686" spans="38:38" x14ac:dyDescent="0.2">
      <c r="AL6686" s="177"/>
    </row>
    <row r="6687" spans="38:38" x14ac:dyDescent="0.2">
      <c r="AL6687" s="177"/>
    </row>
    <row r="6688" spans="38:38" x14ac:dyDescent="0.2">
      <c r="AL6688" s="177"/>
    </row>
    <row r="6689" spans="38:38" x14ac:dyDescent="0.2">
      <c r="AL6689" s="177"/>
    </row>
    <row r="6690" spans="38:38" x14ac:dyDescent="0.2">
      <c r="AL6690" s="177"/>
    </row>
    <row r="6691" spans="38:38" x14ac:dyDescent="0.2">
      <c r="AL6691" s="177"/>
    </row>
    <row r="6692" spans="38:38" x14ac:dyDescent="0.2">
      <c r="AL6692" s="177"/>
    </row>
    <row r="6693" spans="38:38" x14ac:dyDescent="0.2">
      <c r="AL6693" s="177"/>
    </row>
    <row r="6694" spans="38:38" x14ac:dyDescent="0.2">
      <c r="AL6694" s="177"/>
    </row>
    <row r="6695" spans="38:38" x14ac:dyDescent="0.2">
      <c r="AL6695" s="177"/>
    </row>
    <row r="6696" spans="38:38" x14ac:dyDescent="0.2">
      <c r="AL6696" s="177"/>
    </row>
    <row r="6697" spans="38:38" x14ac:dyDescent="0.2">
      <c r="AL6697" s="177"/>
    </row>
    <row r="6698" spans="38:38" x14ac:dyDescent="0.2">
      <c r="AL6698" s="177"/>
    </row>
    <row r="6699" spans="38:38" x14ac:dyDescent="0.2">
      <c r="AL6699" s="177"/>
    </row>
    <row r="6700" spans="38:38" x14ac:dyDescent="0.2">
      <c r="AL6700" s="177"/>
    </row>
    <row r="6701" spans="38:38" x14ac:dyDescent="0.2">
      <c r="AL6701" s="177"/>
    </row>
    <row r="6702" spans="38:38" x14ac:dyDescent="0.2">
      <c r="AL6702" s="177"/>
    </row>
    <row r="6703" spans="38:38" x14ac:dyDescent="0.2">
      <c r="AL6703" s="177"/>
    </row>
    <row r="6704" spans="38:38" x14ac:dyDescent="0.2">
      <c r="AL6704" s="177"/>
    </row>
    <row r="6705" spans="38:38" x14ac:dyDescent="0.2">
      <c r="AL6705" s="177"/>
    </row>
    <row r="6706" spans="38:38" x14ac:dyDescent="0.2">
      <c r="AL6706" s="177"/>
    </row>
    <row r="6707" spans="38:38" x14ac:dyDescent="0.2">
      <c r="AL6707" s="177"/>
    </row>
    <row r="6708" spans="38:38" x14ac:dyDescent="0.2">
      <c r="AL6708" s="177"/>
    </row>
    <row r="6709" spans="38:38" x14ac:dyDescent="0.2">
      <c r="AL6709" s="177"/>
    </row>
    <row r="6710" spans="38:38" x14ac:dyDescent="0.2">
      <c r="AL6710" s="177"/>
    </row>
    <row r="6711" spans="38:38" x14ac:dyDescent="0.2">
      <c r="AL6711" s="177"/>
    </row>
    <row r="6712" spans="38:38" x14ac:dyDescent="0.2">
      <c r="AL6712" s="177"/>
    </row>
    <row r="6713" spans="38:38" x14ac:dyDescent="0.2">
      <c r="AL6713" s="177"/>
    </row>
    <row r="6714" spans="38:38" x14ac:dyDescent="0.2">
      <c r="AL6714" s="177"/>
    </row>
    <row r="6715" spans="38:38" x14ac:dyDescent="0.2">
      <c r="AL6715" s="177"/>
    </row>
    <row r="6716" spans="38:38" x14ac:dyDescent="0.2">
      <c r="AL6716" s="177"/>
    </row>
    <row r="6717" spans="38:38" x14ac:dyDescent="0.2">
      <c r="AL6717" s="177"/>
    </row>
    <row r="6718" spans="38:38" x14ac:dyDescent="0.2">
      <c r="AL6718" s="177"/>
    </row>
    <row r="6719" spans="38:38" x14ac:dyDescent="0.2">
      <c r="AL6719" s="177"/>
    </row>
    <row r="6720" spans="38:38" x14ac:dyDescent="0.2">
      <c r="AL6720" s="177"/>
    </row>
    <row r="6721" spans="38:38" x14ac:dyDescent="0.2">
      <c r="AL6721" s="177"/>
    </row>
    <row r="6722" spans="38:38" x14ac:dyDescent="0.2">
      <c r="AL6722" s="177"/>
    </row>
    <row r="6723" spans="38:38" x14ac:dyDescent="0.2">
      <c r="AL6723" s="177"/>
    </row>
    <row r="6724" spans="38:38" x14ac:dyDescent="0.2">
      <c r="AL6724" s="177"/>
    </row>
    <row r="6725" spans="38:38" x14ac:dyDescent="0.2">
      <c r="AL6725" s="177"/>
    </row>
    <row r="6726" spans="38:38" x14ac:dyDescent="0.2">
      <c r="AL6726" s="177"/>
    </row>
    <row r="6727" spans="38:38" x14ac:dyDescent="0.2">
      <c r="AL6727" s="177"/>
    </row>
    <row r="6728" spans="38:38" x14ac:dyDescent="0.2">
      <c r="AL6728" s="177"/>
    </row>
    <row r="6729" spans="38:38" x14ac:dyDescent="0.2">
      <c r="AL6729" s="177"/>
    </row>
    <row r="6730" spans="38:38" x14ac:dyDescent="0.2">
      <c r="AL6730" s="177"/>
    </row>
    <row r="6731" spans="38:38" x14ac:dyDescent="0.2">
      <c r="AL6731" s="177"/>
    </row>
    <row r="6732" spans="38:38" x14ac:dyDescent="0.2">
      <c r="AL6732" s="177"/>
    </row>
    <row r="6733" spans="38:38" x14ac:dyDescent="0.2">
      <c r="AL6733" s="177"/>
    </row>
    <row r="6734" spans="38:38" x14ac:dyDescent="0.2">
      <c r="AL6734" s="177"/>
    </row>
    <row r="6735" spans="38:38" x14ac:dyDescent="0.2">
      <c r="AL6735" s="177"/>
    </row>
    <row r="6736" spans="38:38" x14ac:dyDescent="0.2">
      <c r="AL6736" s="177"/>
    </row>
    <row r="6737" spans="38:38" x14ac:dyDescent="0.2">
      <c r="AL6737" s="177"/>
    </row>
    <row r="6738" spans="38:38" x14ac:dyDescent="0.2">
      <c r="AL6738" s="177"/>
    </row>
    <row r="6739" spans="38:38" x14ac:dyDescent="0.2">
      <c r="AL6739" s="177"/>
    </row>
    <row r="6740" spans="38:38" x14ac:dyDescent="0.2">
      <c r="AL6740" s="177"/>
    </row>
    <row r="6741" spans="38:38" x14ac:dyDescent="0.2">
      <c r="AL6741" s="177"/>
    </row>
    <row r="6742" spans="38:38" x14ac:dyDescent="0.2">
      <c r="AL6742" s="177"/>
    </row>
    <row r="6743" spans="38:38" x14ac:dyDescent="0.2">
      <c r="AL6743" s="177"/>
    </row>
    <row r="6744" spans="38:38" x14ac:dyDescent="0.2">
      <c r="AL6744" s="177"/>
    </row>
    <row r="6745" spans="38:38" x14ac:dyDescent="0.2">
      <c r="AL6745" s="177"/>
    </row>
    <row r="6746" spans="38:38" x14ac:dyDescent="0.2">
      <c r="AL6746" s="177"/>
    </row>
    <row r="6747" spans="38:38" x14ac:dyDescent="0.2">
      <c r="AL6747" s="177"/>
    </row>
    <row r="6748" spans="38:38" x14ac:dyDescent="0.2">
      <c r="AL6748" s="177"/>
    </row>
    <row r="6749" spans="38:38" x14ac:dyDescent="0.2">
      <c r="AL6749" s="177"/>
    </row>
    <row r="6750" spans="38:38" x14ac:dyDescent="0.2">
      <c r="AL6750" s="177"/>
    </row>
    <row r="6751" spans="38:38" x14ac:dyDescent="0.2">
      <c r="AL6751" s="177"/>
    </row>
    <row r="6752" spans="38:38" x14ac:dyDescent="0.2">
      <c r="AL6752" s="177"/>
    </row>
    <row r="6753" spans="38:38" x14ac:dyDescent="0.2">
      <c r="AL6753" s="177"/>
    </row>
    <row r="6754" spans="38:38" x14ac:dyDescent="0.2">
      <c r="AL6754" s="177"/>
    </row>
    <row r="6755" spans="38:38" x14ac:dyDescent="0.2">
      <c r="AL6755" s="177"/>
    </row>
    <row r="6756" spans="38:38" x14ac:dyDescent="0.2">
      <c r="AL6756" s="177"/>
    </row>
    <row r="6757" spans="38:38" x14ac:dyDescent="0.2">
      <c r="AL6757" s="177"/>
    </row>
    <row r="6758" spans="38:38" x14ac:dyDescent="0.2">
      <c r="AL6758" s="177"/>
    </row>
    <row r="6759" spans="38:38" x14ac:dyDescent="0.2">
      <c r="AL6759" s="177"/>
    </row>
    <row r="6760" spans="38:38" x14ac:dyDescent="0.2">
      <c r="AL6760" s="177"/>
    </row>
    <row r="6761" spans="38:38" x14ac:dyDescent="0.2">
      <c r="AL6761" s="177"/>
    </row>
    <row r="6762" spans="38:38" x14ac:dyDescent="0.2">
      <c r="AL6762" s="177"/>
    </row>
    <row r="6763" spans="38:38" x14ac:dyDescent="0.2">
      <c r="AL6763" s="177"/>
    </row>
    <row r="6764" spans="38:38" x14ac:dyDescent="0.2">
      <c r="AL6764" s="177"/>
    </row>
    <row r="6765" spans="38:38" x14ac:dyDescent="0.2">
      <c r="AL6765" s="177"/>
    </row>
    <row r="6766" spans="38:38" x14ac:dyDescent="0.2">
      <c r="AL6766" s="177"/>
    </row>
    <row r="6767" spans="38:38" x14ac:dyDescent="0.2">
      <c r="AL6767" s="177"/>
    </row>
    <row r="6768" spans="38:38" x14ac:dyDescent="0.2">
      <c r="AL6768" s="177"/>
    </row>
    <row r="6769" spans="38:38" x14ac:dyDescent="0.2">
      <c r="AL6769" s="177"/>
    </row>
    <row r="6770" spans="38:38" x14ac:dyDescent="0.2">
      <c r="AL6770" s="177"/>
    </row>
    <row r="6771" spans="38:38" x14ac:dyDescent="0.2">
      <c r="AL6771" s="177"/>
    </row>
    <row r="6772" spans="38:38" x14ac:dyDescent="0.2">
      <c r="AL6772" s="177"/>
    </row>
    <row r="6773" spans="38:38" x14ac:dyDescent="0.2">
      <c r="AL6773" s="177"/>
    </row>
    <row r="6774" spans="38:38" x14ac:dyDescent="0.2">
      <c r="AL6774" s="177"/>
    </row>
    <row r="6775" spans="38:38" x14ac:dyDescent="0.2">
      <c r="AL6775" s="177"/>
    </row>
    <row r="6776" spans="38:38" x14ac:dyDescent="0.2">
      <c r="AL6776" s="177"/>
    </row>
    <row r="6777" spans="38:38" x14ac:dyDescent="0.2">
      <c r="AL6777" s="177"/>
    </row>
    <row r="6778" spans="38:38" x14ac:dyDescent="0.2">
      <c r="AL6778" s="177"/>
    </row>
    <row r="6779" spans="38:38" x14ac:dyDescent="0.2">
      <c r="AL6779" s="177"/>
    </row>
    <row r="6780" spans="38:38" x14ac:dyDescent="0.2">
      <c r="AL6780" s="177"/>
    </row>
    <row r="6781" spans="38:38" x14ac:dyDescent="0.2">
      <c r="AL6781" s="177"/>
    </row>
    <row r="6782" spans="38:38" x14ac:dyDescent="0.2">
      <c r="AL6782" s="177"/>
    </row>
    <row r="6783" spans="38:38" x14ac:dyDescent="0.2">
      <c r="AL6783" s="177"/>
    </row>
    <row r="6784" spans="38:38" x14ac:dyDescent="0.2">
      <c r="AL6784" s="177"/>
    </row>
    <row r="6785" spans="38:38" x14ac:dyDescent="0.2">
      <c r="AL6785" s="177"/>
    </row>
    <row r="6786" spans="38:38" x14ac:dyDescent="0.2">
      <c r="AL6786" s="177"/>
    </row>
    <row r="6787" spans="38:38" x14ac:dyDescent="0.2">
      <c r="AL6787" s="177"/>
    </row>
    <row r="6788" spans="38:38" x14ac:dyDescent="0.2">
      <c r="AL6788" s="177"/>
    </row>
    <row r="6789" spans="38:38" x14ac:dyDescent="0.2">
      <c r="AL6789" s="177"/>
    </row>
    <row r="6790" spans="38:38" x14ac:dyDescent="0.2">
      <c r="AL6790" s="177"/>
    </row>
    <row r="6791" spans="38:38" x14ac:dyDescent="0.2">
      <c r="AL6791" s="177"/>
    </row>
    <row r="6792" spans="38:38" x14ac:dyDescent="0.2">
      <c r="AL6792" s="177"/>
    </row>
    <row r="6793" spans="38:38" x14ac:dyDescent="0.2">
      <c r="AL6793" s="177"/>
    </row>
    <row r="6794" spans="38:38" x14ac:dyDescent="0.2">
      <c r="AL6794" s="177"/>
    </row>
    <row r="6795" spans="38:38" x14ac:dyDescent="0.2">
      <c r="AL6795" s="177"/>
    </row>
    <row r="6796" spans="38:38" x14ac:dyDescent="0.2">
      <c r="AL6796" s="177"/>
    </row>
    <row r="6797" spans="38:38" x14ac:dyDescent="0.2">
      <c r="AL6797" s="177"/>
    </row>
    <row r="6798" spans="38:38" x14ac:dyDescent="0.2">
      <c r="AL6798" s="177"/>
    </row>
    <row r="6799" spans="38:38" x14ac:dyDescent="0.2">
      <c r="AL6799" s="177"/>
    </row>
    <row r="6800" spans="38:38" x14ac:dyDescent="0.2">
      <c r="AL6800" s="177"/>
    </row>
    <row r="6801" spans="38:38" x14ac:dyDescent="0.2">
      <c r="AL6801" s="177"/>
    </row>
    <row r="6802" spans="38:38" x14ac:dyDescent="0.2">
      <c r="AL6802" s="177"/>
    </row>
    <row r="6803" spans="38:38" x14ac:dyDescent="0.2">
      <c r="AL6803" s="177"/>
    </row>
    <row r="6804" spans="38:38" x14ac:dyDescent="0.2">
      <c r="AL6804" s="177"/>
    </row>
    <row r="6805" spans="38:38" x14ac:dyDescent="0.2">
      <c r="AL6805" s="177"/>
    </row>
    <row r="6806" spans="38:38" x14ac:dyDescent="0.2">
      <c r="AL6806" s="177"/>
    </row>
    <row r="6807" spans="38:38" x14ac:dyDescent="0.2">
      <c r="AL6807" s="177"/>
    </row>
    <row r="6808" spans="38:38" x14ac:dyDescent="0.2">
      <c r="AL6808" s="177"/>
    </row>
    <row r="6809" spans="38:38" x14ac:dyDescent="0.2">
      <c r="AL6809" s="177"/>
    </row>
    <row r="6810" spans="38:38" x14ac:dyDescent="0.2">
      <c r="AL6810" s="177"/>
    </row>
    <row r="6811" spans="38:38" x14ac:dyDescent="0.2">
      <c r="AL6811" s="177"/>
    </row>
    <row r="6812" spans="38:38" x14ac:dyDescent="0.2">
      <c r="AL6812" s="177"/>
    </row>
    <row r="6813" spans="38:38" x14ac:dyDescent="0.2">
      <c r="AL6813" s="177"/>
    </row>
    <row r="6814" spans="38:38" x14ac:dyDescent="0.2">
      <c r="AL6814" s="177"/>
    </row>
    <row r="6815" spans="38:38" x14ac:dyDescent="0.2">
      <c r="AL6815" s="177"/>
    </row>
    <row r="6816" spans="38:38" x14ac:dyDescent="0.2">
      <c r="AL6816" s="177"/>
    </row>
    <row r="6817" spans="38:38" x14ac:dyDescent="0.2">
      <c r="AL6817" s="177"/>
    </row>
    <row r="6818" spans="38:38" x14ac:dyDescent="0.2">
      <c r="AL6818" s="177"/>
    </row>
    <row r="6819" spans="38:38" x14ac:dyDescent="0.2">
      <c r="AL6819" s="177"/>
    </row>
    <row r="6820" spans="38:38" x14ac:dyDescent="0.2">
      <c r="AL6820" s="177"/>
    </row>
    <row r="6821" spans="38:38" x14ac:dyDescent="0.2">
      <c r="AL6821" s="177"/>
    </row>
    <row r="6822" spans="38:38" x14ac:dyDescent="0.2">
      <c r="AL6822" s="177"/>
    </row>
    <row r="6823" spans="38:38" x14ac:dyDescent="0.2">
      <c r="AL6823" s="177"/>
    </row>
    <row r="6824" spans="38:38" x14ac:dyDescent="0.2">
      <c r="AL6824" s="177"/>
    </row>
    <row r="6825" spans="38:38" x14ac:dyDescent="0.2">
      <c r="AL6825" s="177"/>
    </row>
    <row r="6826" spans="38:38" x14ac:dyDescent="0.2">
      <c r="AL6826" s="177"/>
    </row>
    <row r="6827" spans="38:38" x14ac:dyDescent="0.2">
      <c r="AL6827" s="177"/>
    </row>
    <row r="6828" spans="38:38" x14ac:dyDescent="0.2">
      <c r="AL6828" s="177"/>
    </row>
    <row r="6829" spans="38:38" x14ac:dyDescent="0.2">
      <c r="AL6829" s="177"/>
    </row>
    <row r="6830" spans="38:38" x14ac:dyDescent="0.2">
      <c r="AL6830" s="177"/>
    </row>
    <row r="6831" spans="38:38" x14ac:dyDescent="0.2">
      <c r="AL6831" s="177"/>
    </row>
    <row r="6832" spans="38:38" x14ac:dyDescent="0.2">
      <c r="AL6832" s="177"/>
    </row>
    <row r="6833" spans="38:38" x14ac:dyDescent="0.2">
      <c r="AL6833" s="177"/>
    </row>
    <row r="6834" spans="38:38" x14ac:dyDescent="0.2">
      <c r="AL6834" s="177"/>
    </row>
    <row r="6835" spans="38:38" x14ac:dyDescent="0.2">
      <c r="AL6835" s="177"/>
    </row>
    <row r="6836" spans="38:38" x14ac:dyDescent="0.2">
      <c r="AL6836" s="177"/>
    </row>
    <row r="6837" spans="38:38" x14ac:dyDescent="0.2">
      <c r="AL6837" s="177"/>
    </row>
    <row r="6838" spans="38:38" x14ac:dyDescent="0.2">
      <c r="AL6838" s="177"/>
    </row>
    <row r="6839" spans="38:38" x14ac:dyDescent="0.2">
      <c r="AL6839" s="177"/>
    </row>
    <row r="6840" spans="38:38" x14ac:dyDescent="0.2">
      <c r="AL6840" s="177"/>
    </row>
    <row r="6841" spans="38:38" x14ac:dyDescent="0.2">
      <c r="AL6841" s="177"/>
    </row>
    <row r="6842" spans="38:38" x14ac:dyDescent="0.2">
      <c r="AL6842" s="177"/>
    </row>
    <row r="6843" spans="38:38" x14ac:dyDescent="0.2">
      <c r="AL6843" s="177"/>
    </row>
    <row r="6844" spans="38:38" x14ac:dyDescent="0.2">
      <c r="AL6844" s="177"/>
    </row>
    <row r="6845" spans="38:38" x14ac:dyDescent="0.2">
      <c r="AL6845" s="177"/>
    </row>
    <row r="6846" spans="38:38" x14ac:dyDescent="0.2">
      <c r="AL6846" s="177"/>
    </row>
    <row r="6847" spans="38:38" x14ac:dyDescent="0.2">
      <c r="AL6847" s="177"/>
    </row>
    <row r="6848" spans="38:38" x14ac:dyDescent="0.2">
      <c r="AL6848" s="177"/>
    </row>
    <row r="6849" spans="38:38" x14ac:dyDescent="0.2">
      <c r="AL6849" s="177"/>
    </row>
    <row r="6850" spans="38:38" x14ac:dyDescent="0.2">
      <c r="AL6850" s="177"/>
    </row>
    <row r="6851" spans="38:38" x14ac:dyDescent="0.2">
      <c r="AL6851" s="177"/>
    </row>
    <row r="6852" spans="38:38" x14ac:dyDescent="0.2">
      <c r="AL6852" s="177"/>
    </row>
    <row r="6853" spans="38:38" x14ac:dyDescent="0.2">
      <c r="AL6853" s="177"/>
    </row>
    <row r="6854" spans="38:38" x14ac:dyDescent="0.2">
      <c r="AL6854" s="177"/>
    </row>
    <row r="6855" spans="38:38" x14ac:dyDescent="0.2">
      <c r="AL6855" s="177"/>
    </row>
    <row r="6856" spans="38:38" x14ac:dyDescent="0.2">
      <c r="AL6856" s="177"/>
    </row>
    <row r="6857" spans="38:38" x14ac:dyDescent="0.2">
      <c r="AL6857" s="177"/>
    </row>
    <row r="6858" spans="38:38" x14ac:dyDescent="0.2">
      <c r="AL6858" s="177"/>
    </row>
    <row r="6859" spans="38:38" x14ac:dyDescent="0.2">
      <c r="AL6859" s="177"/>
    </row>
    <row r="6860" spans="38:38" x14ac:dyDescent="0.2">
      <c r="AL6860" s="177"/>
    </row>
    <row r="6861" spans="38:38" x14ac:dyDescent="0.2">
      <c r="AL6861" s="177"/>
    </row>
    <row r="6862" spans="38:38" x14ac:dyDescent="0.2">
      <c r="AL6862" s="177"/>
    </row>
    <row r="6863" spans="38:38" x14ac:dyDescent="0.2">
      <c r="AL6863" s="177"/>
    </row>
    <row r="6864" spans="38:38" x14ac:dyDescent="0.2">
      <c r="AL6864" s="177"/>
    </row>
    <row r="6865" spans="38:38" x14ac:dyDescent="0.2">
      <c r="AL6865" s="177"/>
    </row>
    <row r="6866" spans="38:38" x14ac:dyDescent="0.2">
      <c r="AL6866" s="177"/>
    </row>
    <row r="6867" spans="38:38" x14ac:dyDescent="0.2">
      <c r="AL6867" s="177"/>
    </row>
    <row r="6868" spans="38:38" x14ac:dyDescent="0.2">
      <c r="AL6868" s="177"/>
    </row>
    <row r="6869" spans="38:38" x14ac:dyDescent="0.2">
      <c r="AL6869" s="177"/>
    </row>
    <row r="6870" spans="38:38" x14ac:dyDescent="0.2">
      <c r="AL6870" s="177"/>
    </row>
    <row r="6871" spans="38:38" x14ac:dyDescent="0.2">
      <c r="AL6871" s="177"/>
    </row>
    <row r="6872" spans="38:38" x14ac:dyDescent="0.2">
      <c r="AL6872" s="177"/>
    </row>
    <row r="6873" spans="38:38" x14ac:dyDescent="0.2">
      <c r="AL6873" s="177"/>
    </row>
    <row r="6874" spans="38:38" x14ac:dyDescent="0.2">
      <c r="AL6874" s="177"/>
    </row>
    <row r="6875" spans="38:38" x14ac:dyDescent="0.2">
      <c r="AL6875" s="177"/>
    </row>
    <row r="6876" spans="38:38" x14ac:dyDescent="0.2">
      <c r="AL6876" s="177"/>
    </row>
    <row r="6877" spans="38:38" x14ac:dyDescent="0.2">
      <c r="AL6877" s="177"/>
    </row>
    <row r="6878" spans="38:38" x14ac:dyDescent="0.2">
      <c r="AL6878" s="177"/>
    </row>
    <row r="6879" spans="38:38" x14ac:dyDescent="0.2">
      <c r="AL6879" s="177"/>
    </row>
    <row r="6880" spans="38:38" x14ac:dyDescent="0.2">
      <c r="AL6880" s="177"/>
    </row>
    <row r="6881" spans="38:38" x14ac:dyDescent="0.2">
      <c r="AL6881" s="177"/>
    </row>
    <row r="6882" spans="38:38" x14ac:dyDescent="0.2">
      <c r="AL6882" s="177"/>
    </row>
    <row r="6883" spans="38:38" x14ac:dyDescent="0.2">
      <c r="AL6883" s="177"/>
    </row>
    <row r="6884" spans="38:38" x14ac:dyDescent="0.2">
      <c r="AL6884" s="177"/>
    </row>
    <row r="6885" spans="38:38" x14ac:dyDescent="0.2">
      <c r="AL6885" s="177"/>
    </row>
    <row r="6886" spans="38:38" x14ac:dyDescent="0.2">
      <c r="AL6886" s="177"/>
    </row>
    <row r="6887" spans="38:38" x14ac:dyDescent="0.2">
      <c r="AL6887" s="177"/>
    </row>
    <row r="6888" spans="38:38" x14ac:dyDescent="0.2">
      <c r="AL6888" s="177"/>
    </row>
    <row r="6889" spans="38:38" x14ac:dyDescent="0.2">
      <c r="AL6889" s="177"/>
    </row>
    <row r="6890" spans="38:38" x14ac:dyDescent="0.2">
      <c r="AL6890" s="177"/>
    </row>
    <row r="6891" spans="38:38" x14ac:dyDescent="0.2">
      <c r="AL6891" s="177"/>
    </row>
    <row r="6892" spans="38:38" x14ac:dyDescent="0.2">
      <c r="AL6892" s="177"/>
    </row>
    <row r="6893" spans="38:38" x14ac:dyDescent="0.2">
      <c r="AL6893" s="177"/>
    </row>
    <row r="6894" spans="38:38" x14ac:dyDescent="0.2">
      <c r="AL6894" s="177"/>
    </row>
    <row r="6895" spans="38:38" x14ac:dyDescent="0.2">
      <c r="AL6895" s="177"/>
    </row>
    <row r="6896" spans="38:38" x14ac:dyDescent="0.2">
      <c r="AL6896" s="177"/>
    </row>
    <row r="6897" spans="38:38" x14ac:dyDescent="0.2">
      <c r="AL6897" s="177"/>
    </row>
    <row r="6898" spans="38:38" x14ac:dyDescent="0.2">
      <c r="AL6898" s="177"/>
    </row>
    <row r="6899" spans="38:38" x14ac:dyDescent="0.2">
      <c r="AL6899" s="177"/>
    </row>
    <row r="6900" spans="38:38" x14ac:dyDescent="0.2">
      <c r="AL6900" s="177"/>
    </row>
    <row r="6901" spans="38:38" x14ac:dyDescent="0.2">
      <c r="AL6901" s="177"/>
    </row>
    <row r="6902" spans="38:38" x14ac:dyDescent="0.2">
      <c r="AL6902" s="177"/>
    </row>
    <row r="6903" spans="38:38" x14ac:dyDescent="0.2">
      <c r="AL6903" s="177"/>
    </row>
    <row r="6904" spans="38:38" x14ac:dyDescent="0.2">
      <c r="AL6904" s="177"/>
    </row>
    <row r="6905" spans="38:38" x14ac:dyDescent="0.2">
      <c r="AL6905" s="177"/>
    </row>
    <row r="6906" spans="38:38" x14ac:dyDescent="0.2">
      <c r="AL6906" s="177"/>
    </row>
    <row r="6907" spans="38:38" x14ac:dyDescent="0.2">
      <c r="AL6907" s="177"/>
    </row>
    <row r="6908" spans="38:38" x14ac:dyDescent="0.2">
      <c r="AL6908" s="177"/>
    </row>
    <row r="6909" spans="38:38" x14ac:dyDescent="0.2">
      <c r="AL6909" s="177"/>
    </row>
    <row r="6910" spans="38:38" x14ac:dyDescent="0.2">
      <c r="AL6910" s="177"/>
    </row>
    <row r="6911" spans="38:38" x14ac:dyDescent="0.2">
      <c r="AL6911" s="177"/>
    </row>
    <row r="6912" spans="38:38" x14ac:dyDescent="0.2">
      <c r="AL6912" s="177"/>
    </row>
    <row r="6913" spans="38:38" x14ac:dyDescent="0.2">
      <c r="AL6913" s="177"/>
    </row>
    <row r="6914" spans="38:38" x14ac:dyDescent="0.2">
      <c r="AL6914" s="177"/>
    </row>
    <row r="6915" spans="38:38" x14ac:dyDescent="0.2">
      <c r="AL6915" s="177"/>
    </row>
    <row r="6916" spans="38:38" x14ac:dyDescent="0.2">
      <c r="AL6916" s="177"/>
    </row>
    <row r="6917" spans="38:38" x14ac:dyDescent="0.2">
      <c r="AL6917" s="177"/>
    </row>
    <row r="6918" spans="38:38" x14ac:dyDescent="0.2">
      <c r="AL6918" s="177"/>
    </row>
    <row r="6919" spans="38:38" x14ac:dyDescent="0.2">
      <c r="AL6919" s="177"/>
    </row>
    <row r="6920" spans="38:38" x14ac:dyDescent="0.2">
      <c r="AL6920" s="177"/>
    </row>
    <row r="6921" spans="38:38" x14ac:dyDescent="0.2">
      <c r="AL6921" s="177"/>
    </row>
    <row r="6922" spans="38:38" x14ac:dyDescent="0.2">
      <c r="AL6922" s="177"/>
    </row>
    <row r="6923" spans="38:38" x14ac:dyDescent="0.2">
      <c r="AL6923" s="177"/>
    </row>
    <row r="6924" spans="38:38" x14ac:dyDescent="0.2">
      <c r="AL6924" s="177"/>
    </row>
    <row r="6925" spans="38:38" x14ac:dyDescent="0.2">
      <c r="AL6925" s="177"/>
    </row>
    <row r="6926" spans="38:38" x14ac:dyDescent="0.2">
      <c r="AL6926" s="177"/>
    </row>
    <row r="6927" spans="38:38" x14ac:dyDescent="0.2">
      <c r="AL6927" s="177"/>
    </row>
    <row r="6928" spans="38:38" x14ac:dyDescent="0.2">
      <c r="AL6928" s="177"/>
    </row>
    <row r="6929" spans="38:38" x14ac:dyDescent="0.2">
      <c r="AL6929" s="177"/>
    </row>
    <row r="6930" spans="38:38" x14ac:dyDescent="0.2">
      <c r="AL6930" s="177"/>
    </row>
    <row r="6931" spans="38:38" x14ac:dyDescent="0.2">
      <c r="AL6931" s="177"/>
    </row>
    <row r="6932" spans="38:38" x14ac:dyDescent="0.2">
      <c r="AL6932" s="177"/>
    </row>
    <row r="6933" spans="38:38" x14ac:dyDescent="0.2">
      <c r="AL6933" s="177"/>
    </row>
    <row r="6934" spans="38:38" x14ac:dyDescent="0.2">
      <c r="AL6934" s="177"/>
    </row>
    <row r="6935" spans="38:38" x14ac:dyDescent="0.2">
      <c r="AL6935" s="177"/>
    </row>
    <row r="6936" spans="38:38" x14ac:dyDescent="0.2">
      <c r="AL6936" s="177"/>
    </row>
    <row r="6937" spans="38:38" x14ac:dyDescent="0.2">
      <c r="AL6937" s="177"/>
    </row>
    <row r="6938" spans="38:38" x14ac:dyDescent="0.2">
      <c r="AL6938" s="177"/>
    </row>
    <row r="6939" spans="38:38" x14ac:dyDescent="0.2">
      <c r="AL6939" s="177"/>
    </row>
    <row r="6940" spans="38:38" x14ac:dyDescent="0.2">
      <c r="AL6940" s="177"/>
    </row>
    <row r="6941" spans="38:38" x14ac:dyDescent="0.2">
      <c r="AL6941" s="177"/>
    </row>
    <row r="6942" spans="38:38" x14ac:dyDescent="0.2">
      <c r="AL6942" s="177"/>
    </row>
    <row r="6943" spans="38:38" x14ac:dyDescent="0.2">
      <c r="AL6943" s="177"/>
    </row>
    <row r="6944" spans="38:38" x14ac:dyDescent="0.2">
      <c r="AL6944" s="177"/>
    </row>
    <row r="6945" spans="38:38" x14ac:dyDescent="0.2">
      <c r="AL6945" s="177"/>
    </row>
    <row r="6946" spans="38:38" x14ac:dyDescent="0.2">
      <c r="AL6946" s="177"/>
    </row>
    <row r="6947" spans="38:38" x14ac:dyDescent="0.2">
      <c r="AL6947" s="177"/>
    </row>
    <row r="6948" spans="38:38" x14ac:dyDescent="0.2">
      <c r="AL6948" s="177"/>
    </row>
    <row r="6949" spans="38:38" x14ac:dyDescent="0.2">
      <c r="AL6949" s="177"/>
    </row>
    <row r="6950" spans="38:38" x14ac:dyDescent="0.2">
      <c r="AL6950" s="177"/>
    </row>
    <row r="6951" spans="38:38" x14ac:dyDescent="0.2">
      <c r="AL6951" s="177"/>
    </row>
    <row r="6952" spans="38:38" x14ac:dyDescent="0.2">
      <c r="AL6952" s="177"/>
    </row>
    <row r="6953" spans="38:38" x14ac:dyDescent="0.2">
      <c r="AL6953" s="177"/>
    </row>
    <row r="6954" spans="38:38" x14ac:dyDescent="0.2">
      <c r="AL6954" s="177"/>
    </row>
    <row r="6955" spans="38:38" x14ac:dyDescent="0.2">
      <c r="AL6955" s="177"/>
    </row>
    <row r="6956" spans="38:38" x14ac:dyDescent="0.2">
      <c r="AL6956" s="177"/>
    </row>
    <row r="6957" spans="38:38" x14ac:dyDescent="0.2">
      <c r="AL6957" s="177"/>
    </row>
    <row r="6958" spans="38:38" x14ac:dyDescent="0.2">
      <c r="AL6958" s="177"/>
    </row>
    <row r="6959" spans="38:38" x14ac:dyDescent="0.2">
      <c r="AL6959" s="177"/>
    </row>
    <row r="6960" spans="38:38" x14ac:dyDescent="0.2">
      <c r="AL6960" s="177"/>
    </row>
    <row r="6961" spans="38:38" x14ac:dyDescent="0.2">
      <c r="AL6961" s="177"/>
    </row>
    <row r="6962" spans="38:38" x14ac:dyDescent="0.2">
      <c r="AL6962" s="177"/>
    </row>
    <row r="6963" spans="38:38" x14ac:dyDescent="0.2">
      <c r="AL6963" s="177"/>
    </row>
    <row r="6964" spans="38:38" x14ac:dyDescent="0.2">
      <c r="AL6964" s="177"/>
    </row>
    <row r="6965" spans="38:38" x14ac:dyDescent="0.2">
      <c r="AL6965" s="177"/>
    </row>
    <row r="6966" spans="38:38" x14ac:dyDescent="0.2">
      <c r="AL6966" s="177"/>
    </row>
    <row r="6967" spans="38:38" x14ac:dyDescent="0.2">
      <c r="AL6967" s="177"/>
    </row>
    <row r="6968" spans="38:38" x14ac:dyDescent="0.2">
      <c r="AL6968" s="177"/>
    </row>
    <row r="6969" spans="38:38" x14ac:dyDescent="0.2">
      <c r="AL6969" s="177"/>
    </row>
    <row r="6970" spans="38:38" x14ac:dyDescent="0.2">
      <c r="AL6970" s="177"/>
    </row>
    <row r="6971" spans="38:38" x14ac:dyDescent="0.2">
      <c r="AL6971" s="177"/>
    </row>
    <row r="6972" spans="38:38" x14ac:dyDescent="0.2">
      <c r="AL6972" s="177"/>
    </row>
    <row r="6973" spans="38:38" x14ac:dyDescent="0.2">
      <c r="AL6973" s="177"/>
    </row>
    <row r="6974" spans="38:38" x14ac:dyDescent="0.2">
      <c r="AL6974" s="177"/>
    </row>
    <row r="6975" spans="38:38" x14ac:dyDescent="0.2">
      <c r="AL6975" s="177"/>
    </row>
    <row r="6976" spans="38:38" x14ac:dyDescent="0.2">
      <c r="AL6976" s="177"/>
    </row>
    <row r="6977" spans="38:38" x14ac:dyDescent="0.2">
      <c r="AL6977" s="177"/>
    </row>
    <row r="6978" spans="38:38" x14ac:dyDescent="0.2">
      <c r="AL6978" s="177"/>
    </row>
    <row r="6979" spans="38:38" x14ac:dyDescent="0.2">
      <c r="AL6979" s="177"/>
    </row>
    <row r="6980" spans="38:38" x14ac:dyDescent="0.2">
      <c r="AL6980" s="177"/>
    </row>
    <row r="6981" spans="38:38" x14ac:dyDescent="0.2">
      <c r="AL6981" s="177"/>
    </row>
    <row r="6982" spans="38:38" x14ac:dyDescent="0.2">
      <c r="AL6982" s="177"/>
    </row>
    <row r="6983" spans="38:38" x14ac:dyDescent="0.2">
      <c r="AL6983" s="177"/>
    </row>
    <row r="6984" spans="38:38" x14ac:dyDescent="0.2">
      <c r="AL6984" s="177"/>
    </row>
    <row r="6985" spans="38:38" x14ac:dyDescent="0.2">
      <c r="AL6985" s="177"/>
    </row>
    <row r="6986" spans="38:38" x14ac:dyDescent="0.2">
      <c r="AL6986" s="177"/>
    </row>
    <row r="6987" spans="38:38" x14ac:dyDescent="0.2">
      <c r="AL6987" s="177"/>
    </row>
    <row r="6988" spans="38:38" x14ac:dyDescent="0.2">
      <c r="AL6988" s="177"/>
    </row>
    <row r="6989" spans="38:38" x14ac:dyDescent="0.2">
      <c r="AL6989" s="177"/>
    </row>
    <row r="6990" spans="38:38" x14ac:dyDescent="0.2">
      <c r="AL6990" s="177"/>
    </row>
    <row r="6991" spans="38:38" x14ac:dyDescent="0.2">
      <c r="AL6991" s="177"/>
    </row>
    <row r="6992" spans="38:38" x14ac:dyDescent="0.2">
      <c r="AL6992" s="177"/>
    </row>
    <row r="6993" spans="38:38" x14ac:dyDescent="0.2">
      <c r="AL6993" s="177"/>
    </row>
    <row r="6994" spans="38:38" x14ac:dyDescent="0.2">
      <c r="AL6994" s="177"/>
    </row>
    <row r="6995" spans="38:38" x14ac:dyDescent="0.2">
      <c r="AL6995" s="177"/>
    </row>
    <row r="6996" spans="38:38" x14ac:dyDescent="0.2">
      <c r="AL6996" s="177"/>
    </row>
    <row r="6997" spans="38:38" x14ac:dyDescent="0.2">
      <c r="AL6997" s="177"/>
    </row>
    <row r="6998" spans="38:38" x14ac:dyDescent="0.2">
      <c r="AL6998" s="177"/>
    </row>
    <row r="6999" spans="38:38" x14ac:dyDescent="0.2">
      <c r="AL6999" s="177"/>
    </row>
    <row r="7000" spans="38:38" x14ac:dyDescent="0.2">
      <c r="AL7000" s="177"/>
    </row>
    <row r="7001" spans="38:38" x14ac:dyDescent="0.2">
      <c r="AL7001" s="177"/>
    </row>
    <row r="7002" spans="38:38" x14ac:dyDescent="0.2">
      <c r="AL7002" s="177"/>
    </row>
    <row r="7003" spans="38:38" x14ac:dyDescent="0.2">
      <c r="AL7003" s="177"/>
    </row>
    <row r="7004" spans="38:38" x14ac:dyDescent="0.2">
      <c r="AL7004" s="177"/>
    </row>
    <row r="7005" spans="38:38" x14ac:dyDescent="0.2">
      <c r="AL7005" s="177"/>
    </row>
    <row r="7006" spans="38:38" x14ac:dyDescent="0.2">
      <c r="AL7006" s="177"/>
    </row>
    <row r="7007" spans="38:38" x14ac:dyDescent="0.2">
      <c r="AL7007" s="177"/>
    </row>
    <row r="7008" spans="38:38" x14ac:dyDescent="0.2">
      <c r="AL7008" s="177"/>
    </row>
    <row r="7009" spans="38:38" x14ac:dyDescent="0.2">
      <c r="AL7009" s="177"/>
    </row>
    <row r="7010" spans="38:38" x14ac:dyDescent="0.2">
      <c r="AL7010" s="177"/>
    </row>
    <row r="7011" spans="38:38" x14ac:dyDescent="0.2">
      <c r="AL7011" s="177"/>
    </row>
    <row r="7012" spans="38:38" x14ac:dyDescent="0.2">
      <c r="AL7012" s="177"/>
    </row>
    <row r="7013" spans="38:38" x14ac:dyDescent="0.2">
      <c r="AL7013" s="177"/>
    </row>
    <row r="7014" spans="38:38" x14ac:dyDescent="0.2">
      <c r="AL7014" s="177"/>
    </row>
    <row r="7015" spans="38:38" x14ac:dyDescent="0.2">
      <c r="AL7015" s="177"/>
    </row>
    <row r="7016" spans="38:38" x14ac:dyDescent="0.2">
      <c r="AL7016" s="177"/>
    </row>
    <row r="7017" spans="38:38" x14ac:dyDescent="0.2">
      <c r="AL7017" s="177"/>
    </row>
    <row r="7018" spans="38:38" x14ac:dyDescent="0.2">
      <c r="AL7018" s="177"/>
    </row>
    <row r="7019" spans="38:38" x14ac:dyDescent="0.2">
      <c r="AL7019" s="177"/>
    </row>
    <row r="7020" spans="38:38" x14ac:dyDescent="0.2">
      <c r="AL7020" s="177"/>
    </row>
    <row r="7021" spans="38:38" x14ac:dyDescent="0.2">
      <c r="AL7021" s="177"/>
    </row>
    <row r="7022" spans="38:38" x14ac:dyDescent="0.2">
      <c r="AL7022" s="177"/>
    </row>
    <row r="7023" spans="38:38" x14ac:dyDescent="0.2">
      <c r="AL7023" s="177"/>
    </row>
    <row r="7024" spans="38:38" x14ac:dyDescent="0.2">
      <c r="AL7024" s="177"/>
    </row>
    <row r="7025" spans="38:38" x14ac:dyDescent="0.2">
      <c r="AL7025" s="177"/>
    </row>
    <row r="7026" spans="38:38" x14ac:dyDescent="0.2">
      <c r="AL7026" s="177"/>
    </row>
    <row r="7027" spans="38:38" x14ac:dyDescent="0.2">
      <c r="AL7027" s="177"/>
    </row>
    <row r="7028" spans="38:38" x14ac:dyDescent="0.2">
      <c r="AL7028" s="177"/>
    </row>
    <row r="7029" spans="38:38" x14ac:dyDescent="0.2">
      <c r="AL7029" s="177"/>
    </row>
    <row r="7030" spans="38:38" x14ac:dyDescent="0.2">
      <c r="AL7030" s="177"/>
    </row>
    <row r="7031" spans="38:38" x14ac:dyDescent="0.2">
      <c r="AL7031" s="177"/>
    </row>
    <row r="7032" spans="38:38" x14ac:dyDescent="0.2">
      <c r="AL7032" s="177"/>
    </row>
    <row r="7033" spans="38:38" x14ac:dyDescent="0.2">
      <c r="AL7033" s="177"/>
    </row>
    <row r="7034" spans="38:38" x14ac:dyDescent="0.2">
      <c r="AL7034" s="177"/>
    </row>
    <row r="7035" spans="38:38" x14ac:dyDescent="0.2">
      <c r="AL7035" s="177"/>
    </row>
    <row r="7036" spans="38:38" x14ac:dyDescent="0.2">
      <c r="AL7036" s="177"/>
    </row>
    <row r="7037" spans="38:38" x14ac:dyDescent="0.2">
      <c r="AL7037" s="177"/>
    </row>
    <row r="7038" spans="38:38" x14ac:dyDescent="0.2">
      <c r="AL7038" s="177"/>
    </row>
    <row r="7039" spans="38:38" x14ac:dyDescent="0.2">
      <c r="AL7039" s="177"/>
    </row>
    <row r="7040" spans="38:38" x14ac:dyDescent="0.2">
      <c r="AL7040" s="177"/>
    </row>
    <row r="7041" spans="38:38" x14ac:dyDescent="0.2">
      <c r="AL7041" s="177"/>
    </row>
    <row r="7042" spans="38:38" x14ac:dyDescent="0.2">
      <c r="AL7042" s="177"/>
    </row>
    <row r="7043" spans="38:38" x14ac:dyDescent="0.2">
      <c r="AL7043" s="177"/>
    </row>
    <row r="7044" spans="38:38" x14ac:dyDescent="0.2">
      <c r="AL7044" s="177"/>
    </row>
    <row r="7045" spans="38:38" x14ac:dyDescent="0.2">
      <c r="AL7045" s="177"/>
    </row>
    <row r="7046" spans="38:38" x14ac:dyDescent="0.2">
      <c r="AL7046" s="177"/>
    </row>
    <row r="7047" spans="38:38" x14ac:dyDescent="0.2">
      <c r="AL7047" s="177"/>
    </row>
    <row r="7048" spans="38:38" x14ac:dyDescent="0.2">
      <c r="AL7048" s="177"/>
    </row>
    <row r="7049" spans="38:38" x14ac:dyDescent="0.2">
      <c r="AL7049" s="177"/>
    </row>
    <row r="7050" spans="38:38" x14ac:dyDescent="0.2">
      <c r="AL7050" s="177"/>
    </row>
    <row r="7051" spans="38:38" x14ac:dyDescent="0.2">
      <c r="AL7051" s="177"/>
    </row>
    <row r="7052" spans="38:38" x14ac:dyDescent="0.2">
      <c r="AL7052" s="177"/>
    </row>
    <row r="7053" spans="38:38" x14ac:dyDescent="0.2">
      <c r="AL7053" s="177"/>
    </row>
    <row r="7054" spans="38:38" x14ac:dyDescent="0.2">
      <c r="AL7054" s="177"/>
    </row>
    <row r="7055" spans="38:38" x14ac:dyDescent="0.2">
      <c r="AL7055" s="177"/>
    </row>
    <row r="7056" spans="38:38" x14ac:dyDescent="0.2">
      <c r="AL7056" s="177"/>
    </row>
    <row r="7057" spans="38:38" x14ac:dyDescent="0.2">
      <c r="AL7057" s="177"/>
    </row>
    <row r="7058" spans="38:38" x14ac:dyDescent="0.2">
      <c r="AL7058" s="177"/>
    </row>
    <row r="7059" spans="38:38" x14ac:dyDescent="0.2">
      <c r="AL7059" s="177"/>
    </row>
    <row r="7060" spans="38:38" x14ac:dyDescent="0.2">
      <c r="AL7060" s="177"/>
    </row>
    <row r="7061" spans="38:38" x14ac:dyDescent="0.2">
      <c r="AL7061" s="177"/>
    </row>
    <row r="7062" spans="38:38" x14ac:dyDescent="0.2">
      <c r="AL7062" s="177"/>
    </row>
    <row r="7063" spans="38:38" x14ac:dyDescent="0.2">
      <c r="AL7063" s="177"/>
    </row>
    <row r="7064" spans="38:38" x14ac:dyDescent="0.2">
      <c r="AL7064" s="177"/>
    </row>
    <row r="7065" spans="38:38" x14ac:dyDescent="0.2">
      <c r="AL7065" s="177"/>
    </row>
    <row r="7066" spans="38:38" x14ac:dyDescent="0.2">
      <c r="AL7066" s="177"/>
    </row>
    <row r="7067" spans="38:38" x14ac:dyDescent="0.2">
      <c r="AL7067" s="177"/>
    </row>
    <row r="7068" spans="38:38" x14ac:dyDescent="0.2">
      <c r="AL7068" s="177"/>
    </row>
    <row r="7069" spans="38:38" x14ac:dyDescent="0.2">
      <c r="AL7069" s="177"/>
    </row>
    <row r="7070" spans="38:38" x14ac:dyDescent="0.2">
      <c r="AL7070" s="177"/>
    </row>
    <row r="7071" spans="38:38" x14ac:dyDescent="0.2">
      <c r="AL7071" s="177"/>
    </row>
    <row r="7072" spans="38:38" x14ac:dyDescent="0.2">
      <c r="AL7072" s="177"/>
    </row>
    <row r="7073" spans="38:38" x14ac:dyDescent="0.2">
      <c r="AL7073" s="177"/>
    </row>
    <row r="7074" spans="38:38" x14ac:dyDescent="0.2">
      <c r="AL7074" s="177"/>
    </row>
    <row r="7075" spans="38:38" x14ac:dyDescent="0.2">
      <c r="AL7075" s="177"/>
    </row>
    <row r="7076" spans="38:38" x14ac:dyDescent="0.2">
      <c r="AL7076" s="177"/>
    </row>
    <row r="7077" spans="38:38" x14ac:dyDescent="0.2">
      <c r="AL7077" s="177"/>
    </row>
    <row r="7078" spans="38:38" x14ac:dyDescent="0.2">
      <c r="AL7078" s="177"/>
    </row>
    <row r="7079" spans="38:38" x14ac:dyDescent="0.2">
      <c r="AL7079" s="177"/>
    </row>
    <row r="7080" spans="38:38" x14ac:dyDescent="0.2">
      <c r="AL7080" s="177"/>
    </row>
    <row r="7081" spans="38:38" x14ac:dyDescent="0.2">
      <c r="AL7081" s="177"/>
    </row>
    <row r="7082" spans="38:38" x14ac:dyDescent="0.2">
      <c r="AL7082" s="177"/>
    </row>
    <row r="7083" spans="38:38" x14ac:dyDescent="0.2">
      <c r="AL7083" s="177"/>
    </row>
    <row r="7084" spans="38:38" x14ac:dyDescent="0.2">
      <c r="AL7084" s="177"/>
    </row>
    <row r="7085" spans="38:38" x14ac:dyDescent="0.2">
      <c r="AL7085" s="177"/>
    </row>
    <row r="7086" spans="38:38" x14ac:dyDescent="0.2">
      <c r="AL7086" s="177"/>
    </row>
    <row r="7087" spans="38:38" x14ac:dyDescent="0.2">
      <c r="AL7087" s="177"/>
    </row>
    <row r="7088" spans="38:38" x14ac:dyDescent="0.2">
      <c r="AL7088" s="177"/>
    </row>
    <row r="7089" spans="38:38" x14ac:dyDescent="0.2">
      <c r="AL7089" s="177"/>
    </row>
    <row r="7090" spans="38:38" x14ac:dyDescent="0.2">
      <c r="AL7090" s="177"/>
    </row>
    <row r="7091" spans="38:38" x14ac:dyDescent="0.2">
      <c r="AL7091" s="177"/>
    </row>
    <row r="7092" spans="38:38" x14ac:dyDescent="0.2">
      <c r="AL7092" s="177"/>
    </row>
    <row r="7093" spans="38:38" x14ac:dyDescent="0.2">
      <c r="AL7093" s="177"/>
    </row>
    <row r="7094" spans="38:38" x14ac:dyDescent="0.2">
      <c r="AL7094" s="177"/>
    </row>
    <row r="7095" spans="38:38" x14ac:dyDescent="0.2">
      <c r="AL7095" s="177"/>
    </row>
    <row r="7096" spans="38:38" x14ac:dyDescent="0.2">
      <c r="AL7096" s="177"/>
    </row>
    <row r="7097" spans="38:38" x14ac:dyDescent="0.2">
      <c r="AL7097" s="177"/>
    </row>
    <row r="7098" spans="38:38" x14ac:dyDescent="0.2">
      <c r="AL7098" s="177"/>
    </row>
    <row r="7099" spans="38:38" x14ac:dyDescent="0.2">
      <c r="AL7099" s="177"/>
    </row>
    <row r="7100" spans="38:38" x14ac:dyDescent="0.2">
      <c r="AL7100" s="177"/>
    </row>
    <row r="7101" spans="38:38" x14ac:dyDescent="0.2">
      <c r="AL7101" s="177"/>
    </row>
    <row r="7102" spans="38:38" x14ac:dyDescent="0.2">
      <c r="AL7102" s="177"/>
    </row>
    <row r="7103" spans="38:38" x14ac:dyDescent="0.2">
      <c r="AL7103" s="177"/>
    </row>
    <row r="7104" spans="38:38" x14ac:dyDescent="0.2">
      <c r="AL7104" s="177"/>
    </row>
    <row r="7105" spans="38:38" x14ac:dyDescent="0.2">
      <c r="AL7105" s="177"/>
    </row>
    <row r="7106" spans="38:38" x14ac:dyDescent="0.2">
      <c r="AL7106" s="177"/>
    </row>
    <row r="7107" spans="38:38" x14ac:dyDescent="0.2">
      <c r="AL7107" s="177"/>
    </row>
    <row r="7108" spans="38:38" x14ac:dyDescent="0.2">
      <c r="AL7108" s="177"/>
    </row>
    <row r="7109" spans="38:38" x14ac:dyDescent="0.2">
      <c r="AL7109" s="177"/>
    </row>
    <row r="7110" spans="38:38" x14ac:dyDescent="0.2">
      <c r="AL7110" s="177"/>
    </row>
    <row r="7111" spans="38:38" x14ac:dyDescent="0.2">
      <c r="AL7111" s="177"/>
    </row>
    <row r="7112" spans="38:38" x14ac:dyDescent="0.2">
      <c r="AL7112" s="177"/>
    </row>
    <row r="7113" spans="38:38" x14ac:dyDescent="0.2">
      <c r="AL7113" s="177"/>
    </row>
    <row r="7114" spans="38:38" x14ac:dyDescent="0.2">
      <c r="AL7114" s="177"/>
    </row>
    <row r="7115" spans="38:38" x14ac:dyDescent="0.2">
      <c r="AL7115" s="177"/>
    </row>
    <row r="7116" spans="38:38" x14ac:dyDescent="0.2">
      <c r="AL7116" s="177"/>
    </row>
    <row r="7117" spans="38:38" x14ac:dyDescent="0.2">
      <c r="AL7117" s="177"/>
    </row>
    <row r="7118" spans="38:38" x14ac:dyDescent="0.2">
      <c r="AL7118" s="177"/>
    </row>
    <row r="7119" spans="38:38" x14ac:dyDescent="0.2">
      <c r="AL7119" s="177"/>
    </row>
    <row r="7120" spans="38:38" x14ac:dyDescent="0.2">
      <c r="AL7120" s="177"/>
    </row>
    <row r="7121" spans="38:38" x14ac:dyDescent="0.2">
      <c r="AL7121" s="177"/>
    </row>
    <row r="7122" spans="38:38" x14ac:dyDescent="0.2">
      <c r="AL7122" s="177"/>
    </row>
    <row r="7123" spans="38:38" x14ac:dyDescent="0.2">
      <c r="AL7123" s="177"/>
    </row>
    <row r="7124" spans="38:38" x14ac:dyDescent="0.2">
      <c r="AL7124" s="177"/>
    </row>
    <row r="7125" spans="38:38" x14ac:dyDescent="0.2">
      <c r="AL7125" s="177"/>
    </row>
    <row r="7126" spans="38:38" x14ac:dyDescent="0.2">
      <c r="AL7126" s="177"/>
    </row>
    <row r="7127" spans="38:38" x14ac:dyDescent="0.2">
      <c r="AL7127" s="177"/>
    </row>
    <row r="7128" spans="38:38" x14ac:dyDescent="0.2">
      <c r="AL7128" s="177"/>
    </row>
    <row r="7129" spans="38:38" x14ac:dyDescent="0.2">
      <c r="AL7129" s="177"/>
    </row>
    <row r="7130" spans="38:38" x14ac:dyDescent="0.2">
      <c r="AL7130" s="177"/>
    </row>
    <row r="7131" spans="38:38" x14ac:dyDescent="0.2">
      <c r="AL7131" s="177"/>
    </row>
    <row r="7132" spans="38:38" x14ac:dyDescent="0.2">
      <c r="AL7132" s="177"/>
    </row>
    <row r="7133" spans="38:38" x14ac:dyDescent="0.2">
      <c r="AL7133" s="177"/>
    </row>
    <row r="7134" spans="38:38" x14ac:dyDescent="0.2">
      <c r="AL7134" s="177"/>
    </row>
    <row r="7135" spans="38:38" x14ac:dyDescent="0.2">
      <c r="AL7135" s="177"/>
    </row>
    <row r="7136" spans="38:38" x14ac:dyDescent="0.2">
      <c r="AL7136" s="177"/>
    </row>
    <row r="7137" spans="38:38" x14ac:dyDescent="0.2">
      <c r="AL7137" s="177"/>
    </row>
    <row r="7138" spans="38:38" x14ac:dyDescent="0.2">
      <c r="AL7138" s="177"/>
    </row>
    <row r="7139" spans="38:38" x14ac:dyDescent="0.2">
      <c r="AL7139" s="177"/>
    </row>
    <row r="7140" spans="38:38" x14ac:dyDescent="0.2">
      <c r="AL7140" s="177"/>
    </row>
    <row r="7141" spans="38:38" x14ac:dyDescent="0.2">
      <c r="AL7141" s="177"/>
    </row>
    <row r="7142" spans="38:38" x14ac:dyDescent="0.2">
      <c r="AL7142" s="177"/>
    </row>
    <row r="7143" spans="38:38" x14ac:dyDescent="0.2">
      <c r="AL7143" s="177"/>
    </row>
    <row r="7144" spans="38:38" x14ac:dyDescent="0.2">
      <c r="AL7144" s="177"/>
    </row>
    <row r="7145" spans="38:38" x14ac:dyDescent="0.2">
      <c r="AL7145" s="177"/>
    </row>
    <row r="7146" spans="38:38" x14ac:dyDescent="0.2">
      <c r="AL7146" s="177"/>
    </row>
    <row r="7147" spans="38:38" x14ac:dyDescent="0.2">
      <c r="AL7147" s="177"/>
    </row>
    <row r="7148" spans="38:38" x14ac:dyDescent="0.2">
      <c r="AL7148" s="177"/>
    </row>
    <row r="7149" spans="38:38" x14ac:dyDescent="0.2">
      <c r="AL7149" s="177"/>
    </row>
    <row r="7150" spans="38:38" x14ac:dyDescent="0.2">
      <c r="AL7150" s="177"/>
    </row>
    <row r="7151" spans="38:38" x14ac:dyDescent="0.2">
      <c r="AL7151" s="177"/>
    </row>
    <row r="7152" spans="38:38" x14ac:dyDescent="0.2">
      <c r="AL7152" s="177"/>
    </row>
    <row r="7153" spans="38:38" x14ac:dyDescent="0.2">
      <c r="AL7153" s="177"/>
    </row>
    <row r="7154" spans="38:38" x14ac:dyDescent="0.2">
      <c r="AL7154" s="177"/>
    </row>
    <row r="7155" spans="38:38" x14ac:dyDescent="0.2">
      <c r="AL7155" s="177"/>
    </row>
    <row r="7156" spans="38:38" x14ac:dyDescent="0.2">
      <c r="AL7156" s="177"/>
    </row>
    <row r="7157" spans="38:38" x14ac:dyDescent="0.2">
      <c r="AL7157" s="177"/>
    </row>
    <row r="7158" spans="38:38" x14ac:dyDescent="0.2">
      <c r="AL7158" s="177"/>
    </row>
    <row r="7159" spans="38:38" x14ac:dyDescent="0.2">
      <c r="AL7159" s="177"/>
    </row>
    <row r="7160" spans="38:38" x14ac:dyDescent="0.2">
      <c r="AL7160" s="177"/>
    </row>
    <row r="7161" spans="38:38" x14ac:dyDescent="0.2">
      <c r="AL7161" s="177"/>
    </row>
    <row r="7162" spans="38:38" x14ac:dyDescent="0.2">
      <c r="AL7162" s="177"/>
    </row>
    <row r="7163" spans="38:38" x14ac:dyDescent="0.2">
      <c r="AL7163" s="177"/>
    </row>
    <row r="7164" spans="38:38" x14ac:dyDescent="0.2">
      <c r="AL7164" s="177"/>
    </row>
    <row r="7165" spans="38:38" x14ac:dyDescent="0.2">
      <c r="AL7165" s="177"/>
    </row>
    <row r="7166" spans="38:38" x14ac:dyDescent="0.2">
      <c r="AL7166" s="177"/>
    </row>
    <row r="7167" spans="38:38" x14ac:dyDescent="0.2">
      <c r="AL7167" s="177"/>
    </row>
    <row r="7168" spans="38:38" x14ac:dyDescent="0.2">
      <c r="AL7168" s="177"/>
    </row>
    <row r="7169" spans="38:38" x14ac:dyDescent="0.2">
      <c r="AL7169" s="177"/>
    </row>
    <row r="7170" spans="38:38" x14ac:dyDescent="0.2">
      <c r="AL7170" s="177"/>
    </row>
    <row r="7171" spans="38:38" x14ac:dyDescent="0.2">
      <c r="AL7171" s="177"/>
    </row>
    <row r="7172" spans="38:38" x14ac:dyDescent="0.2">
      <c r="AL7172" s="177"/>
    </row>
    <row r="7173" spans="38:38" x14ac:dyDescent="0.2">
      <c r="AL7173" s="177"/>
    </row>
    <row r="7174" spans="38:38" x14ac:dyDescent="0.2">
      <c r="AL7174" s="177"/>
    </row>
    <row r="7175" spans="38:38" x14ac:dyDescent="0.2">
      <c r="AL7175" s="177"/>
    </row>
    <row r="7176" spans="38:38" x14ac:dyDescent="0.2">
      <c r="AL7176" s="177"/>
    </row>
    <row r="7177" spans="38:38" x14ac:dyDescent="0.2">
      <c r="AL7177" s="177"/>
    </row>
    <row r="7178" spans="38:38" x14ac:dyDescent="0.2">
      <c r="AL7178" s="177"/>
    </row>
    <row r="7179" spans="38:38" x14ac:dyDescent="0.2">
      <c r="AL7179" s="177"/>
    </row>
    <row r="7180" spans="38:38" x14ac:dyDescent="0.2">
      <c r="AL7180" s="177"/>
    </row>
    <row r="7181" spans="38:38" x14ac:dyDescent="0.2">
      <c r="AL7181" s="177"/>
    </row>
    <row r="7182" spans="38:38" x14ac:dyDescent="0.2">
      <c r="AL7182" s="177"/>
    </row>
    <row r="7183" spans="38:38" x14ac:dyDescent="0.2">
      <c r="AL7183" s="177"/>
    </row>
    <row r="7184" spans="38:38" x14ac:dyDescent="0.2">
      <c r="AL7184" s="177"/>
    </row>
    <row r="7185" spans="38:38" x14ac:dyDescent="0.2">
      <c r="AL7185" s="177"/>
    </row>
    <row r="7186" spans="38:38" x14ac:dyDescent="0.2">
      <c r="AL7186" s="177"/>
    </row>
    <row r="7187" spans="38:38" x14ac:dyDescent="0.2">
      <c r="AL7187" s="177"/>
    </row>
    <row r="7188" spans="38:38" x14ac:dyDescent="0.2">
      <c r="AL7188" s="177"/>
    </row>
    <row r="7189" spans="38:38" x14ac:dyDescent="0.2">
      <c r="AL7189" s="177"/>
    </row>
    <row r="7190" spans="38:38" x14ac:dyDescent="0.2">
      <c r="AL7190" s="177"/>
    </row>
    <row r="7191" spans="38:38" x14ac:dyDescent="0.2">
      <c r="AL7191" s="177"/>
    </row>
    <row r="7192" spans="38:38" x14ac:dyDescent="0.2">
      <c r="AL7192" s="177"/>
    </row>
    <row r="7193" spans="38:38" x14ac:dyDescent="0.2">
      <c r="AL7193" s="177"/>
    </row>
    <row r="7194" spans="38:38" x14ac:dyDescent="0.2">
      <c r="AL7194" s="177"/>
    </row>
    <row r="7195" spans="38:38" x14ac:dyDescent="0.2">
      <c r="AL7195" s="177"/>
    </row>
    <row r="7196" spans="38:38" x14ac:dyDescent="0.2">
      <c r="AL7196" s="177"/>
    </row>
    <row r="7197" spans="38:38" x14ac:dyDescent="0.2">
      <c r="AL7197" s="177"/>
    </row>
    <row r="7198" spans="38:38" x14ac:dyDescent="0.2">
      <c r="AL7198" s="177"/>
    </row>
    <row r="7199" spans="38:38" x14ac:dyDescent="0.2">
      <c r="AL7199" s="177"/>
    </row>
    <row r="7200" spans="38:38" x14ac:dyDescent="0.2">
      <c r="AL7200" s="177"/>
    </row>
    <row r="7201" spans="38:38" x14ac:dyDescent="0.2">
      <c r="AL7201" s="177"/>
    </row>
    <row r="7202" spans="38:38" x14ac:dyDescent="0.2">
      <c r="AL7202" s="177"/>
    </row>
    <row r="7203" spans="38:38" x14ac:dyDescent="0.2">
      <c r="AL7203" s="177"/>
    </row>
    <row r="7204" spans="38:38" x14ac:dyDescent="0.2">
      <c r="AL7204" s="177"/>
    </row>
    <row r="7205" spans="38:38" x14ac:dyDescent="0.2">
      <c r="AL7205" s="177"/>
    </row>
    <row r="7206" spans="38:38" x14ac:dyDescent="0.2">
      <c r="AL7206" s="177"/>
    </row>
    <row r="7207" spans="38:38" x14ac:dyDescent="0.2">
      <c r="AL7207" s="177"/>
    </row>
    <row r="7208" spans="38:38" x14ac:dyDescent="0.2">
      <c r="AL7208" s="177"/>
    </row>
    <row r="7209" spans="38:38" x14ac:dyDescent="0.2">
      <c r="AL7209" s="177"/>
    </row>
    <row r="7210" spans="38:38" x14ac:dyDescent="0.2">
      <c r="AL7210" s="177"/>
    </row>
    <row r="7211" spans="38:38" x14ac:dyDescent="0.2">
      <c r="AL7211" s="177"/>
    </row>
    <row r="7212" spans="38:38" x14ac:dyDescent="0.2">
      <c r="AL7212" s="177"/>
    </row>
    <row r="7213" spans="38:38" x14ac:dyDescent="0.2">
      <c r="AL7213" s="177"/>
    </row>
    <row r="7214" spans="38:38" x14ac:dyDescent="0.2">
      <c r="AL7214" s="177"/>
    </row>
    <row r="7215" spans="38:38" x14ac:dyDescent="0.2">
      <c r="AL7215" s="177"/>
    </row>
    <row r="7216" spans="38:38" x14ac:dyDescent="0.2">
      <c r="AL7216" s="177"/>
    </row>
    <row r="7217" spans="38:38" x14ac:dyDescent="0.2">
      <c r="AL7217" s="177"/>
    </row>
    <row r="7218" spans="38:38" x14ac:dyDescent="0.2">
      <c r="AL7218" s="177"/>
    </row>
    <row r="7219" spans="38:38" x14ac:dyDescent="0.2">
      <c r="AL7219" s="177"/>
    </row>
    <row r="7220" spans="38:38" x14ac:dyDescent="0.2">
      <c r="AL7220" s="177"/>
    </row>
    <row r="7221" spans="38:38" x14ac:dyDescent="0.2">
      <c r="AL7221" s="177"/>
    </row>
    <row r="7222" spans="38:38" x14ac:dyDescent="0.2">
      <c r="AL7222" s="177"/>
    </row>
    <row r="7223" spans="38:38" x14ac:dyDescent="0.2">
      <c r="AL7223" s="177"/>
    </row>
    <row r="7224" spans="38:38" x14ac:dyDescent="0.2">
      <c r="AL7224" s="177"/>
    </row>
    <row r="7225" spans="38:38" x14ac:dyDescent="0.2">
      <c r="AL7225" s="177"/>
    </row>
    <row r="7226" spans="38:38" x14ac:dyDescent="0.2">
      <c r="AL7226" s="177"/>
    </row>
    <row r="7227" spans="38:38" x14ac:dyDescent="0.2">
      <c r="AL7227" s="177"/>
    </row>
    <row r="7228" spans="38:38" x14ac:dyDescent="0.2">
      <c r="AL7228" s="177"/>
    </row>
    <row r="7229" spans="38:38" x14ac:dyDescent="0.2">
      <c r="AL7229" s="177"/>
    </row>
    <row r="7230" spans="38:38" x14ac:dyDescent="0.2">
      <c r="AL7230" s="177"/>
    </row>
    <row r="7231" spans="38:38" x14ac:dyDescent="0.2">
      <c r="AL7231" s="177"/>
    </row>
    <row r="7232" spans="38:38" x14ac:dyDescent="0.2">
      <c r="AL7232" s="177"/>
    </row>
    <row r="7233" spans="38:38" x14ac:dyDescent="0.2">
      <c r="AL7233" s="177"/>
    </row>
    <row r="7234" spans="38:38" x14ac:dyDescent="0.2">
      <c r="AL7234" s="177"/>
    </row>
    <row r="7235" spans="38:38" x14ac:dyDescent="0.2">
      <c r="AL7235" s="177"/>
    </row>
    <row r="7236" spans="38:38" x14ac:dyDescent="0.2">
      <c r="AL7236" s="177"/>
    </row>
    <row r="7237" spans="38:38" x14ac:dyDescent="0.2">
      <c r="AL7237" s="177"/>
    </row>
    <row r="7238" spans="38:38" x14ac:dyDescent="0.2">
      <c r="AL7238" s="177"/>
    </row>
    <row r="7239" spans="38:38" x14ac:dyDescent="0.2">
      <c r="AL7239" s="177"/>
    </row>
    <row r="7240" spans="38:38" x14ac:dyDescent="0.2">
      <c r="AL7240" s="177"/>
    </row>
    <row r="7241" spans="38:38" x14ac:dyDescent="0.2">
      <c r="AL7241" s="177"/>
    </row>
    <row r="7242" spans="38:38" x14ac:dyDescent="0.2">
      <c r="AL7242" s="177"/>
    </row>
    <row r="7243" spans="38:38" x14ac:dyDescent="0.2">
      <c r="AL7243" s="177"/>
    </row>
    <row r="7244" spans="38:38" x14ac:dyDescent="0.2">
      <c r="AL7244" s="177"/>
    </row>
    <row r="7245" spans="38:38" x14ac:dyDescent="0.2">
      <c r="AL7245" s="177"/>
    </row>
    <row r="7246" spans="38:38" x14ac:dyDescent="0.2">
      <c r="AL7246" s="177"/>
    </row>
    <row r="7247" spans="38:38" x14ac:dyDescent="0.2">
      <c r="AL7247" s="177"/>
    </row>
    <row r="7248" spans="38:38" x14ac:dyDescent="0.2">
      <c r="AL7248" s="177"/>
    </row>
    <row r="7249" spans="38:38" x14ac:dyDescent="0.2">
      <c r="AL7249" s="177"/>
    </row>
    <row r="7250" spans="38:38" x14ac:dyDescent="0.2">
      <c r="AL7250" s="177"/>
    </row>
    <row r="7251" spans="38:38" x14ac:dyDescent="0.2">
      <c r="AL7251" s="177"/>
    </row>
    <row r="7252" spans="38:38" x14ac:dyDescent="0.2">
      <c r="AL7252" s="177"/>
    </row>
    <row r="7253" spans="38:38" x14ac:dyDescent="0.2">
      <c r="AL7253" s="177"/>
    </row>
    <row r="7254" spans="38:38" x14ac:dyDescent="0.2">
      <c r="AL7254" s="177"/>
    </row>
    <row r="7255" spans="38:38" x14ac:dyDescent="0.2">
      <c r="AL7255" s="177"/>
    </row>
    <row r="7256" spans="38:38" x14ac:dyDescent="0.2">
      <c r="AL7256" s="177"/>
    </row>
    <row r="7257" spans="38:38" x14ac:dyDescent="0.2">
      <c r="AL7257" s="177"/>
    </row>
    <row r="7258" spans="38:38" x14ac:dyDescent="0.2">
      <c r="AL7258" s="177"/>
    </row>
    <row r="7259" spans="38:38" x14ac:dyDescent="0.2">
      <c r="AL7259" s="177"/>
    </row>
    <row r="7260" spans="38:38" x14ac:dyDescent="0.2">
      <c r="AL7260" s="177"/>
    </row>
    <row r="7261" spans="38:38" x14ac:dyDescent="0.2">
      <c r="AL7261" s="177"/>
    </row>
    <row r="7262" spans="38:38" x14ac:dyDescent="0.2">
      <c r="AL7262" s="177"/>
    </row>
    <row r="7263" spans="38:38" x14ac:dyDescent="0.2">
      <c r="AL7263" s="177"/>
    </row>
    <row r="7264" spans="38:38" x14ac:dyDescent="0.2">
      <c r="AL7264" s="177"/>
    </row>
    <row r="7265" spans="38:38" x14ac:dyDescent="0.2">
      <c r="AL7265" s="177"/>
    </row>
    <row r="7266" spans="38:38" x14ac:dyDescent="0.2">
      <c r="AL7266" s="177"/>
    </row>
    <row r="7267" spans="38:38" x14ac:dyDescent="0.2">
      <c r="AL7267" s="177"/>
    </row>
    <row r="7268" spans="38:38" x14ac:dyDescent="0.2">
      <c r="AL7268" s="177"/>
    </row>
    <row r="7269" spans="38:38" x14ac:dyDescent="0.2">
      <c r="AL7269" s="177"/>
    </row>
    <row r="7270" spans="38:38" x14ac:dyDescent="0.2">
      <c r="AL7270" s="177"/>
    </row>
    <row r="7271" spans="38:38" x14ac:dyDescent="0.2">
      <c r="AL7271" s="177"/>
    </row>
    <row r="7272" spans="38:38" x14ac:dyDescent="0.2">
      <c r="AL7272" s="177"/>
    </row>
    <row r="7273" spans="38:38" x14ac:dyDescent="0.2">
      <c r="AL7273" s="177"/>
    </row>
    <row r="7274" spans="38:38" x14ac:dyDescent="0.2">
      <c r="AL7274" s="177"/>
    </row>
    <row r="7275" spans="38:38" x14ac:dyDescent="0.2">
      <c r="AL7275" s="177"/>
    </row>
    <row r="7276" spans="38:38" x14ac:dyDescent="0.2">
      <c r="AL7276" s="177"/>
    </row>
    <row r="7277" spans="38:38" x14ac:dyDescent="0.2">
      <c r="AL7277" s="177"/>
    </row>
    <row r="7278" spans="38:38" x14ac:dyDescent="0.2">
      <c r="AL7278" s="177"/>
    </row>
    <row r="7279" spans="38:38" x14ac:dyDescent="0.2">
      <c r="AL7279" s="177"/>
    </row>
    <row r="7280" spans="38:38" x14ac:dyDescent="0.2">
      <c r="AL7280" s="177"/>
    </row>
    <row r="7281" spans="38:38" x14ac:dyDescent="0.2">
      <c r="AL7281" s="177"/>
    </row>
    <row r="7282" spans="38:38" x14ac:dyDescent="0.2">
      <c r="AL7282" s="177"/>
    </row>
    <row r="7283" spans="38:38" x14ac:dyDescent="0.2">
      <c r="AL7283" s="177"/>
    </row>
    <row r="7284" spans="38:38" x14ac:dyDescent="0.2">
      <c r="AL7284" s="177"/>
    </row>
    <row r="7285" spans="38:38" x14ac:dyDescent="0.2">
      <c r="AL7285" s="177"/>
    </row>
    <row r="7286" spans="38:38" x14ac:dyDescent="0.2">
      <c r="AL7286" s="177"/>
    </row>
    <row r="7287" spans="38:38" x14ac:dyDescent="0.2">
      <c r="AL7287" s="177"/>
    </row>
    <row r="7288" spans="38:38" x14ac:dyDescent="0.2">
      <c r="AL7288" s="177"/>
    </row>
    <row r="7289" spans="38:38" x14ac:dyDescent="0.2">
      <c r="AL7289" s="177"/>
    </row>
    <row r="7290" spans="38:38" x14ac:dyDescent="0.2">
      <c r="AL7290" s="177"/>
    </row>
    <row r="7291" spans="38:38" x14ac:dyDescent="0.2">
      <c r="AL7291" s="177"/>
    </row>
    <row r="7292" spans="38:38" x14ac:dyDescent="0.2">
      <c r="AL7292" s="177"/>
    </row>
    <row r="7293" spans="38:38" x14ac:dyDescent="0.2">
      <c r="AL7293" s="177"/>
    </row>
    <row r="7294" spans="38:38" x14ac:dyDescent="0.2">
      <c r="AL7294" s="177"/>
    </row>
    <row r="7295" spans="38:38" x14ac:dyDescent="0.2">
      <c r="AL7295" s="177"/>
    </row>
    <row r="7296" spans="38:38" x14ac:dyDescent="0.2">
      <c r="AL7296" s="177"/>
    </row>
    <row r="7297" spans="38:38" x14ac:dyDescent="0.2">
      <c r="AL7297" s="177"/>
    </row>
    <row r="7298" spans="38:38" x14ac:dyDescent="0.2">
      <c r="AL7298" s="177"/>
    </row>
    <row r="7299" spans="38:38" x14ac:dyDescent="0.2">
      <c r="AL7299" s="177"/>
    </row>
    <row r="7300" spans="38:38" x14ac:dyDescent="0.2">
      <c r="AL7300" s="177"/>
    </row>
    <row r="7301" spans="38:38" x14ac:dyDescent="0.2">
      <c r="AL7301" s="177"/>
    </row>
    <row r="7302" spans="38:38" x14ac:dyDescent="0.2">
      <c r="AL7302" s="177"/>
    </row>
    <row r="7303" spans="38:38" x14ac:dyDescent="0.2">
      <c r="AL7303" s="177"/>
    </row>
    <row r="7304" spans="38:38" x14ac:dyDescent="0.2">
      <c r="AL7304" s="177"/>
    </row>
    <row r="7305" spans="38:38" x14ac:dyDescent="0.2">
      <c r="AL7305" s="177"/>
    </row>
    <row r="7306" spans="38:38" x14ac:dyDescent="0.2">
      <c r="AL7306" s="177"/>
    </row>
    <row r="7307" spans="38:38" x14ac:dyDescent="0.2">
      <c r="AL7307" s="177"/>
    </row>
    <row r="7308" spans="38:38" x14ac:dyDescent="0.2">
      <c r="AL7308" s="177"/>
    </row>
    <row r="7309" spans="38:38" x14ac:dyDescent="0.2">
      <c r="AL7309" s="177"/>
    </row>
    <row r="7310" spans="38:38" x14ac:dyDescent="0.2">
      <c r="AL7310" s="177"/>
    </row>
    <row r="7311" spans="38:38" x14ac:dyDescent="0.2">
      <c r="AL7311" s="177"/>
    </row>
    <row r="7312" spans="38:38" x14ac:dyDescent="0.2">
      <c r="AL7312" s="177"/>
    </row>
    <row r="7313" spans="38:38" x14ac:dyDescent="0.2">
      <c r="AL7313" s="177"/>
    </row>
    <row r="7314" spans="38:38" x14ac:dyDescent="0.2">
      <c r="AL7314" s="177"/>
    </row>
    <row r="7315" spans="38:38" x14ac:dyDescent="0.2">
      <c r="AL7315" s="177"/>
    </row>
    <row r="7316" spans="38:38" x14ac:dyDescent="0.2">
      <c r="AL7316" s="177"/>
    </row>
    <row r="7317" spans="38:38" x14ac:dyDescent="0.2">
      <c r="AL7317" s="177"/>
    </row>
    <row r="7318" spans="38:38" x14ac:dyDescent="0.2">
      <c r="AL7318" s="177"/>
    </row>
    <row r="7319" spans="38:38" x14ac:dyDescent="0.2">
      <c r="AL7319" s="177"/>
    </row>
    <row r="7320" spans="38:38" x14ac:dyDescent="0.2">
      <c r="AL7320" s="177"/>
    </row>
    <row r="7321" spans="38:38" x14ac:dyDescent="0.2">
      <c r="AL7321" s="177"/>
    </row>
    <row r="7322" spans="38:38" x14ac:dyDescent="0.2">
      <c r="AL7322" s="177"/>
    </row>
    <row r="7323" spans="38:38" x14ac:dyDescent="0.2">
      <c r="AL7323" s="177"/>
    </row>
    <row r="7324" spans="38:38" x14ac:dyDescent="0.2">
      <c r="AL7324" s="177"/>
    </row>
    <row r="7325" spans="38:38" x14ac:dyDescent="0.2">
      <c r="AL7325" s="177"/>
    </row>
    <row r="7326" spans="38:38" x14ac:dyDescent="0.2">
      <c r="AL7326" s="177"/>
    </row>
    <row r="7327" spans="38:38" x14ac:dyDescent="0.2">
      <c r="AL7327" s="177"/>
    </row>
    <row r="7328" spans="38:38" x14ac:dyDescent="0.2">
      <c r="AL7328" s="177"/>
    </row>
    <row r="7329" spans="38:38" x14ac:dyDescent="0.2">
      <c r="AL7329" s="177"/>
    </row>
    <row r="7330" spans="38:38" x14ac:dyDescent="0.2">
      <c r="AL7330" s="177"/>
    </row>
    <row r="7331" spans="38:38" x14ac:dyDescent="0.2">
      <c r="AL7331" s="177"/>
    </row>
    <row r="7332" spans="38:38" x14ac:dyDescent="0.2">
      <c r="AL7332" s="177"/>
    </row>
    <row r="7333" spans="38:38" x14ac:dyDescent="0.2">
      <c r="AL7333" s="177"/>
    </row>
    <row r="7334" spans="38:38" x14ac:dyDescent="0.2">
      <c r="AL7334" s="177"/>
    </row>
    <row r="7335" spans="38:38" x14ac:dyDescent="0.2">
      <c r="AL7335" s="177"/>
    </row>
    <row r="7336" spans="38:38" x14ac:dyDescent="0.2">
      <c r="AL7336" s="177"/>
    </row>
    <row r="7337" spans="38:38" x14ac:dyDescent="0.2">
      <c r="AL7337" s="177"/>
    </row>
    <row r="7338" spans="38:38" x14ac:dyDescent="0.2">
      <c r="AL7338" s="177"/>
    </row>
    <row r="7339" spans="38:38" x14ac:dyDescent="0.2">
      <c r="AL7339" s="177"/>
    </row>
    <row r="7340" spans="38:38" x14ac:dyDescent="0.2">
      <c r="AL7340" s="177"/>
    </row>
    <row r="7341" spans="38:38" x14ac:dyDescent="0.2">
      <c r="AL7341" s="177"/>
    </row>
    <row r="7342" spans="38:38" x14ac:dyDescent="0.2">
      <c r="AL7342" s="177"/>
    </row>
    <row r="7343" spans="38:38" x14ac:dyDescent="0.2">
      <c r="AL7343" s="177"/>
    </row>
    <row r="7344" spans="38:38" x14ac:dyDescent="0.2">
      <c r="AL7344" s="177"/>
    </row>
    <row r="7345" spans="38:38" x14ac:dyDescent="0.2">
      <c r="AL7345" s="177"/>
    </row>
    <row r="7346" spans="38:38" x14ac:dyDescent="0.2">
      <c r="AL7346" s="177"/>
    </row>
    <row r="7347" spans="38:38" x14ac:dyDescent="0.2">
      <c r="AL7347" s="177"/>
    </row>
    <row r="7348" spans="38:38" x14ac:dyDescent="0.2">
      <c r="AL7348" s="177"/>
    </row>
    <row r="7349" spans="38:38" x14ac:dyDescent="0.2">
      <c r="AL7349" s="177"/>
    </row>
    <row r="7350" spans="38:38" x14ac:dyDescent="0.2">
      <c r="AL7350" s="177"/>
    </row>
    <row r="7351" spans="38:38" x14ac:dyDescent="0.2">
      <c r="AL7351" s="177"/>
    </row>
    <row r="7352" spans="38:38" x14ac:dyDescent="0.2">
      <c r="AL7352" s="177"/>
    </row>
    <row r="7353" spans="38:38" x14ac:dyDescent="0.2">
      <c r="AL7353" s="177"/>
    </row>
    <row r="7354" spans="38:38" x14ac:dyDescent="0.2">
      <c r="AL7354" s="177"/>
    </row>
    <row r="7355" spans="38:38" x14ac:dyDescent="0.2">
      <c r="AL7355" s="177"/>
    </row>
    <row r="7356" spans="38:38" x14ac:dyDescent="0.2">
      <c r="AL7356" s="177"/>
    </row>
    <row r="7357" spans="38:38" x14ac:dyDescent="0.2">
      <c r="AL7357" s="177"/>
    </row>
    <row r="7358" spans="38:38" x14ac:dyDescent="0.2">
      <c r="AL7358" s="177"/>
    </row>
    <row r="7359" spans="38:38" x14ac:dyDescent="0.2">
      <c r="AL7359" s="177"/>
    </row>
    <row r="7360" spans="38:38" x14ac:dyDescent="0.2">
      <c r="AL7360" s="177"/>
    </row>
    <row r="7361" spans="38:38" x14ac:dyDescent="0.2">
      <c r="AL7361" s="177"/>
    </row>
    <row r="7362" spans="38:38" x14ac:dyDescent="0.2">
      <c r="AL7362" s="177"/>
    </row>
    <row r="7363" spans="38:38" x14ac:dyDescent="0.2">
      <c r="AL7363" s="177"/>
    </row>
    <row r="7364" spans="38:38" x14ac:dyDescent="0.2">
      <c r="AL7364" s="177"/>
    </row>
    <row r="7365" spans="38:38" x14ac:dyDescent="0.2">
      <c r="AL7365" s="177"/>
    </row>
    <row r="7366" spans="38:38" x14ac:dyDescent="0.2">
      <c r="AL7366" s="177"/>
    </row>
    <row r="7367" spans="38:38" x14ac:dyDescent="0.2">
      <c r="AL7367" s="177"/>
    </row>
    <row r="7368" spans="38:38" x14ac:dyDescent="0.2">
      <c r="AL7368" s="177"/>
    </row>
    <row r="7369" spans="38:38" x14ac:dyDescent="0.2">
      <c r="AL7369" s="177"/>
    </row>
    <row r="7370" spans="38:38" x14ac:dyDescent="0.2">
      <c r="AL7370" s="177"/>
    </row>
    <row r="7371" spans="38:38" x14ac:dyDescent="0.2">
      <c r="AL7371" s="177"/>
    </row>
    <row r="7372" spans="38:38" x14ac:dyDescent="0.2">
      <c r="AL7372" s="177"/>
    </row>
    <row r="7373" spans="38:38" x14ac:dyDescent="0.2">
      <c r="AL7373" s="177"/>
    </row>
    <row r="7374" spans="38:38" x14ac:dyDescent="0.2">
      <c r="AL7374" s="177"/>
    </row>
    <row r="7375" spans="38:38" x14ac:dyDescent="0.2">
      <c r="AL7375" s="177"/>
    </row>
    <row r="7376" spans="38:38" x14ac:dyDescent="0.2">
      <c r="AL7376" s="177"/>
    </row>
    <row r="7377" spans="38:38" x14ac:dyDescent="0.2">
      <c r="AL7377" s="177"/>
    </row>
    <row r="7378" spans="38:38" x14ac:dyDescent="0.2">
      <c r="AL7378" s="177"/>
    </row>
    <row r="7379" spans="38:38" x14ac:dyDescent="0.2">
      <c r="AL7379" s="177"/>
    </row>
    <row r="7380" spans="38:38" x14ac:dyDescent="0.2">
      <c r="AL7380" s="177"/>
    </row>
    <row r="7381" spans="38:38" x14ac:dyDescent="0.2">
      <c r="AL7381" s="177"/>
    </row>
    <row r="7382" spans="38:38" x14ac:dyDescent="0.2">
      <c r="AL7382" s="177"/>
    </row>
    <row r="7383" spans="38:38" x14ac:dyDescent="0.2">
      <c r="AL7383" s="177"/>
    </row>
    <row r="7384" spans="38:38" x14ac:dyDescent="0.2">
      <c r="AL7384" s="177"/>
    </row>
    <row r="7385" spans="38:38" x14ac:dyDescent="0.2">
      <c r="AL7385" s="177"/>
    </row>
    <row r="7386" spans="38:38" x14ac:dyDescent="0.2">
      <c r="AL7386" s="177"/>
    </row>
    <row r="7387" spans="38:38" x14ac:dyDescent="0.2">
      <c r="AL7387" s="177"/>
    </row>
    <row r="7388" spans="38:38" x14ac:dyDescent="0.2">
      <c r="AL7388" s="177"/>
    </row>
    <row r="7389" spans="38:38" x14ac:dyDescent="0.2">
      <c r="AL7389" s="177"/>
    </row>
    <row r="7390" spans="38:38" x14ac:dyDescent="0.2">
      <c r="AL7390" s="177"/>
    </row>
    <row r="7391" spans="38:38" x14ac:dyDescent="0.2">
      <c r="AL7391" s="177"/>
    </row>
    <row r="7392" spans="38:38" x14ac:dyDescent="0.2">
      <c r="AL7392" s="177"/>
    </row>
    <row r="7393" spans="38:38" x14ac:dyDescent="0.2">
      <c r="AL7393" s="177"/>
    </row>
    <row r="7394" spans="38:38" x14ac:dyDescent="0.2">
      <c r="AL7394" s="177"/>
    </row>
    <row r="7395" spans="38:38" x14ac:dyDescent="0.2">
      <c r="AL7395" s="177"/>
    </row>
    <row r="7396" spans="38:38" x14ac:dyDescent="0.2">
      <c r="AL7396" s="177"/>
    </row>
    <row r="7397" spans="38:38" x14ac:dyDescent="0.2">
      <c r="AL7397" s="177"/>
    </row>
    <row r="7398" spans="38:38" x14ac:dyDescent="0.2">
      <c r="AL7398" s="177"/>
    </row>
    <row r="7399" spans="38:38" x14ac:dyDescent="0.2">
      <c r="AL7399" s="177"/>
    </row>
    <row r="7400" spans="38:38" x14ac:dyDescent="0.2">
      <c r="AL7400" s="177"/>
    </row>
    <row r="7401" spans="38:38" x14ac:dyDescent="0.2">
      <c r="AL7401" s="177"/>
    </row>
    <row r="7402" spans="38:38" x14ac:dyDescent="0.2">
      <c r="AL7402" s="177"/>
    </row>
    <row r="7403" spans="38:38" x14ac:dyDescent="0.2">
      <c r="AL7403" s="177"/>
    </row>
    <row r="7404" spans="38:38" x14ac:dyDescent="0.2">
      <c r="AL7404" s="177"/>
    </row>
    <row r="7405" spans="38:38" x14ac:dyDescent="0.2">
      <c r="AL7405" s="177"/>
    </row>
    <row r="7406" spans="38:38" x14ac:dyDescent="0.2">
      <c r="AL7406" s="177"/>
    </row>
    <row r="7407" spans="38:38" x14ac:dyDescent="0.2">
      <c r="AL7407" s="177"/>
    </row>
    <row r="7408" spans="38:38" x14ac:dyDescent="0.2">
      <c r="AL7408" s="177"/>
    </row>
    <row r="7409" spans="38:38" x14ac:dyDescent="0.2">
      <c r="AL7409" s="177"/>
    </row>
    <row r="7410" spans="38:38" x14ac:dyDescent="0.2">
      <c r="AL7410" s="177"/>
    </row>
    <row r="7411" spans="38:38" x14ac:dyDescent="0.2">
      <c r="AL7411" s="177"/>
    </row>
    <row r="7412" spans="38:38" x14ac:dyDescent="0.2">
      <c r="AL7412" s="177"/>
    </row>
    <row r="7413" spans="38:38" x14ac:dyDescent="0.2">
      <c r="AL7413" s="177"/>
    </row>
    <row r="7414" spans="38:38" x14ac:dyDescent="0.2">
      <c r="AL7414" s="177"/>
    </row>
    <row r="7415" spans="38:38" x14ac:dyDescent="0.2">
      <c r="AL7415" s="177"/>
    </row>
    <row r="7416" spans="38:38" x14ac:dyDescent="0.2">
      <c r="AL7416" s="177"/>
    </row>
    <row r="7417" spans="38:38" x14ac:dyDescent="0.2">
      <c r="AL7417" s="177"/>
    </row>
    <row r="7418" spans="38:38" x14ac:dyDescent="0.2">
      <c r="AL7418" s="177"/>
    </row>
    <row r="7419" spans="38:38" x14ac:dyDescent="0.2">
      <c r="AL7419" s="177"/>
    </row>
    <row r="7420" spans="38:38" x14ac:dyDescent="0.2">
      <c r="AL7420" s="177"/>
    </row>
    <row r="7421" spans="38:38" x14ac:dyDescent="0.2">
      <c r="AL7421" s="177"/>
    </row>
    <row r="7422" spans="38:38" x14ac:dyDescent="0.2">
      <c r="AL7422" s="177"/>
    </row>
    <row r="7423" spans="38:38" x14ac:dyDescent="0.2">
      <c r="AL7423" s="177"/>
    </row>
    <row r="7424" spans="38:38" x14ac:dyDescent="0.2">
      <c r="AL7424" s="177"/>
    </row>
    <row r="7425" spans="38:38" x14ac:dyDescent="0.2">
      <c r="AL7425" s="177"/>
    </row>
    <row r="7426" spans="38:38" x14ac:dyDescent="0.2">
      <c r="AL7426" s="177"/>
    </row>
    <row r="7427" spans="38:38" x14ac:dyDescent="0.2">
      <c r="AL7427" s="177"/>
    </row>
    <row r="7428" spans="38:38" x14ac:dyDescent="0.2">
      <c r="AL7428" s="177"/>
    </row>
    <row r="7429" spans="38:38" x14ac:dyDescent="0.2">
      <c r="AL7429" s="177"/>
    </row>
    <row r="7430" spans="38:38" x14ac:dyDescent="0.2">
      <c r="AL7430" s="177"/>
    </row>
    <row r="7431" spans="38:38" x14ac:dyDescent="0.2">
      <c r="AL7431" s="177"/>
    </row>
    <row r="7432" spans="38:38" x14ac:dyDescent="0.2">
      <c r="AL7432" s="177"/>
    </row>
    <row r="7433" spans="38:38" x14ac:dyDescent="0.2">
      <c r="AL7433" s="177"/>
    </row>
    <row r="7434" spans="38:38" x14ac:dyDescent="0.2">
      <c r="AL7434" s="177"/>
    </row>
    <row r="7435" spans="38:38" x14ac:dyDescent="0.2">
      <c r="AL7435" s="177"/>
    </row>
    <row r="7436" spans="38:38" x14ac:dyDescent="0.2">
      <c r="AL7436" s="177"/>
    </row>
    <row r="7437" spans="38:38" x14ac:dyDescent="0.2">
      <c r="AL7437" s="177"/>
    </row>
    <row r="7438" spans="38:38" x14ac:dyDescent="0.2">
      <c r="AL7438" s="177"/>
    </row>
    <row r="7439" spans="38:38" x14ac:dyDescent="0.2">
      <c r="AL7439" s="177"/>
    </row>
    <row r="7440" spans="38:38" x14ac:dyDescent="0.2">
      <c r="AL7440" s="177"/>
    </row>
    <row r="7441" spans="38:38" x14ac:dyDescent="0.2">
      <c r="AL7441" s="177"/>
    </row>
    <row r="7442" spans="38:38" x14ac:dyDescent="0.2">
      <c r="AL7442" s="177"/>
    </row>
    <row r="7443" spans="38:38" x14ac:dyDescent="0.2">
      <c r="AL7443" s="177"/>
    </row>
    <row r="7444" spans="38:38" x14ac:dyDescent="0.2">
      <c r="AL7444" s="177"/>
    </row>
    <row r="7445" spans="38:38" x14ac:dyDescent="0.2">
      <c r="AL7445" s="177"/>
    </row>
    <row r="7446" spans="38:38" x14ac:dyDescent="0.2">
      <c r="AL7446" s="177"/>
    </row>
    <row r="7447" spans="38:38" x14ac:dyDescent="0.2">
      <c r="AL7447" s="177"/>
    </row>
    <row r="7448" spans="38:38" x14ac:dyDescent="0.2">
      <c r="AL7448" s="177"/>
    </row>
    <row r="7449" spans="38:38" x14ac:dyDescent="0.2">
      <c r="AL7449" s="177"/>
    </row>
    <row r="7450" spans="38:38" x14ac:dyDescent="0.2">
      <c r="AL7450" s="177"/>
    </row>
    <row r="7451" spans="38:38" x14ac:dyDescent="0.2">
      <c r="AL7451" s="177"/>
    </row>
    <row r="7452" spans="38:38" x14ac:dyDescent="0.2">
      <c r="AL7452" s="177"/>
    </row>
    <row r="7453" spans="38:38" x14ac:dyDescent="0.2">
      <c r="AL7453" s="177"/>
    </row>
    <row r="7454" spans="38:38" x14ac:dyDescent="0.2">
      <c r="AL7454" s="177"/>
    </row>
    <row r="7455" spans="38:38" x14ac:dyDescent="0.2">
      <c r="AL7455" s="177"/>
    </row>
    <row r="7456" spans="38:38" x14ac:dyDescent="0.2">
      <c r="AL7456" s="177"/>
    </row>
    <row r="7457" spans="38:38" x14ac:dyDescent="0.2">
      <c r="AL7457" s="177"/>
    </row>
    <row r="7458" spans="38:38" x14ac:dyDescent="0.2">
      <c r="AL7458" s="177"/>
    </row>
    <row r="7459" spans="38:38" x14ac:dyDescent="0.2">
      <c r="AL7459" s="177"/>
    </row>
    <row r="7460" spans="38:38" x14ac:dyDescent="0.2">
      <c r="AL7460" s="177"/>
    </row>
    <row r="7461" spans="38:38" x14ac:dyDescent="0.2">
      <c r="AL7461" s="177"/>
    </row>
    <row r="7462" spans="38:38" x14ac:dyDescent="0.2">
      <c r="AL7462" s="177"/>
    </row>
    <row r="7463" spans="38:38" x14ac:dyDescent="0.2">
      <c r="AL7463" s="177"/>
    </row>
    <row r="7464" spans="38:38" x14ac:dyDescent="0.2">
      <c r="AL7464" s="177"/>
    </row>
    <row r="7465" spans="38:38" x14ac:dyDescent="0.2">
      <c r="AL7465" s="177"/>
    </row>
    <row r="7466" spans="38:38" x14ac:dyDescent="0.2">
      <c r="AL7466" s="177"/>
    </row>
    <row r="7467" spans="38:38" x14ac:dyDescent="0.2">
      <c r="AL7467" s="177"/>
    </row>
    <row r="7468" spans="38:38" x14ac:dyDescent="0.2">
      <c r="AL7468" s="177"/>
    </row>
    <row r="7469" spans="38:38" x14ac:dyDescent="0.2">
      <c r="AL7469" s="177"/>
    </row>
    <row r="7470" spans="38:38" x14ac:dyDescent="0.2">
      <c r="AL7470" s="177"/>
    </row>
    <row r="7471" spans="38:38" x14ac:dyDescent="0.2">
      <c r="AL7471" s="177"/>
    </row>
    <row r="7472" spans="38:38" x14ac:dyDescent="0.2">
      <c r="AL7472" s="177"/>
    </row>
    <row r="7473" spans="38:38" x14ac:dyDescent="0.2">
      <c r="AL7473" s="177"/>
    </row>
    <row r="7474" spans="38:38" x14ac:dyDescent="0.2">
      <c r="AL7474" s="177"/>
    </row>
    <row r="7475" spans="38:38" x14ac:dyDescent="0.2">
      <c r="AL7475" s="177"/>
    </row>
    <row r="7476" spans="38:38" x14ac:dyDescent="0.2">
      <c r="AL7476" s="177"/>
    </row>
    <row r="7477" spans="38:38" x14ac:dyDescent="0.2">
      <c r="AL7477" s="177"/>
    </row>
    <row r="7478" spans="38:38" x14ac:dyDescent="0.2">
      <c r="AL7478" s="177"/>
    </row>
    <row r="7479" spans="38:38" x14ac:dyDescent="0.2">
      <c r="AL7479" s="177"/>
    </row>
    <row r="7480" spans="38:38" x14ac:dyDescent="0.2">
      <c r="AL7480" s="177"/>
    </row>
    <row r="7481" spans="38:38" x14ac:dyDescent="0.2">
      <c r="AL7481" s="177"/>
    </row>
    <row r="7482" spans="38:38" x14ac:dyDescent="0.2">
      <c r="AL7482" s="177"/>
    </row>
    <row r="7483" spans="38:38" x14ac:dyDescent="0.2">
      <c r="AL7483" s="177"/>
    </row>
    <row r="7484" spans="38:38" x14ac:dyDescent="0.2">
      <c r="AL7484" s="177"/>
    </row>
    <row r="7485" spans="38:38" x14ac:dyDescent="0.2">
      <c r="AL7485" s="177"/>
    </row>
    <row r="7486" spans="38:38" x14ac:dyDescent="0.2">
      <c r="AL7486" s="177"/>
    </row>
    <row r="7487" spans="38:38" x14ac:dyDescent="0.2">
      <c r="AL7487" s="177"/>
    </row>
    <row r="7488" spans="38:38" x14ac:dyDescent="0.2">
      <c r="AL7488" s="177"/>
    </row>
    <row r="7489" spans="38:38" x14ac:dyDescent="0.2">
      <c r="AL7489" s="177"/>
    </row>
    <row r="7490" spans="38:38" x14ac:dyDescent="0.2">
      <c r="AL7490" s="177"/>
    </row>
    <row r="7491" spans="38:38" x14ac:dyDescent="0.2">
      <c r="AL7491" s="177"/>
    </row>
    <row r="7492" spans="38:38" x14ac:dyDescent="0.2">
      <c r="AL7492" s="177"/>
    </row>
    <row r="7493" spans="38:38" x14ac:dyDescent="0.2">
      <c r="AL7493" s="177"/>
    </row>
    <row r="7494" spans="38:38" x14ac:dyDescent="0.2">
      <c r="AL7494" s="177"/>
    </row>
    <row r="7495" spans="38:38" x14ac:dyDescent="0.2">
      <c r="AL7495" s="177"/>
    </row>
    <row r="7496" spans="38:38" x14ac:dyDescent="0.2">
      <c r="AL7496" s="177"/>
    </row>
    <row r="7497" spans="38:38" x14ac:dyDescent="0.2">
      <c r="AL7497" s="177"/>
    </row>
    <row r="7498" spans="38:38" x14ac:dyDescent="0.2">
      <c r="AL7498" s="177"/>
    </row>
    <row r="7499" spans="38:38" x14ac:dyDescent="0.2">
      <c r="AL7499" s="177"/>
    </row>
    <row r="7500" spans="38:38" x14ac:dyDescent="0.2">
      <c r="AL7500" s="177"/>
    </row>
    <row r="7501" spans="38:38" x14ac:dyDescent="0.2">
      <c r="AL7501" s="177"/>
    </row>
    <row r="7502" spans="38:38" x14ac:dyDescent="0.2">
      <c r="AL7502" s="177"/>
    </row>
    <row r="7503" spans="38:38" x14ac:dyDescent="0.2">
      <c r="AL7503" s="177"/>
    </row>
    <row r="7504" spans="38:38" x14ac:dyDescent="0.2">
      <c r="AL7504" s="177"/>
    </row>
    <row r="7505" spans="38:38" x14ac:dyDescent="0.2">
      <c r="AL7505" s="177"/>
    </row>
    <row r="7506" spans="38:38" x14ac:dyDescent="0.2">
      <c r="AL7506" s="177"/>
    </row>
    <row r="7507" spans="38:38" x14ac:dyDescent="0.2">
      <c r="AL7507" s="177"/>
    </row>
    <row r="7508" spans="38:38" x14ac:dyDescent="0.2">
      <c r="AL7508" s="177"/>
    </row>
    <row r="7509" spans="38:38" x14ac:dyDescent="0.2">
      <c r="AL7509" s="177"/>
    </row>
    <row r="7510" spans="38:38" x14ac:dyDescent="0.2">
      <c r="AL7510" s="177"/>
    </row>
    <row r="7511" spans="38:38" x14ac:dyDescent="0.2">
      <c r="AL7511" s="177"/>
    </row>
    <row r="7512" spans="38:38" x14ac:dyDescent="0.2">
      <c r="AL7512" s="177"/>
    </row>
    <row r="7513" spans="38:38" x14ac:dyDescent="0.2">
      <c r="AL7513" s="177"/>
    </row>
    <row r="7514" spans="38:38" x14ac:dyDescent="0.2">
      <c r="AL7514" s="177"/>
    </row>
    <row r="7515" spans="38:38" x14ac:dyDescent="0.2">
      <c r="AL7515" s="177"/>
    </row>
    <row r="7516" spans="38:38" x14ac:dyDescent="0.2">
      <c r="AL7516" s="177"/>
    </row>
    <row r="7517" spans="38:38" x14ac:dyDescent="0.2">
      <c r="AL7517" s="177"/>
    </row>
    <row r="7518" spans="38:38" x14ac:dyDescent="0.2">
      <c r="AL7518" s="177"/>
    </row>
    <row r="7519" spans="38:38" x14ac:dyDescent="0.2">
      <c r="AL7519" s="177"/>
    </row>
    <row r="7520" spans="38:38" x14ac:dyDescent="0.2">
      <c r="AL7520" s="177"/>
    </row>
    <row r="7521" spans="38:38" x14ac:dyDescent="0.2">
      <c r="AL7521" s="177"/>
    </row>
    <row r="7522" spans="38:38" x14ac:dyDescent="0.2">
      <c r="AL7522" s="177"/>
    </row>
    <row r="7523" spans="38:38" x14ac:dyDescent="0.2">
      <c r="AL7523" s="177"/>
    </row>
    <row r="7524" spans="38:38" x14ac:dyDescent="0.2">
      <c r="AL7524" s="177"/>
    </row>
    <row r="7525" spans="38:38" x14ac:dyDescent="0.2">
      <c r="AL7525" s="177"/>
    </row>
    <row r="7526" spans="38:38" x14ac:dyDescent="0.2">
      <c r="AL7526" s="177"/>
    </row>
    <row r="7527" spans="38:38" x14ac:dyDescent="0.2">
      <c r="AL7527" s="177"/>
    </row>
    <row r="7528" spans="38:38" x14ac:dyDescent="0.2">
      <c r="AL7528" s="177"/>
    </row>
    <row r="7529" spans="38:38" x14ac:dyDescent="0.2">
      <c r="AL7529" s="177"/>
    </row>
    <row r="7530" spans="38:38" x14ac:dyDescent="0.2">
      <c r="AL7530" s="177"/>
    </row>
    <row r="7531" spans="38:38" x14ac:dyDescent="0.2">
      <c r="AL7531" s="177"/>
    </row>
    <row r="7532" spans="38:38" x14ac:dyDescent="0.2">
      <c r="AL7532" s="177"/>
    </row>
    <row r="7533" spans="38:38" x14ac:dyDescent="0.2">
      <c r="AL7533" s="177"/>
    </row>
    <row r="7534" spans="38:38" x14ac:dyDescent="0.2">
      <c r="AL7534" s="177"/>
    </row>
    <row r="7535" spans="38:38" x14ac:dyDescent="0.2">
      <c r="AL7535" s="177"/>
    </row>
    <row r="7536" spans="38:38" x14ac:dyDescent="0.2">
      <c r="AL7536" s="177"/>
    </row>
    <row r="7537" spans="38:38" x14ac:dyDescent="0.2">
      <c r="AL7537" s="177"/>
    </row>
    <row r="7538" spans="38:38" x14ac:dyDescent="0.2">
      <c r="AL7538" s="177"/>
    </row>
    <row r="7539" spans="38:38" x14ac:dyDescent="0.2">
      <c r="AL7539" s="177"/>
    </row>
    <row r="7540" spans="38:38" x14ac:dyDescent="0.2">
      <c r="AL7540" s="177"/>
    </row>
    <row r="7541" spans="38:38" x14ac:dyDescent="0.2">
      <c r="AL7541" s="177"/>
    </row>
    <row r="7542" spans="38:38" x14ac:dyDescent="0.2">
      <c r="AL7542" s="177"/>
    </row>
    <row r="7543" spans="38:38" x14ac:dyDescent="0.2">
      <c r="AL7543" s="177"/>
    </row>
    <row r="7544" spans="38:38" x14ac:dyDescent="0.2">
      <c r="AL7544" s="177"/>
    </row>
    <row r="7545" spans="38:38" x14ac:dyDescent="0.2">
      <c r="AL7545" s="177"/>
    </row>
    <row r="7546" spans="38:38" x14ac:dyDescent="0.2">
      <c r="AL7546" s="177"/>
    </row>
    <row r="7547" spans="38:38" x14ac:dyDescent="0.2">
      <c r="AL7547" s="177"/>
    </row>
    <row r="7548" spans="38:38" x14ac:dyDescent="0.2">
      <c r="AL7548" s="177"/>
    </row>
    <row r="7549" spans="38:38" x14ac:dyDescent="0.2">
      <c r="AL7549" s="177"/>
    </row>
    <row r="7550" spans="38:38" x14ac:dyDescent="0.2">
      <c r="AL7550" s="177"/>
    </row>
    <row r="7551" spans="38:38" x14ac:dyDescent="0.2">
      <c r="AL7551" s="177"/>
    </row>
    <row r="7552" spans="38:38" x14ac:dyDescent="0.2">
      <c r="AL7552" s="177"/>
    </row>
    <row r="7553" spans="38:38" x14ac:dyDescent="0.2">
      <c r="AL7553" s="177"/>
    </row>
    <row r="7554" spans="38:38" x14ac:dyDescent="0.2">
      <c r="AL7554" s="177"/>
    </row>
    <row r="7555" spans="38:38" x14ac:dyDescent="0.2">
      <c r="AL7555" s="177"/>
    </row>
    <row r="7556" spans="38:38" x14ac:dyDescent="0.2">
      <c r="AL7556" s="177"/>
    </row>
    <row r="7557" spans="38:38" x14ac:dyDescent="0.2">
      <c r="AL7557" s="177"/>
    </row>
    <row r="7558" spans="38:38" x14ac:dyDescent="0.2">
      <c r="AL7558" s="177"/>
    </row>
    <row r="7559" spans="38:38" x14ac:dyDescent="0.2">
      <c r="AL7559" s="177"/>
    </row>
    <row r="7560" spans="38:38" x14ac:dyDescent="0.2">
      <c r="AL7560" s="177"/>
    </row>
    <row r="7561" spans="38:38" x14ac:dyDescent="0.2">
      <c r="AL7561" s="177"/>
    </row>
    <row r="7562" spans="38:38" x14ac:dyDescent="0.2">
      <c r="AL7562" s="177"/>
    </row>
    <row r="7563" spans="38:38" x14ac:dyDescent="0.2">
      <c r="AL7563" s="177"/>
    </row>
    <row r="7564" spans="38:38" x14ac:dyDescent="0.2">
      <c r="AL7564" s="177"/>
    </row>
    <row r="7565" spans="38:38" x14ac:dyDescent="0.2">
      <c r="AL7565" s="177"/>
    </row>
    <row r="7566" spans="38:38" x14ac:dyDescent="0.2">
      <c r="AL7566" s="177"/>
    </row>
    <row r="7567" spans="38:38" x14ac:dyDescent="0.2">
      <c r="AL7567" s="177"/>
    </row>
    <row r="7568" spans="38:38" x14ac:dyDescent="0.2">
      <c r="AL7568" s="177"/>
    </row>
    <row r="7569" spans="38:38" x14ac:dyDescent="0.2">
      <c r="AL7569" s="177"/>
    </row>
    <row r="7570" spans="38:38" x14ac:dyDescent="0.2">
      <c r="AL7570" s="177"/>
    </row>
    <row r="7571" spans="38:38" x14ac:dyDescent="0.2">
      <c r="AL7571" s="177"/>
    </row>
    <row r="7572" spans="38:38" x14ac:dyDescent="0.2">
      <c r="AL7572" s="177"/>
    </row>
    <row r="7573" spans="38:38" x14ac:dyDescent="0.2">
      <c r="AL7573" s="177"/>
    </row>
    <row r="7574" spans="38:38" x14ac:dyDescent="0.2">
      <c r="AL7574" s="177"/>
    </row>
    <row r="7575" spans="38:38" x14ac:dyDescent="0.2">
      <c r="AL7575" s="177"/>
    </row>
    <row r="7576" spans="38:38" x14ac:dyDescent="0.2">
      <c r="AL7576" s="177"/>
    </row>
    <row r="7577" spans="38:38" x14ac:dyDescent="0.2">
      <c r="AL7577" s="177"/>
    </row>
    <row r="7578" spans="38:38" x14ac:dyDescent="0.2">
      <c r="AL7578" s="177"/>
    </row>
    <row r="7579" spans="38:38" x14ac:dyDescent="0.2">
      <c r="AL7579" s="177"/>
    </row>
    <row r="7580" spans="38:38" x14ac:dyDescent="0.2">
      <c r="AL7580" s="177"/>
    </row>
    <row r="7581" spans="38:38" x14ac:dyDescent="0.2">
      <c r="AL7581" s="177"/>
    </row>
    <row r="7582" spans="38:38" x14ac:dyDescent="0.2">
      <c r="AL7582" s="177"/>
    </row>
    <row r="7583" spans="38:38" x14ac:dyDescent="0.2">
      <c r="AL7583" s="177"/>
    </row>
    <row r="7584" spans="38:38" x14ac:dyDescent="0.2">
      <c r="AL7584" s="177"/>
    </row>
    <row r="7585" spans="38:38" x14ac:dyDescent="0.2">
      <c r="AL7585" s="177"/>
    </row>
    <row r="7586" spans="38:38" x14ac:dyDescent="0.2">
      <c r="AL7586" s="177"/>
    </row>
    <row r="7587" spans="38:38" x14ac:dyDescent="0.2">
      <c r="AL7587" s="177"/>
    </row>
    <row r="7588" spans="38:38" x14ac:dyDescent="0.2">
      <c r="AL7588" s="177"/>
    </row>
    <row r="7589" spans="38:38" x14ac:dyDescent="0.2">
      <c r="AL7589" s="177"/>
    </row>
    <row r="7590" spans="38:38" x14ac:dyDescent="0.2">
      <c r="AL7590" s="177"/>
    </row>
    <row r="7591" spans="38:38" x14ac:dyDescent="0.2">
      <c r="AL7591" s="177"/>
    </row>
    <row r="7592" spans="38:38" x14ac:dyDescent="0.2">
      <c r="AL7592" s="177"/>
    </row>
    <row r="7593" spans="38:38" x14ac:dyDescent="0.2">
      <c r="AL7593" s="177"/>
    </row>
    <row r="7594" spans="38:38" x14ac:dyDescent="0.2">
      <c r="AL7594" s="177"/>
    </row>
    <row r="7595" spans="38:38" x14ac:dyDescent="0.2">
      <c r="AL7595" s="177"/>
    </row>
    <row r="7596" spans="38:38" x14ac:dyDescent="0.2">
      <c r="AL7596" s="177"/>
    </row>
    <row r="7597" spans="38:38" x14ac:dyDescent="0.2">
      <c r="AL7597" s="177"/>
    </row>
    <row r="7598" spans="38:38" x14ac:dyDescent="0.2">
      <c r="AL7598" s="177"/>
    </row>
    <row r="7599" spans="38:38" x14ac:dyDescent="0.2">
      <c r="AL7599" s="177"/>
    </row>
    <row r="7600" spans="38:38" x14ac:dyDescent="0.2">
      <c r="AL7600" s="177"/>
    </row>
    <row r="7601" spans="38:38" x14ac:dyDescent="0.2">
      <c r="AL7601" s="177"/>
    </row>
    <row r="7602" spans="38:38" x14ac:dyDescent="0.2">
      <c r="AL7602" s="177"/>
    </row>
    <row r="7603" spans="38:38" x14ac:dyDescent="0.2">
      <c r="AL7603" s="177"/>
    </row>
    <row r="7604" spans="38:38" x14ac:dyDescent="0.2">
      <c r="AL7604" s="177"/>
    </row>
    <row r="7605" spans="38:38" x14ac:dyDescent="0.2">
      <c r="AL7605" s="177"/>
    </row>
    <row r="7606" spans="38:38" x14ac:dyDescent="0.2">
      <c r="AL7606" s="177"/>
    </row>
    <row r="7607" spans="38:38" x14ac:dyDescent="0.2">
      <c r="AL7607" s="177"/>
    </row>
    <row r="7608" spans="38:38" x14ac:dyDescent="0.2">
      <c r="AL7608" s="177"/>
    </row>
    <row r="7609" spans="38:38" x14ac:dyDescent="0.2">
      <c r="AL7609" s="177"/>
    </row>
    <row r="7610" spans="38:38" x14ac:dyDescent="0.2">
      <c r="AL7610" s="177"/>
    </row>
    <row r="7611" spans="38:38" x14ac:dyDescent="0.2">
      <c r="AL7611" s="177"/>
    </row>
    <row r="7612" spans="38:38" x14ac:dyDescent="0.2">
      <c r="AL7612" s="177"/>
    </row>
    <row r="7613" spans="38:38" x14ac:dyDescent="0.2">
      <c r="AL7613" s="177"/>
    </row>
    <row r="7614" spans="38:38" x14ac:dyDescent="0.2">
      <c r="AL7614" s="177"/>
    </row>
    <row r="7615" spans="38:38" x14ac:dyDescent="0.2">
      <c r="AL7615" s="177"/>
    </row>
    <row r="7616" spans="38:38" x14ac:dyDescent="0.2">
      <c r="AL7616" s="177"/>
    </row>
    <row r="7617" spans="38:38" x14ac:dyDescent="0.2">
      <c r="AL7617" s="177"/>
    </row>
    <row r="7618" spans="38:38" x14ac:dyDescent="0.2">
      <c r="AL7618" s="177"/>
    </row>
    <row r="7619" spans="38:38" x14ac:dyDescent="0.2">
      <c r="AL7619" s="177"/>
    </row>
    <row r="7620" spans="38:38" x14ac:dyDescent="0.2">
      <c r="AL7620" s="177"/>
    </row>
    <row r="7621" spans="38:38" x14ac:dyDescent="0.2">
      <c r="AL7621" s="177"/>
    </row>
    <row r="7622" spans="38:38" x14ac:dyDescent="0.2">
      <c r="AL7622" s="177"/>
    </row>
    <row r="7623" spans="38:38" x14ac:dyDescent="0.2">
      <c r="AL7623" s="177"/>
    </row>
    <row r="7624" spans="38:38" x14ac:dyDescent="0.2">
      <c r="AL7624" s="177"/>
    </row>
    <row r="7625" spans="38:38" x14ac:dyDescent="0.2">
      <c r="AL7625" s="177"/>
    </row>
    <row r="7626" spans="38:38" x14ac:dyDescent="0.2">
      <c r="AL7626" s="177"/>
    </row>
    <row r="7627" spans="38:38" x14ac:dyDescent="0.2">
      <c r="AL7627" s="177"/>
    </row>
    <row r="7628" spans="38:38" x14ac:dyDescent="0.2">
      <c r="AL7628" s="177"/>
    </row>
    <row r="7629" spans="38:38" x14ac:dyDescent="0.2">
      <c r="AL7629" s="177"/>
    </row>
    <row r="7630" spans="38:38" x14ac:dyDescent="0.2">
      <c r="AL7630" s="177"/>
    </row>
    <row r="7631" spans="38:38" x14ac:dyDescent="0.2">
      <c r="AL7631" s="177"/>
    </row>
    <row r="7632" spans="38:38" x14ac:dyDescent="0.2">
      <c r="AL7632" s="177"/>
    </row>
    <row r="7633" spans="38:38" x14ac:dyDescent="0.2">
      <c r="AL7633" s="177"/>
    </row>
    <row r="7634" spans="38:38" x14ac:dyDescent="0.2">
      <c r="AL7634" s="177"/>
    </row>
    <row r="7635" spans="38:38" x14ac:dyDescent="0.2">
      <c r="AL7635" s="177"/>
    </row>
    <row r="7636" spans="38:38" x14ac:dyDescent="0.2">
      <c r="AL7636" s="177"/>
    </row>
    <row r="7637" spans="38:38" x14ac:dyDescent="0.2">
      <c r="AL7637" s="177"/>
    </row>
    <row r="7638" spans="38:38" x14ac:dyDescent="0.2">
      <c r="AL7638" s="177"/>
    </row>
    <row r="7639" spans="38:38" x14ac:dyDescent="0.2">
      <c r="AL7639" s="177"/>
    </row>
    <row r="7640" spans="38:38" x14ac:dyDescent="0.2">
      <c r="AL7640" s="177"/>
    </row>
    <row r="7641" spans="38:38" x14ac:dyDescent="0.2">
      <c r="AL7641" s="177"/>
    </row>
    <row r="7642" spans="38:38" x14ac:dyDescent="0.2">
      <c r="AL7642" s="177"/>
    </row>
    <row r="7643" spans="38:38" x14ac:dyDescent="0.2">
      <c r="AL7643" s="177"/>
    </row>
    <row r="7644" spans="38:38" x14ac:dyDescent="0.2">
      <c r="AL7644" s="177"/>
    </row>
    <row r="7645" spans="38:38" x14ac:dyDescent="0.2">
      <c r="AL7645" s="177"/>
    </row>
    <row r="7646" spans="38:38" x14ac:dyDescent="0.2">
      <c r="AL7646" s="177"/>
    </row>
    <row r="7647" spans="38:38" x14ac:dyDescent="0.2">
      <c r="AL7647" s="177"/>
    </row>
    <row r="7648" spans="38:38" x14ac:dyDescent="0.2">
      <c r="AL7648" s="177"/>
    </row>
    <row r="7649" spans="38:38" x14ac:dyDescent="0.2">
      <c r="AL7649" s="177"/>
    </row>
    <row r="7650" spans="38:38" x14ac:dyDescent="0.2">
      <c r="AL7650" s="177"/>
    </row>
    <row r="7651" spans="38:38" x14ac:dyDescent="0.2">
      <c r="AL7651" s="177"/>
    </row>
    <row r="7652" spans="38:38" x14ac:dyDescent="0.2">
      <c r="AL7652" s="177"/>
    </row>
    <row r="7653" spans="38:38" x14ac:dyDescent="0.2">
      <c r="AL7653" s="177"/>
    </row>
    <row r="7654" spans="38:38" x14ac:dyDescent="0.2">
      <c r="AL7654" s="177"/>
    </row>
    <row r="7655" spans="38:38" x14ac:dyDescent="0.2">
      <c r="AL7655" s="177"/>
    </row>
    <row r="7656" spans="38:38" x14ac:dyDescent="0.2">
      <c r="AL7656" s="177"/>
    </row>
    <row r="7657" spans="38:38" x14ac:dyDescent="0.2">
      <c r="AL7657" s="177"/>
    </row>
    <row r="7658" spans="38:38" x14ac:dyDescent="0.2">
      <c r="AL7658" s="177"/>
    </row>
    <row r="7659" spans="38:38" x14ac:dyDescent="0.2">
      <c r="AL7659" s="177"/>
    </row>
    <row r="7660" spans="38:38" x14ac:dyDescent="0.2">
      <c r="AL7660" s="177"/>
    </row>
    <row r="7661" spans="38:38" x14ac:dyDescent="0.2">
      <c r="AL7661" s="177"/>
    </row>
    <row r="7662" spans="38:38" x14ac:dyDescent="0.2">
      <c r="AL7662" s="177"/>
    </row>
    <row r="7663" spans="38:38" x14ac:dyDescent="0.2">
      <c r="AL7663" s="177"/>
    </row>
    <row r="7664" spans="38:38" x14ac:dyDescent="0.2">
      <c r="AL7664" s="177"/>
    </row>
    <row r="7665" spans="38:38" x14ac:dyDescent="0.2">
      <c r="AL7665" s="177"/>
    </row>
    <row r="7666" spans="38:38" x14ac:dyDescent="0.2">
      <c r="AL7666" s="177"/>
    </row>
    <row r="7667" spans="38:38" x14ac:dyDescent="0.2">
      <c r="AL7667" s="177"/>
    </row>
    <row r="7668" spans="38:38" x14ac:dyDescent="0.2">
      <c r="AL7668" s="177"/>
    </row>
    <row r="7669" spans="38:38" x14ac:dyDescent="0.2">
      <c r="AL7669" s="177"/>
    </row>
    <row r="7670" spans="38:38" x14ac:dyDescent="0.2">
      <c r="AL7670" s="177"/>
    </row>
    <row r="7671" spans="38:38" x14ac:dyDescent="0.2">
      <c r="AL7671" s="177"/>
    </row>
    <row r="7672" spans="38:38" x14ac:dyDescent="0.2">
      <c r="AL7672" s="177"/>
    </row>
    <row r="7673" spans="38:38" x14ac:dyDescent="0.2">
      <c r="AL7673" s="177"/>
    </row>
    <row r="7674" spans="38:38" x14ac:dyDescent="0.2">
      <c r="AL7674" s="177"/>
    </row>
    <row r="7675" spans="38:38" x14ac:dyDescent="0.2">
      <c r="AL7675" s="177"/>
    </row>
    <row r="7676" spans="38:38" x14ac:dyDescent="0.2">
      <c r="AL7676" s="177"/>
    </row>
    <row r="7677" spans="38:38" x14ac:dyDescent="0.2">
      <c r="AL7677" s="177"/>
    </row>
    <row r="7678" spans="38:38" x14ac:dyDescent="0.2">
      <c r="AL7678" s="177"/>
    </row>
    <row r="7679" spans="38:38" x14ac:dyDescent="0.2">
      <c r="AL7679" s="177"/>
    </row>
    <row r="7680" spans="38:38" x14ac:dyDescent="0.2">
      <c r="AL7680" s="177"/>
    </row>
    <row r="7681" spans="38:38" x14ac:dyDescent="0.2">
      <c r="AL7681" s="177"/>
    </row>
    <row r="7682" spans="38:38" x14ac:dyDescent="0.2">
      <c r="AL7682" s="177"/>
    </row>
    <row r="7683" spans="38:38" x14ac:dyDescent="0.2">
      <c r="AL7683" s="177"/>
    </row>
    <row r="7684" spans="38:38" x14ac:dyDescent="0.2">
      <c r="AL7684" s="177"/>
    </row>
    <row r="7685" spans="38:38" x14ac:dyDescent="0.2">
      <c r="AL7685" s="177"/>
    </row>
    <row r="7686" spans="38:38" x14ac:dyDescent="0.2">
      <c r="AL7686" s="177"/>
    </row>
    <row r="7687" spans="38:38" x14ac:dyDescent="0.2">
      <c r="AL7687" s="177"/>
    </row>
    <row r="7688" spans="38:38" x14ac:dyDescent="0.2">
      <c r="AL7688" s="177"/>
    </row>
    <row r="7689" spans="38:38" x14ac:dyDescent="0.2">
      <c r="AL7689" s="177"/>
    </row>
    <row r="7690" spans="38:38" x14ac:dyDescent="0.2">
      <c r="AL7690" s="177"/>
    </row>
    <row r="7691" spans="38:38" x14ac:dyDescent="0.2">
      <c r="AL7691" s="177"/>
    </row>
    <row r="7692" spans="38:38" x14ac:dyDescent="0.2">
      <c r="AL7692" s="177"/>
    </row>
    <row r="7693" spans="38:38" x14ac:dyDescent="0.2">
      <c r="AL7693" s="177"/>
    </row>
    <row r="7694" spans="38:38" x14ac:dyDescent="0.2">
      <c r="AL7694" s="177"/>
    </row>
    <row r="7695" spans="38:38" x14ac:dyDescent="0.2">
      <c r="AL7695" s="177"/>
    </row>
    <row r="7696" spans="38:38" x14ac:dyDescent="0.2">
      <c r="AL7696" s="177"/>
    </row>
    <row r="7697" spans="38:38" x14ac:dyDescent="0.2">
      <c r="AL7697" s="177"/>
    </row>
    <row r="7698" spans="38:38" x14ac:dyDescent="0.2">
      <c r="AL7698" s="177"/>
    </row>
    <row r="7699" spans="38:38" x14ac:dyDescent="0.2">
      <c r="AL7699" s="177"/>
    </row>
    <row r="7700" spans="38:38" x14ac:dyDescent="0.2">
      <c r="AL7700" s="177"/>
    </row>
    <row r="7701" spans="38:38" x14ac:dyDescent="0.2">
      <c r="AL7701" s="177"/>
    </row>
    <row r="7702" spans="38:38" x14ac:dyDescent="0.2">
      <c r="AL7702" s="177"/>
    </row>
    <row r="7703" spans="38:38" x14ac:dyDescent="0.2">
      <c r="AL7703" s="177"/>
    </row>
    <row r="7704" spans="38:38" x14ac:dyDescent="0.2">
      <c r="AL7704" s="177"/>
    </row>
    <row r="7705" spans="38:38" x14ac:dyDescent="0.2">
      <c r="AL7705" s="177"/>
    </row>
    <row r="7706" spans="38:38" x14ac:dyDescent="0.2">
      <c r="AL7706" s="177"/>
    </row>
    <row r="7707" spans="38:38" x14ac:dyDescent="0.2">
      <c r="AL7707" s="177"/>
    </row>
    <row r="7708" spans="38:38" x14ac:dyDescent="0.2">
      <c r="AL7708" s="177"/>
    </row>
    <row r="7709" spans="38:38" x14ac:dyDescent="0.2">
      <c r="AL7709" s="177"/>
    </row>
    <row r="7710" spans="38:38" x14ac:dyDescent="0.2">
      <c r="AL7710" s="177"/>
    </row>
    <row r="7711" spans="38:38" x14ac:dyDescent="0.2">
      <c r="AL7711" s="177"/>
    </row>
    <row r="7712" spans="38:38" x14ac:dyDescent="0.2">
      <c r="AL7712" s="177"/>
    </row>
    <row r="7713" spans="38:38" x14ac:dyDescent="0.2">
      <c r="AL7713" s="177"/>
    </row>
    <row r="7714" spans="38:38" x14ac:dyDescent="0.2">
      <c r="AL7714" s="177"/>
    </row>
    <row r="7715" spans="38:38" x14ac:dyDescent="0.2">
      <c r="AL7715" s="177"/>
    </row>
    <row r="7716" spans="38:38" x14ac:dyDescent="0.2">
      <c r="AL7716" s="177"/>
    </row>
    <row r="7717" spans="38:38" x14ac:dyDescent="0.2">
      <c r="AL7717" s="177"/>
    </row>
    <row r="7718" spans="38:38" x14ac:dyDescent="0.2">
      <c r="AL7718" s="177"/>
    </row>
    <row r="7719" spans="38:38" x14ac:dyDescent="0.2">
      <c r="AL7719" s="177"/>
    </row>
    <row r="7720" spans="38:38" x14ac:dyDescent="0.2">
      <c r="AL7720" s="177"/>
    </row>
    <row r="7721" spans="38:38" x14ac:dyDescent="0.2">
      <c r="AL7721" s="177"/>
    </row>
    <row r="7722" spans="38:38" x14ac:dyDescent="0.2">
      <c r="AL7722" s="177"/>
    </row>
    <row r="7723" spans="38:38" x14ac:dyDescent="0.2">
      <c r="AL7723" s="177"/>
    </row>
    <row r="7724" spans="38:38" x14ac:dyDescent="0.2">
      <c r="AL7724" s="177"/>
    </row>
    <row r="7725" spans="38:38" x14ac:dyDescent="0.2">
      <c r="AL7725" s="177"/>
    </row>
    <row r="7726" spans="38:38" x14ac:dyDescent="0.2">
      <c r="AL7726" s="177"/>
    </row>
    <row r="7727" spans="38:38" x14ac:dyDescent="0.2">
      <c r="AL7727" s="177"/>
    </row>
    <row r="7728" spans="38:38" x14ac:dyDescent="0.2">
      <c r="AL7728" s="177"/>
    </row>
    <row r="7729" spans="38:38" x14ac:dyDescent="0.2">
      <c r="AL7729" s="177"/>
    </row>
    <row r="7730" spans="38:38" x14ac:dyDescent="0.2">
      <c r="AL7730" s="177"/>
    </row>
    <row r="7731" spans="38:38" x14ac:dyDescent="0.2">
      <c r="AL7731" s="177"/>
    </row>
    <row r="7732" spans="38:38" x14ac:dyDescent="0.2">
      <c r="AL7732" s="177"/>
    </row>
    <row r="7733" spans="38:38" x14ac:dyDescent="0.2">
      <c r="AL7733" s="177"/>
    </row>
    <row r="7734" spans="38:38" x14ac:dyDescent="0.2">
      <c r="AL7734" s="177"/>
    </row>
    <row r="7735" spans="38:38" x14ac:dyDescent="0.2">
      <c r="AL7735" s="177"/>
    </row>
    <row r="7736" spans="38:38" x14ac:dyDescent="0.2">
      <c r="AL7736" s="177"/>
    </row>
    <row r="7737" spans="38:38" x14ac:dyDescent="0.2">
      <c r="AL7737" s="177"/>
    </row>
    <row r="7738" spans="38:38" x14ac:dyDescent="0.2">
      <c r="AL7738" s="177"/>
    </row>
    <row r="7739" spans="38:38" x14ac:dyDescent="0.2">
      <c r="AL7739" s="177"/>
    </row>
    <row r="7740" spans="38:38" x14ac:dyDescent="0.2">
      <c r="AL7740" s="177"/>
    </row>
    <row r="7741" spans="38:38" x14ac:dyDescent="0.2">
      <c r="AL7741" s="177"/>
    </row>
    <row r="7742" spans="38:38" x14ac:dyDescent="0.2">
      <c r="AL7742" s="177"/>
    </row>
    <row r="7743" spans="38:38" x14ac:dyDescent="0.2">
      <c r="AL7743" s="177"/>
    </row>
    <row r="7744" spans="38:38" x14ac:dyDescent="0.2">
      <c r="AL7744" s="177"/>
    </row>
    <row r="7745" spans="38:38" x14ac:dyDescent="0.2">
      <c r="AL7745" s="177"/>
    </row>
    <row r="7746" spans="38:38" x14ac:dyDescent="0.2">
      <c r="AL7746" s="177"/>
    </row>
    <row r="7747" spans="38:38" x14ac:dyDescent="0.2">
      <c r="AL7747" s="177"/>
    </row>
    <row r="7748" spans="38:38" x14ac:dyDescent="0.2">
      <c r="AL7748" s="177"/>
    </row>
    <row r="7749" spans="38:38" x14ac:dyDescent="0.2">
      <c r="AL7749" s="177"/>
    </row>
    <row r="7750" spans="38:38" x14ac:dyDescent="0.2">
      <c r="AL7750" s="177"/>
    </row>
    <row r="7751" spans="38:38" x14ac:dyDescent="0.2">
      <c r="AL7751" s="177"/>
    </row>
    <row r="7752" spans="38:38" x14ac:dyDescent="0.2">
      <c r="AL7752" s="177"/>
    </row>
    <row r="7753" spans="38:38" x14ac:dyDescent="0.2">
      <c r="AL7753" s="177"/>
    </row>
    <row r="7754" spans="38:38" x14ac:dyDescent="0.2">
      <c r="AL7754" s="177"/>
    </row>
    <row r="7755" spans="38:38" x14ac:dyDescent="0.2">
      <c r="AL7755" s="177"/>
    </row>
    <row r="7756" spans="38:38" x14ac:dyDescent="0.2">
      <c r="AL7756" s="177"/>
    </row>
    <row r="7757" spans="38:38" x14ac:dyDescent="0.2">
      <c r="AL7757" s="177"/>
    </row>
    <row r="7758" spans="38:38" x14ac:dyDescent="0.2">
      <c r="AL7758" s="177"/>
    </row>
    <row r="7759" spans="38:38" x14ac:dyDescent="0.2">
      <c r="AL7759" s="177"/>
    </row>
    <row r="7760" spans="38:38" x14ac:dyDescent="0.2">
      <c r="AL7760" s="177"/>
    </row>
    <row r="7761" spans="38:38" x14ac:dyDescent="0.2">
      <c r="AL7761" s="177"/>
    </row>
    <row r="7762" spans="38:38" x14ac:dyDescent="0.2">
      <c r="AL7762" s="177"/>
    </row>
    <row r="7763" spans="38:38" x14ac:dyDescent="0.2">
      <c r="AL7763" s="177"/>
    </row>
    <row r="7764" spans="38:38" x14ac:dyDescent="0.2">
      <c r="AL7764" s="177"/>
    </row>
    <row r="7765" spans="38:38" x14ac:dyDescent="0.2">
      <c r="AL7765" s="177"/>
    </row>
    <row r="7766" spans="38:38" x14ac:dyDescent="0.2">
      <c r="AL7766" s="177"/>
    </row>
    <row r="7767" spans="38:38" x14ac:dyDescent="0.2">
      <c r="AL7767" s="177"/>
    </row>
    <row r="7768" spans="38:38" x14ac:dyDescent="0.2">
      <c r="AL7768" s="177"/>
    </row>
    <row r="7769" spans="38:38" x14ac:dyDescent="0.2">
      <c r="AL7769" s="177"/>
    </row>
    <row r="7770" spans="38:38" x14ac:dyDescent="0.2">
      <c r="AL7770" s="177"/>
    </row>
    <row r="7771" spans="38:38" x14ac:dyDescent="0.2">
      <c r="AL7771" s="177"/>
    </row>
    <row r="7772" spans="38:38" x14ac:dyDescent="0.2">
      <c r="AL7772" s="177"/>
    </row>
    <row r="7773" spans="38:38" x14ac:dyDescent="0.2">
      <c r="AL7773" s="177"/>
    </row>
    <row r="7774" spans="38:38" x14ac:dyDescent="0.2">
      <c r="AL7774" s="177"/>
    </row>
    <row r="7775" spans="38:38" x14ac:dyDescent="0.2">
      <c r="AL7775" s="177"/>
    </row>
    <row r="7776" spans="38:38" x14ac:dyDescent="0.2">
      <c r="AL7776" s="177"/>
    </row>
    <row r="7777" spans="38:38" x14ac:dyDescent="0.2">
      <c r="AL7777" s="177"/>
    </row>
    <row r="7778" spans="38:38" x14ac:dyDescent="0.2">
      <c r="AL7778" s="177"/>
    </row>
    <row r="7779" spans="38:38" x14ac:dyDescent="0.2">
      <c r="AL7779" s="177"/>
    </row>
    <row r="7780" spans="38:38" x14ac:dyDescent="0.2">
      <c r="AL7780" s="177"/>
    </row>
    <row r="7781" spans="38:38" x14ac:dyDescent="0.2">
      <c r="AL7781" s="177"/>
    </row>
    <row r="7782" spans="38:38" x14ac:dyDescent="0.2">
      <c r="AL7782" s="177"/>
    </row>
    <row r="7783" spans="38:38" x14ac:dyDescent="0.2">
      <c r="AL7783" s="177"/>
    </row>
    <row r="7784" spans="38:38" x14ac:dyDescent="0.2">
      <c r="AL7784" s="177"/>
    </row>
    <row r="7785" spans="38:38" x14ac:dyDescent="0.2">
      <c r="AL7785" s="177"/>
    </row>
    <row r="7786" spans="38:38" x14ac:dyDescent="0.2">
      <c r="AL7786" s="177"/>
    </row>
    <row r="7787" spans="38:38" x14ac:dyDescent="0.2">
      <c r="AL7787" s="177"/>
    </row>
    <row r="7788" spans="38:38" x14ac:dyDescent="0.2">
      <c r="AL7788" s="177"/>
    </row>
    <row r="7789" spans="38:38" x14ac:dyDescent="0.2">
      <c r="AL7789" s="177"/>
    </row>
    <row r="7790" spans="38:38" x14ac:dyDescent="0.2">
      <c r="AL7790" s="177"/>
    </row>
    <row r="7791" spans="38:38" x14ac:dyDescent="0.2">
      <c r="AL7791" s="177"/>
    </row>
    <row r="7792" spans="38:38" x14ac:dyDescent="0.2">
      <c r="AL7792" s="177"/>
    </row>
    <row r="7793" spans="38:38" x14ac:dyDescent="0.2">
      <c r="AL7793" s="177"/>
    </row>
    <row r="7794" spans="38:38" x14ac:dyDescent="0.2">
      <c r="AL7794" s="177"/>
    </row>
    <row r="7795" spans="38:38" x14ac:dyDescent="0.2">
      <c r="AL7795" s="177"/>
    </row>
    <row r="7796" spans="38:38" x14ac:dyDescent="0.2">
      <c r="AL7796" s="177"/>
    </row>
    <row r="7797" spans="38:38" x14ac:dyDescent="0.2">
      <c r="AL7797" s="177"/>
    </row>
    <row r="7798" spans="38:38" x14ac:dyDescent="0.2">
      <c r="AL7798" s="177"/>
    </row>
    <row r="7799" spans="38:38" x14ac:dyDescent="0.2">
      <c r="AL7799" s="177"/>
    </row>
    <row r="7800" spans="38:38" x14ac:dyDescent="0.2">
      <c r="AL7800" s="177"/>
    </row>
    <row r="7801" spans="38:38" x14ac:dyDescent="0.2">
      <c r="AL7801" s="177"/>
    </row>
    <row r="7802" spans="38:38" x14ac:dyDescent="0.2">
      <c r="AL7802" s="177"/>
    </row>
    <row r="7803" spans="38:38" x14ac:dyDescent="0.2">
      <c r="AL7803" s="177"/>
    </row>
    <row r="7804" spans="38:38" x14ac:dyDescent="0.2">
      <c r="AL7804" s="177"/>
    </row>
    <row r="7805" spans="38:38" x14ac:dyDescent="0.2">
      <c r="AL7805" s="177"/>
    </row>
    <row r="7806" spans="38:38" x14ac:dyDescent="0.2">
      <c r="AL7806" s="177"/>
    </row>
    <row r="7807" spans="38:38" x14ac:dyDescent="0.2">
      <c r="AL7807" s="177"/>
    </row>
    <row r="7808" spans="38:38" x14ac:dyDescent="0.2">
      <c r="AL7808" s="177"/>
    </row>
    <row r="7809" spans="38:38" x14ac:dyDescent="0.2">
      <c r="AL7809" s="177"/>
    </row>
    <row r="7810" spans="38:38" x14ac:dyDescent="0.2">
      <c r="AL7810" s="177"/>
    </row>
    <row r="7811" spans="38:38" x14ac:dyDescent="0.2">
      <c r="AL7811" s="177"/>
    </row>
    <row r="7812" spans="38:38" x14ac:dyDescent="0.2">
      <c r="AL7812" s="177"/>
    </row>
    <row r="7813" spans="38:38" x14ac:dyDescent="0.2">
      <c r="AL7813" s="177"/>
    </row>
    <row r="7814" spans="38:38" x14ac:dyDescent="0.2">
      <c r="AL7814" s="177"/>
    </row>
    <row r="7815" spans="38:38" x14ac:dyDescent="0.2">
      <c r="AL7815" s="177"/>
    </row>
    <row r="7816" spans="38:38" x14ac:dyDescent="0.2">
      <c r="AL7816" s="177"/>
    </row>
    <row r="7817" spans="38:38" x14ac:dyDescent="0.2">
      <c r="AL7817" s="177"/>
    </row>
    <row r="7818" spans="38:38" x14ac:dyDescent="0.2">
      <c r="AL7818" s="177"/>
    </row>
    <row r="7819" spans="38:38" x14ac:dyDescent="0.2">
      <c r="AL7819" s="177"/>
    </row>
    <row r="7820" spans="38:38" x14ac:dyDescent="0.2">
      <c r="AL7820" s="177"/>
    </row>
    <row r="7821" spans="38:38" x14ac:dyDescent="0.2">
      <c r="AL7821" s="177"/>
    </row>
    <row r="7822" spans="38:38" x14ac:dyDescent="0.2">
      <c r="AL7822" s="177"/>
    </row>
    <row r="7823" spans="38:38" x14ac:dyDescent="0.2">
      <c r="AL7823" s="177"/>
    </row>
    <row r="7824" spans="38:38" x14ac:dyDescent="0.2">
      <c r="AL7824" s="177"/>
    </row>
    <row r="7825" spans="38:38" x14ac:dyDescent="0.2">
      <c r="AL7825" s="177"/>
    </row>
    <row r="7826" spans="38:38" x14ac:dyDescent="0.2">
      <c r="AL7826" s="177"/>
    </row>
    <row r="7827" spans="38:38" x14ac:dyDescent="0.2">
      <c r="AL7827" s="177"/>
    </row>
    <row r="7828" spans="38:38" x14ac:dyDescent="0.2">
      <c r="AL7828" s="177"/>
    </row>
    <row r="7829" spans="38:38" x14ac:dyDescent="0.2">
      <c r="AL7829" s="177"/>
    </row>
    <row r="7830" spans="38:38" x14ac:dyDescent="0.2">
      <c r="AL7830" s="177"/>
    </row>
    <row r="7831" spans="38:38" x14ac:dyDescent="0.2">
      <c r="AL7831" s="177"/>
    </row>
    <row r="7832" spans="38:38" x14ac:dyDescent="0.2">
      <c r="AL7832" s="177"/>
    </row>
    <row r="7833" spans="38:38" x14ac:dyDescent="0.2">
      <c r="AL7833" s="177"/>
    </row>
    <row r="7834" spans="38:38" x14ac:dyDescent="0.2">
      <c r="AL7834" s="177"/>
    </row>
    <row r="7835" spans="38:38" x14ac:dyDescent="0.2">
      <c r="AL7835" s="177"/>
    </row>
    <row r="7836" spans="38:38" x14ac:dyDescent="0.2">
      <c r="AL7836" s="177"/>
    </row>
    <row r="7837" spans="38:38" x14ac:dyDescent="0.2">
      <c r="AL7837" s="177"/>
    </row>
    <row r="7838" spans="38:38" x14ac:dyDescent="0.2">
      <c r="AL7838" s="177"/>
    </row>
    <row r="7839" spans="38:38" x14ac:dyDescent="0.2">
      <c r="AL7839" s="177"/>
    </row>
    <row r="7840" spans="38:38" x14ac:dyDescent="0.2">
      <c r="AL7840" s="177"/>
    </row>
    <row r="7841" spans="38:38" x14ac:dyDescent="0.2">
      <c r="AL7841" s="177"/>
    </row>
    <row r="7842" spans="38:38" x14ac:dyDescent="0.2">
      <c r="AL7842" s="177"/>
    </row>
    <row r="7843" spans="38:38" x14ac:dyDescent="0.2">
      <c r="AL7843" s="177"/>
    </row>
    <row r="7844" spans="38:38" x14ac:dyDescent="0.2">
      <c r="AL7844" s="177"/>
    </row>
    <row r="7845" spans="38:38" x14ac:dyDescent="0.2">
      <c r="AL7845" s="177"/>
    </row>
    <row r="7846" spans="38:38" x14ac:dyDescent="0.2">
      <c r="AL7846" s="177"/>
    </row>
    <row r="7847" spans="38:38" x14ac:dyDescent="0.2">
      <c r="AL7847" s="177"/>
    </row>
    <row r="7848" spans="38:38" x14ac:dyDescent="0.2">
      <c r="AL7848" s="177"/>
    </row>
    <row r="7849" spans="38:38" x14ac:dyDescent="0.2">
      <c r="AL7849" s="177"/>
    </row>
    <row r="7850" spans="38:38" x14ac:dyDescent="0.2">
      <c r="AL7850" s="177"/>
    </row>
    <row r="7851" spans="38:38" x14ac:dyDescent="0.2">
      <c r="AL7851" s="177"/>
    </row>
    <row r="7852" spans="38:38" x14ac:dyDescent="0.2">
      <c r="AL7852" s="177"/>
    </row>
    <row r="7853" spans="38:38" x14ac:dyDescent="0.2">
      <c r="AL7853" s="177"/>
    </row>
    <row r="7854" spans="38:38" x14ac:dyDescent="0.2">
      <c r="AL7854" s="177"/>
    </row>
    <row r="7855" spans="38:38" x14ac:dyDescent="0.2">
      <c r="AL7855" s="177"/>
    </row>
    <row r="7856" spans="38:38" x14ac:dyDescent="0.2">
      <c r="AL7856" s="177"/>
    </row>
    <row r="7857" spans="38:38" x14ac:dyDescent="0.2">
      <c r="AL7857" s="177"/>
    </row>
    <row r="7858" spans="38:38" x14ac:dyDescent="0.2">
      <c r="AL7858" s="177"/>
    </row>
    <row r="7859" spans="38:38" x14ac:dyDescent="0.2">
      <c r="AL7859" s="177"/>
    </row>
    <row r="7860" spans="38:38" x14ac:dyDescent="0.2">
      <c r="AL7860" s="177"/>
    </row>
    <row r="7861" spans="38:38" x14ac:dyDescent="0.2">
      <c r="AL7861" s="177"/>
    </row>
    <row r="7862" spans="38:38" x14ac:dyDescent="0.2">
      <c r="AL7862" s="177"/>
    </row>
    <row r="7863" spans="38:38" x14ac:dyDescent="0.2">
      <c r="AL7863" s="177"/>
    </row>
    <row r="7864" spans="38:38" x14ac:dyDescent="0.2">
      <c r="AL7864" s="177"/>
    </row>
    <row r="7865" spans="38:38" x14ac:dyDescent="0.2">
      <c r="AL7865" s="177"/>
    </row>
    <row r="7866" spans="38:38" x14ac:dyDescent="0.2">
      <c r="AL7866" s="177"/>
    </row>
    <row r="7867" spans="38:38" x14ac:dyDescent="0.2">
      <c r="AL7867" s="177"/>
    </row>
    <row r="7868" spans="38:38" x14ac:dyDescent="0.2">
      <c r="AL7868" s="177"/>
    </row>
    <row r="7869" spans="38:38" x14ac:dyDescent="0.2">
      <c r="AL7869" s="177"/>
    </row>
    <row r="7870" spans="38:38" x14ac:dyDescent="0.2">
      <c r="AL7870" s="177"/>
    </row>
    <row r="7871" spans="38:38" x14ac:dyDescent="0.2">
      <c r="AL7871" s="177"/>
    </row>
    <row r="7872" spans="38:38" x14ac:dyDescent="0.2">
      <c r="AL7872" s="177"/>
    </row>
    <row r="7873" spans="38:38" x14ac:dyDescent="0.2">
      <c r="AL7873" s="177"/>
    </row>
    <row r="7874" spans="38:38" x14ac:dyDescent="0.2">
      <c r="AL7874" s="177"/>
    </row>
    <row r="7875" spans="38:38" x14ac:dyDescent="0.2">
      <c r="AL7875" s="177"/>
    </row>
    <row r="7876" spans="38:38" x14ac:dyDescent="0.2">
      <c r="AL7876" s="177"/>
    </row>
    <row r="7877" spans="38:38" x14ac:dyDescent="0.2">
      <c r="AL7877" s="177"/>
    </row>
    <row r="7878" spans="38:38" x14ac:dyDescent="0.2">
      <c r="AL7878" s="177"/>
    </row>
    <row r="7879" spans="38:38" x14ac:dyDescent="0.2">
      <c r="AL7879" s="177"/>
    </row>
    <row r="7880" spans="38:38" x14ac:dyDescent="0.2">
      <c r="AL7880" s="177"/>
    </row>
    <row r="7881" spans="38:38" x14ac:dyDescent="0.2">
      <c r="AL7881" s="177"/>
    </row>
    <row r="7882" spans="38:38" x14ac:dyDescent="0.2">
      <c r="AL7882" s="177"/>
    </row>
    <row r="7883" spans="38:38" x14ac:dyDescent="0.2">
      <c r="AL7883" s="177"/>
    </row>
    <row r="7884" spans="38:38" x14ac:dyDescent="0.2">
      <c r="AL7884" s="177"/>
    </row>
    <row r="7885" spans="38:38" x14ac:dyDescent="0.2">
      <c r="AL7885" s="177"/>
    </row>
    <row r="7886" spans="38:38" x14ac:dyDescent="0.2">
      <c r="AL7886" s="177"/>
    </row>
    <row r="7887" spans="38:38" x14ac:dyDescent="0.2">
      <c r="AL7887" s="177"/>
    </row>
    <row r="7888" spans="38:38" x14ac:dyDescent="0.2">
      <c r="AL7888" s="177"/>
    </row>
    <row r="7889" spans="38:38" x14ac:dyDescent="0.2">
      <c r="AL7889" s="177"/>
    </row>
    <row r="7890" spans="38:38" x14ac:dyDescent="0.2">
      <c r="AL7890" s="177"/>
    </row>
    <row r="7891" spans="38:38" x14ac:dyDescent="0.2">
      <c r="AL7891" s="177"/>
    </row>
    <row r="7892" spans="38:38" x14ac:dyDescent="0.2">
      <c r="AL7892" s="177"/>
    </row>
    <row r="7893" spans="38:38" x14ac:dyDescent="0.2">
      <c r="AL7893" s="177"/>
    </row>
    <row r="7894" spans="38:38" x14ac:dyDescent="0.2">
      <c r="AL7894" s="177"/>
    </row>
    <row r="7895" spans="38:38" x14ac:dyDescent="0.2">
      <c r="AL7895" s="177"/>
    </row>
    <row r="7896" spans="38:38" x14ac:dyDescent="0.2">
      <c r="AL7896" s="177"/>
    </row>
    <row r="7897" spans="38:38" x14ac:dyDescent="0.2">
      <c r="AL7897" s="177"/>
    </row>
    <row r="7898" spans="38:38" x14ac:dyDescent="0.2">
      <c r="AL7898" s="177"/>
    </row>
    <row r="7899" spans="38:38" x14ac:dyDescent="0.2">
      <c r="AL7899" s="177"/>
    </row>
    <row r="7900" spans="38:38" x14ac:dyDescent="0.2">
      <c r="AL7900" s="177"/>
    </row>
    <row r="7901" spans="38:38" x14ac:dyDescent="0.2">
      <c r="AL7901" s="177"/>
    </row>
    <row r="7902" spans="38:38" x14ac:dyDescent="0.2">
      <c r="AL7902" s="177"/>
    </row>
    <row r="7903" spans="38:38" x14ac:dyDescent="0.2">
      <c r="AL7903" s="177"/>
    </row>
    <row r="7904" spans="38:38" x14ac:dyDescent="0.2">
      <c r="AL7904" s="177"/>
    </row>
    <row r="7905" spans="38:38" x14ac:dyDescent="0.2">
      <c r="AL7905" s="177"/>
    </row>
    <row r="7906" spans="38:38" x14ac:dyDescent="0.2">
      <c r="AL7906" s="177"/>
    </row>
    <row r="7907" spans="38:38" x14ac:dyDescent="0.2">
      <c r="AL7907" s="177"/>
    </row>
    <row r="7908" spans="38:38" x14ac:dyDescent="0.2">
      <c r="AL7908" s="177"/>
    </row>
    <row r="7909" spans="38:38" x14ac:dyDescent="0.2">
      <c r="AL7909" s="177"/>
    </row>
    <row r="7910" spans="38:38" x14ac:dyDescent="0.2">
      <c r="AL7910" s="177"/>
    </row>
    <row r="7911" spans="38:38" x14ac:dyDescent="0.2">
      <c r="AL7911" s="177"/>
    </row>
    <row r="7912" spans="38:38" x14ac:dyDescent="0.2">
      <c r="AL7912" s="177"/>
    </row>
    <row r="7913" spans="38:38" x14ac:dyDescent="0.2">
      <c r="AL7913" s="177"/>
    </row>
    <row r="7914" spans="38:38" x14ac:dyDescent="0.2">
      <c r="AL7914" s="177"/>
    </row>
    <row r="7915" spans="38:38" x14ac:dyDescent="0.2">
      <c r="AL7915" s="177"/>
    </row>
    <row r="7916" spans="38:38" x14ac:dyDescent="0.2">
      <c r="AL7916" s="177"/>
    </row>
    <row r="7917" spans="38:38" x14ac:dyDescent="0.2">
      <c r="AL7917" s="177"/>
    </row>
    <row r="7918" spans="38:38" x14ac:dyDescent="0.2">
      <c r="AL7918" s="177"/>
    </row>
    <row r="7919" spans="38:38" x14ac:dyDescent="0.2">
      <c r="AL7919" s="177"/>
    </row>
    <row r="7920" spans="38:38" x14ac:dyDescent="0.2">
      <c r="AL7920" s="177"/>
    </row>
    <row r="7921" spans="38:38" x14ac:dyDescent="0.2">
      <c r="AL7921" s="177"/>
    </row>
    <row r="7922" spans="38:38" x14ac:dyDescent="0.2">
      <c r="AL7922" s="177"/>
    </row>
    <row r="7923" spans="38:38" x14ac:dyDescent="0.2">
      <c r="AL7923" s="177"/>
    </row>
    <row r="7924" spans="38:38" x14ac:dyDescent="0.2">
      <c r="AL7924" s="177"/>
    </row>
    <row r="7925" spans="38:38" x14ac:dyDescent="0.2">
      <c r="AL7925" s="177"/>
    </row>
    <row r="7926" spans="38:38" x14ac:dyDescent="0.2">
      <c r="AL7926" s="177"/>
    </row>
    <row r="7927" spans="38:38" x14ac:dyDescent="0.2">
      <c r="AL7927" s="177"/>
    </row>
    <row r="7928" spans="38:38" x14ac:dyDescent="0.2">
      <c r="AL7928" s="177"/>
    </row>
    <row r="7929" spans="38:38" x14ac:dyDescent="0.2">
      <c r="AL7929" s="177"/>
    </row>
    <row r="7930" spans="38:38" x14ac:dyDescent="0.2">
      <c r="AL7930" s="177"/>
    </row>
    <row r="7931" spans="38:38" x14ac:dyDescent="0.2">
      <c r="AL7931" s="177"/>
    </row>
    <row r="7932" spans="38:38" x14ac:dyDescent="0.2">
      <c r="AL7932" s="177"/>
    </row>
    <row r="7933" spans="38:38" x14ac:dyDescent="0.2">
      <c r="AL7933" s="177"/>
    </row>
    <row r="7934" spans="38:38" x14ac:dyDescent="0.2">
      <c r="AL7934" s="177"/>
    </row>
    <row r="7935" spans="38:38" x14ac:dyDescent="0.2">
      <c r="AL7935" s="177"/>
    </row>
    <row r="7936" spans="38:38" x14ac:dyDescent="0.2">
      <c r="AL7936" s="177"/>
    </row>
    <row r="7937" spans="38:38" x14ac:dyDescent="0.2">
      <c r="AL7937" s="177"/>
    </row>
    <row r="7938" spans="38:38" x14ac:dyDescent="0.2">
      <c r="AL7938" s="177"/>
    </row>
    <row r="7939" spans="38:38" x14ac:dyDescent="0.2">
      <c r="AL7939" s="177"/>
    </row>
    <row r="7940" spans="38:38" x14ac:dyDescent="0.2">
      <c r="AL7940" s="177"/>
    </row>
    <row r="7941" spans="38:38" x14ac:dyDescent="0.2">
      <c r="AL7941" s="177"/>
    </row>
    <row r="7942" spans="38:38" x14ac:dyDescent="0.2">
      <c r="AL7942" s="177"/>
    </row>
    <row r="7943" spans="38:38" x14ac:dyDescent="0.2">
      <c r="AL7943" s="177"/>
    </row>
    <row r="7944" spans="38:38" x14ac:dyDescent="0.2">
      <c r="AL7944" s="177"/>
    </row>
    <row r="7945" spans="38:38" x14ac:dyDescent="0.2">
      <c r="AL7945" s="177"/>
    </row>
    <row r="7946" spans="38:38" x14ac:dyDescent="0.2">
      <c r="AL7946" s="177"/>
    </row>
    <row r="7947" spans="38:38" x14ac:dyDescent="0.2">
      <c r="AL7947" s="177"/>
    </row>
    <row r="7948" spans="38:38" x14ac:dyDescent="0.2">
      <c r="AL7948" s="177"/>
    </row>
    <row r="7949" spans="38:38" x14ac:dyDescent="0.2">
      <c r="AL7949" s="177"/>
    </row>
    <row r="7950" spans="38:38" x14ac:dyDescent="0.2">
      <c r="AL7950" s="177"/>
    </row>
    <row r="7951" spans="38:38" x14ac:dyDescent="0.2">
      <c r="AL7951" s="177"/>
    </row>
    <row r="7952" spans="38:38" x14ac:dyDescent="0.2">
      <c r="AL7952" s="177"/>
    </row>
    <row r="7953" spans="38:38" x14ac:dyDescent="0.2">
      <c r="AL7953" s="177"/>
    </row>
    <row r="7954" spans="38:38" x14ac:dyDescent="0.2">
      <c r="AL7954" s="177"/>
    </row>
    <row r="7955" spans="38:38" x14ac:dyDescent="0.2">
      <c r="AL7955" s="177"/>
    </row>
    <row r="7956" spans="38:38" x14ac:dyDescent="0.2">
      <c r="AL7956" s="177"/>
    </row>
    <row r="7957" spans="38:38" x14ac:dyDescent="0.2">
      <c r="AL7957" s="177"/>
    </row>
    <row r="7958" spans="38:38" x14ac:dyDescent="0.2">
      <c r="AL7958" s="177"/>
    </row>
    <row r="7959" spans="38:38" x14ac:dyDescent="0.2">
      <c r="AL7959" s="177"/>
    </row>
    <row r="7960" spans="38:38" x14ac:dyDescent="0.2">
      <c r="AL7960" s="177"/>
    </row>
    <row r="7961" spans="38:38" x14ac:dyDescent="0.2">
      <c r="AL7961" s="177"/>
    </row>
    <row r="7962" spans="38:38" x14ac:dyDescent="0.2">
      <c r="AL7962" s="177"/>
    </row>
    <row r="7963" spans="38:38" x14ac:dyDescent="0.2">
      <c r="AL7963" s="177"/>
    </row>
    <row r="7964" spans="38:38" x14ac:dyDescent="0.2">
      <c r="AL7964" s="177"/>
    </row>
    <row r="7965" spans="38:38" x14ac:dyDescent="0.2">
      <c r="AL7965" s="177"/>
    </row>
    <row r="7966" spans="38:38" x14ac:dyDescent="0.2">
      <c r="AL7966" s="177"/>
    </row>
    <row r="7967" spans="38:38" x14ac:dyDescent="0.2">
      <c r="AL7967" s="177"/>
    </row>
    <row r="7968" spans="38:38" x14ac:dyDescent="0.2">
      <c r="AL7968" s="177"/>
    </row>
    <row r="7969" spans="38:38" x14ac:dyDescent="0.2">
      <c r="AL7969" s="177"/>
    </row>
    <row r="7970" spans="38:38" x14ac:dyDescent="0.2">
      <c r="AL7970" s="177"/>
    </row>
    <row r="7971" spans="38:38" x14ac:dyDescent="0.2">
      <c r="AL7971" s="177"/>
    </row>
    <row r="7972" spans="38:38" x14ac:dyDescent="0.2">
      <c r="AL7972" s="177"/>
    </row>
    <row r="7973" spans="38:38" x14ac:dyDescent="0.2">
      <c r="AL7973" s="177"/>
    </row>
    <row r="7974" spans="38:38" x14ac:dyDescent="0.2">
      <c r="AL7974" s="177"/>
    </row>
    <row r="7975" spans="38:38" x14ac:dyDescent="0.2">
      <c r="AL7975" s="177"/>
    </row>
    <row r="7976" spans="38:38" x14ac:dyDescent="0.2">
      <c r="AL7976" s="177"/>
    </row>
    <row r="7977" spans="38:38" x14ac:dyDescent="0.2">
      <c r="AL7977" s="177"/>
    </row>
    <row r="7978" spans="38:38" x14ac:dyDescent="0.2">
      <c r="AL7978" s="177"/>
    </row>
    <row r="7979" spans="38:38" x14ac:dyDescent="0.2">
      <c r="AL7979" s="177"/>
    </row>
    <row r="7980" spans="38:38" x14ac:dyDescent="0.2">
      <c r="AL7980" s="177"/>
    </row>
    <row r="7981" spans="38:38" x14ac:dyDescent="0.2">
      <c r="AL7981" s="177"/>
    </row>
    <row r="7982" spans="38:38" x14ac:dyDescent="0.2">
      <c r="AL7982" s="177"/>
    </row>
    <row r="7983" spans="38:38" x14ac:dyDescent="0.2">
      <c r="AL7983" s="177"/>
    </row>
    <row r="7984" spans="38:38" x14ac:dyDescent="0.2">
      <c r="AL7984" s="177"/>
    </row>
    <row r="7985" spans="38:38" x14ac:dyDescent="0.2">
      <c r="AL7985" s="177"/>
    </row>
    <row r="7986" spans="38:38" x14ac:dyDescent="0.2">
      <c r="AL7986" s="177"/>
    </row>
    <row r="7987" spans="38:38" x14ac:dyDescent="0.2">
      <c r="AL7987" s="177"/>
    </row>
    <row r="7988" spans="38:38" x14ac:dyDescent="0.2">
      <c r="AL7988" s="177"/>
    </row>
    <row r="7989" spans="38:38" x14ac:dyDescent="0.2">
      <c r="AL7989" s="177"/>
    </row>
    <row r="7990" spans="38:38" x14ac:dyDescent="0.2">
      <c r="AL7990" s="177"/>
    </row>
    <row r="7991" spans="38:38" x14ac:dyDescent="0.2">
      <c r="AL7991" s="177"/>
    </row>
    <row r="7992" spans="38:38" x14ac:dyDescent="0.2">
      <c r="AL7992" s="177"/>
    </row>
    <row r="7993" spans="38:38" x14ac:dyDescent="0.2">
      <c r="AL7993" s="177"/>
    </row>
    <row r="7994" spans="38:38" x14ac:dyDescent="0.2">
      <c r="AL7994" s="177"/>
    </row>
    <row r="7995" spans="38:38" x14ac:dyDescent="0.2">
      <c r="AL7995" s="177"/>
    </row>
    <row r="7996" spans="38:38" x14ac:dyDescent="0.2">
      <c r="AL7996" s="177"/>
    </row>
    <row r="7997" spans="38:38" x14ac:dyDescent="0.2">
      <c r="AL7997" s="177"/>
    </row>
    <row r="7998" spans="38:38" x14ac:dyDescent="0.2">
      <c r="AL7998" s="177"/>
    </row>
    <row r="7999" spans="38:38" x14ac:dyDescent="0.2">
      <c r="AL7999" s="177"/>
    </row>
    <row r="8000" spans="38:38" x14ac:dyDescent="0.2">
      <c r="AL8000" s="177"/>
    </row>
    <row r="8001" spans="38:38" x14ac:dyDescent="0.2">
      <c r="AL8001" s="177"/>
    </row>
    <row r="8002" spans="38:38" x14ac:dyDescent="0.2">
      <c r="AL8002" s="177"/>
    </row>
    <row r="8003" spans="38:38" x14ac:dyDescent="0.2">
      <c r="AL8003" s="177"/>
    </row>
    <row r="8004" spans="38:38" x14ac:dyDescent="0.2">
      <c r="AL8004" s="177"/>
    </row>
    <row r="8005" spans="38:38" x14ac:dyDescent="0.2">
      <c r="AL8005" s="177"/>
    </row>
    <row r="8006" spans="38:38" x14ac:dyDescent="0.2">
      <c r="AL8006" s="177"/>
    </row>
    <row r="8007" spans="38:38" x14ac:dyDescent="0.2">
      <c r="AL8007" s="177"/>
    </row>
    <row r="8008" spans="38:38" x14ac:dyDescent="0.2">
      <c r="AL8008" s="177"/>
    </row>
    <row r="8009" spans="38:38" x14ac:dyDescent="0.2">
      <c r="AL8009" s="177"/>
    </row>
    <row r="8010" spans="38:38" x14ac:dyDescent="0.2">
      <c r="AL8010" s="177"/>
    </row>
    <row r="8011" spans="38:38" x14ac:dyDescent="0.2">
      <c r="AL8011" s="177"/>
    </row>
    <row r="8012" spans="38:38" x14ac:dyDescent="0.2">
      <c r="AL8012" s="177"/>
    </row>
    <row r="8013" spans="38:38" x14ac:dyDescent="0.2">
      <c r="AL8013" s="177"/>
    </row>
    <row r="8014" spans="38:38" x14ac:dyDescent="0.2">
      <c r="AL8014" s="177"/>
    </row>
    <row r="8015" spans="38:38" x14ac:dyDescent="0.2">
      <c r="AL8015" s="177"/>
    </row>
    <row r="8016" spans="38:38" x14ac:dyDescent="0.2">
      <c r="AL8016" s="177"/>
    </row>
    <row r="8017" spans="38:38" x14ac:dyDescent="0.2">
      <c r="AL8017" s="177"/>
    </row>
    <row r="8018" spans="38:38" x14ac:dyDescent="0.2">
      <c r="AL8018" s="177"/>
    </row>
    <row r="8019" spans="38:38" x14ac:dyDescent="0.2">
      <c r="AL8019" s="177"/>
    </row>
    <row r="8020" spans="38:38" x14ac:dyDescent="0.2">
      <c r="AL8020" s="177"/>
    </row>
    <row r="8021" spans="38:38" x14ac:dyDescent="0.2">
      <c r="AL8021" s="177"/>
    </row>
    <row r="8022" spans="38:38" x14ac:dyDescent="0.2">
      <c r="AL8022" s="177"/>
    </row>
    <row r="8023" spans="38:38" x14ac:dyDescent="0.2">
      <c r="AL8023" s="177"/>
    </row>
    <row r="8024" spans="38:38" x14ac:dyDescent="0.2">
      <c r="AL8024" s="177"/>
    </row>
    <row r="8025" spans="38:38" x14ac:dyDescent="0.2">
      <c r="AL8025" s="177"/>
    </row>
    <row r="8026" spans="38:38" x14ac:dyDescent="0.2">
      <c r="AL8026" s="177"/>
    </row>
    <row r="8027" spans="38:38" x14ac:dyDescent="0.2">
      <c r="AL8027" s="177"/>
    </row>
    <row r="8028" spans="38:38" x14ac:dyDescent="0.2">
      <c r="AL8028" s="177"/>
    </row>
    <row r="8029" spans="38:38" x14ac:dyDescent="0.2">
      <c r="AL8029" s="177"/>
    </row>
    <row r="8030" spans="38:38" x14ac:dyDescent="0.2">
      <c r="AL8030" s="177"/>
    </row>
    <row r="8031" spans="38:38" x14ac:dyDescent="0.2">
      <c r="AL8031" s="177"/>
    </row>
    <row r="8032" spans="38:38" x14ac:dyDescent="0.2">
      <c r="AL8032" s="177"/>
    </row>
    <row r="8033" spans="38:38" x14ac:dyDescent="0.2">
      <c r="AL8033" s="177"/>
    </row>
    <row r="8034" spans="38:38" x14ac:dyDescent="0.2">
      <c r="AL8034" s="177"/>
    </row>
    <row r="8035" spans="38:38" x14ac:dyDescent="0.2">
      <c r="AL8035" s="177"/>
    </row>
    <row r="8036" spans="38:38" x14ac:dyDescent="0.2">
      <c r="AL8036" s="177"/>
    </row>
    <row r="8037" spans="38:38" x14ac:dyDescent="0.2">
      <c r="AL8037" s="177"/>
    </row>
    <row r="8038" spans="38:38" x14ac:dyDescent="0.2">
      <c r="AL8038" s="177"/>
    </row>
    <row r="8039" spans="38:38" x14ac:dyDescent="0.2">
      <c r="AL8039" s="177"/>
    </row>
    <row r="8040" spans="38:38" x14ac:dyDescent="0.2">
      <c r="AL8040" s="177"/>
    </row>
    <row r="8041" spans="38:38" x14ac:dyDescent="0.2">
      <c r="AL8041" s="177"/>
    </row>
    <row r="8042" spans="38:38" x14ac:dyDescent="0.2">
      <c r="AL8042" s="177"/>
    </row>
    <row r="8043" spans="38:38" x14ac:dyDescent="0.2">
      <c r="AL8043" s="177"/>
    </row>
    <row r="8044" spans="38:38" x14ac:dyDescent="0.2">
      <c r="AL8044" s="177"/>
    </row>
    <row r="8045" spans="38:38" x14ac:dyDescent="0.2">
      <c r="AL8045" s="177"/>
    </row>
    <row r="8046" spans="38:38" x14ac:dyDescent="0.2">
      <c r="AL8046" s="177"/>
    </row>
    <row r="8047" spans="38:38" x14ac:dyDescent="0.2">
      <c r="AL8047" s="177"/>
    </row>
    <row r="8048" spans="38:38" x14ac:dyDescent="0.2">
      <c r="AL8048" s="177"/>
    </row>
    <row r="8049" spans="38:38" x14ac:dyDescent="0.2">
      <c r="AL8049" s="177"/>
    </row>
    <row r="8050" spans="38:38" x14ac:dyDescent="0.2">
      <c r="AL8050" s="177"/>
    </row>
    <row r="8051" spans="38:38" x14ac:dyDescent="0.2">
      <c r="AL8051" s="177"/>
    </row>
    <row r="8052" spans="38:38" x14ac:dyDescent="0.2">
      <c r="AL8052" s="177"/>
    </row>
    <row r="8053" spans="38:38" x14ac:dyDescent="0.2">
      <c r="AL8053" s="177"/>
    </row>
    <row r="8054" spans="38:38" x14ac:dyDescent="0.2">
      <c r="AL8054" s="177"/>
    </row>
    <row r="8055" spans="38:38" x14ac:dyDescent="0.2">
      <c r="AL8055" s="177"/>
    </row>
    <row r="8056" spans="38:38" x14ac:dyDescent="0.2">
      <c r="AL8056" s="177"/>
    </row>
    <row r="8057" spans="38:38" x14ac:dyDescent="0.2">
      <c r="AL8057" s="177"/>
    </row>
    <row r="8058" spans="38:38" x14ac:dyDescent="0.2">
      <c r="AL8058" s="177"/>
    </row>
    <row r="8059" spans="38:38" x14ac:dyDescent="0.2">
      <c r="AL8059" s="177"/>
    </row>
    <row r="8060" spans="38:38" x14ac:dyDescent="0.2">
      <c r="AL8060" s="177"/>
    </row>
    <row r="8061" spans="38:38" x14ac:dyDescent="0.2">
      <c r="AL8061" s="177"/>
    </row>
    <row r="8062" spans="38:38" x14ac:dyDescent="0.2">
      <c r="AL8062" s="177"/>
    </row>
    <row r="8063" spans="38:38" x14ac:dyDescent="0.2">
      <c r="AL8063" s="177"/>
    </row>
    <row r="8064" spans="38:38" x14ac:dyDescent="0.2">
      <c r="AL8064" s="177"/>
    </row>
    <row r="8065" spans="38:38" x14ac:dyDescent="0.2">
      <c r="AL8065" s="177"/>
    </row>
    <row r="8066" spans="38:38" x14ac:dyDescent="0.2">
      <c r="AL8066" s="177"/>
    </row>
    <row r="8067" spans="38:38" x14ac:dyDescent="0.2">
      <c r="AL8067" s="177"/>
    </row>
    <row r="8068" spans="38:38" x14ac:dyDescent="0.2">
      <c r="AL8068" s="177"/>
    </row>
    <row r="8069" spans="38:38" x14ac:dyDescent="0.2">
      <c r="AL8069" s="177"/>
    </row>
    <row r="8070" spans="38:38" x14ac:dyDescent="0.2">
      <c r="AL8070" s="177"/>
    </row>
    <row r="8071" spans="38:38" x14ac:dyDescent="0.2">
      <c r="AL8071" s="177"/>
    </row>
    <row r="8072" spans="38:38" x14ac:dyDescent="0.2">
      <c r="AL8072" s="177"/>
    </row>
    <row r="8073" spans="38:38" x14ac:dyDescent="0.2">
      <c r="AL8073" s="177"/>
    </row>
    <row r="8074" spans="38:38" x14ac:dyDescent="0.2">
      <c r="AL8074" s="177"/>
    </row>
    <row r="8075" spans="38:38" x14ac:dyDescent="0.2">
      <c r="AL8075" s="177"/>
    </row>
    <row r="8076" spans="38:38" x14ac:dyDescent="0.2">
      <c r="AL8076" s="177"/>
    </row>
    <row r="8077" spans="38:38" x14ac:dyDescent="0.2">
      <c r="AL8077" s="177"/>
    </row>
    <row r="8078" spans="38:38" x14ac:dyDescent="0.2">
      <c r="AL8078" s="177"/>
    </row>
    <row r="8079" spans="38:38" x14ac:dyDescent="0.2">
      <c r="AL8079" s="177"/>
    </row>
    <row r="8080" spans="38:38" x14ac:dyDescent="0.2">
      <c r="AL8080" s="177"/>
    </row>
    <row r="8081" spans="38:38" x14ac:dyDescent="0.2">
      <c r="AL8081" s="177"/>
    </row>
    <row r="8082" spans="38:38" x14ac:dyDescent="0.2">
      <c r="AL8082" s="177"/>
    </row>
    <row r="8083" spans="38:38" x14ac:dyDescent="0.2">
      <c r="AL8083" s="177"/>
    </row>
    <row r="8084" spans="38:38" x14ac:dyDescent="0.2">
      <c r="AL8084" s="177"/>
    </row>
    <row r="8085" spans="38:38" x14ac:dyDescent="0.2">
      <c r="AL8085" s="177"/>
    </row>
    <row r="8086" spans="38:38" x14ac:dyDescent="0.2">
      <c r="AL8086" s="177"/>
    </row>
    <row r="8087" spans="38:38" x14ac:dyDescent="0.2">
      <c r="AL8087" s="177"/>
    </row>
    <row r="8088" spans="38:38" x14ac:dyDescent="0.2">
      <c r="AL8088" s="177"/>
    </row>
    <row r="8089" spans="38:38" x14ac:dyDescent="0.2">
      <c r="AL8089" s="177"/>
    </row>
    <row r="8090" spans="38:38" x14ac:dyDescent="0.2">
      <c r="AL8090" s="177"/>
    </row>
    <row r="8091" spans="38:38" x14ac:dyDescent="0.2">
      <c r="AL8091" s="177"/>
    </row>
    <row r="8092" spans="38:38" x14ac:dyDescent="0.2">
      <c r="AL8092" s="177"/>
    </row>
    <row r="8093" spans="38:38" x14ac:dyDescent="0.2">
      <c r="AL8093" s="177"/>
    </row>
    <row r="8094" spans="38:38" x14ac:dyDescent="0.2">
      <c r="AL8094" s="177"/>
    </row>
    <row r="8095" spans="38:38" x14ac:dyDescent="0.2">
      <c r="AL8095" s="177"/>
    </row>
    <row r="8096" spans="38:38" x14ac:dyDescent="0.2">
      <c r="AL8096" s="177"/>
    </row>
    <row r="8097" spans="38:38" x14ac:dyDescent="0.2">
      <c r="AL8097" s="177"/>
    </row>
    <row r="8098" spans="38:38" x14ac:dyDescent="0.2">
      <c r="AL8098" s="177"/>
    </row>
    <row r="8099" spans="38:38" x14ac:dyDescent="0.2">
      <c r="AL8099" s="177"/>
    </row>
    <row r="8100" spans="38:38" x14ac:dyDescent="0.2">
      <c r="AL8100" s="177"/>
    </row>
    <row r="8101" spans="38:38" x14ac:dyDescent="0.2">
      <c r="AL8101" s="177"/>
    </row>
    <row r="8102" spans="38:38" x14ac:dyDescent="0.2">
      <c r="AL8102" s="177"/>
    </row>
    <row r="8103" spans="38:38" x14ac:dyDescent="0.2">
      <c r="AL8103" s="177"/>
    </row>
    <row r="8104" spans="38:38" x14ac:dyDescent="0.2">
      <c r="AL8104" s="177"/>
    </row>
    <row r="8105" spans="38:38" x14ac:dyDescent="0.2">
      <c r="AL8105" s="177"/>
    </row>
    <row r="8106" spans="38:38" x14ac:dyDescent="0.2">
      <c r="AL8106" s="177"/>
    </row>
    <row r="8107" spans="38:38" x14ac:dyDescent="0.2">
      <c r="AL8107" s="177"/>
    </row>
    <row r="8108" spans="38:38" x14ac:dyDescent="0.2">
      <c r="AL8108" s="177"/>
    </row>
    <row r="8109" spans="38:38" x14ac:dyDescent="0.2">
      <c r="AL8109" s="177"/>
    </row>
    <row r="8110" spans="38:38" x14ac:dyDescent="0.2">
      <c r="AL8110" s="177"/>
    </row>
    <row r="8111" spans="38:38" x14ac:dyDescent="0.2">
      <c r="AL8111" s="177"/>
    </row>
    <row r="8112" spans="38:38" x14ac:dyDescent="0.2">
      <c r="AL8112" s="177"/>
    </row>
    <row r="8113" spans="38:38" x14ac:dyDescent="0.2">
      <c r="AL8113" s="177"/>
    </row>
    <row r="8114" spans="38:38" x14ac:dyDescent="0.2">
      <c r="AL8114" s="177"/>
    </row>
    <row r="8115" spans="38:38" x14ac:dyDescent="0.2">
      <c r="AL8115" s="177"/>
    </row>
    <row r="8116" spans="38:38" x14ac:dyDescent="0.2">
      <c r="AL8116" s="177"/>
    </row>
    <row r="8117" spans="38:38" x14ac:dyDescent="0.2">
      <c r="AL8117" s="177"/>
    </row>
    <row r="8118" spans="38:38" x14ac:dyDescent="0.2">
      <c r="AL8118" s="177"/>
    </row>
    <row r="8119" spans="38:38" x14ac:dyDescent="0.2">
      <c r="AL8119" s="177"/>
    </row>
    <row r="8120" spans="38:38" x14ac:dyDescent="0.2">
      <c r="AL8120" s="177"/>
    </row>
    <row r="8121" spans="38:38" x14ac:dyDescent="0.2">
      <c r="AL8121" s="177"/>
    </row>
    <row r="8122" spans="38:38" x14ac:dyDescent="0.2">
      <c r="AL8122" s="177"/>
    </row>
    <row r="8123" spans="38:38" x14ac:dyDescent="0.2">
      <c r="AL8123" s="177"/>
    </row>
    <row r="8124" spans="38:38" x14ac:dyDescent="0.2">
      <c r="AL8124" s="177"/>
    </row>
    <row r="8125" spans="38:38" x14ac:dyDescent="0.2">
      <c r="AL8125" s="177"/>
    </row>
    <row r="8126" spans="38:38" x14ac:dyDescent="0.2">
      <c r="AL8126" s="177"/>
    </row>
    <row r="8127" spans="38:38" x14ac:dyDescent="0.2">
      <c r="AL8127" s="177"/>
    </row>
    <row r="8128" spans="38:38" x14ac:dyDescent="0.2">
      <c r="AL8128" s="177"/>
    </row>
    <row r="8129" spans="38:38" x14ac:dyDescent="0.2">
      <c r="AL8129" s="177"/>
    </row>
    <row r="8130" spans="38:38" x14ac:dyDescent="0.2">
      <c r="AL8130" s="177"/>
    </row>
    <row r="8131" spans="38:38" x14ac:dyDescent="0.2">
      <c r="AL8131" s="177"/>
    </row>
    <row r="8132" spans="38:38" x14ac:dyDescent="0.2">
      <c r="AL8132" s="177"/>
    </row>
    <row r="8133" spans="38:38" x14ac:dyDescent="0.2">
      <c r="AL8133" s="177"/>
    </row>
    <row r="8134" spans="38:38" x14ac:dyDescent="0.2">
      <c r="AL8134" s="177"/>
    </row>
    <row r="8135" spans="38:38" x14ac:dyDescent="0.2">
      <c r="AL8135" s="177"/>
    </row>
    <row r="8136" spans="38:38" x14ac:dyDescent="0.2">
      <c r="AL8136" s="177"/>
    </row>
    <row r="8137" spans="38:38" x14ac:dyDescent="0.2">
      <c r="AL8137" s="177"/>
    </row>
    <row r="8138" spans="38:38" x14ac:dyDescent="0.2">
      <c r="AL8138" s="177"/>
    </row>
    <row r="8139" spans="38:38" x14ac:dyDescent="0.2">
      <c r="AL8139" s="177"/>
    </row>
    <row r="8140" spans="38:38" x14ac:dyDescent="0.2">
      <c r="AL8140" s="177"/>
    </row>
    <row r="8141" spans="38:38" x14ac:dyDescent="0.2">
      <c r="AL8141" s="177"/>
    </row>
    <row r="8142" spans="38:38" x14ac:dyDescent="0.2">
      <c r="AL8142" s="177"/>
    </row>
    <row r="8143" spans="38:38" x14ac:dyDescent="0.2">
      <c r="AL8143" s="177"/>
    </row>
    <row r="8144" spans="38:38" x14ac:dyDescent="0.2">
      <c r="AL8144" s="177"/>
    </row>
    <row r="8145" spans="38:38" x14ac:dyDescent="0.2">
      <c r="AL8145" s="177"/>
    </row>
    <row r="8146" spans="38:38" x14ac:dyDescent="0.2">
      <c r="AL8146" s="177"/>
    </row>
    <row r="8147" spans="38:38" x14ac:dyDescent="0.2">
      <c r="AL8147" s="177"/>
    </row>
    <row r="8148" spans="38:38" x14ac:dyDescent="0.2">
      <c r="AL8148" s="177"/>
    </row>
    <row r="8149" spans="38:38" x14ac:dyDescent="0.2">
      <c r="AL8149" s="177"/>
    </row>
    <row r="8150" spans="38:38" x14ac:dyDescent="0.2">
      <c r="AL8150" s="177"/>
    </row>
    <row r="8151" spans="38:38" x14ac:dyDescent="0.2">
      <c r="AL8151" s="177"/>
    </row>
    <row r="8152" spans="38:38" x14ac:dyDescent="0.2">
      <c r="AL8152" s="177"/>
    </row>
    <row r="8153" spans="38:38" x14ac:dyDescent="0.2">
      <c r="AL8153" s="177"/>
    </row>
    <row r="8154" spans="38:38" x14ac:dyDescent="0.2">
      <c r="AL8154" s="177"/>
    </row>
    <row r="8155" spans="38:38" x14ac:dyDescent="0.2">
      <c r="AL8155" s="177"/>
    </row>
    <row r="8156" spans="38:38" x14ac:dyDescent="0.2">
      <c r="AL8156" s="177"/>
    </row>
    <row r="8157" spans="38:38" x14ac:dyDescent="0.2">
      <c r="AL8157" s="177"/>
    </row>
    <row r="8158" spans="38:38" x14ac:dyDescent="0.2">
      <c r="AL8158" s="177"/>
    </row>
    <row r="8159" spans="38:38" x14ac:dyDescent="0.2">
      <c r="AL8159" s="177"/>
    </row>
    <row r="8160" spans="38:38" x14ac:dyDescent="0.2">
      <c r="AL8160" s="177"/>
    </row>
    <row r="8161" spans="38:38" x14ac:dyDescent="0.2">
      <c r="AL8161" s="177"/>
    </row>
    <row r="8162" spans="38:38" x14ac:dyDescent="0.2">
      <c r="AL8162" s="177"/>
    </row>
    <row r="8163" spans="38:38" x14ac:dyDescent="0.2">
      <c r="AL8163" s="177"/>
    </row>
    <row r="8164" spans="38:38" x14ac:dyDescent="0.2">
      <c r="AL8164" s="177"/>
    </row>
    <row r="8165" spans="38:38" x14ac:dyDescent="0.2">
      <c r="AL8165" s="177"/>
    </row>
    <row r="8166" spans="38:38" x14ac:dyDescent="0.2">
      <c r="AL8166" s="177"/>
    </row>
    <row r="8167" spans="38:38" x14ac:dyDescent="0.2">
      <c r="AL8167" s="177"/>
    </row>
    <row r="8168" spans="38:38" x14ac:dyDescent="0.2">
      <c r="AL8168" s="177"/>
    </row>
    <row r="8169" spans="38:38" x14ac:dyDescent="0.2">
      <c r="AL8169" s="177"/>
    </row>
    <row r="8170" spans="38:38" x14ac:dyDescent="0.2">
      <c r="AL8170" s="177"/>
    </row>
    <row r="8171" spans="38:38" x14ac:dyDescent="0.2">
      <c r="AL8171" s="177"/>
    </row>
    <row r="8172" spans="38:38" x14ac:dyDescent="0.2">
      <c r="AL8172" s="177"/>
    </row>
    <row r="8173" spans="38:38" x14ac:dyDescent="0.2">
      <c r="AL8173" s="177"/>
    </row>
    <row r="8174" spans="38:38" x14ac:dyDescent="0.2">
      <c r="AL8174" s="177"/>
    </row>
    <row r="8175" spans="38:38" x14ac:dyDescent="0.2">
      <c r="AL8175" s="177"/>
    </row>
    <row r="8176" spans="38:38" x14ac:dyDescent="0.2">
      <c r="AL8176" s="177"/>
    </row>
    <row r="8177" spans="38:38" x14ac:dyDescent="0.2">
      <c r="AL8177" s="177"/>
    </row>
    <row r="8178" spans="38:38" x14ac:dyDescent="0.2">
      <c r="AL8178" s="177"/>
    </row>
    <row r="8179" spans="38:38" x14ac:dyDescent="0.2">
      <c r="AL8179" s="177"/>
    </row>
    <row r="8180" spans="38:38" x14ac:dyDescent="0.2">
      <c r="AL8180" s="177"/>
    </row>
    <row r="8181" spans="38:38" x14ac:dyDescent="0.2">
      <c r="AL8181" s="177"/>
    </row>
    <row r="8182" spans="38:38" x14ac:dyDescent="0.2">
      <c r="AL8182" s="177"/>
    </row>
    <row r="8183" spans="38:38" x14ac:dyDescent="0.2">
      <c r="AL8183" s="177"/>
    </row>
    <row r="8184" spans="38:38" x14ac:dyDescent="0.2">
      <c r="AL8184" s="177"/>
    </row>
    <row r="8185" spans="38:38" x14ac:dyDescent="0.2">
      <c r="AL8185" s="177"/>
    </row>
    <row r="8186" spans="38:38" x14ac:dyDescent="0.2">
      <c r="AL8186" s="177"/>
    </row>
    <row r="8187" spans="38:38" x14ac:dyDescent="0.2">
      <c r="AL8187" s="177"/>
    </row>
    <row r="8188" spans="38:38" x14ac:dyDescent="0.2">
      <c r="AL8188" s="177"/>
    </row>
    <row r="8189" spans="38:38" x14ac:dyDescent="0.2">
      <c r="AL8189" s="177"/>
    </row>
    <row r="8190" spans="38:38" x14ac:dyDescent="0.2">
      <c r="AL8190" s="177"/>
    </row>
    <row r="8191" spans="38:38" x14ac:dyDescent="0.2">
      <c r="AL8191" s="177"/>
    </row>
    <row r="8192" spans="38:38" x14ac:dyDescent="0.2">
      <c r="AL8192" s="177"/>
    </row>
    <row r="8193" spans="38:38" x14ac:dyDescent="0.2">
      <c r="AL8193" s="177"/>
    </row>
    <row r="8194" spans="38:38" x14ac:dyDescent="0.2">
      <c r="AL8194" s="177"/>
    </row>
    <row r="8195" spans="38:38" x14ac:dyDescent="0.2">
      <c r="AL8195" s="177"/>
    </row>
    <row r="8196" spans="38:38" x14ac:dyDescent="0.2">
      <c r="AL8196" s="177"/>
    </row>
    <row r="8197" spans="38:38" x14ac:dyDescent="0.2">
      <c r="AL8197" s="177"/>
    </row>
    <row r="8198" spans="38:38" x14ac:dyDescent="0.2">
      <c r="AL8198" s="177"/>
    </row>
    <row r="8199" spans="38:38" x14ac:dyDescent="0.2">
      <c r="AL8199" s="177"/>
    </row>
    <row r="8200" spans="38:38" x14ac:dyDescent="0.2">
      <c r="AL8200" s="177"/>
    </row>
    <row r="8201" spans="38:38" x14ac:dyDescent="0.2">
      <c r="AL8201" s="177"/>
    </row>
    <row r="8202" spans="38:38" x14ac:dyDescent="0.2">
      <c r="AL8202" s="177"/>
    </row>
    <row r="8203" spans="38:38" x14ac:dyDescent="0.2">
      <c r="AL8203" s="177"/>
    </row>
    <row r="8204" spans="38:38" x14ac:dyDescent="0.2">
      <c r="AL8204" s="177"/>
    </row>
    <row r="8205" spans="38:38" x14ac:dyDescent="0.2">
      <c r="AL8205" s="177"/>
    </row>
    <row r="8206" spans="38:38" x14ac:dyDescent="0.2">
      <c r="AL8206" s="177"/>
    </row>
    <row r="8207" spans="38:38" x14ac:dyDescent="0.2">
      <c r="AL8207" s="177"/>
    </row>
    <row r="8208" spans="38:38" x14ac:dyDescent="0.2">
      <c r="AL8208" s="177"/>
    </row>
    <row r="8209" spans="38:38" x14ac:dyDescent="0.2">
      <c r="AL8209" s="177"/>
    </row>
    <row r="8210" spans="38:38" x14ac:dyDescent="0.2">
      <c r="AL8210" s="177"/>
    </row>
    <row r="8211" spans="38:38" x14ac:dyDescent="0.2">
      <c r="AL8211" s="177"/>
    </row>
    <row r="8212" spans="38:38" x14ac:dyDescent="0.2">
      <c r="AL8212" s="177"/>
    </row>
    <row r="8213" spans="38:38" x14ac:dyDescent="0.2">
      <c r="AL8213" s="177"/>
    </row>
    <row r="8214" spans="38:38" x14ac:dyDescent="0.2">
      <c r="AL8214" s="177"/>
    </row>
    <row r="8215" spans="38:38" x14ac:dyDescent="0.2">
      <c r="AL8215" s="177"/>
    </row>
    <row r="8216" spans="38:38" x14ac:dyDescent="0.2">
      <c r="AL8216" s="177"/>
    </row>
    <row r="8217" spans="38:38" x14ac:dyDescent="0.2">
      <c r="AL8217" s="177"/>
    </row>
    <row r="8218" spans="38:38" x14ac:dyDescent="0.2">
      <c r="AL8218" s="177"/>
    </row>
    <row r="8219" spans="38:38" x14ac:dyDescent="0.2">
      <c r="AL8219" s="177"/>
    </row>
    <row r="8220" spans="38:38" x14ac:dyDescent="0.2">
      <c r="AL8220" s="177"/>
    </row>
    <row r="8221" spans="38:38" x14ac:dyDescent="0.2">
      <c r="AL8221" s="177"/>
    </row>
    <row r="8222" spans="38:38" x14ac:dyDescent="0.2">
      <c r="AL8222" s="177"/>
    </row>
    <row r="8223" spans="38:38" x14ac:dyDescent="0.2">
      <c r="AL8223" s="177"/>
    </row>
    <row r="8224" spans="38:38" x14ac:dyDescent="0.2">
      <c r="AL8224" s="177"/>
    </row>
    <row r="8225" spans="38:38" x14ac:dyDescent="0.2">
      <c r="AL8225" s="177"/>
    </row>
    <row r="8226" spans="38:38" x14ac:dyDescent="0.2">
      <c r="AL8226" s="177"/>
    </row>
    <row r="8227" spans="38:38" x14ac:dyDescent="0.2">
      <c r="AL8227" s="177"/>
    </row>
    <row r="8228" spans="38:38" x14ac:dyDescent="0.2">
      <c r="AL8228" s="177"/>
    </row>
    <row r="8229" spans="38:38" x14ac:dyDescent="0.2">
      <c r="AL8229" s="177"/>
    </row>
    <row r="8230" spans="38:38" x14ac:dyDescent="0.2">
      <c r="AL8230" s="177"/>
    </row>
    <row r="8231" spans="38:38" x14ac:dyDescent="0.2">
      <c r="AL8231" s="177"/>
    </row>
    <row r="8232" spans="38:38" x14ac:dyDescent="0.2">
      <c r="AL8232" s="177"/>
    </row>
    <row r="8233" spans="38:38" x14ac:dyDescent="0.2">
      <c r="AL8233" s="177"/>
    </row>
    <row r="8234" spans="38:38" x14ac:dyDescent="0.2">
      <c r="AL8234" s="177"/>
    </row>
    <row r="8235" spans="38:38" x14ac:dyDescent="0.2">
      <c r="AL8235" s="177"/>
    </row>
    <row r="8236" spans="38:38" x14ac:dyDescent="0.2">
      <c r="AL8236" s="177"/>
    </row>
    <row r="8237" spans="38:38" x14ac:dyDescent="0.2">
      <c r="AL8237" s="177"/>
    </row>
    <row r="8238" spans="38:38" x14ac:dyDescent="0.2">
      <c r="AL8238" s="177"/>
    </row>
    <row r="8239" spans="38:38" x14ac:dyDescent="0.2">
      <c r="AL8239" s="177"/>
    </row>
    <row r="8240" spans="38:38" x14ac:dyDescent="0.2">
      <c r="AL8240" s="177"/>
    </row>
    <row r="8241" spans="38:38" x14ac:dyDescent="0.2">
      <c r="AL8241" s="177"/>
    </row>
    <row r="8242" spans="38:38" x14ac:dyDescent="0.2">
      <c r="AL8242" s="177"/>
    </row>
    <row r="8243" spans="38:38" x14ac:dyDescent="0.2">
      <c r="AL8243" s="177"/>
    </row>
    <row r="8244" spans="38:38" x14ac:dyDescent="0.2">
      <c r="AL8244" s="177"/>
    </row>
    <row r="8245" spans="38:38" x14ac:dyDescent="0.2">
      <c r="AL8245" s="177"/>
    </row>
    <row r="8246" spans="38:38" x14ac:dyDescent="0.2">
      <c r="AL8246" s="177"/>
    </row>
    <row r="8247" spans="38:38" x14ac:dyDescent="0.2">
      <c r="AL8247" s="177"/>
    </row>
    <row r="8248" spans="38:38" x14ac:dyDescent="0.2">
      <c r="AL8248" s="177"/>
    </row>
    <row r="8249" spans="38:38" x14ac:dyDescent="0.2">
      <c r="AL8249" s="177"/>
    </row>
    <row r="8250" spans="38:38" x14ac:dyDescent="0.2">
      <c r="AL8250" s="177"/>
    </row>
    <row r="8251" spans="38:38" x14ac:dyDescent="0.2">
      <c r="AL8251" s="177"/>
    </row>
    <row r="8252" spans="38:38" x14ac:dyDescent="0.2">
      <c r="AL8252" s="177"/>
    </row>
    <row r="8253" spans="38:38" x14ac:dyDescent="0.2">
      <c r="AL8253" s="177"/>
    </row>
    <row r="8254" spans="38:38" x14ac:dyDescent="0.2">
      <c r="AL8254" s="177"/>
    </row>
    <row r="8255" spans="38:38" x14ac:dyDescent="0.2">
      <c r="AL8255" s="177"/>
    </row>
    <row r="8256" spans="38:38" x14ac:dyDescent="0.2">
      <c r="AL8256" s="177"/>
    </row>
    <row r="8257" spans="38:38" x14ac:dyDescent="0.2">
      <c r="AL8257" s="177"/>
    </row>
    <row r="8258" spans="38:38" x14ac:dyDescent="0.2">
      <c r="AL8258" s="177"/>
    </row>
    <row r="8259" spans="38:38" x14ac:dyDescent="0.2">
      <c r="AL8259" s="177"/>
    </row>
    <row r="8260" spans="38:38" x14ac:dyDescent="0.2">
      <c r="AL8260" s="177"/>
    </row>
    <row r="8261" spans="38:38" x14ac:dyDescent="0.2">
      <c r="AL8261" s="177"/>
    </row>
    <row r="8262" spans="38:38" x14ac:dyDescent="0.2">
      <c r="AL8262" s="177"/>
    </row>
    <row r="8263" spans="38:38" x14ac:dyDescent="0.2">
      <c r="AL8263" s="177"/>
    </row>
    <row r="8264" spans="38:38" x14ac:dyDescent="0.2">
      <c r="AL8264" s="177"/>
    </row>
    <row r="8265" spans="38:38" x14ac:dyDescent="0.2">
      <c r="AL8265" s="177"/>
    </row>
    <row r="8266" spans="38:38" x14ac:dyDescent="0.2">
      <c r="AL8266" s="177"/>
    </row>
    <row r="8267" spans="38:38" x14ac:dyDescent="0.2">
      <c r="AL8267" s="177"/>
    </row>
    <row r="8268" spans="38:38" x14ac:dyDescent="0.2">
      <c r="AL8268" s="177"/>
    </row>
    <row r="8269" spans="38:38" x14ac:dyDescent="0.2">
      <c r="AL8269" s="177"/>
    </row>
    <row r="8270" spans="38:38" x14ac:dyDescent="0.2">
      <c r="AL8270" s="177"/>
    </row>
    <row r="8271" spans="38:38" x14ac:dyDescent="0.2">
      <c r="AL8271" s="177"/>
    </row>
    <row r="8272" spans="38:38" x14ac:dyDescent="0.2">
      <c r="AL8272" s="177"/>
    </row>
    <row r="8273" spans="38:38" x14ac:dyDescent="0.2">
      <c r="AL8273" s="177"/>
    </row>
    <row r="8274" spans="38:38" x14ac:dyDescent="0.2">
      <c r="AL8274" s="177"/>
    </row>
    <row r="8275" spans="38:38" x14ac:dyDescent="0.2">
      <c r="AL8275" s="177"/>
    </row>
    <row r="8276" spans="38:38" x14ac:dyDescent="0.2">
      <c r="AL8276" s="177"/>
    </row>
    <row r="8277" spans="38:38" x14ac:dyDescent="0.2">
      <c r="AL8277" s="177"/>
    </row>
    <row r="8278" spans="38:38" x14ac:dyDescent="0.2">
      <c r="AL8278" s="177"/>
    </row>
    <row r="8279" spans="38:38" x14ac:dyDescent="0.2">
      <c r="AL8279" s="177"/>
    </row>
    <row r="8280" spans="38:38" x14ac:dyDescent="0.2">
      <c r="AL8280" s="177"/>
    </row>
    <row r="8281" spans="38:38" x14ac:dyDescent="0.2">
      <c r="AL8281" s="177"/>
    </row>
    <row r="8282" spans="38:38" x14ac:dyDescent="0.2">
      <c r="AL8282" s="177"/>
    </row>
    <row r="8283" spans="38:38" x14ac:dyDescent="0.2">
      <c r="AL8283" s="177"/>
    </row>
    <row r="8284" spans="38:38" x14ac:dyDescent="0.2">
      <c r="AL8284" s="177"/>
    </row>
    <row r="8285" spans="38:38" x14ac:dyDescent="0.2">
      <c r="AL8285" s="177"/>
    </row>
    <row r="8286" spans="38:38" x14ac:dyDescent="0.2">
      <c r="AL8286" s="177"/>
    </row>
    <row r="8287" spans="38:38" x14ac:dyDescent="0.2">
      <c r="AL8287" s="177"/>
    </row>
    <row r="8288" spans="38:38" x14ac:dyDescent="0.2">
      <c r="AL8288" s="177"/>
    </row>
    <row r="8289" spans="38:38" x14ac:dyDescent="0.2">
      <c r="AL8289" s="177"/>
    </row>
    <row r="8290" spans="38:38" x14ac:dyDescent="0.2">
      <c r="AL8290" s="177"/>
    </row>
    <row r="8291" spans="38:38" x14ac:dyDescent="0.2">
      <c r="AL8291" s="177"/>
    </row>
    <row r="8292" spans="38:38" x14ac:dyDescent="0.2">
      <c r="AL8292" s="177"/>
    </row>
    <row r="8293" spans="38:38" x14ac:dyDescent="0.2">
      <c r="AL8293" s="177"/>
    </row>
    <row r="8294" spans="38:38" x14ac:dyDescent="0.2">
      <c r="AL8294" s="177"/>
    </row>
    <row r="8295" spans="38:38" x14ac:dyDescent="0.2">
      <c r="AL8295" s="177"/>
    </row>
    <row r="8296" spans="38:38" x14ac:dyDescent="0.2">
      <c r="AL8296" s="177"/>
    </row>
    <row r="8297" spans="38:38" x14ac:dyDescent="0.2">
      <c r="AL8297" s="177"/>
    </row>
    <row r="8298" spans="38:38" x14ac:dyDescent="0.2">
      <c r="AL8298" s="177"/>
    </row>
    <row r="8299" spans="38:38" x14ac:dyDescent="0.2">
      <c r="AL8299" s="177"/>
    </row>
    <row r="8300" spans="38:38" x14ac:dyDescent="0.2">
      <c r="AL8300" s="177"/>
    </row>
    <row r="8301" spans="38:38" x14ac:dyDescent="0.2">
      <c r="AL8301" s="177"/>
    </row>
    <row r="8302" spans="38:38" x14ac:dyDescent="0.2">
      <c r="AL8302" s="177"/>
    </row>
    <row r="8303" spans="38:38" x14ac:dyDescent="0.2">
      <c r="AL8303" s="177"/>
    </row>
    <row r="8304" spans="38:38" x14ac:dyDescent="0.2">
      <c r="AL8304" s="177"/>
    </row>
    <row r="8305" spans="38:38" x14ac:dyDescent="0.2">
      <c r="AL8305" s="177"/>
    </row>
    <row r="8306" spans="38:38" x14ac:dyDescent="0.2">
      <c r="AL8306" s="177"/>
    </row>
    <row r="8307" spans="38:38" x14ac:dyDescent="0.2">
      <c r="AL8307" s="177"/>
    </row>
    <row r="8308" spans="38:38" x14ac:dyDescent="0.2">
      <c r="AL8308" s="177"/>
    </row>
    <row r="8309" spans="38:38" x14ac:dyDescent="0.2">
      <c r="AL8309" s="177"/>
    </row>
    <row r="8310" spans="38:38" x14ac:dyDescent="0.2">
      <c r="AL8310" s="177"/>
    </row>
    <row r="8311" spans="38:38" x14ac:dyDescent="0.2">
      <c r="AL8311" s="177"/>
    </row>
    <row r="8312" spans="38:38" x14ac:dyDescent="0.2">
      <c r="AL8312" s="177"/>
    </row>
    <row r="8313" spans="38:38" x14ac:dyDescent="0.2">
      <c r="AL8313" s="177"/>
    </row>
    <row r="8314" spans="38:38" x14ac:dyDescent="0.2">
      <c r="AL8314" s="177"/>
    </row>
    <row r="8315" spans="38:38" x14ac:dyDescent="0.2">
      <c r="AL8315" s="177"/>
    </row>
    <row r="8316" spans="38:38" x14ac:dyDescent="0.2">
      <c r="AL8316" s="177"/>
    </row>
    <row r="8317" spans="38:38" x14ac:dyDescent="0.2">
      <c r="AL8317" s="177"/>
    </row>
    <row r="8318" spans="38:38" x14ac:dyDescent="0.2">
      <c r="AL8318" s="177"/>
    </row>
    <row r="8319" spans="38:38" x14ac:dyDescent="0.2">
      <c r="AL8319" s="177"/>
    </row>
    <row r="8320" spans="38:38" x14ac:dyDescent="0.2">
      <c r="AL8320" s="177"/>
    </row>
    <row r="8321" spans="38:38" x14ac:dyDescent="0.2">
      <c r="AL8321" s="177"/>
    </row>
    <row r="8322" spans="38:38" x14ac:dyDescent="0.2">
      <c r="AL8322" s="177"/>
    </row>
    <row r="8323" spans="38:38" x14ac:dyDescent="0.2">
      <c r="AL8323" s="177"/>
    </row>
    <row r="8324" spans="38:38" x14ac:dyDescent="0.2">
      <c r="AL8324" s="177"/>
    </row>
    <row r="8325" spans="38:38" x14ac:dyDescent="0.2">
      <c r="AL8325" s="177"/>
    </row>
    <row r="8326" spans="38:38" x14ac:dyDescent="0.2">
      <c r="AL8326" s="177"/>
    </row>
    <row r="8327" spans="38:38" x14ac:dyDescent="0.2">
      <c r="AL8327" s="177"/>
    </row>
    <row r="8328" spans="38:38" x14ac:dyDescent="0.2">
      <c r="AL8328" s="177"/>
    </row>
    <row r="8329" spans="38:38" x14ac:dyDescent="0.2">
      <c r="AL8329" s="177"/>
    </row>
    <row r="8330" spans="38:38" x14ac:dyDescent="0.2">
      <c r="AL8330" s="177"/>
    </row>
    <row r="8331" spans="38:38" x14ac:dyDescent="0.2">
      <c r="AL8331" s="177"/>
    </row>
    <row r="8332" spans="38:38" x14ac:dyDescent="0.2">
      <c r="AL8332" s="177"/>
    </row>
    <row r="8333" spans="38:38" x14ac:dyDescent="0.2">
      <c r="AL8333" s="177"/>
    </row>
    <row r="8334" spans="38:38" x14ac:dyDescent="0.2">
      <c r="AL8334" s="177"/>
    </row>
    <row r="8335" spans="38:38" x14ac:dyDescent="0.2">
      <c r="AL8335" s="177"/>
    </row>
    <row r="8336" spans="38:38" x14ac:dyDescent="0.2">
      <c r="AL8336" s="177"/>
    </row>
    <row r="8337" spans="38:38" x14ac:dyDescent="0.2">
      <c r="AL8337" s="177"/>
    </row>
    <row r="8338" spans="38:38" x14ac:dyDescent="0.2">
      <c r="AL8338" s="177"/>
    </row>
    <row r="8339" spans="38:38" x14ac:dyDescent="0.2">
      <c r="AL8339" s="177"/>
    </row>
    <row r="8340" spans="38:38" x14ac:dyDescent="0.2">
      <c r="AL8340" s="177"/>
    </row>
    <row r="8341" spans="38:38" x14ac:dyDescent="0.2">
      <c r="AL8341" s="177"/>
    </row>
    <row r="8342" spans="38:38" x14ac:dyDescent="0.2">
      <c r="AL8342" s="177"/>
    </row>
    <row r="8343" spans="38:38" x14ac:dyDescent="0.2">
      <c r="AL8343" s="177"/>
    </row>
    <row r="8344" spans="38:38" x14ac:dyDescent="0.2">
      <c r="AL8344" s="177"/>
    </row>
    <row r="8345" spans="38:38" x14ac:dyDescent="0.2">
      <c r="AL8345" s="177"/>
    </row>
    <row r="8346" spans="38:38" x14ac:dyDescent="0.2">
      <c r="AL8346" s="177"/>
    </row>
    <row r="8347" spans="38:38" x14ac:dyDescent="0.2">
      <c r="AL8347" s="177"/>
    </row>
    <row r="8348" spans="38:38" x14ac:dyDescent="0.2">
      <c r="AL8348" s="177"/>
    </row>
    <row r="8349" spans="38:38" x14ac:dyDescent="0.2">
      <c r="AL8349" s="177"/>
    </row>
    <row r="8350" spans="38:38" x14ac:dyDescent="0.2">
      <c r="AL8350" s="177"/>
    </row>
    <row r="8351" spans="38:38" x14ac:dyDescent="0.2">
      <c r="AL8351" s="177"/>
    </row>
    <row r="8352" spans="38:38" x14ac:dyDescent="0.2">
      <c r="AL8352" s="177"/>
    </row>
    <row r="8353" spans="38:38" x14ac:dyDescent="0.2">
      <c r="AL8353" s="177"/>
    </row>
    <row r="8354" spans="38:38" x14ac:dyDescent="0.2">
      <c r="AL8354" s="177"/>
    </row>
    <row r="8355" spans="38:38" x14ac:dyDescent="0.2">
      <c r="AL8355" s="177"/>
    </row>
    <row r="8356" spans="38:38" x14ac:dyDescent="0.2">
      <c r="AL8356" s="177"/>
    </row>
    <row r="8357" spans="38:38" x14ac:dyDescent="0.2">
      <c r="AL8357" s="177"/>
    </row>
    <row r="8358" spans="38:38" x14ac:dyDescent="0.2">
      <c r="AL8358" s="177"/>
    </row>
    <row r="8359" spans="38:38" x14ac:dyDescent="0.2">
      <c r="AL8359" s="177"/>
    </row>
    <row r="8360" spans="38:38" x14ac:dyDescent="0.2">
      <c r="AL8360" s="177"/>
    </row>
    <row r="8361" spans="38:38" x14ac:dyDescent="0.2">
      <c r="AL8361" s="177"/>
    </row>
    <row r="8362" spans="38:38" x14ac:dyDescent="0.2">
      <c r="AL8362" s="177"/>
    </row>
    <row r="8363" spans="38:38" x14ac:dyDescent="0.2">
      <c r="AL8363" s="177"/>
    </row>
    <row r="8364" spans="38:38" x14ac:dyDescent="0.2">
      <c r="AL8364" s="177"/>
    </row>
    <row r="8365" spans="38:38" x14ac:dyDescent="0.2">
      <c r="AL8365" s="177"/>
    </row>
    <row r="8366" spans="38:38" x14ac:dyDescent="0.2">
      <c r="AL8366" s="177"/>
    </row>
    <row r="8367" spans="38:38" x14ac:dyDescent="0.2">
      <c r="AL8367" s="177"/>
    </row>
    <row r="8368" spans="38:38" x14ac:dyDescent="0.2">
      <c r="AL8368" s="177"/>
    </row>
    <row r="8369" spans="38:38" x14ac:dyDescent="0.2">
      <c r="AL8369" s="177"/>
    </row>
    <row r="8370" spans="38:38" x14ac:dyDescent="0.2">
      <c r="AL8370" s="177"/>
    </row>
    <row r="8371" spans="38:38" x14ac:dyDescent="0.2">
      <c r="AL8371" s="177"/>
    </row>
    <row r="8372" spans="38:38" x14ac:dyDescent="0.2">
      <c r="AL8372" s="177"/>
    </row>
    <row r="8373" spans="38:38" x14ac:dyDescent="0.2">
      <c r="AL8373" s="177"/>
    </row>
    <row r="8374" spans="38:38" x14ac:dyDescent="0.2">
      <c r="AL8374" s="177"/>
    </row>
    <row r="8375" spans="38:38" x14ac:dyDescent="0.2">
      <c r="AL8375" s="177"/>
    </row>
    <row r="8376" spans="38:38" x14ac:dyDescent="0.2">
      <c r="AL8376" s="177"/>
    </row>
    <row r="8377" spans="38:38" x14ac:dyDescent="0.2">
      <c r="AL8377" s="177"/>
    </row>
    <row r="8378" spans="38:38" x14ac:dyDescent="0.2">
      <c r="AL8378" s="177"/>
    </row>
    <row r="8379" spans="38:38" x14ac:dyDescent="0.2">
      <c r="AL8379" s="177"/>
    </row>
    <row r="8380" spans="38:38" x14ac:dyDescent="0.2">
      <c r="AL8380" s="177"/>
    </row>
    <row r="8381" spans="38:38" x14ac:dyDescent="0.2">
      <c r="AL8381" s="177"/>
    </row>
    <row r="8382" spans="38:38" x14ac:dyDescent="0.2">
      <c r="AL8382" s="177"/>
    </row>
    <row r="8383" spans="38:38" x14ac:dyDescent="0.2">
      <c r="AL8383" s="177"/>
    </row>
    <row r="8384" spans="38:38" x14ac:dyDescent="0.2">
      <c r="AL8384" s="177"/>
    </row>
    <row r="8385" spans="38:38" x14ac:dyDescent="0.2">
      <c r="AL8385" s="177"/>
    </row>
    <row r="8386" spans="38:38" x14ac:dyDescent="0.2">
      <c r="AL8386" s="177"/>
    </row>
    <row r="8387" spans="38:38" x14ac:dyDescent="0.2">
      <c r="AL8387" s="177"/>
    </row>
    <row r="8388" spans="38:38" x14ac:dyDescent="0.2">
      <c r="AL8388" s="177"/>
    </row>
    <row r="8389" spans="38:38" x14ac:dyDescent="0.2">
      <c r="AL8389" s="177"/>
    </row>
    <row r="8390" spans="38:38" x14ac:dyDescent="0.2">
      <c r="AL8390" s="177"/>
    </row>
    <row r="8391" spans="38:38" x14ac:dyDescent="0.2">
      <c r="AL8391" s="177"/>
    </row>
    <row r="8392" spans="38:38" x14ac:dyDescent="0.2">
      <c r="AL8392" s="177"/>
    </row>
    <row r="8393" spans="38:38" x14ac:dyDescent="0.2">
      <c r="AL8393" s="177"/>
    </row>
    <row r="8394" spans="38:38" x14ac:dyDescent="0.2">
      <c r="AL8394" s="177"/>
    </row>
    <row r="8395" spans="38:38" x14ac:dyDescent="0.2">
      <c r="AL8395" s="177"/>
    </row>
    <row r="8396" spans="38:38" x14ac:dyDescent="0.2">
      <c r="AL8396" s="177"/>
    </row>
    <row r="8397" spans="38:38" x14ac:dyDescent="0.2">
      <c r="AL8397" s="177"/>
    </row>
    <row r="8398" spans="38:38" x14ac:dyDescent="0.2">
      <c r="AL8398" s="177"/>
    </row>
    <row r="8399" spans="38:38" x14ac:dyDescent="0.2">
      <c r="AL8399" s="177"/>
    </row>
    <row r="8400" spans="38:38" x14ac:dyDescent="0.2">
      <c r="AL8400" s="177"/>
    </row>
    <row r="8401" spans="38:38" x14ac:dyDescent="0.2">
      <c r="AL8401" s="177"/>
    </row>
    <row r="8402" spans="38:38" x14ac:dyDescent="0.2">
      <c r="AL8402" s="177"/>
    </row>
    <row r="8403" spans="38:38" x14ac:dyDescent="0.2">
      <c r="AL8403" s="177"/>
    </row>
    <row r="8404" spans="38:38" x14ac:dyDescent="0.2">
      <c r="AL8404" s="177"/>
    </row>
    <row r="8405" spans="38:38" x14ac:dyDescent="0.2">
      <c r="AL8405" s="177"/>
    </row>
    <row r="8406" spans="38:38" x14ac:dyDescent="0.2">
      <c r="AL8406" s="177"/>
    </row>
    <row r="8407" spans="38:38" x14ac:dyDescent="0.2">
      <c r="AL8407" s="177"/>
    </row>
    <row r="8408" spans="38:38" x14ac:dyDescent="0.2">
      <c r="AL8408" s="177"/>
    </row>
    <row r="8409" spans="38:38" x14ac:dyDescent="0.2">
      <c r="AL8409" s="177"/>
    </row>
    <row r="8410" spans="38:38" x14ac:dyDescent="0.2">
      <c r="AL8410" s="177"/>
    </row>
    <row r="8411" spans="38:38" x14ac:dyDescent="0.2">
      <c r="AL8411" s="177"/>
    </row>
    <row r="8412" spans="38:38" x14ac:dyDescent="0.2">
      <c r="AL8412" s="177"/>
    </row>
    <row r="8413" spans="38:38" x14ac:dyDescent="0.2">
      <c r="AL8413" s="177"/>
    </row>
    <row r="8414" spans="38:38" x14ac:dyDescent="0.2">
      <c r="AL8414" s="177"/>
    </row>
    <row r="8415" spans="38:38" x14ac:dyDescent="0.2">
      <c r="AL8415" s="177"/>
    </row>
    <row r="8416" spans="38:38" x14ac:dyDescent="0.2">
      <c r="AL8416" s="177"/>
    </row>
    <row r="8417" spans="38:38" x14ac:dyDescent="0.2">
      <c r="AL8417" s="177"/>
    </row>
    <row r="8418" spans="38:38" x14ac:dyDescent="0.2">
      <c r="AL8418" s="177"/>
    </row>
    <row r="8419" spans="38:38" x14ac:dyDescent="0.2">
      <c r="AL8419" s="177"/>
    </row>
    <row r="8420" spans="38:38" x14ac:dyDescent="0.2">
      <c r="AL8420" s="177"/>
    </row>
    <row r="8421" spans="38:38" x14ac:dyDescent="0.2">
      <c r="AL8421" s="177"/>
    </row>
    <row r="8422" spans="38:38" x14ac:dyDescent="0.2">
      <c r="AL8422" s="177"/>
    </row>
    <row r="8423" spans="38:38" x14ac:dyDescent="0.2">
      <c r="AL8423" s="177"/>
    </row>
    <row r="8424" spans="38:38" x14ac:dyDescent="0.2">
      <c r="AL8424" s="177"/>
    </row>
    <row r="8425" spans="38:38" x14ac:dyDescent="0.2">
      <c r="AL8425" s="177"/>
    </row>
    <row r="8426" spans="38:38" x14ac:dyDescent="0.2">
      <c r="AL8426" s="177"/>
    </row>
    <row r="8427" spans="38:38" x14ac:dyDescent="0.2">
      <c r="AL8427" s="177"/>
    </row>
    <row r="8428" spans="38:38" x14ac:dyDescent="0.2">
      <c r="AL8428" s="177"/>
    </row>
    <row r="8429" spans="38:38" x14ac:dyDescent="0.2">
      <c r="AL8429" s="177"/>
    </row>
    <row r="8430" spans="38:38" x14ac:dyDescent="0.2">
      <c r="AL8430" s="177"/>
    </row>
    <row r="8431" spans="38:38" x14ac:dyDescent="0.2">
      <c r="AL8431" s="177"/>
    </row>
    <row r="8432" spans="38:38" x14ac:dyDescent="0.2">
      <c r="AL8432" s="177"/>
    </row>
    <row r="8433" spans="38:38" x14ac:dyDescent="0.2">
      <c r="AL8433" s="177"/>
    </row>
    <row r="8434" spans="38:38" x14ac:dyDescent="0.2">
      <c r="AL8434" s="177"/>
    </row>
    <row r="8435" spans="38:38" x14ac:dyDescent="0.2">
      <c r="AL8435" s="177"/>
    </row>
    <row r="8436" spans="38:38" x14ac:dyDescent="0.2">
      <c r="AL8436" s="177"/>
    </row>
    <row r="8437" spans="38:38" x14ac:dyDescent="0.2">
      <c r="AL8437" s="177"/>
    </row>
    <row r="8438" spans="38:38" x14ac:dyDescent="0.2">
      <c r="AL8438" s="177"/>
    </row>
    <row r="8439" spans="38:38" x14ac:dyDescent="0.2">
      <c r="AL8439" s="177"/>
    </row>
    <row r="8440" spans="38:38" x14ac:dyDescent="0.2">
      <c r="AL8440" s="177"/>
    </row>
    <row r="8441" spans="38:38" x14ac:dyDescent="0.2">
      <c r="AL8441" s="177"/>
    </row>
    <row r="8442" spans="38:38" x14ac:dyDescent="0.2">
      <c r="AL8442" s="177"/>
    </row>
    <row r="8443" spans="38:38" x14ac:dyDescent="0.2">
      <c r="AL8443" s="177"/>
    </row>
    <row r="8444" spans="38:38" x14ac:dyDescent="0.2">
      <c r="AL8444" s="177"/>
    </row>
    <row r="8445" spans="38:38" x14ac:dyDescent="0.2">
      <c r="AL8445" s="177"/>
    </row>
    <row r="8446" spans="38:38" x14ac:dyDescent="0.2">
      <c r="AL8446" s="177"/>
    </row>
    <row r="8447" spans="38:38" x14ac:dyDescent="0.2">
      <c r="AL8447" s="177"/>
    </row>
    <row r="8448" spans="38:38" x14ac:dyDescent="0.2">
      <c r="AL8448" s="177"/>
    </row>
    <row r="8449" spans="38:38" x14ac:dyDescent="0.2">
      <c r="AL8449" s="177"/>
    </row>
    <row r="8450" spans="38:38" x14ac:dyDescent="0.2">
      <c r="AL8450" s="177"/>
    </row>
    <row r="8451" spans="38:38" x14ac:dyDescent="0.2">
      <c r="AL8451" s="177"/>
    </row>
    <row r="8452" spans="38:38" x14ac:dyDescent="0.2">
      <c r="AL8452" s="177"/>
    </row>
    <row r="8453" spans="38:38" x14ac:dyDescent="0.2">
      <c r="AL8453" s="177"/>
    </row>
    <row r="8454" spans="38:38" x14ac:dyDescent="0.2">
      <c r="AL8454" s="177"/>
    </row>
    <row r="8455" spans="38:38" x14ac:dyDescent="0.2">
      <c r="AL8455" s="177"/>
    </row>
    <row r="8456" spans="38:38" x14ac:dyDescent="0.2">
      <c r="AL8456" s="177"/>
    </row>
    <row r="8457" spans="38:38" x14ac:dyDescent="0.2">
      <c r="AL8457" s="177"/>
    </row>
    <row r="8458" spans="38:38" x14ac:dyDescent="0.2">
      <c r="AL8458" s="177"/>
    </row>
    <row r="8459" spans="38:38" x14ac:dyDescent="0.2">
      <c r="AL8459" s="177"/>
    </row>
    <row r="8460" spans="38:38" x14ac:dyDescent="0.2">
      <c r="AL8460" s="177"/>
    </row>
    <row r="8461" spans="38:38" x14ac:dyDescent="0.2">
      <c r="AL8461" s="177"/>
    </row>
    <row r="8462" spans="38:38" x14ac:dyDescent="0.2">
      <c r="AL8462" s="177"/>
    </row>
    <row r="8463" spans="38:38" x14ac:dyDescent="0.2">
      <c r="AL8463" s="177"/>
    </row>
    <row r="8464" spans="38:38" x14ac:dyDescent="0.2">
      <c r="AL8464" s="177"/>
    </row>
    <row r="8465" spans="38:38" x14ac:dyDescent="0.2">
      <c r="AL8465" s="177"/>
    </row>
    <row r="8466" spans="38:38" x14ac:dyDescent="0.2">
      <c r="AL8466" s="177"/>
    </row>
    <row r="8467" spans="38:38" x14ac:dyDescent="0.2">
      <c r="AL8467" s="177"/>
    </row>
    <row r="8468" spans="38:38" x14ac:dyDescent="0.2">
      <c r="AL8468" s="177"/>
    </row>
    <row r="8469" spans="38:38" x14ac:dyDescent="0.2">
      <c r="AL8469" s="177"/>
    </row>
    <row r="8470" spans="38:38" x14ac:dyDescent="0.2">
      <c r="AL8470" s="177"/>
    </row>
    <row r="8471" spans="38:38" x14ac:dyDescent="0.2">
      <c r="AL8471" s="177"/>
    </row>
    <row r="8472" spans="38:38" x14ac:dyDescent="0.2">
      <c r="AL8472" s="177"/>
    </row>
    <row r="8473" spans="38:38" x14ac:dyDescent="0.2">
      <c r="AL8473" s="177"/>
    </row>
    <row r="8474" spans="38:38" x14ac:dyDescent="0.2">
      <c r="AL8474" s="177"/>
    </row>
    <row r="8475" spans="38:38" x14ac:dyDescent="0.2">
      <c r="AL8475" s="177"/>
    </row>
    <row r="8476" spans="38:38" x14ac:dyDescent="0.2">
      <c r="AL8476" s="177"/>
    </row>
    <row r="8477" spans="38:38" x14ac:dyDescent="0.2">
      <c r="AL8477" s="177"/>
    </row>
    <row r="8478" spans="38:38" x14ac:dyDescent="0.2">
      <c r="AL8478" s="177"/>
    </row>
    <row r="8479" spans="38:38" x14ac:dyDescent="0.2">
      <c r="AL8479" s="177"/>
    </row>
    <row r="8480" spans="38:38" x14ac:dyDescent="0.2">
      <c r="AL8480" s="177"/>
    </row>
    <row r="8481" spans="38:38" x14ac:dyDescent="0.2">
      <c r="AL8481" s="177"/>
    </row>
    <row r="8482" spans="38:38" x14ac:dyDescent="0.2">
      <c r="AL8482" s="177"/>
    </row>
    <row r="8483" spans="38:38" x14ac:dyDescent="0.2">
      <c r="AL8483" s="177"/>
    </row>
    <row r="8484" spans="38:38" x14ac:dyDescent="0.2">
      <c r="AL8484" s="177"/>
    </row>
    <row r="8485" spans="38:38" x14ac:dyDescent="0.2">
      <c r="AL8485" s="177"/>
    </row>
    <row r="8486" spans="38:38" x14ac:dyDescent="0.2">
      <c r="AL8486" s="177"/>
    </row>
    <row r="8487" spans="38:38" x14ac:dyDescent="0.2">
      <c r="AL8487" s="177"/>
    </row>
    <row r="8488" spans="38:38" x14ac:dyDescent="0.2">
      <c r="AL8488" s="177"/>
    </row>
    <row r="8489" spans="38:38" x14ac:dyDescent="0.2">
      <c r="AL8489" s="177"/>
    </row>
    <row r="8490" spans="38:38" x14ac:dyDescent="0.2">
      <c r="AL8490" s="177"/>
    </row>
    <row r="8491" spans="38:38" x14ac:dyDescent="0.2">
      <c r="AL8491" s="177"/>
    </row>
    <row r="8492" spans="38:38" x14ac:dyDescent="0.2">
      <c r="AL8492" s="177"/>
    </row>
    <row r="8493" spans="38:38" x14ac:dyDescent="0.2">
      <c r="AL8493" s="177"/>
    </row>
    <row r="8494" spans="38:38" x14ac:dyDescent="0.2">
      <c r="AL8494" s="177"/>
    </row>
    <row r="8495" spans="38:38" x14ac:dyDescent="0.2">
      <c r="AL8495" s="177"/>
    </row>
    <row r="8496" spans="38:38" x14ac:dyDescent="0.2">
      <c r="AL8496" s="177"/>
    </row>
    <row r="8497" spans="38:38" x14ac:dyDescent="0.2">
      <c r="AL8497" s="177"/>
    </row>
    <row r="8498" spans="38:38" x14ac:dyDescent="0.2">
      <c r="AL8498" s="177"/>
    </row>
    <row r="8499" spans="38:38" x14ac:dyDescent="0.2">
      <c r="AL8499" s="177"/>
    </row>
    <row r="8500" spans="38:38" x14ac:dyDescent="0.2">
      <c r="AL8500" s="177"/>
    </row>
    <row r="8501" spans="38:38" x14ac:dyDescent="0.2">
      <c r="AL8501" s="177"/>
    </row>
    <row r="8502" spans="38:38" x14ac:dyDescent="0.2">
      <c r="AL8502" s="177"/>
    </row>
    <row r="8503" spans="38:38" x14ac:dyDescent="0.2">
      <c r="AL8503" s="177"/>
    </row>
    <row r="8504" spans="38:38" x14ac:dyDescent="0.2">
      <c r="AL8504" s="177"/>
    </row>
    <row r="8505" spans="38:38" x14ac:dyDescent="0.2">
      <c r="AL8505" s="177"/>
    </row>
    <row r="8506" spans="38:38" x14ac:dyDescent="0.2">
      <c r="AL8506" s="177"/>
    </row>
    <row r="8507" spans="38:38" x14ac:dyDescent="0.2">
      <c r="AL8507" s="177"/>
    </row>
    <row r="8508" spans="38:38" x14ac:dyDescent="0.2">
      <c r="AL8508" s="177"/>
    </row>
    <row r="8509" spans="38:38" x14ac:dyDescent="0.2">
      <c r="AL8509" s="177"/>
    </row>
    <row r="8510" spans="38:38" x14ac:dyDescent="0.2">
      <c r="AL8510" s="177"/>
    </row>
    <row r="8511" spans="38:38" x14ac:dyDescent="0.2">
      <c r="AL8511" s="177"/>
    </row>
    <row r="8512" spans="38:38" x14ac:dyDescent="0.2">
      <c r="AL8512" s="177"/>
    </row>
    <row r="8513" spans="38:38" x14ac:dyDescent="0.2">
      <c r="AL8513" s="177"/>
    </row>
    <row r="8514" spans="38:38" x14ac:dyDescent="0.2">
      <c r="AL8514" s="177"/>
    </row>
    <row r="8515" spans="38:38" x14ac:dyDescent="0.2">
      <c r="AL8515" s="177"/>
    </row>
    <row r="8516" spans="38:38" x14ac:dyDescent="0.2">
      <c r="AL8516" s="177"/>
    </row>
    <row r="8517" spans="38:38" x14ac:dyDescent="0.2">
      <c r="AL8517" s="177"/>
    </row>
    <row r="8518" spans="38:38" x14ac:dyDescent="0.2">
      <c r="AL8518" s="177"/>
    </row>
    <row r="8519" spans="38:38" x14ac:dyDescent="0.2">
      <c r="AL8519" s="177"/>
    </row>
    <row r="8520" spans="38:38" x14ac:dyDescent="0.2">
      <c r="AL8520" s="177"/>
    </row>
    <row r="8521" spans="38:38" x14ac:dyDescent="0.2">
      <c r="AL8521" s="177"/>
    </row>
    <row r="8522" spans="38:38" x14ac:dyDescent="0.2">
      <c r="AL8522" s="177"/>
    </row>
    <row r="8523" spans="38:38" x14ac:dyDescent="0.2">
      <c r="AL8523" s="177"/>
    </row>
    <row r="8524" spans="38:38" x14ac:dyDescent="0.2">
      <c r="AL8524" s="177"/>
    </row>
    <row r="8525" spans="38:38" x14ac:dyDescent="0.2">
      <c r="AL8525" s="177"/>
    </row>
    <row r="8526" spans="38:38" x14ac:dyDescent="0.2">
      <c r="AL8526" s="177"/>
    </row>
    <row r="8527" spans="38:38" x14ac:dyDescent="0.2">
      <c r="AL8527" s="177"/>
    </row>
    <row r="8528" spans="38:38" x14ac:dyDescent="0.2">
      <c r="AL8528" s="177"/>
    </row>
    <row r="8529" spans="38:38" x14ac:dyDescent="0.2">
      <c r="AL8529" s="177"/>
    </row>
    <row r="8530" spans="38:38" x14ac:dyDescent="0.2">
      <c r="AL8530" s="177"/>
    </row>
    <row r="8531" spans="38:38" x14ac:dyDescent="0.2">
      <c r="AL8531" s="177"/>
    </row>
    <row r="8532" spans="38:38" x14ac:dyDescent="0.2">
      <c r="AL8532" s="177"/>
    </row>
    <row r="8533" spans="38:38" x14ac:dyDescent="0.2">
      <c r="AL8533" s="177"/>
    </row>
    <row r="8534" spans="38:38" x14ac:dyDescent="0.2">
      <c r="AL8534" s="177"/>
    </row>
    <row r="8535" spans="38:38" x14ac:dyDescent="0.2">
      <c r="AL8535" s="177"/>
    </row>
    <row r="8536" spans="38:38" x14ac:dyDescent="0.2">
      <c r="AL8536" s="177"/>
    </row>
    <row r="8537" spans="38:38" x14ac:dyDescent="0.2">
      <c r="AL8537" s="177"/>
    </row>
    <row r="8538" spans="38:38" x14ac:dyDescent="0.2">
      <c r="AL8538" s="177"/>
    </row>
    <row r="8539" spans="38:38" x14ac:dyDescent="0.2">
      <c r="AL8539" s="177"/>
    </row>
    <row r="8540" spans="38:38" x14ac:dyDescent="0.2">
      <c r="AL8540" s="177"/>
    </row>
    <row r="8541" spans="38:38" x14ac:dyDescent="0.2">
      <c r="AL8541" s="177"/>
    </row>
    <row r="8542" spans="38:38" x14ac:dyDescent="0.2">
      <c r="AL8542" s="177"/>
    </row>
    <row r="8543" spans="38:38" x14ac:dyDescent="0.2">
      <c r="AL8543" s="177"/>
    </row>
    <row r="8544" spans="38:38" x14ac:dyDescent="0.2">
      <c r="AL8544" s="177"/>
    </row>
    <row r="8545" spans="38:38" x14ac:dyDescent="0.2">
      <c r="AL8545" s="177"/>
    </row>
    <row r="8546" spans="38:38" x14ac:dyDescent="0.2">
      <c r="AL8546" s="177"/>
    </row>
    <row r="8547" spans="38:38" x14ac:dyDescent="0.2">
      <c r="AL8547" s="177"/>
    </row>
    <row r="8548" spans="38:38" x14ac:dyDescent="0.2">
      <c r="AL8548" s="177"/>
    </row>
    <row r="8549" spans="38:38" x14ac:dyDescent="0.2">
      <c r="AL8549" s="177"/>
    </row>
    <row r="8550" spans="38:38" x14ac:dyDescent="0.2">
      <c r="AL8550" s="177"/>
    </row>
    <row r="8551" spans="38:38" x14ac:dyDescent="0.2">
      <c r="AL8551" s="177"/>
    </row>
    <row r="8552" spans="38:38" x14ac:dyDescent="0.2">
      <c r="AL8552" s="177"/>
    </row>
    <row r="8553" spans="38:38" x14ac:dyDescent="0.2">
      <c r="AL8553" s="177"/>
    </row>
    <row r="8554" spans="38:38" x14ac:dyDescent="0.2">
      <c r="AL8554" s="177"/>
    </row>
    <row r="8555" spans="38:38" x14ac:dyDescent="0.2">
      <c r="AL8555" s="177"/>
    </row>
    <row r="8556" spans="38:38" x14ac:dyDescent="0.2">
      <c r="AL8556" s="177"/>
    </row>
    <row r="8557" spans="38:38" x14ac:dyDescent="0.2">
      <c r="AL8557" s="177"/>
    </row>
    <row r="8558" spans="38:38" x14ac:dyDescent="0.2">
      <c r="AL8558" s="177"/>
    </row>
    <row r="8559" spans="38:38" x14ac:dyDescent="0.2">
      <c r="AL8559" s="177"/>
    </row>
    <row r="8560" spans="38:38" x14ac:dyDescent="0.2">
      <c r="AL8560" s="177"/>
    </row>
    <row r="8561" spans="38:38" x14ac:dyDescent="0.2">
      <c r="AL8561" s="177"/>
    </row>
    <row r="8562" spans="38:38" x14ac:dyDescent="0.2">
      <c r="AL8562" s="177"/>
    </row>
    <row r="8563" spans="38:38" x14ac:dyDescent="0.2">
      <c r="AL8563" s="177"/>
    </row>
    <row r="8564" spans="38:38" x14ac:dyDescent="0.2">
      <c r="AL8564" s="177"/>
    </row>
    <row r="8565" spans="38:38" x14ac:dyDescent="0.2">
      <c r="AL8565" s="177"/>
    </row>
    <row r="8566" spans="38:38" x14ac:dyDescent="0.2">
      <c r="AL8566" s="177"/>
    </row>
    <row r="8567" spans="38:38" x14ac:dyDescent="0.2">
      <c r="AL8567" s="177"/>
    </row>
    <row r="8568" spans="38:38" x14ac:dyDescent="0.2">
      <c r="AL8568" s="177"/>
    </row>
    <row r="8569" spans="38:38" x14ac:dyDescent="0.2">
      <c r="AL8569" s="177"/>
    </row>
    <row r="8570" spans="38:38" x14ac:dyDescent="0.2">
      <c r="AL8570" s="177"/>
    </row>
    <row r="8571" spans="38:38" x14ac:dyDescent="0.2">
      <c r="AL8571" s="177"/>
    </row>
    <row r="8572" spans="38:38" x14ac:dyDescent="0.2">
      <c r="AL8572" s="177"/>
    </row>
    <row r="8573" spans="38:38" x14ac:dyDescent="0.2">
      <c r="AL8573" s="177"/>
    </row>
    <row r="8574" spans="38:38" x14ac:dyDescent="0.2">
      <c r="AL8574" s="177"/>
    </row>
    <row r="8575" spans="38:38" x14ac:dyDescent="0.2">
      <c r="AL8575" s="177"/>
    </row>
    <row r="8576" spans="38:38" x14ac:dyDescent="0.2">
      <c r="AL8576" s="177"/>
    </row>
    <row r="8577" spans="38:38" x14ac:dyDescent="0.2">
      <c r="AL8577" s="177"/>
    </row>
    <row r="8578" spans="38:38" x14ac:dyDescent="0.2">
      <c r="AL8578" s="177"/>
    </row>
    <row r="8579" spans="38:38" x14ac:dyDescent="0.2">
      <c r="AL8579" s="177"/>
    </row>
    <row r="8580" spans="38:38" x14ac:dyDescent="0.2">
      <c r="AL8580" s="177"/>
    </row>
    <row r="8581" spans="38:38" x14ac:dyDescent="0.2">
      <c r="AL8581" s="177"/>
    </row>
    <row r="8582" spans="38:38" x14ac:dyDescent="0.2">
      <c r="AL8582" s="177"/>
    </row>
    <row r="8583" spans="38:38" x14ac:dyDescent="0.2">
      <c r="AL8583" s="177"/>
    </row>
    <row r="8584" spans="38:38" x14ac:dyDescent="0.2">
      <c r="AL8584" s="177"/>
    </row>
    <row r="8585" spans="38:38" x14ac:dyDescent="0.2">
      <c r="AL8585" s="177"/>
    </row>
    <row r="8586" spans="38:38" x14ac:dyDescent="0.2">
      <c r="AL8586" s="177"/>
    </row>
    <row r="8587" spans="38:38" x14ac:dyDescent="0.2">
      <c r="AL8587" s="177"/>
    </row>
    <row r="8588" spans="38:38" x14ac:dyDescent="0.2">
      <c r="AL8588" s="177"/>
    </row>
    <row r="8589" spans="38:38" x14ac:dyDescent="0.2">
      <c r="AL8589" s="177"/>
    </row>
    <row r="8590" spans="38:38" x14ac:dyDescent="0.2">
      <c r="AL8590" s="177"/>
    </row>
    <row r="8591" spans="38:38" x14ac:dyDescent="0.2">
      <c r="AL8591" s="177"/>
    </row>
    <row r="8592" spans="38:38" x14ac:dyDescent="0.2">
      <c r="AL8592" s="177"/>
    </row>
    <row r="8593" spans="38:38" x14ac:dyDescent="0.2">
      <c r="AL8593" s="177"/>
    </row>
    <row r="8594" spans="38:38" x14ac:dyDescent="0.2">
      <c r="AL8594" s="177"/>
    </row>
    <row r="8595" spans="38:38" x14ac:dyDescent="0.2">
      <c r="AL8595" s="177"/>
    </row>
    <row r="8596" spans="38:38" x14ac:dyDescent="0.2">
      <c r="AL8596" s="177"/>
    </row>
    <row r="8597" spans="38:38" x14ac:dyDescent="0.2">
      <c r="AL8597" s="177"/>
    </row>
    <row r="8598" spans="38:38" x14ac:dyDescent="0.2">
      <c r="AL8598" s="177"/>
    </row>
    <row r="8599" spans="38:38" x14ac:dyDescent="0.2">
      <c r="AL8599" s="177"/>
    </row>
    <row r="8600" spans="38:38" x14ac:dyDescent="0.2">
      <c r="AL8600" s="177"/>
    </row>
    <row r="8601" spans="38:38" x14ac:dyDescent="0.2">
      <c r="AL8601" s="177"/>
    </row>
    <row r="8602" spans="38:38" x14ac:dyDescent="0.2">
      <c r="AL8602" s="177"/>
    </row>
    <row r="8603" spans="38:38" x14ac:dyDescent="0.2">
      <c r="AL8603" s="177"/>
    </row>
    <row r="8604" spans="38:38" x14ac:dyDescent="0.2">
      <c r="AL8604" s="177"/>
    </row>
    <row r="8605" spans="38:38" x14ac:dyDescent="0.2">
      <c r="AL8605" s="177"/>
    </row>
    <row r="8606" spans="38:38" x14ac:dyDescent="0.2">
      <c r="AL8606" s="177"/>
    </row>
    <row r="8607" spans="38:38" x14ac:dyDescent="0.2">
      <c r="AL8607" s="177"/>
    </row>
    <row r="8608" spans="38:38" x14ac:dyDescent="0.2">
      <c r="AL8608" s="177"/>
    </row>
    <row r="8609" spans="38:38" x14ac:dyDescent="0.2">
      <c r="AL8609" s="177"/>
    </row>
    <row r="8610" spans="38:38" x14ac:dyDescent="0.2">
      <c r="AL8610" s="177"/>
    </row>
    <row r="8611" spans="38:38" x14ac:dyDescent="0.2">
      <c r="AL8611" s="177"/>
    </row>
    <row r="8612" spans="38:38" x14ac:dyDescent="0.2">
      <c r="AL8612" s="177"/>
    </row>
    <row r="8613" spans="38:38" x14ac:dyDescent="0.2">
      <c r="AL8613" s="177"/>
    </row>
    <row r="8614" spans="38:38" x14ac:dyDescent="0.2">
      <c r="AL8614" s="177"/>
    </row>
    <row r="8615" spans="38:38" x14ac:dyDescent="0.2">
      <c r="AL8615" s="177"/>
    </row>
    <row r="8616" spans="38:38" x14ac:dyDescent="0.2">
      <c r="AL8616" s="177"/>
    </row>
    <row r="8617" spans="38:38" x14ac:dyDescent="0.2">
      <c r="AL8617" s="177"/>
    </row>
    <row r="8618" spans="38:38" x14ac:dyDescent="0.2">
      <c r="AL8618" s="177"/>
    </row>
    <row r="8619" spans="38:38" x14ac:dyDescent="0.2">
      <c r="AL8619" s="177"/>
    </row>
    <row r="8620" spans="38:38" x14ac:dyDescent="0.2">
      <c r="AL8620" s="177"/>
    </row>
    <row r="8621" spans="38:38" x14ac:dyDescent="0.2">
      <c r="AL8621" s="177"/>
    </row>
    <row r="8622" spans="38:38" x14ac:dyDescent="0.2">
      <c r="AL8622" s="177"/>
    </row>
    <row r="8623" spans="38:38" x14ac:dyDescent="0.2">
      <c r="AL8623" s="177"/>
    </row>
    <row r="8624" spans="38:38" x14ac:dyDescent="0.2">
      <c r="AL8624" s="177"/>
    </row>
    <row r="8625" spans="38:38" x14ac:dyDescent="0.2">
      <c r="AL8625" s="177"/>
    </row>
    <row r="8626" spans="38:38" x14ac:dyDescent="0.2">
      <c r="AL8626" s="177"/>
    </row>
    <row r="8627" spans="38:38" x14ac:dyDescent="0.2">
      <c r="AL8627" s="177"/>
    </row>
    <row r="8628" spans="38:38" x14ac:dyDescent="0.2">
      <c r="AL8628" s="177"/>
    </row>
    <row r="8629" spans="38:38" x14ac:dyDescent="0.2">
      <c r="AL8629" s="177"/>
    </row>
    <row r="8630" spans="38:38" x14ac:dyDescent="0.2">
      <c r="AL8630" s="177"/>
    </row>
    <row r="8631" spans="38:38" x14ac:dyDescent="0.2">
      <c r="AL8631" s="177"/>
    </row>
    <row r="8632" spans="38:38" x14ac:dyDescent="0.2">
      <c r="AL8632" s="177"/>
    </row>
    <row r="8633" spans="38:38" x14ac:dyDescent="0.2">
      <c r="AL8633" s="177"/>
    </row>
    <row r="8634" spans="38:38" x14ac:dyDescent="0.2">
      <c r="AL8634" s="177"/>
    </row>
    <row r="8635" spans="38:38" x14ac:dyDescent="0.2">
      <c r="AL8635" s="177"/>
    </row>
    <row r="8636" spans="38:38" x14ac:dyDescent="0.2">
      <c r="AL8636" s="177"/>
    </row>
    <row r="8637" spans="38:38" x14ac:dyDescent="0.2">
      <c r="AL8637" s="177"/>
    </row>
    <row r="8638" spans="38:38" x14ac:dyDescent="0.2">
      <c r="AL8638" s="177"/>
    </row>
    <row r="8639" spans="38:38" x14ac:dyDescent="0.2">
      <c r="AL8639" s="177"/>
    </row>
    <row r="8640" spans="38:38" x14ac:dyDescent="0.2">
      <c r="AL8640" s="177"/>
    </row>
    <row r="8641" spans="38:38" x14ac:dyDescent="0.2">
      <c r="AL8641" s="177"/>
    </row>
    <row r="8642" spans="38:38" x14ac:dyDescent="0.2">
      <c r="AL8642" s="177"/>
    </row>
    <row r="8643" spans="38:38" x14ac:dyDescent="0.2">
      <c r="AL8643" s="177"/>
    </row>
    <row r="8644" spans="38:38" x14ac:dyDescent="0.2">
      <c r="AL8644" s="177"/>
    </row>
    <row r="8645" spans="38:38" x14ac:dyDescent="0.2">
      <c r="AL8645" s="177"/>
    </row>
    <row r="8646" spans="38:38" x14ac:dyDescent="0.2">
      <c r="AL8646" s="177"/>
    </row>
    <row r="8647" spans="38:38" x14ac:dyDescent="0.2">
      <c r="AL8647" s="177"/>
    </row>
    <row r="8648" spans="38:38" x14ac:dyDescent="0.2">
      <c r="AL8648" s="177"/>
    </row>
    <row r="8649" spans="38:38" x14ac:dyDescent="0.2">
      <c r="AL8649" s="177"/>
    </row>
    <row r="8650" spans="38:38" x14ac:dyDescent="0.2">
      <c r="AL8650" s="177"/>
    </row>
    <row r="8651" spans="38:38" x14ac:dyDescent="0.2">
      <c r="AL8651" s="177"/>
    </row>
    <row r="8652" spans="38:38" x14ac:dyDescent="0.2">
      <c r="AL8652" s="177"/>
    </row>
    <row r="8653" spans="38:38" x14ac:dyDescent="0.2">
      <c r="AL8653" s="177"/>
    </row>
    <row r="8654" spans="38:38" x14ac:dyDescent="0.2">
      <c r="AL8654" s="177"/>
    </row>
    <row r="8655" spans="38:38" x14ac:dyDescent="0.2">
      <c r="AL8655" s="177"/>
    </row>
    <row r="8656" spans="38:38" x14ac:dyDescent="0.2">
      <c r="AL8656" s="177"/>
    </row>
    <row r="8657" spans="38:38" x14ac:dyDescent="0.2">
      <c r="AL8657" s="177"/>
    </row>
    <row r="8658" spans="38:38" x14ac:dyDescent="0.2">
      <c r="AL8658" s="177"/>
    </row>
    <row r="8659" spans="38:38" x14ac:dyDescent="0.2">
      <c r="AL8659" s="177"/>
    </row>
    <row r="8660" spans="38:38" x14ac:dyDescent="0.2">
      <c r="AL8660" s="177"/>
    </row>
    <row r="8661" spans="38:38" x14ac:dyDescent="0.2">
      <c r="AL8661" s="177"/>
    </row>
    <row r="8662" spans="38:38" x14ac:dyDescent="0.2">
      <c r="AL8662" s="177"/>
    </row>
    <row r="8663" spans="38:38" x14ac:dyDescent="0.2">
      <c r="AL8663" s="177"/>
    </row>
    <row r="8664" spans="38:38" x14ac:dyDescent="0.2">
      <c r="AL8664" s="177"/>
    </row>
    <row r="8665" spans="38:38" x14ac:dyDescent="0.2">
      <c r="AL8665" s="177"/>
    </row>
    <row r="8666" spans="38:38" x14ac:dyDescent="0.2">
      <c r="AL8666" s="177"/>
    </row>
    <row r="8667" spans="38:38" x14ac:dyDescent="0.2">
      <c r="AL8667" s="177"/>
    </row>
    <row r="8668" spans="38:38" x14ac:dyDescent="0.2">
      <c r="AL8668" s="177"/>
    </row>
    <row r="8669" spans="38:38" x14ac:dyDescent="0.2">
      <c r="AL8669" s="177"/>
    </row>
    <row r="8670" spans="38:38" x14ac:dyDescent="0.2">
      <c r="AL8670" s="177"/>
    </row>
    <row r="8671" spans="38:38" x14ac:dyDescent="0.2">
      <c r="AL8671" s="177"/>
    </row>
    <row r="8672" spans="38:38" x14ac:dyDescent="0.2">
      <c r="AL8672" s="177"/>
    </row>
    <row r="8673" spans="38:38" x14ac:dyDescent="0.2">
      <c r="AL8673" s="177"/>
    </row>
    <row r="8674" spans="38:38" x14ac:dyDescent="0.2">
      <c r="AL8674" s="177"/>
    </row>
    <row r="8675" spans="38:38" x14ac:dyDescent="0.2">
      <c r="AL8675" s="177"/>
    </row>
    <row r="8676" spans="38:38" x14ac:dyDescent="0.2">
      <c r="AL8676" s="177"/>
    </row>
    <row r="8677" spans="38:38" x14ac:dyDescent="0.2">
      <c r="AL8677" s="177"/>
    </row>
    <row r="8678" spans="38:38" x14ac:dyDescent="0.2">
      <c r="AL8678" s="177"/>
    </row>
    <row r="8679" spans="38:38" x14ac:dyDescent="0.2">
      <c r="AL8679" s="177"/>
    </row>
    <row r="8680" spans="38:38" x14ac:dyDescent="0.2">
      <c r="AL8680" s="177"/>
    </row>
    <row r="8681" spans="38:38" x14ac:dyDescent="0.2">
      <c r="AL8681" s="177"/>
    </row>
    <row r="8682" spans="38:38" x14ac:dyDescent="0.2">
      <c r="AL8682" s="177"/>
    </row>
    <row r="8683" spans="38:38" x14ac:dyDescent="0.2">
      <c r="AL8683" s="177"/>
    </row>
    <row r="8684" spans="38:38" x14ac:dyDescent="0.2">
      <c r="AL8684" s="177"/>
    </row>
    <row r="8685" spans="38:38" x14ac:dyDescent="0.2">
      <c r="AL8685" s="177"/>
    </row>
    <row r="8686" spans="38:38" x14ac:dyDescent="0.2">
      <c r="AL8686" s="177"/>
    </row>
    <row r="8687" spans="38:38" x14ac:dyDescent="0.2">
      <c r="AL8687" s="177"/>
    </row>
    <row r="8688" spans="38:38" x14ac:dyDescent="0.2">
      <c r="AL8688" s="177"/>
    </row>
    <row r="8689" spans="38:38" x14ac:dyDescent="0.2">
      <c r="AL8689" s="177"/>
    </row>
    <row r="8690" spans="38:38" x14ac:dyDescent="0.2">
      <c r="AL8690" s="177"/>
    </row>
    <row r="8691" spans="38:38" x14ac:dyDescent="0.2">
      <c r="AL8691" s="177"/>
    </row>
    <row r="8692" spans="38:38" x14ac:dyDescent="0.2">
      <c r="AL8692" s="177"/>
    </row>
    <row r="8693" spans="38:38" x14ac:dyDescent="0.2">
      <c r="AL8693" s="177"/>
    </row>
    <row r="8694" spans="38:38" x14ac:dyDescent="0.2">
      <c r="AL8694" s="177"/>
    </row>
    <row r="8695" spans="38:38" x14ac:dyDescent="0.2">
      <c r="AL8695" s="177"/>
    </row>
    <row r="8696" spans="38:38" x14ac:dyDescent="0.2">
      <c r="AL8696" s="177"/>
    </row>
    <row r="8697" spans="38:38" x14ac:dyDescent="0.2">
      <c r="AL8697" s="177"/>
    </row>
    <row r="8698" spans="38:38" x14ac:dyDescent="0.2">
      <c r="AL8698" s="177"/>
    </row>
    <row r="8699" spans="38:38" x14ac:dyDescent="0.2">
      <c r="AL8699" s="177"/>
    </row>
    <row r="8700" spans="38:38" x14ac:dyDescent="0.2">
      <c r="AL8700" s="177"/>
    </row>
    <row r="8701" spans="38:38" x14ac:dyDescent="0.2">
      <c r="AL8701" s="177"/>
    </row>
    <row r="8702" spans="38:38" x14ac:dyDescent="0.2">
      <c r="AL8702" s="177"/>
    </row>
    <row r="8703" spans="38:38" x14ac:dyDescent="0.2">
      <c r="AL8703" s="177"/>
    </row>
    <row r="8704" spans="38:38" x14ac:dyDescent="0.2">
      <c r="AL8704" s="177"/>
    </row>
    <row r="8705" spans="38:38" x14ac:dyDescent="0.2">
      <c r="AL8705" s="177"/>
    </row>
    <row r="8706" spans="38:38" x14ac:dyDescent="0.2">
      <c r="AL8706" s="177"/>
    </row>
    <row r="8707" spans="38:38" x14ac:dyDescent="0.2">
      <c r="AL8707" s="177"/>
    </row>
    <row r="8708" spans="38:38" x14ac:dyDescent="0.2">
      <c r="AL8708" s="177"/>
    </row>
    <row r="8709" spans="38:38" x14ac:dyDescent="0.2">
      <c r="AL8709" s="177"/>
    </row>
    <row r="8710" spans="38:38" x14ac:dyDescent="0.2">
      <c r="AL8710" s="177"/>
    </row>
    <row r="8711" spans="38:38" x14ac:dyDescent="0.2">
      <c r="AL8711" s="177"/>
    </row>
    <row r="8712" spans="38:38" x14ac:dyDescent="0.2">
      <c r="AL8712" s="177"/>
    </row>
    <row r="8713" spans="38:38" x14ac:dyDescent="0.2">
      <c r="AL8713" s="177"/>
    </row>
    <row r="8714" spans="38:38" x14ac:dyDescent="0.2">
      <c r="AL8714" s="177"/>
    </row>
    <row r="8715" spans="38:38" x14ac:dyDescent="0.2">
      <c r="AL8715" s="177"/>
    </row>
    <row r="8716" spans="38:38" x14ac:dyDescent="0.2">
      <c r="AL8716" s="177"/>
    </row>
    <row r="8717" spans="38:38" x14ac:dyDescent="0.2">
      <c r="AL8717" s="177"/>
    </row>
    <row r="8718" spans="38:38" x14ac:dyDescent="0.2">
      <c r="AL8718" s="177"/>
    </row>
    <row r="8719" spans="38:38" x14ac:dyDescent="0.2">
      <c r="AL8719" s="177"/>
    </row>
    <row r="8720" spans="38:38" x14ac:dyDescent="0.2">
      <c r="AL8720" s="177"/>
    </row>
    <row r="8721" spans="38:38" x14ac:dyDescent="0.2">
      <c r="AL8721" s="177"/>
    </row>
    <row r="8722" spans="38:38" x14ac:dyDescent="0.2">
      <c r="AL8722" s="177"/>
    </row>
    <row r="8723" spans="38:38" x14ac:dyDescent="0.2">
      <c r="AL8723" s="177"/>
    </row>
    <row r="8724" spans="38:38" x14ac:dyDescent="0.2">
      <c r="AL8724" s="177"/>
    </row>
    <row r="8725" spans="38:38" x14ac:dyDescent="0.2">
      <c r="AL8725" s="177"/>
    </row>
    <row r="8726" spans="38:38" x14ac:dyDescent="0.2">
      <c r="AL8726" s="177"/>
    </row>
    <row r="8727" spans="38:38" x14ac:dyDescent="0.2">
      <c r="AL8727" s="177"/>
    </row>
    <row r="8728" spans="38:38" x14ac:dyDescent="0.2">
      <c r="AL8728" s="177"/>
    </row>
    <row r="8729" spans="38:38" x14ac:dyDescent="0.2">
      <c r="AL8729" s="177"/>
    </row>
    <row r="8730" spans="38:38" x14ac:dyDescent="0.2">
      <c r="AL8730" s="177"/>
    </row>
    <row r="8731" spans="38:38" x14ac:dyDescent="0.2">
      <c r="AL8731" s="177"/>
    </row>
    <row r="8732" spans="38:38" x14ac:dyDescent="0.2">
      <c r="AL8732" s="177"/>
    </row>
    <row r="8733" spans="38:38" x14ac:dyDescent="0.2">
      <c r="AL8733" s="177"/>
    </row>
    <row r="8734" spans="38:38" x14ac:dyDescent="0.2">
      <c r="AL8734" s="177"/>
    </row>
    <row r="8735" spans="38:38" x14ac:dyDescent="0.2">
      <c r="AL8735" s="177"/>
    </row>
    <row r="8736" spans="38:38" x14ac:dyDescent="0.2">
      <c r="AL8736" s="177"/>
    </row>
    <row r="8737" spans="38:38" x14ac:dyDescent="0.2">
      <c r="AL8737" s="177"/>
    </row>
    <row r="8738" spans="38:38" x14ac:dyDescent="0.2">
      <c r="AL8738" s="177"/>
    </row>
    <row r="8739" spans="38:38" x14ac:dyDescent="0.2">
      <c r="AL8739" s="177"/>
    </row>
    <row r="8740" spans="38:38" x14ac:dyDescent="0.2">
      <c r="AL8740" s="177"/>
    </row>
    <row r="8741" spans="38:38" x14ac:dyDescent="0.2">
      <c r="AL8741" s="177"/>
    </row>
    <row r="8742" spans="38:38" x14ac:dyDescent="0.2">
      <c r="AL8742" s="177"/>
    </row>
    <row r="8743" spans="38:38" x14ac:dyDescent="0.2">
      <c r="AL8743" s="177"/>
    </row>
    <row r="8744" spans="38:38" x14ac:dyDescent="0.2">
      <c r="AL8744" s="177"/>
    </row>
    <row r="8745" spans="38:38" x14ac:dyDescent="0.2">
      <c r="AL8745" s="177"/>
    </row>
    <row r="8746" spans="38:38" x14ac:dyDescent="0.2">
      <c r="AL8746" s="177"/>
    </row>
    <row r="8747" spans="38:38" x14ac:dyDescent="0.2">
      <c r="AL8747" s="177"/>
    </row>
    <row r="8748" spans="38:38" x14ac:dyDescent="0.2">
      <c r="AL8748" s="177"/>
    </row>
    <row r="8749" spans="38:38" x14ac:dyDescent="0.2">
      <c r="AL8749" s="177"/>
    </row>
    <row r="8750" spans="38:38" x14ac:dyDescent="0.2">
      <c r="AL8750" s="177"/>
    </row>
    <row r="8751" spans="38:38" x14ac:dyDescent="0.2">
      <c r="AL8751" s="177"/>
    </row>
    <row r="8752" spans="38:38" x14ac:dyDescent="0.2">
      <c r="AL8752" s="177"/>
    </row>
    <row r="8753" spans="38:38" x14ac:dyDescent="0.2">
      <c r="AL8753" s="177"/>
    </row>
    <row r="8754" spans="38:38" x14ac:dyDescent="0.2">
      <c r="AL8754" s="177"/>
    </row>
    <row r="8755" spans="38:38" x14ac:dyDescent="0.2">
      <c r="AL8755" s="177"/>
    </row>
    <row r="8756" spans="38:38" x14ac:dyDescent="0.2">
      <c r="AL8756" s="177"/>
    </row>
    <row r="8757" spans="38:38" x14ac:dyDescent="0.2">
      <c r="AL8757" s="177"/>
    </row>
    <row r="8758" spans="38:38" x14ac:dyDescent="0.2">
      <c r="AL8758" s="177"/>
    </row>
    <row r="8759" spans="38:38" x14ac:dyDescent="0.2">
      <c r="AL8759" s="177"/>
    </row>
    <row r="8760" spans="38:38" x14ac:dyDescent="0.2">
      <c r="AL8760" s="177"/>
    </row>
    <row r="8761" spans="38:38" x14ac:dyDescent="0.2">
      <c r="AL8761" s="177"/>
    </row>
    <row r="8762" spans="38:38" x14ac:dyDescent="0.2">
      <c r="AL8762" s="177"/>
    </row>
    <row r="8763" spans="38:38" x14ac:dyDescent="0.2">
      <c r="AL8763" s="177"/>
    </row>
    <row r="8764" spans="38:38" x14ac:dyDescent="0.2">
      <c r="AL8764" s="177"/>
    </row>
    <row r="8765" spans="38:38" x14ac:dyDescent="0.2">
      <c r="AL8765" s="177"/>
    </row>
    <row r="8766" spans="38:38" x14ac:dyDescent="0.2">
      <c r="AL8766" s="177"/>
    </row>
    <row r="8767" spans="38:38" x14ac:dyDescent="0.2">
      <c r="AL8767" s="177"/>
    </row>
    <row r="8768" spans="38:38" x14ac:dyDescent="0.2">
      <c r="AL8768" s="177"/>
    </row>
    <row r="8769" spans="38:38" x14ac:dyDescent="0.2">
      <c r="AL8769" s="177"/>
    </row>
    <row r="8770" spans="38:38" x14ac:dyDescent="0.2">
      <c r="AL8770" s="177"/>
    </row>
    <row r="8771" spans="38:38" x14ac:dyDescent="0.2">
      <c r="AL8771" s="177"/>
    </row>
    <row r="8772" spans="38:38" x14ac:dyDescent="0.2">
      <c r="AL8772" s="177"/>
    </row>
    <row r="8773" spans="38:38" x14ac:dyDescent="0.2">
      <c r="AL8773" s="177"/>
    </row>
    <row r="8774" spans="38:38" x14ac:dyDescent="0.2">
      <c r="AL8774" s="177"/>
    </row>
    <row r="8775" spans="38:38" x14ac:dyDescent="0.2">
      <c r="AL8775" s="177"/>
    </row>
    <row r="8776" spans="38:38" x14ac:dyDescent="0.2">
      <c r="AL8776" s="177"/>
    </row>
    <row r="8777" spans="38:38" x14ac:dyDescent="0.2">
      <c r="AL8777" s="177"/>
    </row>
    <row r="8778" spans="38:38" x14ac:dyDescent="0.2">
      <c r="AL8778" s="177"/>
    </row>
    <row r="8779" spans="38:38" x14ac:dyDescent="0.2">
      <c r="AL8779" s="177"/>
    </row>
    <row r="8780" spans="38:38" x14ac:dyDescent="0.2">
      <c r="AL8780" s="177"/>
    </row>
    <row r="8781" spans="38:38" x14ac:dyDescent="0.2">
      <c r="AL8781" s="177"/>
    </row>
    <row r="8782" spans="38:38" x14ac:dyDescent="0.2">
      <c r="AL8782" s="177"/>
    </row>
    <row r="8783" spans="38:38" x14ac:dyDescent="0.2">
      <c r="AL8783" s="177"/>
    </row>
    <row r="8784" spans="38:38" x14ac:dyDescent="0.2">
      <c r="AL8784" s="177"/>
    </row>
    <row r="8785" spans="38:38" x14ac:dyDescent="0.2">
      <c r="AL8785" s="177"/>
    </row>
    <row r="8786" spans="38:38" x14ac:dyDescent="0.2">
      <c r="AL8786" s="177"/>
    </row>
    <row r="8787" spans="38:38" x14ac:dyDescent="0.2">
      <c r="AL8787" s="177"/>
    </row>
    <row r="8788" spans="38:38" x14ac:dyDescent="0.2">
      <c r="AL8788" s="177"/>
    </row>
    <row r="8789" spans="38:38" x14ac:dyDescent="0.2">
      <c r="AL8789" s="177"/>
    </row>
    <row r="8790" spans="38:38" x14ac:dyDescent="0.2">
      <c r="AL8790" s="177"/>
    </row>
    <row r="8791" spans="38:38" x14ac:dyDescent="0.2">
      <c r="AL8791" s="177"/>
    </row>
    <row r="8792" spans="38:38" x14ac:dyDescent="0.2">
      <c r="AL8792" s="177"/>
    </row>
    <row r="8793" spans="38:38" x14ac:dyDescent="0.2">
      <c r="AL8793" s="177"/>
    </row>
    <row r="8794" spans="38:38" x14ac:dyDescent="0.2">
      <c r="AL8794" s="177"/>
    </row>
    <row r="8795" spans="38:38" x14ac:dyDescent="0.2">
      <c r="AL8795" s="177"/>
    </row>
    <row r="8796" spans="38:38" x14ac:dyDescent="0.2">
      <c r="AL8796" s="177"/>
    </row>
    <row r="8797" spans="38:38" x14ac:dyDescent="0.2">
      <c r="AL8797" s="177"/>
    </row>
    <row r="8798" spans="38:38" x14ac:dyDescent="0.2">
      <c r="AL8798" s="177"/>
    </row>
    <row r="8799" spans="38:38" x14ac:dyDescent="0.2">
      <c r="AL8799" s="177"/>
    </row>
    <row r="8800" spans="38:38" x14ac:dyDescent="0.2">
      <c r="AL8800" s="177"/>
    </row>
    <row r="8801" spans="38:38" x14ac:dyDescent="0.2">
      <c r="AL8801" s="177"/>
    </row>
    <row r="8802" spans="38:38" x14ac:dyDescent="0.2">
      <c r="AL8802" s="177"/>
    </row>
    <row r="8803" spans="38:38" x14ac:dyDescent="0.2">
      <c r="AL8803" s="177"/>
    </row>
    <row r="8804" spans="38:38" x14ac:dyDescent="0.2">
      <c r="AL8804" s="177"/>
    </row>
    <row r="8805" spans="38:38" x14ac:dyDescent="0.2">
      <c r="AL8805" s="177"/>
    </row>
    <row r="8806" spans="38:38" x14ac:dyDescent="0.2">
      <c r="AL8806" s="177"/>
    </row>
    <row r="8807" spans="38:38" x14ac:dyDescent="0.2">
      <c r="AL8807" s="177"/>
    </row>
    <row r="8808" spans="38:38" x14ac:dyDescent="0.2">
      <c r="AL8808" s="177"/>
    </row>
    <row r="8809" spans="38:38" x14ac:dyDescent="0.2">
      <c r="AL8809" s="177"/>
    </row>
    <row r="8810" spans="38:38" x14ac:dyDescent="0.2">
      <c r="AL8810" s="177"/>
    </row>
    <row r="8811" spans="38:38" x14ac:dyDescent="0.2">
      <c r="AL8811" s="177"/>
    </row>
    <row r="8812" spans="38:38" x14ac:dyDescent="0.2">
      <c r="AL8812" s="177"/>
    </row>
    <row r="8813" spans="38:38" x14ac:dyDescent="0.2">
      <c r="AL8813" s="177"/>
    </row>
    <row r="8814" spans="38:38" x14ac:dyDescent="0.2">
      <c r="AL8814" s="177"/>
    </row>
    <row r="8815" spans="38:38" x14ac:dyDescent="0.2">
      <c r="AL8815" s="177"/>
    </row>
    <row r="8816" spans="38:38" x14ac:dyDescent="0.2">
      <c r="AL8816" s="177"/>
    </row>
    <row r="8817" spans="38:38" x14ac:dyDescent="0.2">
      <c r="AL8817" s="177"/>
    </row>
    <row r="8818" spans="38:38" x14ac:dyDescent="0.2">
      <c r="AL8818" s="177"/>
    </row>
    <row r="8819" spans="38:38" x14ac:dyDescent="0.2">
      <c r="AL8819" s="177"/>
    </row>
    <row r="8820" spans="38:38" x14ac:dyDescent="0.2">
      <c r="AL8820" s="177"/>
    </row>
    <row r="8821" spans="38:38" x14ac:dyDescent="0.2">
      <c r="AL8821" s="177"/>
    </row>
    <row r="8822" spans="38:38" x14ac:dyDescent="0.2">
      <c r="AL8822" s="177"/>
    </row>
    <row r="8823" spans="38:38" x14ac:dyDescent="0.2">
      <c r="AL8823" s="177"/>
    </row>
    <row r="8824" spans="38:38" x14ac:dyDescent="0.2">
      <c r="AL8824" s="177"/>
    </row>
    <row r="8825" spans="38:38" x14ac:dyDescent="0.2">
      <c r="AL8825" s="177"/>
    </row>
    <row r="8826" spans="38:38" x14ac:dyDescent="0.2">
      <c r="AL8826" s="177"/>
    </row>
    <row r="8827" spans="38:38" x14ac:dyDescent="0.2">
      <c r="AL8827" s="177"/>
    </row>
    <row r="8828" spans="38:38" x14ac:dyDescent="0.2">
      <c r="AL8828" s="177"/>
    </row>
    <row r="8829" spans="38:38" x14ac:dyDescent="0.2">
      <c r="AL8829" s="177"/>
    </row>
    <row r="8830" spans="38:38" x14ac:dyDescent="0.2">
      <c r="AL8830" s="177"/>
    </row>
    <row r="8831" spans="38:38" x14ac:dyDescent="0.2">
      <c r="AL8831" s="177"/>
    </row>
    <row r="8832" spans="38:38" x14ac:dyDescent="0.2">
      <c r="AL8832" s="177"/>
    </row>
    <row r="8833" spans="38:38" x14ac:dyDescent="0.2">
      <c r="AL8833" s="177"/>
    </row>
    <row r="8834" spans="38:38" x14ac:dyDescent="0.2">
      <c r="AL8834" s="177"/>
    </row>
    <row r="8835" spans="38:38" x14ac:dyDescent="0.2">
      <c r="AL8835" s="177"/>
    </row>
    <row r="8836" spans="38:38" x14ac:dyDescent="0.2">
      <c r="AL8836" s="177"/>
    </row>
    <row r="8837" spans="38:38" x14ac:dyDescent="0.2">
      <c r="AL8837" s="177"/>
    </row>
    <row r="8838" spans="38:38" x14ac:dyDescent="0.2">
      <c r="AL8838" s="177"/>
    </row>
    <row r="8839" spans="38:38" x14ac:dyDescent="0.2">
      <c r="AL8839" s="177"/>
    </row>
    <row r="8840" spans="38:38" x14ac:dyDescent="0.2">
      <c r="AL8840" s="177"/>
    </row>
    <row r="8841" spans="38:38" x14ac:dyDescent="0.2">
      <c r="AL8841" s="177"/>
    </row>
    <row r="8842" spans="38:38" x14ac:dyDescent="0.2">
      <c r="AL8842" s="177"/>
    </row>
    <row r="8843" spans="38:38" x14ac:dyDescent="0.2">
      <c r="AL8843" s="177"/>
    </row>
    <row r="8844" spans="38:38" x14ac:dyDescent="0.2">
      <c r="AL8844" s="177"/>
    </row>
    <row r="8845" spans="38:38" x14ac:dyDescent="0.2">
      <c r="AL8845" s="177"/>
    </row>
    <row r="8846" spans="38:38" x14ac:dyDescent="0.2">
      <c r="AL8846" s="177"/>
    </row>
    <row r="8847" spans="38:38" x14ac:dyDescent="0.2">
      <c r="AL8847" s="177"/>
    </row>
    <row r="8848" spans="38:38" x14ac:dyDescent="0.2">
      <c r="AL8848" s="177"/>
    </row>
    <row r="8849" spans="38:38" x14ac:dyDescent="0.2">
      <c r="AL8849" s="177"/>
    </row>
    <row r="8850" spans="38:38" x14ac:dyDescent="0.2">
      <c r="AL8850" s="177"/>
    </row>
    <row r="8851" spans="38:38" x14ac:dyDescent="0.2">
      <c r="AL8851" s="177"/>
    </row>
    <row r="8852" spans="38:38" x14ac:dyDescent="0.2">
      <c r="AL8852" s="177"/>
    </row>
    <row r="8853" spans="38:38" x14ac:dyDescent="0.2">
      <c r="AL8853" s="177"/>
    </row>
    <row r="8854" spans="38:38" x14ac:dyDescent="0.2">
      <c r="AL8854" s="177"/>
    </row>
    <row r="8855" spans="38:38" x14ac:dyDescent="0.2">
      <c r="AL8855" s="177"/>
    </row>
    <row r="8856" spans="38:38" x14ac:dyDescent="0.2">
      <c r="AL8856" s="177"/>
    </row>
    <row r="8857" spans="38:38" x14ac:dyDescent="0.2">
      <c r="AL8857" s="177"/>
    </row>
    <row r="8858" spans="38:38" x14ac:dyDescent="0.2">
      <c r="AL8858" s="177"/>
    </row>
    <row r="8859" spans="38:38" x14ac:dyDescent="0.2">
      <c r="AL8859" s="177"/>
    </row>
    <row r="8860" spans="38:38" x14ac:dyDescent="0.2">
      <c r="AL8860" s="177"/>
    </row>
    <row r="8861" spans="38:38" x14ac:dyDescent="0.2">
      <c r="AL8861" s="177"/>
    </row>
    <row r="8862" spans="38:38" x14ac:dyDescent="0.2">
      <c r="AL8862" s="177"/>
    </row>
    <row r="8863" spans="38:38" x14ac:dyDescent="0.2">
      <c r="AL8863" s="177"/>
    </row>
    <row r="8864" spans="38:38" x14ac:dyDescent="0.2">
      <c r="AL8864" s="177"/>
    </row>
    <row r="8865" spans="38:38" x14ac:dyDescent="0.2">
      <c r="AL8865" s="177"/>
    </row>
    <row r="8866" spans="38:38" x14ac:dyDescent="0.2">
      <c r="AL8866" s="177"/>
    </row>
    <row r="8867" spans="38:38" x14ac:dyDescent="0.2">
      <c r="AL8867" s="177"/>
    </row>
    <row r="8868" spans="38:38" x14ac:dyDescent="0.2">
      <c r="AL8868" s="177"/>
    </row>
    <row r="8869" spans="38:38" x14ac:dyDescent="0.2">
      <c r="AL8869" s="177"/>
    </row>
    <row r="8870" spans="38:38" x14ac:dyDescent="0.2">
      <c r="AL8870" s="177"/>
    </row>
    <row r="8871" spans="38:38" x14ac:dyDescent="0.2">
      <c r="AL8871" s="177"/>
    </row>
    <row r="8872" spans="38:38" x14ac:dyDescent="0.2">
      <c r="AL8872" s="177"/>
    </row>
    <row r="8873" spans="38:38" x14ac:dyDescent="0.2">
      <c r="AL8873" s="177"/>
    </row>
    <row r="8874" spans="38:38" x14ac:dyDescent="0.2">
      <c r="AL8874" s="177"/>
    </row>
    <row r="8875" spans="38:38" x14ac:dyDescent="0.2">
      <c r="AL8875" s="177"/>
    </row>
    <row r="8876" spans="38:38" x14ac:dyDescent="0.2">
      <c r="AL8876" s="177"/>
    </row>
    <row r="8877" spans="38:38" x14ac:dyDescent="0.2">
      <c r="AL8877" s="177"/>
    </row>
    <row r="8878" spans="38:38" x14ac:dyDescent="0.2">
      <c r="AL8878" s="177"/>
    </row>
    <row r="8879" spans="38:38" x14ac:dyDescent="0.2">
      <c r="AL8879" s="177"/>
    </row>
    <row r="8880" spans="38:38" x14ac:dyDescent="0.2">
      <c r="AL8880" s="177"/>
    </row>
    <row r="8881" spans="38:38" x14ac:dyDescent="0.2">
      <c r="AL8881" s="177"/>
    </row>
    <row r="8882" spans="38:38" x14ac:dyDescent="0.2">
      <c r="AL8882" s="177"/>
    </row>
    <row r="8883" spans="38:38" x14ac:dyDescent="0.2">
      <c r="AL8883" s="177"/>
    </row>
    <row r="8884" spans="38:38" x14ac:dyDescent="0.2">
      <c r="AL8884" s="177"/>
    </row>
    <row r="8885" spans="38:38" x14ac:dyDescent="0.2">
      <c r="AL8885" s="177"/>
    </row>
    <row r="8886" spans="38:38" x14ac:dyDescent="0.2">
      <c r="AL8886" s="177"/>
    </row>
    <row r="8887" spans="38:38" x14ac:dyDescent="0.2">
      <c r="AL8887" s="177"/>
    </row>
    <row r="8888" spans="38:38" x14ac:dyDescent="0.2">
      <c r="AL8888" s="177"/>
    </row>
    <row r="8889" spans="38:38" x14ac:dyDescent="0.2">
      <c r="AL8889" s="177"/>
    </row>
    <row r="8890" spans="38:38" x14ac:dyDescent="0.2">
      <c r="AL8890" s="177"/>
    </row>
    <row r="8891" spans="38:38" x14ac:dyDescent="0.2">
      <c r="AL8891" s="177"/>
    </row>
    <row r="8892" spans="38:38" x14ac:dyDescent="0.2">
      <c r="AL8892" s="177"/>
    </row>
    <row r="8893" spans="38:38" x14ac:dyDescent="0.2">
      <c r="AL8893" s="177"/>
    </row>
    <row r="8894" spans="38:38" x14ac:dyDescent="0.2">
      <c r="AL8894" s="177"/>
    </row>
    <row r="8895" spans="38:38" x14ac:dyDescent="0.2">
      <c r="AL8895" s="177"/>
    </row>
    <row r="8896" spans="38:38" x14ac:dyDescent="0.2">
      <c r="AL8896" s="177"/>
    </row>
    <row r="8897" spans="38:38" x14ac:dyDescent="0.2">
      <c r="AL8897" s="177"/>
    </row>
    <row r="8898" spans="38:38" x14ac:dyDescent="0.2">
      <c r="AL8898" s="177"/>
    </row>
    <row r="8899" spans="38:38" x14ac:dyDescent="0.2">
      <c r="AL8899" s="177"/>
    </row>
    <row r="8900" spans="38:38" x14ac:dyDescent="0.2">
      <c r="AL8900" s="177"/>
    </row>
    <row r="8901" spans="38:38" x14ac:dyDescent="0.2">
      <c r="AL8901" s="177"/>
    </row>
    <row r="8902" spans="38:38" x14ac:dyDescent="0.2">
      <c r="AL8902" s="177"/>
    </row>
    <row r="8903" spans="38:38" x14ac:dyDescent="0.2">
      <c r="AL8903" s="177"/>
    </row>
    <row r="8904" spans="38:38" x14ac:dyDescent="0.2">
      <c r="AL8904" s="177"/>
    </row>
    <row r="8905" spans="38:38" x14ac:dyDescent="0.2">
      <c r="AL8905" s="177"/>
    </row>
    <row r="8906" spans="38:38" x14ac:dyDescent="0.2">
      <c r="AL8906" s="177"/>
    </row>
    <row r="8907" spans="38:38" x14ac:dyDescent="0.2">
      <c r="AL8907" s="177"/>
    </row>
    <row r="8908" spans="38:38" x14ac:dyDescent="0.2">
      <c r="AL8908" s="177"/>
    </row>
    <row r="8909" spans="38:38" x14ac:dyDescent="0.2">
      <c r="AL8909" s="177"/>
    </row>
    <row r="8910" spans="38:38" x14ac:dyDescent="0.2">
      <c r="AL8910" s="177"/>
    </row>
    <row r="8911" spans="38:38" x14ac:dyDescent="0.2">
      <c r="AL8911" s="177"/>
    </row>
    <row r="8912" spans="38:38" x14ac:dyDescent="0.2">
      <c r="AL8912" s="177"/>
    </row>
    <row r="8913" spans="38:38" x14ac:dyDescent="0.2">
      <c r="AL8913" s="177"/>
    </row>
    <row r="8914" spans="38:38" x14ac:dyDescent="0.2">
      <c r="AL8914" s="177"/>
    </row>
    <row r="8915" spans="38:38" x14ac:dyDescent="0.2">
      <c r="AL8915" s="177"/>
    </row>
    <row r="8916" spans="38:38" x14ac:dyDescent="0.2">
      <c r="AL8916" s="177"/>
    </row>
    <row r="8917" spans="38:38" x14ac:dyDescent="0.2">
      <c r="AL8917" s="177"/>
    </row>
    <row r="8918" spans="38:38" x14ac:dyDescent="0.2">
      <c r="AL8918" s="177"/>
    </row>
    <row r="8919" spans="38:38" x14ac:dyDescent="0.2">
      <c r="AL8919" s="177"/>
    </row>
    <row r="8920" spans="38:38" x14ac:dyDescent="0.2">
      <c r="AL8920" s="177"/>
    </row>
    <row r="8921" spans="38:38" x14ac:dyDescent="0.2">
      <c r="AL8921" s="177"/>
    </row>
    <row r="8922" spans="38:38" x14ac:dyDescent="0.2">
      <c r="AL8922" s="177"/>
    </row>
    <row r="8923" spans="38:38" x14ac:dyDescent="0.2">
      <c r="AL8923" s="177"/>
    </row>
    <row r="8924" spans="38:38" x14ac:dyDescent="0.2">
      <c r="AL8924" s="177"/>
    </row>
    <row r="8925" spans="38:38" x14ac:dyDescent="0.2">
      <c r="AL8925" s="177"/>
    </row>
    <row r="8926" spans="38:38" x14ac:dyDescent="0.2">
      <c r="AL8926" s="177"/>
    </row>
    <row r="8927" spans="38:38" x14ac:dyDescent="0.2">
      <c r="AL8927" s="177"/>
    </row>
    <row r="8928" spans="38:38" x14ac:dyDescent="0.2">
      <c r="AL8928" s="177"/>
    </row>
    <row r="8929" spans="38:38" x14ac:dyDescent="0.2">
      <c r="AL8929" s="177"/>
    </row>
    <row r="8930" spans="38:38" x14ac:dyDescent="0.2">
      <c r="AL8930" s="177"/>
    </row>
    <row r="8931" spans="38:38" x14ac:dyDescent="0.2">
      <c r="AL8931" s="177"/>
    </row>
    <row r="8932" spans="38:38" x14ac:dyDescent="0.2">
      <c r="AL8932" s="177"/>
    </row>
    <row r="8933" spans="38:38" x14ac:dyDescent="0.2">
      <c r="AL8933" s="177"/>
    </row>
    <row r="8934" spans="38:38" x14ac:dyDescent="0.2">
      <c r="AL8934" s="177"/>
    </row>
    <row r="8935" spans="38:38" x14ac:dyDescent="0.2">
      <c r="AL8935" s="177"/>
    </row>
    <row r="8936" spans="38:38" x14ac:dyDescent="0.2">
      <c r="AL8936" s="177"/>
    </row>
    <row r="8937" spans="38:38" x14ac:dyDescent="0.2">
      <c r="AL8937" s="177"/>
    </row>
    <row r="8938" spans="38:38" x14ac:dyDescent="0.2">
      <c r="AL8938" s="177"/>
    </row>
    <row r="8939" spans="38:38" x14ac:dyDescent="0.2">
      <c r="AL8939" s="177"/>
    </row>
    <row r="8940" spans="38:38" x14ac:dyDescent="0.2">
      <c r="AL8940" s="177"/>
    </row>
    <row r="8941" spans="38:38" x14ac:dyDescent="0.2">
      <c r="AL8941" s="177"/>
    </row>
    <row r="8942" spans="38:38" x14ac:dyDescent="0.2">
      <c r="AL8942" s="177"/>
    </row>
    <row r="8943" spans="38:38" x14ac:dyDescent="0.2">
      <c r="AL8943" s="177"/>
    </row>
    <row r="8944" spans="38:38" x14ac:dyDescent="0.2">
      <c r="AL8944" s="177"/>
    </row>
    <row r="8945" spans="38:38" x14ac:dyDescent="0.2">
      <c r="AL8945" s="177"/>
    </row>
    <row r="8946" spans="38:38" x14ac:dyDescent="0.2">
      <c r="AL8946" s="177"/>
    </row>
    <row r="8947" spans="38:38" x14ac:dyDescent="0.2">
      <c r="AL8947" s="177"/>
    </row>
    <row r="8948" spans="38:38" x14ac:dyDescent="0.2">
      <c r="AL8948" s="177"/>
    </row>
    <row r="8949" spans="38:38" x14ac:dyDescent="0.2">
      <c r="AL8949" s="177"/>
    </row>
    <row r="8950" spans="38:38" x14ac:dyDescent="0.2">
      <c r="AL8950" s="177"/>
    </row>
    <row r="8951" spans="38:38" x14ac:dyDescent="0.2">
      <c r="AL8951" s="177"/>
    </row>
    <row r="8952" spans="38:38" x14ac:dyDescent="0.2">
      <c r="AL8952" s="177"/>
    </row>
    <row r="8953" spans="38:38" x14ac:dyDescent="0.2">
      <c r="AL8953" s="177"/>
    </row>
    <row r="8954" spans="38:38" x14ac:dyDescent="0.2">
      <c r="AL8954" s="177"/>
    </row>
    <row r="8955" spans="38:38" x14ac:dyDescent="0.2">
      <c r="AL8955" s="177"/>
    </row>
    <row r="8956" spans="38:38" x14ac:dyDescent="0.2">
      <c r="AL8956" s="177"/>
    </row>
    <row r="8957" spans="38:38" x14ac:dyDescent="0.2">
      <c r="AL8957" s="177"/>
    </row>
    <row r="8958" spans="38:38" x14ac:dyDescent="0.2">
      <c r="AL8958" s="177"/>
    </row>
    <row r="8959" spans="38:38" x14ac:dyDescent="0.2">
      <c r="AL8959" s="177"/>
    </row>
    <row r="8960" spans="38:38" x14ac:dyDescent="0.2">
      <c r="AL8960" s="177"/>
    </row>
    <row r="8961" spans="38:38" x14ac:dyDescent="0.2">
      <c r="AL8961" s="177"/>
    </row>
    <row r="8962" spans="38:38" x14ac:dyDescent="0.2">
      <c r="AL8962" s="177"/>
    </row>
    <row r="8963" spans="38:38" x14ac:dyDescent="0.2">
      <c r="AL8963" s="177"/>
    </row>
    <row r="8964" spans="38:38" x14ac:dyDescent="0.2">
      <c r="AL8964" s="177"/>
    </row>
    <row r="8965" spans="38:38" x14ac:dyDescent="0.2">
      <c r="AL8965" s="177"/>
    </row>
    <row r="8966" spans="38:38" x14ac:dyDescent="0.2">
      <c r="AL8966" s="177"/>
    </row>
    <row r="8967" spans="38:38" x14ac:dyDescent="0.2">
      <c r="AL8967" s="177"/>
    </row>
    <row r="8968" spans="38:38" x14ac:dyDescent="0.2">
      <c r="AL8968" s="177"/>
    </row>
    <row r="8969" spans="38:38" x14ac:dyDescent="0.2">
      <c r="AL8969" s="177"/>
    </row>
    <row r="8970" spans="38:38" x14ac:dyDescent="0.2">
      <c r="AL8970" s="177"/>
    </row>
    <row r="8971" spans="38:38" x14ac:dyDescent="0.2">
      <c r="AL8971" s="177"/>
    </row>
    <row r="8972" spans="38:38" x14ac:dyDescent="0.2">
      <c r="AL8972" s="177"/>
    </row>
    <row r="8973" spans="38:38" x14ac:dyDescent="0.2">
      <c r="AL8973" s="177"/>
    </row>
    <row r="8974" spans="38:38" x14ac:dyDescent="0.2">
      <c r="AL8974" s="177"/>
    </row>
    <row r="8975" spans="38:38" x14ac:dyDescent="0.2">
      <c r="AL8975" s="177"/>
    </row>
    <row r="8976" spans="38:38" x14ac:dyDescent="0.2">
      <c r="AL8976" s="177"/>
    </row>
    <row r="8977" spans="38:38" x14ac:dyDescent="0.2">
      <c r="AL8977" s="177"/>
    </row>
    <row r="8978" spans="38:38" x14ac:dyDescent="0.2">
      <c r="AL8978" s="177"/>
    </row>
    <row r="8979" spans="38:38" x14ac:dyDescent="0.2">
      <c r="AL8979" s="177"/>
    </row>
    <row r="8980" spans="38:38" x14ac:dyDescent="0.2">
      <c r="AL8980" s="177"/>
    </row>
    <row r="8981" spans="38:38" x14ac:dyDescent="0.2">
      <c r="AL8981" s="177"/>
    </row>
    <row r="8982" spans="38:38" x14ac:dyDescent="0.2">
      <c r="AL8982" s="177"/>
    </row>
    <row r="8983" spans="38:38" x14ac:dyDescent="0.2">
      <c r="AL8983" s="177"/>
    </row>
    <row r="8984" spans="38:38" x14ac:dyDescent="0.2">
      <c r="AL8984" s="177"/>
    </row>
    <row r="8985" spans="38:38" x14ac:dyDescent="0.2">
      <c r="AL8985" s="177"/>
    </row>
    <row r="8986" spans="38:38" x14ac:dyDescent="0.2">
      <c r="AL8986" s="177"/>
    </row>
    <row r="8987" spans="38:38" x14ac:dyDescent="0.2">
      <c r="AL8987" s="177"/>
    </row>
    <row r="8988" spans="38:38" x14ac:dyDescent="0.2">
      <c r="AL8988" s="177"/>
    </row>
    <row r="8989" spans="38:38" x14ac:dyDescent="0.2">
      <c r="AL8989" s="177"/>
    </row>
    <row r="8990" spans="38:38" x14ac:dyDescent="0.2">
      <c r="AL8990" s="177"/>
    </row>
    <row r="8991" spans="38:38" x14ac:dyDescent="0.2">
      <c r="AL8991" s="177"/>
    </row>
    <row r="8992" spans="38:38" x14ac:dyDescent="0.2">
      <c r="AL8992" s="177"/>
    </row>
    <row r="8993" spans="38:38" x14ac:dyDescent="0.2">
      <c r="AL8993" s="177"/>
    </row>
    <row r="8994" spans="38:38" x14ac:dyDescent="0.2">
      <c r="AL8994" s="177"/>
    </row>
    <row r="8995" spans="38:38" x14ac:dyDescent="0.2">
      <c r="AL8995" s="177"/>
    </row>
    <row r="8996" spans="38:38" x14ac:dyDescent="0.2">
      <c r="AL8996" s="177"/>
    </row>
    <row r="8997" spans="38:38" x14ac:dyDescent="0.2">
      <c r="AL8997" s="177"/>
    </row>
    <row r="8998" spans="38:38" x14ac:dyDescent="0.2">
      <c r="AL8998" s="177"/>
    </row>
    <row r="8999" spans="38:38" x14ac:dyDescent="0.2">
      <c r="AL8999" s="177"/>
    </row>
    <row r="9000" spans="38:38" x14ac:dyDescent="0.2">
      <c r="AL9000" s="177"/>
    </row>
    <row r="9001" spans="38:38" x14ac:dyDescent="0.2">
      <c r="AL9001" s="177"/>
    </row>
    <row r="9002" spans="38:38" x14ac:dyDescent="0.2">
      <c r="AL9002" s="177"/>
    </row>
    <row r="9003" spans="38:38" x14ac:dyDescent="0.2">
      <c r="AL9003" s="177"/>
    </row>
    <row r="9004" spans="38:38" x14ac:dyDescent="0.2">
      <c r="AL9004" s="177"/>
    </row>
    <row r="9005" spans="38:38" x14ac:dyDescent="0.2">
      <c r="AL9005" s="177"/>
    </row>
    <row r="9006" spans="38:38" x14ac:dyDescent="0.2">
      <c r="AL9006" s="177"/>
    </row>
    <row r="9007" spans="38:38" x14ac:dyDescent="0.2">
      <c r="AL9007" s="177"/>
    </row>
    <row r="9008" spans="38:38" x14ac:dyDescent="0.2">
      <c r="AL9008" s="177"/>
    </row>
    <row r="9009" spans="38:38" x14ac:dyDescent="0.2">
      <c r="AL9009" s="177"/>
    </row>
    <row r="9010" spans="38:38" x14ac:dyDescent="0.2">
      <c r="AL9010" s="177"/>
    </row>
    <row r="9011" spans="38:38" x14ac:dyDescent="0.2">
      <c r="AL9011" s="177"/>
    </row>
    <row r="9012" spans="38:38" x14ac:dyDescent="0.2">
      <c r="AL9012" s="177"/>
    </row>
    <row r="9013" spans="38:38" x14ac:dyDescent="0.2">
      <c r="AL9013" s="177"/>
    </row>
    <row r="9014" spans="38:38" x14ac:dyDescent="0.2">
      <c r="AL9014" s="177"/>
    </row>
    <row r="9015" spans="38:38" x14ac:dyDescent="0.2">
      <c r="AL9015" s="177"/>
    </row>
    <row r="9016" spans="38:38" x14ac:dyDescent="0.2">
      <c r="AL9016" s="177"/>
    </row>
    <row r="9017" spans="38:38" x14ac:dyDescent="0.2">
      <c r="AL9017" s="177"/>
    </row>
    <row r="9018" spans="38:38" x14ac:dyDescent="0.2">
      <c r="AL9018" s="177"/>
    </row>
    <row r="9019" spans="38:38" x14ac:dyDescent="0.2">
      <c r="AL9019" s="177"/>
    </row>
    <row r="9020" spans="38:38" x14ac:dyDescent="0.2">
      <c r="AL9020" s="177"/>
    </row>
    <row r="9021" spans="38:38" x14ac:dyDescent="0.2">
      <c r="AL9021" s="177"/>
    </row>
    <row r="9022" spans="38:38" x14ac:dyDescent="0.2">
      <c r="AL9022" s="177"/>
    </row>
    <row r="9023" spans="38:38" x14ac:dyDescent="0.2">
      <c r="AL9023" s="177"/>
    </row>
    <row r="9024" spans="38:38" x14ac:dyDescent="0.2">
      <c r="AL9024" s="177"/>
    </row>
    <row r="9025" spans="38:38" x14ac:dyDescent="0.2">
      <c r="AL9025" s="177"/>
    </row>
    <row r="9026" spans="38:38" x14ac:dyDescent="0.2">
      <c r="AL9026" s="177"/>
    </row>
    <row r="9027" spans="38:38" x14ac:dyDescent="0.2">
      <c r="AL9027" s="177"/>
    </row>
    <row r="9028" spans="38:38" x14ac:dyDescent="0.2">
      <c r="AL9028" s="177"/>
    </row>
    <row r="9029" spans="38:38" x14ac:dyDescent="0.2">
      <c r="AL9029" s="177"/>
    </row>
    <row r="9030" spans="38:38" x14ac:dyDescent="0.2">
      <c r="AL9030" s="177"/>
    </row>
    <row r="9031" spans="38:38" x14ac:dyDescent="0.2">
      <c r="AL9031" s="177"/>
    </row>
    <row r="9032" spans="38:38" x14ac:dyDescent="0.2">
      <c r="AL9032" s="177"/>
    </row>
    <row r="9033" spans="38:38" x14ac:dyDescent="0.2">
      <c r="AL9033" s="177"/>
    </row>
    <row r="9034" spans="38:38" x14ac:dyDescent="0.2">
      <c r="AL9034" s="177"/>
    </row>
    <row r="9035" spans="38:38" x14ac:dyDescent="0.2">
      <c r="AL9035" s="177"/>
    </row>
    <row r="9036" spans="38:38" x14ac:dyDescent="0.2">
      <c r="AL9036" s="177"/>
    </row>
    <row r="9037" spans="38:38" x14ac:dyDescent="0.2">
      <c r="AL9037" s="177"/>
    </row>
    <row r="9038" spans="38:38" x14ac:dyDescent="0.2">
      <c r="AL9038" s="177"/>
    </row>
    <row r="9039" spans="38:38" x14ac:dyDescent="0.2">
      <c r="AL9039" s="177"/>
    </row>
    <row r="9040" spans="38:38" x14ac:dyDescent="0.2">
      <c r="AL9040" s="177"/>
    </row>
    <row r="9041" spans="38:38" x14ac:dyDescent="0.2">
      <c r="AL9041" s="177"/>
    </row>
    <row r="9042" spans="38:38" x14ac:dyDescent="0.2">
      <c r="AL9042" s="177"/>
    </row>
    <row r="9043" spans="38:38" x14ac:dyDescent="0.2">
      <c r="AL9043" s="177"/>
    </row>
    <row r="9044" spans="38:38" x14ac:dyDescent="0.2">
      <c r="AL9044" s="177"/>
    </row>
    <row r="9045" spans="38:38" x14ac:dyDescent="0.2">
      <c r="AL9045" s="177"/>
    </row>
    <row r="9046" spans="38:38" x14ac:dyDescent="0.2">
      <c r="AL9046" s="177"/>
    </row>
    <row r="9047" spans="38:38" x14ac:dyDescent="0.2">
      <c r="AL9047" s="177"/>
    </row>
    <row r="9048" spans="38:38" x14ac:dyDescent="0.2">
      <c r="AL9048" s="177"/>
    </row>
    <row r="9049" spans="38:38" x14ac:dyDescent="0.2">
      <c r="AL9049" s="177"/>
    </row>
    <row r="9050" spans="38:38" x14ac:dyDescent="0.2">
      <c r="AL9050" s="177"/>
    </row>
    <row r="9051" spans="38:38" x14ac:dyDescent="0.2">
      <c r="AL9051" s="177"/>
    </row>
    <row r="9052" spans="38:38" x14ac:dyDescent="0.2">
      <c r="AL9052" s="177"/>
    </row>
    <row r="9053" spans="38:38" x14ac:dyDescent="0.2">
      <c r="AL9053" s="177"/>
    </row>
    <row r="9054" spans="38:38" x14ac:dyDescent="0.2">
      <c r="AL9054" s="177"/>
    </row>
    <row r="9055" spans="38:38" x14ac:dyDescent="0.2">
      <c r="AL9055" s="177"/>
    </row>
    <row r="9056" spans="38:38" x14ac:dyDescent="0.2">
      <c r="AL9056" s="177"/>
    </row>
    <row r="9057" spans="38:38" x14ac:dyDescent="0.2">
      <c r="AL9057" s="177"/>
    </row>
    <row r="9058" spans="38:38" x14ac:dyDescent="0.2">
      <c r="AL9058" s="177"/>
    </row>
    <row r="9059" spans="38:38" x14ac:dyDescent="0.2">
      <c r="AL9059" s="177"/>
    </row>
    <row r="9060" spans="38:38" x14ac:dyDescent="0.2">
      <c r="AL9060" s="177"/>
    </row>
    <row r="9061" spans="38:38" x14ac:dyDescent="0.2">
      <c r="AL9061" s="177"/>
    </row>
    <row r="9062" spans="38:38" x14ac:dyDescent="0.2">
      <c r="AL9062" s="177"/>
    </row>
    <row r="9063" spans="38:38" x14ac:dyDescent="0.2">
      <c r="AL9063" s="177"/>
    </row>
    <row r="9064" spans="38:38" x14ac:dyDescent="0.2">
      <c r="AL9064" s="177"/>
    </row>
    <row r="9065" spans="38:38" x14ac:dyDescent="0.2">
      <c r="AL9065" s="177"/>
    </row>
    <row r="9066" spans="38:38" x14ac:dyDescent="0.2">
      <c r="AL9066" s="177"/>
    </row>
    <row r="9067" spans="38:38" x14ac:dyDescent="0.2">
      <c r="AL9067" s="177"/>
    </row>
    <row r="9068" spans="38:38" x14ac:dyDescent="0.2">
      <c r="AL9068" s="177"/>
    </row>
    <row r="9069" spans="38:38" x14ac:dyDescent="0.2">
      <c r="AL9069" s="177"/>
    </row>
    <row r="9070" spans="38:38" x14ac:dyDescent="0.2">
      <c r="AL9070" s="177"/>
    </row>
    <row r="9071" spans="38:38" x14ac:dyDescent="0.2">
      <c r="AL9071" s="177"/>
    </row>
    <row r="9072" spans="38:38" x14ac:dyDescent="0.2">
      <c r="AL9072" s="177"/>
    </row>
    <row r="9073" spans="38:38" x14ac:dyDescent="0.2">
      <c r="AL9073" s="177"/>
    </row>
    <row r="9074" spans="38:38" x14ac:dyDescent="0.2">
      <c r="AL9074" s="177"/>
    </row>
    <row r="9075" spans="38:38" x14ac:dyDescent="0.2">
      <c r="AL9075" s="177"/>
    </row>
    <row r="9076" spans="38:38" x14ac:dyDescent="0.2">
      <c r="AL9076" s="177"/>
    </row>
    <row r="9077" spans="38:38" x14ac:dyDescent="0.2">
      <c r="AL9077" s="177"/>
    </row>
    <row r="9078" spans="38:38" x14ac:dyDescent="0.2">
      <c r="AL9078" s="177"/>
    </row>
    <row r="9079" spans="38:38" x14ac:dyDescent="0.2">
      <c r="AL9079" s="177"/>
    </row>
    <row r="9080" spans="38:38" x14ac:dyDescent="0.2">
      <c r="AL9080" s="177"/>
    </row>
    <row r="9081" spans="38:38" x14ac:dyDescent="0.2">
      <c r="AL9081" s="177"/>
    </row>
    <row r="9082" spans="38:38" x14ac:dyDescent="0.2">
      <c r="AL9082" s="177"/>
    </row>
    <row r="9083" spans="38:38" x14ac:dyDescent="0.2">
      <c r="AL9083" s="177"/>
    </row>
    <row r="9084" spans="38:38" x14ac:dyDescent="0.2">
      <c r="AL9084" s="177"/>
    </row>
    <row r="9085" spans="38:38" x14ac:dyDescent="0.2">
      <c r="AL9085" s="177"/>
    </row>
    <row r="9086" spans="38:38" x14ac:dyDescent="0.2">
      <c r="AL9086" s="177"/>
    </row>
    <row r="9087" spans="38:38" x14ac:dyDescent="0.2">
      <c r="AL9087" s="177"/>
    </row>
    <row r="9088" spans="38:38" x14ac:dyDescent="0.2">
      <c r="AL9088" s="177"/>
    </row>
    <row r="9089" spans="38:38" x14ac:dyDescent="0.2">
      <c r="AL9089" s="177"/>
    </row>
    <row r="9090" spans="38:38" x14ac:dyDescent="0.2">
      <c r="AL9090" s="177"/>
    </row>
    <row r="9091" spans="38:38" x14ac:dyDescent="0.2">
      <c r="AL9091" s="177"/>
    </row>
    <row r="9092" spans="38:38" x14ac:dyDescent="0.2">
      <c r="AL9092" s="177"/>
    </row>
    <row r="9093" spans="38:38" x14ac:dyDescent="0.2">
      <c r="AL9093" s="177"/>
    </row>
    <row r="9094" spans="38:38" x14ac:dyDescent="0.2">
      <c r="AL9094" s="177"/>
    </row>
    <row r="9095" spans="38:38" x14ac:dyDescent="0.2">
      <c r="AL9095" s="177"/>
    </row>
    <row r="9096" spans="38:38" x14ac:dyDescent="0.2">
      <c r="AL9096" s="177"/>
    </row>
    <row r="9097" spans="38:38" x14ac:dyDescent="0.2">
      <c r="AL9097" s="177"/>
    </row>
    <row r="9098" spans="38:38" x14ac:dyDescent="0.2">
      <c r="AL9098" s="177"/>
    </row>
    <row r="9099" spans="38:38" x14ac:dyDescent="0.2">
      <c r="AL9099" s="177"/>
    </row>
    <row r="9100" spans="38:38" x14ac:dyDescent="0.2">
      <c r="AL9100" s="177"/>
    </row>
    <row r="9101" spans="38:38" x14ac:dyDescent="0.2">
      <c r="AL9101" s="177"/>
    </row>
    <row r="9102" spans="38:38" x14ac:dyDescent="0.2">
      <c r="AL9102" s="177"/>
    </row>
    <row r="9103" spans="38:38" x14ac:dyDescent="0.2">
      <c r="AL9103" s="177"/>
    </row>
    <row r="9104" spans="38:38" x14ac:dyDescent="0.2">
      <c r="AL9104" s="177"/>
    </row>
    <row r="9105" spans="38:38" x14ac:dyDescent="0.2">
      <c r="AL9105" s="177"/>
    </row>
    <row r="9106" spans="38:38" x14ac:dyDescent="0.2">
      <c r="AL9106" s="177"/>
    </row>
    <row r="9107" spans="38:38" x14ac:dyDescent="0.2">
      <c r="AL9107" s="177"/>
    </row>
    <row r="9108" spans="38:38" x14ac:dyDescent="0.2">
      <c r="AL9108" s="177"/>
    </row>
    <row r="9109" spans="38:38" x14ac:dyDescent="0.2">
      <c r="AL9109" s="177"/>
    </row>
    <row r="9110" spans="38:38" x14ac:dyDescent="0.2">
      <c r="AL9110" s="177"/>
    </row>
    <row r="9111" spans="38:38" x14ac:dyDescent="0.2">
      <c r="AL9111" s="177"/>
    </row>
    <row r="9112" spans="38:38" x14ac:dyDescent="0.2">
      <c r="AL9112" s="177"/>
    </row>
    <row r="9113" spans="38:38" x14ac:dyDescent="0.2">
      <c r="AL9113" s="177"/>
    </row>
    <row r="9114" spans="38:38" x14ac:dyDescent="0.2">
      <c r="AL9114" s="177"/>
    </row>
    <row r="9115" spans="38:38" x14ac:dyDescent="0.2">
      <c r="AL9115" s="177"/>
    </row>
    <row r="9116" spans="38:38" x14ac:dyDescent="0.2">
      <c r="AL9116" s="177"/>
    </row>
    <row r="9117" spans="38:38" x14ac:dyDescent="0.2">
      <c r="AL9117" s="177"/>
    </row>
    <row r="9118" spans="38:38" x14ac:dyDescent="0.2">
      <c r="AL9118" s="177"/>
    </row>
    <row r="9119" spans="38:38" x14ac:dyDescent="0.2">
      <c r="AL9119" s="177"/>
    </row>
    <row r="9120" spans="38:38" x14ac:dyDescent="0.2">
      <c r="AL9120" s="177"/>
    </row>
    <row r="9121" spans="38:38" x14ac:dyDescent="0.2">
      <c r="AL9121" s="177"/>
    </row>
    <row r="9122" spans="38:38" x14ac:dyDescent="0.2">
      <c r="AL9122" s="177"/>
    </row>
    <row r="9123" spans="38:38" x14ac:dyDescent="0.2">
      <c r="AL9123" s="177"/>
    </row>
    <row r="9124" spans="38:38" x14ac:dyDescent="0.2">
      <c r="AL9124" s="177"/>
    </row>
    <row r="9125" spans="38:38" x14ac:dyDescent="0.2">
      <c r="AL9125" s="177"/>
    </row>
    <row r="9126" spans="38:38" x14ac:dyDescent="0.2">
      <c r="AL9126" s="177"/>
    </row>
    <row r="9127" spans="38:38" x14ac:dyDescent="0.2">
      <c r="AL9127" s="177"/>
    </row>
    <row r="9128" spans="38:38" x14ac:dyDescent="0.2">
      <c r="AL9128" s="177"/>
    </row>
    <row r="9129" spans="38:38" x14ac:dyDescent="0.2">
      <c r="AL9129" s="177"/>
    </row>
    <row r="9130" spans="38:38" x14ac:dyDescent="0.2">
      <c r="AL9130" s="177"/>
    </row>
    <row r="9131" spans="38:38" x14ac:dyDescent="0.2">
      <c r="AL9131" s="177"/>
    </row>
    <row r="9132" spans="38:38" x14ac:dyDescent="0.2">
      <c r="AL9132" s="177"/>
    </row>
    <row r="9133" spans="38:38" x14ac:dyDescent="0.2">
      <c r="AL9133" s="177"/>
    </row>
    <row r="9134" spans="38:38" x14ac:dyDescent="0.2">
      <c r="AL9134" s="177"/>
    </row>
    <row r="9135" spans="38:38" x14ac:dyDescent="0.2">
      <c r="AL9135" s="177"/>
    </row>
    <row r="9136" spans="38:38" x14ac:dyDescent="0.2">
      <c r="AL9136" s="177"/>
    </row>
    <row r="9137" spans="38:38" x14ac:dyDescent="0.2">
      <c r="AL9137" s="177"/>
    </row>
    <row r="9138" spans="38:38" x14ac:dyDescent="0.2">
      <c r="AL9138" s="177"/>
    </row>
    <row r="9139" spans="38:38" x14ac:dyDescent="0.2">
      <c r="AL9139" s="177"/>
    </row>
    <row r="9140" spans="38:38" x14ac:dyDescent="0.2">
      <c r="AL9140" s="177"/>
    </row>
    <row r="9141" spans="38:38" x14ac:dyDescent="0.2">
      <c r="AL9141" s="177"/>
    </row>
    <row r="9142" spans="38:38" x14ac:dyDescent="0.2">
      <c r="AL9142" s="177"/>
    </row>
    <row r="9143" spans="38:38" x14ac:dyDescent="0.2">
      <c r="AL9143" s="177"/>
    </row>
    <row r="9144" spans="38:38" x14ac:dyDescent="0.2">
      <c r="AL9144" s="177"/>
    </row>
    <row r="9145" spans="38:38" x14ac:dyDescent="0.2">
      <c r="AL9145" s="177"/>
    </row>
    <row r="9146" spans="38:38" x14ac:dyDescent="0.2">
      <c r="AL9146" s="177"/>
    </row>
    <row r="9147" spans="38:38" x14ac:dyDescent="0.2">
      <c r="AL9147" s="177"/>
    </row>
    <row r="9148" spans="38:38" x14ac:dyDescent="0.2">
      <c r="AL9148" s="177"/>
    </row>
    <row r="9149" spans="38:38" x14ac:dyDescent="0.2">
      <c r="AL9149" s="177"/>
    </row>
    <row r="9150" spans="38:38" x14ac:dyDescent="0.2">
      <c r="AL9150" s="177"/>
    </row>
    <row r="9151" spans="38:38" x14ac:dyDescent="0.2">
      <c r="AL9151" s="177"/>
    </row>
    <row r="9152" spans="38:38" x14ac:dyDescent="0.2">
      <c r="AL9152" s="177"/>
    </row>
    <row r="9153" spans="38:38" x14ac:dyDescent="0.2">
      <c r="AL9153" s="177"/>
    </row>
    <row r="9154" spans="38:38" x14ac:dyDescent="0.2">
      <c r="AL9154" s="177"/>
    </row>
    <row r="9155" spans="38:38" x14ac:dyDescent="0.2">
      <c r="AL9155" s="177"/>
    </row>
    <row r="9156" spans="38:38" x14ac:dyDescent="0.2">
      <c r="AL9156" s="177"/>
    </row>
    <row r="9157" spans="38:38" x14ac:dyDescent="0.2">
      <c r="AL9157" s="177"/>
    </row>
    <row r="9158" spans="38:38" x14ac:dyDescent="0.2">
      <c r="AL9158" s="177"/>
    </row>
    <row r="9159" spans="38:38" x14ac:dyDescent="0.2">
      <c r="AL9159" s="177"/>
    </row>
    <row r="9160" spans="38:38" x14ac:dyDescent="0.2">
      <c r="AL9160" s="177"/>
    </row>
    <row r="9161" spans="38:38" x14ac:dyDescent="0.2">
      <c r="AL9161" s="177"/>
    </row>
    <row r="9162" spans="38:38" x14ac:dyDescent="0.2">
      <c r="AL9162" s="177"/>
    </row>
    <row r="9163" spans="38:38" x14ac:dyDescent="0.2">
      <c r="AL9163" s="177"/>
    </row>
    <row r="9164" spans="38:38" x14ac:dyDescent="0.2">
      <c r="AL9164" s="177"/>
    </row>
    <row r="9165" spans="38:38" x14ac:dyDescent="0.2">
      <c r="AL9165" s="177"/>
    </row>
    <row r="9166" spans="38:38" x14ac:dyDescent="0.2">
      <c r="AL9166" s="177"/>
    </row>
    <row r="9167" spans="38:38" x14ac:dyDescent="0.2">
      <c r="AL9167" s="177"/>
    </row>
    <row r="9168" spans="38:38" x14ac:dyDescent="0.2">
      <c r="AL9168" s="177"/>
    </row>
    <row r="9169" spans="38:38" x14ac:dyDescent="0.2">
      <c r="AL9169" s="177"/>
    </row>
    <row r="9170" spans="38:38" x14ac:dyDescent="0.2">
      <c r="AL9170" s="177"/>
    </row>
    <row r="9171" spans="38:38" x14ac:dyDescent="0.2">
      <c r="AL9171" s="177"/>
    </row>
    <row r="9172" spans="38:38" x14ac:dyDescent="0.2">
      <c r="AL9172" s="177"/>
    </row>
    <row r="9173" spans="38:38" x14ac:dyDescent="0.2">
      <c r="AL9173" s="177"/>
    </row>
    <row r="9174" spans="38:38" x14ac:dyDescent="0.2">
      <c r="AL9174" s="177"/>
    </row>
    <row r="9175" spans="38:38" x14ac:dyDescent="0.2">
      <c r="AL9175" s="177"/>
    </row>
    <row r="9176" spans="38:38" x14ac:dyDescent="0.2">
      <c r="AL9176" s="177"/>
    </row>
    <row r="9177" spans="38:38" x14ac:dyDescent="0.2">
      <c r="AL9177" s="177"/>
    </row>
    <row r="9178" spans="38:38" x14ac:dyDescent="0.2">
      <c r="AL9178" s="177"/>
    </row>
    <row r="9179" spans="38:38" x14ac:dyDescent="0.2">
      <c r="AL9179" s="177"/>
    </row>
    <row r="9180" spans="38:38" x14ac:dyDescent="0.2">
      <c r="AL9180" s="177"/>
    </row>
    <row r="9181" spans="38:38" x14ac:dyDescent="0.2">
      <c r="AL9181" s="177"/>
    </row>
    <row r="9182" spans="38:38" x14ac:dyDescent="0.2">
      <c r="AL9182" s="177"/>
    </row>
    <row r="9183" spans="38:38" x14ac:dyDescent="0.2">
      <c r="AL9183" s="177"/>
    </row>
    <row r="9184" spans="38:38" x14ac:dyDescent="0.2">
      <c r="AL9184" s="177"/>
    </row>
    <row r="9185" spans="38:38" x14ac:dyDescent="0.2">
      <c r="AL9185" s="177"/>
    </row>
    <row r="9186" spans="38:38" x14ac:dyDescent="0.2">
      <c r="AL9186" s="177"/>
    </row>
    <row r="9187" spans="38:38" x14ac:dyDescent="0.2">
      <c r="AL9187" s="177"/>
    </row>
    <row r="9188" spans="38:38" x14ac:dyDescent="0.2">
      <c r="AL9188" s="177"/>
    </row>
    <row r="9189" spans="38:38" x14ac:dyDescent="0.2">
      <c r="AL9189" s="177"/>
    </row>
    <row r="9190" spans="38:38" x14ac:dyDescent="0.2">
      <c r="AL9190" s="177"/>
    </row>
    <row r="9191" spans="38:38" x14ac:dyDescent="0.2">
      <c r="AL9191" s="177"/>
    </row>
    <row r="9192" spans="38:38" x14ac:dyDescent="0.2">
      <c r="AL9192" s="177"/>
    </row>
    <row r="9193" spans="38:38" x14ac:dyDescent="0.2">
      <c r="AL9193" s="177"/>
    </row>
    <row r="9194" spans="38:38" x14ac:dyDescent="0.2">
      <c r="AL9194" s="177"/>
    </row>
    <row r="9195" spans="38:38" x14ac:dyDescent="0.2">
      <c r="AL9195" s="177"/>
    </row>
    <row r="9196" spans="38:38" x14ac:dyDescent="0.2">
      <c r="AL9196" s="177"/>
    </row>
    <row r="9197" spans="38:38" x14ac:dyDescent="0.2">
      <c r="AL9197" s="177"/>
    </row>
    <row r="9198" spans="38:38" x14ac:dyDescent="0.2">
      <c r="AL9198" s="177"/>
    </row>
    <row r="9199" spans="38:38" x14ac:dyDescent="0.2">
      <c r="AL9199" s="177"/>
    </row>
    <row r="9200" spans="38:38" x14ac:dyDescent="0.2">
      <c r="AL9200" s="177"/>
    </row>
    <row r="9201" spans="38:38" x14ac:dyDescent="0.2">
      <c r="AL9201" s="177"/>
    </row>
    <row r="9202" spans="38:38" x14ac:dyDescent="0.2">
      <c r="AL9202" s="177"/>
    </row>
    <row r="9203" spans="38:38" x14ac:dyDescent="0.2">
      <c r="AL9203" s="177"/>
    </row>
    <row r="9204" spans="38:38" x14ac:dyDescent="0.2">
      <c r="AL9204" s="177"/>
    </row>
    <row r="9205" spans="38:38" x14ac:dyDescent="0.2">
      <c r="AL9205" s="177"/>
    </row>
    <row r="9206" spans="38:38" x14ac:dyDescent="0.2">
      <c r="AL9206" s="177"/>
    </row>
    <row r="9207" spans="38:38" x14ac:dyDescent="0.2">
      <c r="AL9207" s="177"/>
    </row>
    <row r="9208" spans="38:38" x14ac:dyDescent="0.2">
      <c r="AL9208" s="177"/>
    </row>
    <row r="9209" spans="38:38" x14ac:dyDescent="0.2">
      <c r="AL9209" s="177"/>
    </row>
    <row r="9210" spans="38:38" x14ac:dyDescent="0.2">
      <c r="AL9210" s="177"/>
    </row>
    <row r="9211" spans="38:38" x14ac:dyDescent="0.2">
      <c r="AL9211" s="177"/>
    </row>
    <row r="9212" spans="38:38" x14ac:dyDescent="0.2">
      <c r="AL9212" s="177"/>
    </row>
    <row r="9213" spans="38:38" x14ac:dyDescent="0.2">
      <c r="AL9213" s="177"/>
    </row>
    <row r="9214" spans="38:38" x14ac:dyDescent="0.2">
      <c r="AL9214" s="177"/>
    </row>
    <row r="9215" spans="38:38" x14ac:dyDescent="0.2">
      <c r="AL9215" s="177"/>
    </row>
    <row r="9216" spans="38:38" x14ac:dyDescent="0.2">
      <c r="AL9216" s="177"/>
    </row>
    <row r="9217" spans="38:38" x14ac:dyDescent="0.2">
      <c r="AL9217" s="177"/>
    </row>
    <row r="9218" spans="38:38" x14ac:dyDescent="0.2">
      <c r="AL9218" s="177"/>
    </row>
    <row r="9219" spans="38:38" x14ac:dyDescent="0.2">
      <c r="AL9219" s="177"/>
    </row>
    <row r="9220" spans="38:38" x14ac:dyDescent="0.2">
      <c r="AL9220" s="177"/>
    </row>
    <row r="9221" spans="38:38" x14ac:dyDescent="0.2">
      <c r="AL9221" s="177"/>
    </row>
    <row r="9222" spans="38:38" x14ac:dyDescent="0.2">
      <c r="AL9222" s="177"/>
    </row>
    <row r="9223" spans="38:38" x14ac:dyDescent="0.2">
      <c r="AL9223" s="177"/>
    </row>
    <row r="9224" spans="38:38" x14ac:dyDescent="0.2">
      <c r="AL9224" s="177"/>
    </row>
    <row r="9225" spans="38:38" x14ac:dyDescent="0.2">
      <c r="AL9225" s="177"/>
    </row>
    <row r="9226" spans="38:38" x14ac:dyDescent="0.2">
      <c r="AL9226" s="177"/>
    </row>
    <row r="9227" spans="38:38" x14ac:dyDescent="0.2">
      <c r="AL9227" s="177"/>
    </row>
    <row r="9228" spans="38:38" x14ac:dyDescent="0.2">
      <c r="AL9228" s="177"/>
    </row>
    <row r="9229" spans="38:38" x14ac:dyDescent="0.2">
      <c r="AL9229" s="177"/>
    </row>
    <row r="9230" spans="38:38" x14ac:dyDescent="0.2">
      <c r="AL9230" s="177"/>
    </row>
    <row r="9231" spans="38:38" x14ac:dyDescent="0.2">
      <c r="AL9231" s="177"/>
    </row>
    <row r="9232" spans="38:38" x14ac:dyDescent="0.2">
      <c r="AL9232" s="177"/>
    </row>
    <row r="9233" spans="38:38" x14ac:dyDescent="0.2">
      <c r="AL9233" s="177"/>
    </row>
    <row r="9234" spans="38:38" x14ac:dyDescent="0.2">
      <c r="AL9234" s="177"/>
    </row>
    <row r="9235" spans="38:38" x14ac:dyDescent="0.2">
      <c r="AL9235" s="177"/>
    </row>
    <row r="9236" spans="38:38" x14ac:dyDescent="0.2">
      <c r="AL9236" s="177"/>
    </row>
    <row r="9237" spans="38:38" x14ac:dyDescent="0.2">
      <c r="AL9237" s="177"/>
    </row>
    <row r="9238" spans="38:38" x14ac:dyDescent="0.2">
      <c r="AL9238" s="177"/>
    </row>
    <row r="9239" spans="38:38" x14ac:dyDescent="0.2">
      <c r="AL9239" s="177"/>
    </row>
    <row r="9240" spans="38:38" x14ac:dyDescent="0.2">
      <c r="AL9240" s="177"/>
    </row>
    <row r="9241" spans="38:38" x14ac:dyDescent="0.2">
      <c r="AL9241" s="177"/>
    </row>
    <row r="9242" spans="38:38" x14ac:dyDescent="0.2">
      <c r="AL9242" s="177"/>
    </row>
    <row r="9243" spans="38:38" x14ac:dyDescent="0.2">
      <c r="AL9243" s="177"/>
    </row>
    <row r="9244" spans="38:38" x14ac:dyDescent="0.2">
      <c r="AL9244" s="177"/>
    </row>
    <row r="9245" spans="38:38" x14ac:dyDescent="0.2">
      <c r="AL9245" s="177"/>
    </row>
    <row r="9246" spans="38:38" x14ac:dyDescent="0.2">
      <c r="AL9246" s="177"/>
    </row>
    <row r="9247" spans="38:38" x14ac:dyDescent="0.2">
      <c r="AL9247" s="177"/>
    </row>
    <row r="9248" spans="38:38" x14ac:dyDescent="0.2">
      <c r="AL9248" s="177"/>
    </row>
    <row r="9249" spans="38:38" x14ac:dyDescent="0.2">
      <c r="AL9249" s="177"/>
    </row>
    <row r="9250" spans="38:38" x14ac:dyDescent="0.2">
      <c r="AL9250" s="177"/>
    </row>
    <row r="9251" spans="38:38" x14ac:dyDescent="0.2">
      <c r="AL9251" s="177"/>
    </row>
    <row r="9252" spans="38:38" x14ac:dyDescent="0.2">
      <c r="AL9252" s="177"/>
    </row>
    <row r="9253" spans="38:38" x14ac:dyDescent="0.2">
      <c r="AL9253" s="177"/>
    </row>
    <row r="9254" spans="38:38" x14ac:dyDescent="0.2">
      <c r="AL9254" s="177"/>
    </row>
    <row r="9255" spans="38:38" x14ac:dyDescent="0.2">
      <c r="AL9255" s="177"/>
    </row>
    <row r="9256" spans="38:38" x14ac:dyDescent="0.2">
      <c r="AL9256" s="177"/>
    </row>
    <row r="9257" spans="38:38" x14ac:dyDescent="0.2">
      <c r="AL9257" s="177"/>
    </row>
    <row r="9258" spans="38:38" x14ac:dyDescent="0.2">
      <c r="AL9258" s="177"/>
    </row>
    <row r="9259" spans="38:38" x14ac:dyDescent="0.2">
      <c r="AL9259" s="177"/>
    </row>
    <row r="9260" spans="38:38" x14ac:dyDescent="0.2">
      <c r="AL9260" s="177"/>
    </row>
    <row r="9261" spans="38:38" x14ac:dyDescent="0.2">
      <c r="AL9261" s="177"/>
    </row>
    <row r="9262" spans="38:38" x14ac:dyDescent="0.2">
      <c r="AL9262" s="177"/>
    </row>
    <row r="9263" spans="38:38" x14ac:dyDescent="0.2">
      <c r="AL9263" s="177"/>
    </row>
    <row r="9264" spans="38:38" x14ac:dyDescent="0.2">
      <c r="AL9264" s="177"/>
    </row>
    <row r="9265" spans="38:38" x14ac:dyDescent="0.2">
      <c r="AL9265" s="177"/>
    </row>
    <row r="9266" spans="38:38" x14ac:dyDescent="0.2">
      <c r="AL9266" s="177"/>
    </row>
    <row r="9267" spans="38:38" x14ac:dyDescent="0.2">
      <c r="AL9267" s="177"/>
    </row>
    <row r="9268" spans="38:38" x14ac:dyDescent="0.2">
      <c r="AL9268" s="177"/>
    </row>
    <row r="9269" spans="38:38" x14ac:dyDescent="0.2">
      <c r="AL9269" s="177"/>
    </row>
    <row r="9270" spans="38:38" x14ac:dyDescent="0.2">
      <c r="AL9270" s="177"/>
    </row>
    <row r="9271" spans="38:38" x14ac:dyDescent="0.2">
      <c r="AL9271" s="177"/>
    </row>
    <row r="9272" spans="38:38" x14ac:dyDescent="0.2">
      <c r="AL9272" s="177"/>
    </row>
    <row r="9273" spans="38:38" x14ac:dyDescent="0.2">
      <c r="AL9273" s="177"/>
    </row>
    <row r="9274" spans="38:38" x14ac:dyDescent="0.2">
      <c r="AL9274" s="177"/>
    </row>
    <row r="9275" spans="38:38" x14ac:dyDescent="0.2">
      <c r="AL9275" s="177"/>
    </row>
    <row r="9276" spans="38:38" x14ac:dyDescent="0.2">
      <c r="AL9276" s="177"/>
    </row>
    <row r="9277" spans="38:38" x14ac:dyDescent="0.2">
      <c r="AL9277" s="177"/>
    </row>
    <row r="9278" spans="38:38" x14ac:dyDescent="0.2">
      <c r="AL9278" s="177"/>
    </row>
    <row r="9279" spans="38:38" x14ac:dyDescent="0.2">
      <c r="AL9279" s="177"/>
    </row>
    <row r="9280" spans="38:38" x14ac:dyDescent="0.2">
      <c r="AL9280" s="177"/>
    </row>
    <row r="9281" spans="38:38" x14ac:dyDescent="0.2">
      <c r="AL9281" s="177"/>
    </row>
    <row r="9282" spans="38:38" x14ac:dyDescent="0.2">
      <c r="AL9282" s="177"/>
    </row>
    <row r="9283" spans="38:38" x14ac:dyDescent="0.2">
      <c r="AL9283" s="177"/>
    </row>
    <row r="9284" spans="38:38" x14ac:dyDescent="0.2">
      <c r="AL9284" s="177"/>
    </row>
    <row r="9285" spans="38:38" x14ac:dyDescent="0.2">
      <c r="AL9285" s="177"/>
    </row>
    <row r="9286" spans="38:38" x14ac:dyDescent="0.2">
      <c r="AL9286" s="177"/>
    </row>
    <row r="9287" spans="38:38" x14ac:dyDescent="0.2">
      <c r="AL9287" s="177"/>
    </row>
    <row r="9288" spans="38:38" x14ac:dyDescent="0.2">
      <c r="AL9288" s="177"/>
    </row>
    <row r="9289" spans="38:38" x14ac:dyDescent="0.2">
      <c r="AL9289" s="177"/>
    </row>
    <row r="9290" spans="38:38" x14ac:dyDescent="0.2">
      <c r="AL9290" s="177"/>
    </row>
    <row r="9291" spans="38:38" x14ac:dyDescent="0.2">
      <c r="AL9291" s="177"/>
    </row>
    <row r="9292" spans="38:38" x14ac:dyDescent="0.2">
      <c r="AL9292" s="177"/>
    </row>
    <row r="9293" spans="38:38" x14ac:dyDescent="0.2">
      <c r="AL9293" s="177"/>
    </row>
    <row r="9294" spans="38:38" x14ac:dyDescent="0.2">
      <c r="AL9294" s="177"/>
    </row>
    <row r="9295" spans="38:38" x14ac:dyDescent="0.2">
      <c r="AL9295" s="177"/>
    </row>
    <row r="9296" spans="38:38" x14ac:dyDescent="0.2">
      <c r="AL9296" s="177"/>
    </row>
    <row r="9297" spans="38:38" x14ac:dyDescent="0.2">
      <c r="AL9297" s="177"/>
    </row>
    <row r="9298" spans="38:38" x14ac:dyDescent="0.2">
      <c r="AL9298" s="177"/>
    </row>
    <row r="9299" spans="38:38" x14ac:dyDescent="0.2">
      <c r="AL9299" s="177"/>
    </row>
    <row r="9300" spans="38:38" x14ac:dyDescent="0.2">
      <c r="AL9300" s="177"/>
    </row>
    <row r="9301" spans="38:38" x14ac:dyDescent="0.2">
      <c r="AL9301" s="177"/>
    </row>
    <row r="9302" spans="38:38" x14ac:dyDescent="0.2">
      <c r="AL9302" s="177"/>
    </row>
    <row r="9303" spans="38:38" x14ac:dyDescent="0.2">
      <c r="AL9303" s="177"/>
    </row>
    <row r="9304" spans="38:38" x14ac:dyDescent="0.2">
      <c r="AL9304" s="177"/>
    </row>
    <row r="9305" spans="38:38" x14ac:dyDescent="0.2">
      <c r="AL9305" s="177"/>
    </row>
    <row r="9306" spans="38:38" x14ac:dyDescent="0.2">
      <c r="AL9306" s="177"/>
    </row>
    <row r="9307" spans="38:38" x14ac:dyDescent="0.2">
      <c r="AL9307" s="177"/>
    </row>
    <row r="9308" spans="38:38" x14ac:dyDescent="0.2">
      <c r="AL9308" s="177"/>
    </row>
    <row r="9309" spans="38:38" x14ac:dyDescent="0.2">
      <c r="AL9309" s="177"/>
    </row>
    <row r="9310" spans="38:38" x14ac:dyDescent="0.2">
      <c r="AL9310" s="177"/>
    </row>
    <row r="9311" spans="38:38" x14ac:dyDescent="0.2">
      <c r="AL9311" s="177"/>
    </row>
    <row r="9312" spans="38:38" x14ac:dyDescent="0.2">
      <c r="AL9312" s="177"/>
    </row>
    <row r="9313" spans="38:38" x14ac:dyDescent="0.2">
      <c r="AL9313" s="177"/>
    </row>
    <row r="9314" spans="38:38" x14ac:dyDescent="0.2">
      <c r="AL9314" s="177"/>
    </row>
    <row r="9315" spans="38:38" x14ac:dyDescent="0.2">
      <c r="AL9315" s="177"/>
    </row>
    <row r="9316" spans="38:38" x14ac:dyDescent="0.2">
      <c r="AL9316" s="177"/>
    </row>
    <row r="9317" spans="38:38" x14ac:dyDescent="0.2">
      <c r="AL9317" s="177"/>
    </row>
    <row r="9318" spans="38:38" x14ac:dyDescent="0.2">
      <c r="AL9318" s="177"/>
    </row>
    <row r="9319" spans="38:38" x14ac:dyDescent="0.2">
      <c r="AL9319" s="177"/>
    </row>
    <row r="9320" spans="38:38" x14ac:dyDescent="0.2">
      <c r="AL9320" s="177"/>
    </row>
    <row r="9321" spans="38:38" x14ac:dyDescent="0.2">
      <c r="AL9321" s="177"/>
    </row>
    <row r="9322" spans="38:38" x14ac:dyDescent="0.2">
      <c r="AL9322" s="177"/>
    </row>
    <row r="9323" spans="38:38" x14ac:dyDescent="0.2">
      <c r="AL9323" s="177"/>
    </row>
    <row r="9324" spans="38:38" x14ac:dyDescent="0.2">
      <c r="AL9324" s="177"/>
    </row>
    <row r="9325" spans="38:38" x14ac:dyDescent="0.2">
      <c r="AL9325" s="177"/>
    </row>
    <row r="9326" spans="38:38" x14ac:dyDescent="0.2">
      <c r="AL9326" s="177"/>
    </row>
    <row r="9327" spans="38:38" x14ac:dyDescent="0.2">
      <c r="AL9327" s="177"/>
    </row>
    <row r="9328" spans="38:38" x14ac:dyDescent="0.2">
      <c r="AL9328" s="177"/>
    </row>
    <row r="9329" spans="38:38" x14ac:dyDescent="0.2">
      <c r="AL9329" s="177"/>
    </row>
    <row r="9330" spans="38:38" x14ac:dyDescent="0.2">
      <c r="AL9330" s="177"/>
    </row>
    <row r="9331" spans="38:38" x14ac:dyDescent="0.2">
      <c r="AL9331" s="177"/>
    </row>
    <row r="9332" spans="38:38" x14ac:dyDescent="0.2">
      <c r="AL9332" s="177"/>
    </row>
    <row r="9333" spans="38:38" x14ac:dyDescent="0.2">
      <c r="AL9333" s="177"/>
    </row>
    <row r="9334" spans="38:38" x14ac:dyDescent="0.2">
      <c r="AL9334" s="177"/>
    </row>
    <row r="9335" spans="38:38" x14ac:dyDescent="0.2">
      <c r="AL9335" s="177"/>
    </row>
    <row r="9336" spans="38:38" x14ac:dyDescent="0.2">
      <c r="AL9336" s="177"/>
    </row>
    <row r="9337" spans="38:38" x14ac:dyDescent="0.2">
      <c r="AL9337" s="177"/>
    </row>
    <row r="9338" spans="38:38" x14ac:dyDescent="0.2">
      <c r="AL9338" s="177"/>
    </row>
    <row r="9339" spans="38:38" x14ac:dyDescent="0.2">
      <c r="AL9339" s="177"/>
    </row>
    <row r="9340" spans="38:38" x14ac:dyDescent="0.2">
      <c r="AL9340" s="177"/>
    </row>
    <row r="9341" spans="38:38" x14ac:dyDescent="0.2">
      <c r="AL9341" s="177"/>
    </row>
    <row r="9342" spans="38:38" x14ac:dyDescent="0.2">
      <c r="AL9342" s="177"/>
    </row>
    <row r="9343" spans="38:38" x14ac:dyDescent="0.2">
      <c r="AL9343" s="177"/>
    </row>
    <row r="9344" spans="38:38" x14ac:dyDescent="0.2">
      <c r="AL9344" s="177"/>
    </row>
    <row r="9345" spans="38:38" x14ac:dyDescent="0.2">
      <c r="AL9345" s="177"/>
    </row>
    <row r="9346" spans="38:38" x14ac:dyDescent="0.2">
      <c r="AL9346" s="177"/>
    </row>
    <row r="9347" spans="38:38" x14ac:dyDescent="0.2">
      <c r="AL9347" s="177"/>
    </row>
    <row r="9348" spans="38:38" x14ac:dyDescent="0.2">
      <c r="AL9348" s="177"/>
    </row>
    <row r="9349" spans="38:38" x14ac:dyDescent="0.2">
      <c r="AL9349" s="177"/>
    </row>
    <row r="9350" spans="38:38" x14ac:dyDescent="0.2">
      <c r="AL9350" s="177"/>
    </row>
    <row r="9351" spans="38:38" x14ac:dyDescent="0.2">
      <c r="AL9351" s="177"/>
    </row>
    <row r="9352" spans="38:38" x14ac:dyDescent="0.2">
      <c r="AL9352" s="177"/>
    </row>
    <row r="9353" spans="38:38" x14ac:dyDescent="0.2">
      <c r="AL9353" s="177"/>
    </row>
    <row r="9354" spans="38:38" x14ac:dyDescent="0.2">
      <c r="AL9354" s="177"/>
    </row>
    <row r="9355" spans="38:38" x14ac:dyDescent="0.2">
      <c r="AL9355" s="177"/>
    </row>
    <row r="9356" spans="38:38" x14ac:dyDescent="0.2">
      <c r="AL9356" s="177"/>
    </row>
    <row r="9357" spans="38:38" x14ac:dyDescent="0.2">
      <c r="AL9357" s="177"/>
    </row>
    <row r="9358" spans="38:38" x14ac:dyDescent="0.2">
      <c r="AL9358" s="177"/>
    </row>
    <row r="9359" spans="38:38" x14ac:dyDescent="0.2">
      <c r="AL9359" s="177"/>
    </row>
    <row r="9360" spans="38:38" x14ac:dyDescent="0.2">
      <c r="AL9360" s="177"/>
    </row>
    <row r="9361" spans="38:38" x14ac:dyDescent="0.2">
      <c r="AL9361" s="177"/>
    </row>
    <row r="9362" spans="38:38" x14ac:dyDescent="0.2">
      <c r="AL9362" s="177"/>
    </row>
    <row r="9363" spans="38:38" x14ac:dyDescent="0.2">
      <c r="AL9363" s="177"/>
    </row>
    <row r="9364" spans="38:38" x14ac:dyDescent="0.2">
      <c r="AL9364" s="177"/>
    </row>
    <row r="9365" spans="38:38" x14ac:dyDescent="0.2">
      <c r="AL9365" s="177"/>
    </row>
    <row r="9366" spans="38:38" x14ac:dyDescent="0.2">
      <c r="AL9366" s="177"/>
    </row>
    <row r="9367" spans="38:38" x14ac:dyDescent="0.2">
      <c r="AL9367" s="177"/>
    </row>
    <row r="9368" spans="38:38" x14ac:dyDescent="0.2">
      <c r="AL9368" s="177"/>
    </row>
    <row r="9369" spans="38:38" x14ac:dyDescent="0.2">
      <c r="AL9369" s="177"/>
    </row>
    <row r="9370" spans="38:38" x14ac:dyDescent="0.2">
      <c r="AL9370" s="177"/>
    </row>
    <row r="9371" spans="38:38" x14ac:dyDescent="0.2">
      <c r="AL9371" s="177"/>
    </row>
    <row r="9372" spans="38:38" x14ac:dyDescent="0.2">
      <c r="AL9372" s="177"/>
    </row>
    <row r="9373" spans="38:38" x14ac:dyDescent="0.2">
      <c r="AL9373" s="177"/>
    </row>
    <row r="9374" spans="38:38" x14ac:dyDescent="0.2">
      <c r="AL9374" s="177"/>
    </row>
    <row r="9375" spans="38:38" x14ac:dyDescent="0.2">
      <c r="AL9375" s="177"/>
    </row>
    <row r="9376" spans="38:38" x14ac:dyDescent="0.2">
      <c r="AL9376" s="177"/>
    </row>
    <row r="9377" spans="38:38" x14ac:dyDescent="0.2">
      <c r="AL9377" s="177"/>
    </row>
    <row r="9378" spans="38:38" x14ac:dyDescent="0.2">
      <c r="AL9378" s="177"/>
    </row>
    <row r="9379" spans="38:38" x14ac:dyDescent="0.2">
      <c r="AL9379" s="177"/>
    </row>
    <row r="9380" spans="38:38" x14ac:dyDescent="0.2">
      <c r="AL9380" s="177"/>
    </row>
    <row r="9381" spans="38:38" x14ac:dyDescent="0.2">
      <c r="AL9381" s="177"/>
    </row>
    <row r="9382" spans="38:38" x14ac:dyDescent="0.2">
      <c r="AL9382" s="177"/>
    </row>
    <row r="9383" spans="38:38" x14ac:dyDescent="0.2">
      <c r="AL9383" s="177"/>
    </row>
    <row r="9384" spans="38:38" x14ac:dyDescent="0.2">
      <c r="AL9384" s="177"/>
    </row>
    <row r="9385" spans="38:38" x14ac:dyDescent="0.2">
      <c r="AL9385" s="177"/>
    </row>
    <row r="9386" spans="38:38" x14ac:dyDescent="0.2">
      <c r="AL9386" s="177"/>
    </row>
    <row r="9387" spans="38:38" x14ac:dyDescent="0.2">
      <c r="AL9387" s="177"/>
    </row>
    <row r="9388" spans="38:38" x14ac:dyDescent="0.2">
      <c r="AL9388" s="177"/>
    </row>
    <row r="9389" spans="38:38" x14ac:dyDescent="0.2">
      <c r="AL9389" s="177"/>
    </row>
    <row r="9390" spans="38:38" x14ac:dyDescent="0.2">
      <c r="AL9390" s="177"/>
    </row>
    <row r="9391" spans="38:38" x14ac:dyDescent="0.2">
      <c r="AL9391" s="177"/>
    </row>
    <row r="9392" spans="38:38" x14ac:dyDescent="0.2">
      <c r="AL9392" s="177"/>
    </row>
    <row r="9393" spans="38:38" x14ac:dyDescent="0.2">
      <c r="AL9393" s="177"/>
    </row>
    <row r="9394" spans="38:38" x14ac:dyDescent="0.2">
      <c r="AL9394" s="177"/>
    </row>
    <row r="9395" spans="38:38" x14ac:dyDescent="0.2">
      <c r="AL9395" s="177"/>
    </row>
    <row r="9396" spans="38:38" x14ac:dyDescent="0.2">
      <c r="AL9396" s="177"/>
    </row>
    <row r="9397" spans="38:38" x14ac:dyDescent="0.2">
      <c r="AL9397" s="177"/>
    </row>
    <row r="9398" spans="38:38" x14ac:dyDescent="0.2">
      <c r="AL9398" s="177"/>
    </row>
    <row r="9399" spans="38:38" x14ac:dyDescent="0.2">
      <c r="AL9399" s="177"/>
    </row>
    <row r="9400" spans="38:38" x14ac:dyDescent="0.2">
      <c r="AL9400" s="177"/>
    </row>
    <row r="9401" spans="38:38" x14ac:dyDescent="0.2">
      <c r="AL9401" s="177"/>
    </row>
    <row r="9402" spans="38:38" x14ac:dyDescent="0.2">
      <c r="AL9402" s="177"/>
    </row>
    <row r="9403" spans="38:38" x14ac:dyDescent="0.2">
      <c r="AL9403" s="177"/>
    </row>
    <row r="9404" spans="38:38" x14ac:dyDescent="0.2">
      <c r="AL9404" s="177"/>
    </row>
    <row r="9405" spans="38:38" x14ac:dyDescent="0.2">
      <c r="AL9405" s="177"/>
    </row>
    <row r="9406" spans="38:38" x14ac:dyDescent="0.2">
      <c r="AL9406" s="177"/>
    </row>
    <row r="9407" spans="38:38" x14ac:dyDescent="0.2">
      <c r="AL9407" s="177"/>
    </row>
    <row r="9408" spans="38:38" x14ac:dyDescent="0.2">
      <c r="AL9408" s="177"/>
    </row>
    <row r="9409" spans="38:38" x14ac:dyDescent="0.2">
      <c r="AL9409" s="177"/>
    </row>
    <row r="9410" spans="38:38" x14ac:dyDescent="0.2">
      <c r="AL9410" s="177"/>
    </row>
    <row r="9411" spans="38:38" x14ac:dyDescent="0.2">
      <c r="AL9411" s="177"/>
    </row>
    <row r="9412" spans="38:38" x14ac:dyDescent="0.2">
      <c r="AL9412" s="177"/>
    </row>
    <row r="9413" spans="38:38" x14ac:dyDescent="0.2">
      <c r="AL9413" s="177"/>
    </row>
    <row r="9414" spans="38:38" x14ac:dyDescent="0.2">
      <c r="AL9414" s="177"/>
    </row>
    <row r="9415" spans="38:38" x14ac:dyDescent="0.2">
      <c r="AL9415" s="177"/>
    </row>
    <row r="9416" spans="38:38" x14ac:dyDescent="0.2">
      <c r="AL9416" s="177"/>
    </row>
    <row r="9417" spans="38:38" x14ac:dyDescent="0.2">
      <c r="AL9417" s="177"/>
    </row>
    <row r="9418" spans="38:38" x14ac:dyDescent="0.2">
      <c r="AL9418" s="177"/>
    </row>
    <row r="9419" spans="38:38" x14ac:dyDescent="0.2">
      <c r="AL9419" s="177"/>
    </row>
    <row r="9420" spans="38:38" x14ac:dyDescent="0.2">
      <c r="AL9420" s="177"/>
    </row>
    <row r="9421" spans="38:38" x14ac:dyDescent="0.2">
      <c r="AL9421" s="177"/>
    </row>
    <row r="9422" spans="38:38" x14ac:dyDescent="0.2">
      <c r="AL9422" s="177"/>
    </row>
    <row r="9423" spans="38:38" x14ac:dyDescent="0.2">
      <c r="AL9423" s="177"/>
    </row>
    <row r="9424" spans="38:38" x14ac:dyDescent="0.2">
      <c r="AL9424" s="177"/>
    </row>
    <row r="9425" spans="38:38" x14ac:dyDescent="0.2">
      <c r="AL9425" s="177"/>
    </row>
    <row r="9426" spans="38:38" x14ac:dyDescent="0.2">
      <c r="AL9426" s="177"/>
    </row>
    <row r="9427" spans="38:38" x14ac:dyDescent="0.2">
      <c r="AL9427" s="177"/>
    </row>
    <row r="9428" spans="38:38" x14ac:dyDescent="0.2">
      <c r="AL9428" s="177"/>
    </row>
    <row r="9429" spans="38:38" x14ac:dyDescent="0.2">
      <c r="AL9429" s="177"/>
    </row>
    <row r="9430" spans="38:38" x14ac:dyDescent="0.2">
      <c r="AL9430" s="177"/>
    </row>
    <row r="9431" spans="38:38" x14ac:dyDescent="0.2">
      <c r="AL9431" s="177"/>
    </row>
    <row r="9432" spans="38:38" x14ac:dyDescent="0.2">
      <c r="AL9432" s="177"/>
    </row>
    <row r="9433" spans="38:38" x14ac:dyDescent="0.2">
      <c r="AL9433" s="177"/>
    </row>
    <row r="9434" spans="38:38" x14ac:dyDescent="0.2">
      <c r="AL9434" s="177"/>
    </row>
    <row r="9435" spans="38:38" x14ac:dyDescent="0.2">
      <c r="AL9435" s="177"/>
    </row>
    <row r="9436" spans="38:38" x14ac:dyDescent="0.2">
      <c r="AL9436" s="177"/>
    </row>
    <row r="9437" spans="38:38" x14ac:dyDescent="0.2">
      <c r="AL9437" s="177"/>
    </row>
    <row r="9438" spans="38:38" x14ac:dyDescent="0.2">
      <c r="AL9438" s="177"/>
    </row>
    <row r="9439" spans="38:38" x14ac:dyDescent="0.2">
      <c r="AL9439" s="177"/>
    </row>
    <row r="9440" spans="38:38" x14ac:dyDescent="0.2">
      <c r="AL9440" s="177"/>
    </row>
    <row r="9441" spans="38:38" x14ac:dyDescent="0.2">
      <c r="AL9441" s="177"/>
    </row>
    <row r="9442" spans="38:38" x14ac:dyDescent="0.2">
      <c r="AL9442" s="177"/>
    </row>
    <row r="9443" spans="38:38" x14ac:dyDescent="0.2">
      <c r="AL9443" s="177"/>
    </row>
    <row r="9444" spans="38:38" x14ac:dyDescent="0.2">
      <c r="AL9444" s="177"/>
    </row>
    <row r="9445" spans="38:38" x14ac:dyDescent="0.2">
      <c r="AL9445" s="177"/>
    </row>
    <row r="9446" spans="38:38" x14ac:dyDescent="0.2">
      <c r="AL9446" s="177"/>
    </row>
    <row r="9447" spans="38:38" x14ac:dyDescent="0.2">
      <c r="AL9447" s="177"/>
    </row>
    <row r="9448" spans="38:38" x14ac:dyDescent="0.2">
      <c r="AL9448" s="177"/>
    </row>
    <row r="9449" spans="38:38" x14ac:dyDescent="0.2">
      <c r="AL9449" s="177"/>
    </row>
    <row r="9450" spans="38:38" x14ac:dyDescent="0.2">
      <c r="AL9450" s="177"/>
    </row>
    <row r="9451" spans="38:38" x14ac:dyDescent="0.2">
      <c r="AL9451" s="177"/>
    </row>
    <row r="9452" spans="38:38" x14ac:dyDescent="0.2">
      <c r="AL9452" s="177"/>
    </row>
    <row r="9453" spans="38:38" x14ac:dyDescent="0.2">
      <c r="AL9453" s="177"/>
    </row>
    <row r="9454" spans="38:38" x14ac:dyDescent="0.2">
      <c r="AL9454" s="177"/>
    </row>
    <row r="9455" spans="38:38" x14ac:dyDescent="0.2">
      <c r="AL9455" s="177"/>
    </row>
    <row r="9456" spans="38:38" x14ac:dyDescent="0.2">
      <c r="AL9456" s="177"/>
    </row>
    <row r="9457" spans="38:38" x14ac:dyDescent="0.2">
      <c r="AL9457" s="177"/>
    </row>
    <row r="9458" spans="38:38" x14ac:dyDescent="0.2">
      <c r="AL9458" s="177"/>
    </row>
    <row r="9459" spans="38:38" x14ac:dyDescent="0.2">
      <c r="AL9459" s="177"/>
    </row>
    <row r="9460" spans="38:38" x14ac:dyDescent="0.2">
      <c r="AL9460" s="177"/>
    </row>
    <row r="9461" spans="38:38" x14ac:dyDescent="0.2">
      <c r="AL9461" s="177"/>
    </row>
    <row r="9462" spans="38:38" x14ac:dyDescent="0.2">
      <c r="AL9462" s="177"/>
    </row>
    <row r="9463" spans="38:38" x14ac:dyDescent="0.2">
      <c r="AL9463" s="177"/>
    </row>
    <row r="9464" spans="38:38" x14ac:dyDescent="0.2">
      <c r="AL9464" s="177"/>
    </row>
    <row r="9465" spans="38:38" x14ac:dyDescent="0.2">
      <c r="AL9465" s="177"/>
    </row>
    <row r="9466" spans="38:38" x14ac:dyDescent="0.2">
      <c r="AL9466" s="177"/>
    </row>
    <row r="9467" spans="38:38" x14ac:dyDescent="0.2">
      <c r="AL9467" s="177"/>
    </row>
    <row r="9468" spans="38:38" x14ac:dyDescent="0.2">
      <c r="AL9468" s="177"/>
    </row>
    <row r="9469" spans="38:38" x14ac:dyDescent="0.2">
      <c r="AL9469" s="177"/>
    </row>
    <row r="9470" spans="38:38" x14ac:dyDescent="0.2">
      <c r="AL9470" s="177"/>
    </row>
    <row r="9471" spans="38:38" x14ac:dyDescent="0.2">
      <c r="AL9471" s="177"/>
    </row>
    <row r="9472" spans="38:38" x14ac:dyDescent="0.2">
      <c r="AL9472" s="177"/>
    </row>
    <row r="9473" spans="38:38" x14ac:dyDescent="0.2">
      <c r="AL9473" s="177"/>
    </row>
    <row r="9474" spans="38:38" x14ac:dyDescent="0.2">
      <c r="AL9474" s="177"/>
    </row>
    <row r="9475" spans="38:38" x14ac:dyDescent="0.2">
      <c r="AL9475" s="177"/>
    </row>
    <row r="9476" spans="38:38" x14ac:dyDescent="0.2">
      <c r="AL9476" s="177"/>
    </row>
    <row r="9477" spans="38:38" x14ac:dyDescent="0.2">
      <c r="AL9477" s="177"/>
    </row>
    <row r="9478" spans="38:38" x14ac:dyDescent="0.2">
      <c r="AL9478" s="177"/>
    </row>
    <row r="9479" spans="38:38" x14ac:dyDescent="0.2">
      <c r="AL9479" s="177"/>
    </row>
    <row r="9480" spans="38:38" x14ac:dyDescent="0.2">
      <c r="AL9480" s="177"/>
    </row>
    <row r="9481" spans="38:38" x14ac:dyDescent="0.2">
      <c r="AL9481" s="177"/>
    </row>
    <row r="9482" spans="38:38" x14ac:dyDescent="0.2">
      <c r="AL9482" s="177"/>
    </row>
    <row r="9483" spans="38:38" x14ac:dyDescent="0.2">
      <c r="AL9483" s="177"/>
    </row>
    <row r="9484" spans="38:38" x14ac:dyDescent="0.2">
      <c r="AL9484" s="177"/>
    </row>
    <row r="9485" spans="38:38" x14ac:dyDescent="0.2">
      <c r="AL9485" s="177"/>
    </row>
    <row r="9486" spans="38:38" x14ac:dyDescent="0.2">
      <c r="AL9486" s="177"/>
    </row>
    <row r="9487" spans="38:38" x14ac:dyDescent="0.2">
      <c r="AL9487" s="177"/>
    </row>
    <row r="9488" spans="38:38" x14ac:dyDescent="0.2">
      <c r="AL9488" s="177"/>
    </row>
    <row r="9489" spans="38:38" x14ac:dyDescent="0.2">
      <c r="AL9489" s="177"/>
    </row>
    <row r="9490" spans="38:38" x14ac:dyDescent="0.2">
      <c r="AL9490" s="177"/>
    </row>
    <row r="9491" spans="38:38" x14ac:dyDescent="0.2">
      <c r="AL9491" s="177"/>
    </row>
    <row r="9492" spans="38:38" x14ac:dyDescent="0.2">
      <c r="AL9492" s="177"/>
    </row>
    <row r="9493" spans="38:38" x14ac:dyDescent="0.2">
      <c r="AL9493" s="177"/>
    </row>
    <row r="9494" spans="38:38" x14ac:dyDescent="0.2">
      <c r="AL9494" s="177"/>
    </row>
    <row r="9495" spans="38:38" x14ac:dyDescent="0.2">
      <c r="AL9495" s="177"/>
    </row>
    <row r="9496" spans="38:38" x14ac:dyDescent="0.2">
      <c r="AL9496" s="177"/>
    </row>
    <row r="9497" spans="38:38" x14ac:dyDescent="0.2">
      <c r="AL9497" s="177"/>
    </row>
    <row r="9498" spans="38:38" x14ac:dyDescent="0.2">
      <c r="AL9498" s="177"/>
    </row>
    <row r="9499" spans="38:38" x14ac:dyDescent="0.2">
      <c r="AL9499" s="177"/>
    </row>
    <row r="9500" spans="38:38" x14ac:dyDescent="0.2">
      <c r="AL9500" s="177"/>
    </row>
    <row r="9501" spans="38:38" x14ac:dyDescent="0.2">
      <c r="AL9501" s="177"/>
    </row>
    <row r="9502" spans="38:38" x14ac:dyDescent="0.2">
      <c r="AL9502" s="177"/>
    </row>
    <row r="9503" spans="38:38" x14ac:dyDescent="0.2">
      <c r="AL9503" s="177"/>
    </row>
    <row r="9504" spans="38:38" x14ac:dyDescent="0.2">
      <c r="AL9504" s="177"/>
    </row>
    <row r="9505" spans="38:38" x14ac:dyDescent="0.2">
      <c r="AL9505" s="177"/>
    </row>
    <row r="9506" spans="38:38" x14ac:dyDescent="0.2">
      <c r="AL9506" s="177"/>
    </row>
    <row r="9507" spans="38:38" x14ac:dyDescent="0.2">
      <c r="AL9507" s="177"/>
    </row>
    <row r="9508" spans="38:38" x14ac:dyDescent="0.2">
      <c r="AL9508" s="177"/>
    </row>
    <row r="9509" spans="38:38" x14ac:dyDescent="0.2">
      <c r="AL9509" s="177"/>
    </row>
    <row r="9510" spans="38:38" x14ac:dyDescent="0.2">
      <c r="AL9510" s="177"/>
    </row>
    <row r="9511" spans="38:38" x14ac:dyDescent="0.2">
      <c r="AL9511" s="177"/>
    </row>
    <row r="9512" spans="38:38" x14ac:dyDescent="0.2">
      <c r="AL9512" s="177"/>
    </row>
    <row r="9513" spans="38:38" x14ac:dyDescent="0.2">
      <c r="AL9513" s="177"/>
    </row>
    <row r="9514" spans="38:38" x14ac:dyDescent="0.2">
      <c r="AL9514" s="177"/>
    </row>
    <row r="9515" spans="38:38" x14ac:dyDescent="0.2">
      <c r="AL9515" s="177"/>
    </row>
    <row r="9516" spans="38:38" x14ac:dyDescent="0.2">
      <c r="AL9516" s="177"/>
    </row>
    <row r="9517" spans="38:38" x14ac:dyDescent="0.2">
      <c r="AL9517" s="177"/>
    </row>
    <row r="9518" spans="38:38" x14ac:dyDescent="0.2">
      <c r="AL9518" s="177"/>
    </row>
    <row r="9519" spans="38:38" x14ac:dyDescent="0.2">
      <c r="AL9519" s="177"/>
    </row>
    <row r="9520" spans="38:38" x14ac:dyDescent="0.2">
      <c r="AL9520" s="177"/>
    </row>
    <row r="9521" spans="38:38" x14ac:dyDescent="0.2">
      <c r="AL9521" s="177"/>
    </row>
    <row r="9522" spans="38:38" x14ac:dyDescent="0.2">
      <c r="AL9522" s="177"/>
    </row>
    <row r="9523" spans="38:38" x14ac:dyDescent="0.2">
      <c r="AL9523" s="177"/>
    </row>
    <row r="9524" spans="38:38" x14ac:dyDescent="0.2">
      <c r="AL9524" s="177"/>
    </row>
    <row r="9525" spans="38:38" x14ac:dyDescent="0.2">
      <c r="AL9525" s="177"/>
    </row>
    <row r="9526" spans="38:38" x14ac:dyDescent="0.2">
      <c r="AL9526" s="177"/>
    </row>
    <row r="9527" spans="38:38" x14ac:dyDescent="0.2">
      <c r="AL9527" s="177"/>
    </row>
    <row r="9528" spans="38:38" x14ac:dyDescent="0.2">
      <c r="AL9528" s="177"/>
    </row>
    <row r="9529" spans="38:38" x14ac:dyDescent="0.2">
      <c r="AL9529" s="177"/>
    </row>
    <row r="9530" spans="38:38" x14ac:dyDescent="0.2">
      <c r="AL9530" s="177"/>
    </row>
    <row r="9531" spans="38:38" x14ac:dyDescent="0.2">
      <c r="AL9531" s="177"/>
    </row>
    <row r="9532" spans="38:38" x14ac:dyDescent="0.2">
      <c r="AL9532" s="177"/>
    </row>
    <row r="9533" spans="38:38" x14ac:dyDescent="0.2">
      <c r="AL9533" s="177"/>
    </row>
    <row r="9534" spans="38:38" x14ac:dyDescent="0.2">
      <c r="AL9534" s="177"/>
    </row>
    <row r="9535" spans="38:38" x14ac:dyDescent="0.2">
      <c r="AL9535" s="177"/>
    </row>
    <row r="9536" spans="38:38" x14ac:dyDescent="0.2">
      <c r="AL9536" s="177"/>
    </row>
    <row r="9537" spans="38:38" x14ac:dyDescent="0.2">
      <c r="AL9537" s="177"/>
    </row>
    <row r="9538" spans="38:38" x14ac:dyDescent="0.2">
      <c r="AL9538" s="177"/>
    </row>
    <row r="9539" spans="38:38" x14ac:dyDescent="0.2">
      <c r="AL9539" s="177"/>
    </row>
    <row r="9540" spans="38:38" x14ac:dyDescent="0.2">
      <c r="AL9540" s="177"/>
    </row>
    <row r="9541" spans="38:38" x14ac:dyDescent="0.2">
      <c r="AL9541" s="177"/>
    </row>
    <row r="9542" spans="38:38" x14ac:dyDescent="0.2">
      <c r="AL9542" s="177"/>
    </row>
    <row r="9543" spans="38:38" x14ac:dyDescent="0.2">
      <c r="AL9543" s="177"/>
    </row>
    <row r="9544" spans="38:38" x14ac:dyDescent="0.2">
      <c r="AL9544" s="177"/>
    </row>
    <row r="9545" spans="38:38" x14ac:dyDescent="0.2">
      <c r="AL9545" s="177"/>
    </row>
    <row r="9546" spans="38:38" x14ac:dyDescent="0.2">
      <c r="AL9546" s="177"/>
    </row>
    <row r="9547" spans="38:38" x14ac:dyDescent="0.2">
      <c r="AL9547" s="177"/>
    </row>
    <row r="9548" spans="38:38" x14ac:dyDescent="0.2">
      <c r="AL9548" s="177"/>
    </row>
    <row r="9549" spans="38:38" x14ac:dyDescent="0.2">
      <c r="AL9549" s="177"/>
    </row>
    <row r="9550" spans="38:38" x14ac:dyDescent="0.2">
      <c r="AL9550" s="177"/>
    </row>
    <row r="9551" spans="38:38" x14ac:dyDescent="0.2">
      <c r="AL9551" s="177"/>
    </row>
    <row r="9552" spans="38:38" x14ac:dyDescent="0.2">
      <c r="AL9552" s="177"/>
    </row>
    <row r="9553" spans="38:38" x14ac:dyDescent="0.2">
      <c r="AL9553" s="177"/>
    </row>
    <row r="9554" spans="38:38" x14ac:dyDescent="0.2">
      <c r="AL9554" s="177"/>
    </row>
    <row r="9555" spans="38:38" x14ac:dyDescent="0.2">
      <c r="AL9555" s="177"/>
    </row>
    <row r="9556" spans="38:38" x14ac:dyDescent="0.2">
      <c r="AL9556" s="177"/>
    </row>
    <row r="9557" spans="38:38" x14ac:dyDescent="0.2">
      <c r="AL9557" s="177"/>
    </row>
    <row r="9558" spans="38:38" x14ac:dyDescent="0.2">
      <c r="AL9558" s="177"/>
    </row>
    <row r="9559" spans="38:38" x14ac:dyDescent="0.2">
      <c r="AL9559" s="177"/>
    </row>
    <row r="9560" spans="38:38" x14ac:dyDescent="0.2">
      <c r="AL9560" s="177"/>
    </row>
    <row r="9561" spans="38:38" x14ac:dyDescent="0.2">
      <c r="AL9561" s="177"/>
    </row>
    <row r="9562" spans="38:38" x14ac:dyDescent="0.2">
      <c r="AL9562" s="177"/>
    </row>
    <row r="9563" spans="38:38" x14ac:dyDescent="0.2">
      <c r="AL9563" s="177"/>
    </row>
    <row r="9564" spans="38:38" x14ac:dyDescent="0.2">
      <c r="AL9564" s="177"/>
    </row>
    <row r="9565" spans="38:38" x14ac:dyDescent="0.2">
      <c r="AL9565" s="177"/>
    </row>
    <row r="9566" spans="38:38" x14ac:dyDescent="0.2">
      <c r="AL9566" s="177"/>
    </row>
    <row r="9567" spans="38:38" x14ac:dyDescent="0.2">
      <c r="AL9567" s="177"/>
    </row>
    <row r="9568" spans="38:38" x14ac:dyDescent="0.2">
      <c r="AL9568" s="177"/>
    </row>
    <row r="9569" spans="38:38" x14ac:dyDescent="0.2">
      <c r="AL9569" s="177"/>
    </row>
    <row r="9570" spans="38:38" x14ac:dyDescent="0.2">
      <c r="AL9570" s="177"/>
    </row>
    <row r="9571" spans="38:38" x14ac:dyDescent="0.2">
      <c r="AL9571" s="177"/>
    </row>
    <row r="9572" spans="38:38" x14ac:dyDescent="0.2">
      <c r="AL9572" s="177"/>
    </row>
    <row r="9573" spans="38:38" x14ac:dyDescent="0.2">
      <c r="AL9573" s="177"/>
    </row>
    <row r="9574" spans="38:38" x14ac:dyDescent="0.2">
      <c r="AL9574" s="177"/>
    </row>
    <row r="9575" spans="38:38" x14ac:dyDescent="0.2">
      <c r="AL9575" s="177"/>
    </row>
    <row r="9576" spans="38:38" x14ac:dyDescent="0.2">
      <c r="AL9576" s="177"/>
    </row>
    <row r="9577" spans="38:38" x14ac:dyDescent="0.2">
      <c r="AL9577" s="177"/>
    </row>
    <row r="9578" spans="38:38" x14ac:dyDescent="0.2">
      <c r="AL9578" s="177"/>
    </row>
    <row r="9579" spans="38:38" x14ac:dyDescent="0.2">
      <c r="AL9579" s="177"/>
    </row>
    <row r="9580" spans="38:38" x14ac:dyDescent="0.2">
      <c r="AL9580" s="177"/>
    </row>
    <row r="9581" spans="38:38" x14ac:dyDescent="0.2">
      <c r="AL9581" s="177"/>
    </row>
    <row r="9582" spans="38:38" x14ac:dyDescent="0.2">
      <c r="AL9582" s="177"/>
    </row>
    <row r="9583" spans="38:38" x14ac:dyDescent="0.2">
      <c r="AL9583" s="177"/>
    </row>
    <row r="9584" spans="38:38" x14ac:dyDescent="0.2">
      <c r="AL9584" s="177"/>
    </row>
    <row r="9585" spans="38:38" x14ac:dyDescent="0.2">
      <c r="AL9585" s="177"/>
    </row>
    <row r="9586" spans="38:38" x14ac:dyDescent="0.2">
      <c r="AL9586" s="177"/>
    </row>
    <row r="9587" spans="38:38" x14ac:dyDescent="0.2">
      <c r="AL9587" s="177"/>
    </row>
    <row r="9588" spans="38:38" x14ac:dyDescent="0.2">
      <c r="AL9588" s="177"/>
    </row>
    <row r="9589" spans="38:38" x14ac:dyDescent="0.2">
      <c r="AL9589" s="177"/>
    </row>
    <row r="9590" spans="38:38" x14ac:dyDescent="0.2">
      <c r="AL9590" s="177"/>
    </row>
    <row r="9591" spans="38:38" x14ac:dyDescent="0.2">
      <c r="AL9591" s="177"/>
    </row>
    <row r="9592" spans="38:38" x14ac:dyDescent="0.2">
      <c r="AL9592" s="177"/>
    </row>
    <row r="9593" spans="38:38" x14ac:dyDescent="0.2">
      <c r="AL9593" s="177"/>
    </row>
    <row r="9594" spans="38:38" x14ac:dyDescent="0.2">
      <c r="AL9594" s="177"/>
    </row>
    <row r="9595" spans="38:38" x14ac:dyDescent="0.2">
      <c r="AL9595" s="177"/>
    </row>
    <row r="9596" spans="38:38" x14ac:dyDescent="0.2">
      <c r="AL9596" s="177"/>
    </row>
    <row r="9597" spans="38:38" x14ac:dyDescent="0.2">
      <c r="AL9597" s="177"/>
    </row>
    <row r="9598" spans="38:38" x14ac:dyDescent="0.2">
      <c r="AL9598" s="177"/>
    </row>
    <row r="9599" spans="38:38" x14ac:dyDescent="0.2">
      <c r="AL9599" s="177"/>
    </row>
    <row r="9600" spans="38:38" x14ac:dyDescent="0.2">
      <c r="AL9600" s="177"/>
    </row>
    <row r="9601" spans="38:38" x14ac:dyDescent="0.2">
      <c r="AL9601" s="177"/>
    </row>
    <row r="9602" spans="38:38" x14ac:dyDescent="0.2">
      <c r="AL9602" s="177"/>
    </row>
    <row r="9603" spans="38:38" x14ac:dyDescent="0.2">
      <c r="AL9603" s="177"/>
    </row>
    <row r="9604" spans="38:38" x14ac:dyDescent="0.2">
      <c r="AL9604" s="177"/>
    </row>
    <row r="9605" spans="38:38" x14ac:dyDescent="0.2">
      <c r="AL9605" s="177"/>
    </row>
    <row r="9606" spans="38:38" x14ac:dyDescent="0.2">
      <c r="AL9606" s="177"/>
    </row>
    <row r="9607" spans="38:38" x14ac:dyDescent="0.2">
      <c r="AL9607" s="177"/>
    </row>
    <row r="9608" spans="38:38" x14ac:dyDescent="0.2">
      <c r="AL9608" s="177"/>
    </row>
    <row r="9609" spans="38:38" x14ac:dyDescent="0.2">
      <c r="AL9609" s="177"/>
    </row>
    <row r="9610" spans="38:38" x14ac:dyDescent="0.2">
      <c r="AL9610" s="177"/>
    </row>
    <row r="9611" spans="38:38" x14ac:dyDescent="0.2">
      <c r="AL9611" s="177"/>
    </row>
    <row r="9612" spans="38:38" x14ac:dyDescent="0.2">
      <c r="AL9612" s="177"/>
    </row>
    <row r="9613" spans="38:38" x14ac:dyDescent="0.2">
      <c r="AL9613" s="177"/>
    </row>
    <row r="9614" spans="38:38" x14ac:dyDescent="0.2">
      <c r="AL9614" s="177"/>
    </row>
    <row r="9615" spans="38:38" x14ac:dyDescent="0.2">
      <c r="AL9615" s="177"/>
    </row>
    <row r="9616" spans="38:38" x14ac:dyDescent="0.2">
      <c r="AL9616" s="177"/>
    </row>
    <row r="9617" spans="38:38" x14ac:dyDescent="0.2">
      <c r="AL9617" s="177"/>
    </row>
    <row r="9618" spans="38:38" x14ac:dyDescent="0.2">
      <c r="AL9618" s="177"/>
    </row>
    <row r="9619" spans="38:38" x14ac:dyDescent="0.2">
      <c r="AL9619" s="177"/>
    </row>
    <row r="9620" spans="38:38" x14ac:dyDescent="0.2">
      <c r="AL9620" s="177"/>
    </row>
    <row r="9621" spans="38:38" x14ac:dyDescent="0.2">
      <c r="AL9621" s="177"/>
    </row>
    <row r="9622" spans="38:38" x14ac:dyDescent="0.2">
      <c r="AL9622" s="177"/>
    </row>
    <row r="9623" spans="38:38" x14ac:dyDescent="0.2">
      <c r="AL9623" s="177"/>
    </row>
    <row r="9624" spans="38:38" x14ac:dyDescent="0.2">
      <c r="AL9624" s="177"/>
    </row>
    <row r="9625" spans="38:38" x14ac:dyDescent="0.2">
      <c r="AL9625" s="177"/>
    </row>
    <row r="9626" spans="38:38" x14ac:dyDescent="0.2">
      <c r="AL9626" s="177"/>
    </row>
    <row r="9627" spans="38:38" x14ac:dyDescent="0.2">
      <c r="AL9627" s="177"/>
    </row>
    <row r="9628" spans="38:38" x14ac:dyDescent="0.2">
      <c r="AL9628" s="177"/>
    </row>
    <row r="9629" spans="38:38" x14ac:dyDescent="0.2">
      <c r="AL9629" s="177"/>
    </row>
    <row r="9630" spans="38:38" x14ac:dyDescent="0.2">
      <c r="AL9630" s="177"/>
    </row>
    <row r="9631" spans="38:38" x14ac:dyDescent="0.2">
      <c r="AL9631" s="177"/>
    </row>
    <row r="9632" spans="38:38" x14ac:dyDescent="0.2">
      <c r="AL9632" s="177"/>
    </row>
    <row r="9633" spans="38:38" x14ac:dyDescent="0.2">
      <c r="AL9633" s="177"/>
    </row>
    <row r="9634" spans="38:38" x14ac:dyDescent="0.2">
      <c r="AL9634" s="177"/>
    </row>
    <row r="9635" spans="38:38" x14ac:dyDescent="0.2">
      <c r="AL9635" s="177"/>
    </row>
    <row r="9636" spans="38:38" x14ac:dyDescent="0.2">
      <c r="AL9636" s="177"/>
    </row>
    <row r="9637" spans="38:38" x14ac:dyDescent="0.2">
      <c r="AL9637" s="177"/>
    </row>
    <row r="9638" spans="38:38" x14ac:dyDescent="0.2">
      <c r="AL9638" s="177"/>
    </row>
    <row r="9639" spans="38:38" x14ac:dyDescent="0.2">
      <c r="AL9639" s="177"/>
    </row>
    <row r="9640" spans="38:38" x14ac:dyDescent="0.2">
      <c r="AL9640" s="177"/>
    </row>
    <row r="9641" spans="38:38" x14ac:dyDescent="0.2">
      <c r="AL9641" s="177"/>
    </row>
    <row r="9642" spans="38:38" x14ac:dyDescent="0.2">
      <c r="AL9642" s="177"/>
    </row>
    <row r="9643" spans="38:38" x14ac:dyDescent="0.2">
      <c r="AL9643" s="177"/>
    </row>
    <row r="9644" spans="38:38" x14ac:dyDescent="0.2">
      <c r="AL9644" s="177"/>
    </row>
    <row r="9645" spans="38:38" x14ac:dyDescent="0.2">
      <c r="AL9645" s="177"/>
    </row>
    <row r="9646" spans="38:38" x14ac:dyDescent="0.2">
      <c r="AL9646" s="177"/>
    </row>
    <row r="9647" spans="38:38" x14ac:dyDescent="0.2">
      <c r="AL9647" s="177"/>
    </row>
    <row r="9648" spans="38:38" x14ac:dyDescent="0.2">
      <c r="AL9648" s="177"/>
    </row>
    <row r="9649" spans="38:38" x14ac:dyDescent="0.2">
      <c r="AL9649" s="177"/>
    </row>
    <row r="9650" spans="38:38" x14ac:dyDescent="0.2">
      <c r="AL9650" s="177"/>
    </row>
    <row r="9651" spans="38:38" x14ac:dyDescent="0.2">
      <c r="AL9651" s="177"/>
    </row>
    <row r="9652" spans="38:38" x14ac:dyDescent="0.2">
      <c r="AL9652" s="177"/>
    </row>
    <row r="9653" spans="38:38" x14ac:dyDescent="0.2">
      <c r="AL9653" s="177"/>
    </row>
    <row r="9654" spans="38:38" x14ac:dyDescent="0.2">
      <c r="AL9654" s="177"/>
    </row>
    <row r="9655" spans="38:38" x14ac:dyDescent="0.2">
      <c r="AL9655" s="177"/>
    </row>
    <row r="9656" spans="38:38" x14ac:dyDescent="0.2">
      <c r="AL9656" s="177"/>
    </row>
    <row r="9657" spans="38:38" x14ac:dyDescent="0.2">
      <c r="AL9657" s="177"/>
    </row>
    <row r="9658" spans="38:38" x14ac:dyDescent="0.2">
      <c r="AL9658" s="177"/>
    </row>
    <row r="9659" spans="38:38" x14ac:dyDescent="0.2">
      <c r="AL9659" s="177"/>
    </row>
    <row r="9660" spans="38:38" x14ac:dyDescent="0.2">
      <c r="AL9660" s="177"/>
    </row>
    <row r="9661" spans="38:38" x14ac:dyDescent="0.2">
      <c r="AL9661" s="177"/>
    </row>
    <row r="9662" spans="38:38" x14ac:dyDescent="0.2">
      <c r="AL9662" s="177"/>
    </row>
    <row r="9663" spans="38:38" x14ac:dyDescent="0.2">
      <c r="AL9663" s="177"/>
    </row>
    <row r="9664" spans="38:38" x14ac:dyDescent="0.2">
      <c r="AL9664" s="177"/>
    </row>
    <row r="9665" spans="38:38" x14ac:dyDescent="0.2">
      <c r="AL9665" s="177"/>
    </row>
    <row r="9666" spans="38:38" x14ac:dyDescent="0.2">
      <c r="AL9666" s="177"/>
    </row>
    <row r="9667" spans="38:38" x14ac:dyDescent="0.2">
      <c r="AL9667" s="177"/>
    </row>
    <row r="9668" spans="38:38" x14ac:dyDescent="0.2">
      <c r="AL9668" s="177"/>
    </row>
    <row r="9669" spans="38:38" x14ac:dyDescent="0.2">
      <c r="AL9669" s="177"/>
    </row>
    <row r="9670" spans="38:38" x14ac:dyDescent="0.2">
      <c r="AL9670" s="177"/>
    </row>
    <row r="9671" spans="38:38" x14ac:dyDescent="0.2">
      <c r="AL9671" s="177"/>
    </row>
    <row r="9672" spans="38:38" x14ac:dyDescent="0.2">
      <c r="AL9672" s="177"/>
    </row>
    <row r="9673" spans="38:38" x14ac:dyDescent="0.2">
      <c r="AL9673" s="177"/>
    </row>
    <row r="9674" spans="38:38" x14ac:dyDescent="0.2">
      <c r="AL9674" s="177"/>
    </row>
    <row r="9675" spans="38:38" x14ac:dyDescent="0.2">
      <c r="AL9675" s="177"/>
    </row>
    <row r="9676" spans="38:38" x14ac:dyDescent="0.2">
      <c r="AL9676" s="177"/>
    </row>
    <row r="9677" spans="38:38" x14ac:dyDescent="0.2">
      <c r="AL9677" s="177"/>
    </row>
    <row r="9678" spans="38:38" x14ac:dyDescent="0.2">
      <c r="AL9678" s="177"/>
    </row>
    <row r="9679" spans="38:38" x14ac:dyDescent="0.2">
      <c r="AL9679" s="177"/>
    </row>
    <row r="9680" spans="38:38" x14ac:dyDescent="0.2">
      <c r="AL9680" s="177"/>
    </row>
    <row r="9681" spans="38:38" x14ac:dyDescent="0.2">
      <c r="AL9681" s="177"/>
    </row>
    <row r="9682" spans="38:38" x14ac:dyDescent="0.2">
      <c r="AL9682" s="177"/>
    </row>
    <row r="9683" spans="38:38" x14ac:dyDescent="0.2">
      <c r="AL9683" s="177"/>
    </row>
    <row r="9684" spans="38:38" x14ac:dyDescent="0.2">
      <c r="AL9684" s="177"/>
    </row>
    <row r="9685" spans="38:38" x14ac:dyDescent="0.2">
      <c r="AL9685" s="177"/>
    </row>
    <row r="9686" spans="38:38" x14ac:dyDescent="0.2">
      <c r="AL9686" s="177"/>
    </row>
    <row r="9687" spans="38:38" x14ac:dyDescent="0.2">
      <c r="AL9687" s="177"/>
    </row>
    <row r="9688" spans="38:38" x14ac:dyDescent="0.2">
      <c r="AL9688" s="177"/>
    </row>
    <row r="9689" spans="38:38" x14ac:dyDescent="0.2">
      <c r="AL9689" s="177"/>
    </row>
    <row r="9690" spans="38:38" x14ac:dyDescent="0.2">
      <c r="AL9690" s="177"/>
    </row>
    <row r="9691" spans="38:38" x14ac:dyDescent="0.2">
      <c r="AL9691" s="177"/>
    </row>
    <row r="9692" spans="38:38" x14ac:dyDescent="0.2">
      <c r="AL9692" s="177"/>
    </row>
    <row r="9693" spans="38:38" x14ac:dyDescent="0.2">
      <c r="AL9693" s="177"/>
    </row>
    <row r="9694" spans="38:38" x14ac:dyDescent="0.2">
      <c r="AL9694" s="177"/>
    </row>
    <row r="9695" spans="38:38" x14ac:dyDescent="0.2">
      <c r="AL9695" s="177"/>
    </row>
    <row r="9696" spans="38:38" x14ac:dyDescent="0.2">
      <c r="AL9696" s="177"/>
    </row>
    <row r="9697" spans="38:38" x14ac:dyDescent="0.2">
      <c r="AL9697" s="177"/>
    </row>
    <row r="9698" spans="38:38" x14ac:dyDescent="0.2">
      <c r="AL9698" s="177"/>
    </row>
    <row r="9699" spans="38:38" x14ac:dyDescent="0.2">
      <c r="AL9699" s="177"/>
    </row>
    <row r="9700" spans="38:38" x14ac:dyDescent="0.2">
      <c r="AL9700" s="177"/>
    </row>
    <row r="9701" spans="38:38" x14ac:dyDescent="0.2">
      <c r="AL9701" s="177"/>
    </row>
    <row r="9702" spans="38:38" x14ac:dyDescent="0.2">
      <c r="AL9702" s="177"/>
    </row>
    <row r="9703" spans="38:38" x14ac:dyDescent="0.2">
      <c r="AL9703" s="177"/>
    </row>
    <row r="9704" spans="38:38" x14ac:dyDescent="0.2">
      <c r="AL9704" s="177"/>
    </row>
    <row r="9705" spans="38:38" x14ac:dyDescent="0.2">
      <c r="AL9705" s="177"/>
    </row>
    <row r="9706" spans="38:38" x14ac:dyDescent="0.2">
      <c r="AL9706" s="177"/>
    </row>
    <row r="9707" spans="38:38" x14ac:dyDescent="0.2">
      <c r="AL9707" s="177"/>
    </row>
    <row r="9708" spans="38:38" x14ac:dyDescent="0.2">
      <c r="AL9708" s="177"/>
    </row>
    <row r="9709" spans="38:38" x14ac:dyDescent="0.2">
      <c r="AL9709" s="177"/>
    </row>
    <row r="9710" spans="38:38" x14ac:dyDescent="0.2">
      <c r="AL9710" s="177"/>
    </row>
    <row r="9711" spans="38:38" x14ac:dyDescent="0.2">
      <c r="AL9711" s="177"/>
    </row>
    <row r="9712" spans="38:38" x14ac:dyDescent="0.2">
      <c r="AL9712" s="177"/>
    </row>
    <row r="9713" spans="38:38" x14ac:dyDescent="0.2">
      <c r="AL9713" s="177"/>
    </row>
    <row r="9714" spans="38:38" x14ac:dyDescent="0.2">
      <c r="AL9714" s="177"/>
    </row>
    <row r="9715" spans="38:38" x14ac:dyDescent="0.2">
      <c r="AL9715" s="177"/>
    </row>
    <row r="9716" spans="38:38" x14ac:dyDescent="0.2">
      <c r="AL9716" s="177"/>
    </row>
    <row r="9717" spans="38:38" x14ac:dyDescent="0.2">
      <c r="AL9717" s="177"/>
    </row>
    <row r="9718" spans="38:38" x14ac:dyDescent="0.2">
      <c r="AL9718" s="177"/>
    </row>
    <row r="9719" spans="38:38" x14ac:dyDescent="0.2">
      <c r="AL9719" s="177"/>
    </row>
    <row r="9720" spans="38:38" x14ac:dyDescent="0.2">
      <c r="AL9720" s="177"/>
    </row>
    <row r="9721" spans="38:38" x14ac:dyDescent="0.2">
      <c r="AL9721" s="177"/>
    </row>
    <row r="9722" spans="38:38" x14ac:dyDescent="0.2">
      <c r="AL9722" s="177"/>
    </row>
    <row r="9723" spans="38:38" x14ac:dyDescent="0.2">
      <c r="AL9723" s="177"/>
    </row>
    <row r="9724" spans="38:38" x14ac:dyDescent="0.2">
      <c r="AL9724" s="177"/>
    </row>
    <row r="9725" spans="38:38" x14ac:dyDescent="0.2">
      <c r="AL9725" s="177"/>
    </row>
    <row r="9726" spans="38:38" x14ac:dyDescent="0.2">
      <c r="AL9726" s="177"/>
    </row>
    <row r="9727" spans="38:38" x14ac:dyDescent="0.2">
      <c r="AL9727" s="177"/>
    </row>
    <row r="9728" spans="38:38" x14ac:dyDescent="0.2">
      <c r="AL9728" s="177"/>
    </row>
    <row r="9729" spans="38:38" x14ac:dyDescent="0.2">
      <c r="AL9729" s="177"/>
    </row>
    <row r="9730" spans="38:38" x14ac:dyDescent="0.2">
      <c r="AL9730" s="177"/>
    </row>
    <row r="9731" spans="38:38" x14ac:dyDescent="0.2">
      <c r="AL9731" s="177"/>
    </row>
    <row r="9732" spans="38:38" x14ac:dyDescent="0.2">
      <c r="AL9732" s="177"/>
    </row>
    <row r="9733" spans="38:38" x14ac:dyDescent="0.2">
      <c r="AL9733" s="177"/>
    </row>
    <row r="9734" spans="38:38" x14ac:dyDescent="0.2">
      <c r="AL9734" s="177"/>
    </row>
    <row r="9735" spans="38:38" x14ac:dyDescent="0.2">
      <c r="AL9735" s="177"/>
    </row>
    <row r="9736" spans="38:38" x14ac:dyDescent="0.2">
      <c r="AL9736" s="177"/>
    </row>
    <row r="9737" spans="38:38" x14ac:dyDescent="0.2">
      <c r="AL9737" s="177"/>
    </row>
    <row r="9738" spans="38:38" x14ac:dyDescent="0.2">
      <c r="AL9738" s="177"/>
    </row>
    <row r="9739" spans="38:38" x14ac:dyDescent="0.2">
      <c r="AL9739" s="177"/>
    </row>
    <row r="9740" spans="38:38" x14ac:dyDescent="0.2">
      <c r="AL9740" s="177"/>
    </row>
    <row r="9741" spans="38:38" x14ac:dyDescent="0.2">
      <c r="AL9741" s="177"/>
    </row>
    <row r="9742" spans="38:38" x14ac:dyDescent="0.2">
      <c r="AL9742" s="177"/>
    </row>
    <row r="9743" spans="38:38" x14ac:dyDescent="0.2">
      <c r="AL9743" s="177"/>
    </row>
    <row r="9744" spans="38:38" x14ac:dyDescent="0.2">
      <c r="AL9744" s="177"/>
    </row>
    <row r="9745" spans="38:38" x14ac:dyDescent="0.2">
      <c r="AL9745" s="177"/>
    </row>
    <row r="9746" spans="38:38" x14ac:dyDescent="0.2">
      <c r="AL9746" s="177"/>
    </row>
    <row r="9747" spans="38:38" x14ac:dyDescent="0.2">
      <c r="AL9747" s="177"/>
    </row>
    <row r="9748" spans="38:38" x14ac:dyDescent="0.2">
      <c r="AL9748" s="177"/>
    </row>
    <row r="9749" spans="38:38" x14ac:dyDescent="0.2">
      <c r="AL9749" s="177"/>
    </row>
    <row r="9750" spans="38:38" x14ac:dyDescent="0.2">
      <c r="AL9750" s="177"/>
    </row>
    <row r="9751" spans="38:38" x14ac:dyDescent="0.2">
      <c r="AL9751" s="177"/>
    </row>
    <row r="9752" spans="38:38" x14ac:dyDescent="0.2">
      <c r="AL9752" s="177"/>
    </row>
    <row r="9753" spans="38:38" x14ac:dyDescent="0.2">
      <c r="AL9753" s="177"/>
    </row>
    <row r="9754" spans="38:38" x14ac:dyDescent="0.2">
      <c r="AL9754" s="177"/>
    </row>
    <row r="9755" spans="38:38" x14ac:dyDescent="0.2">
      <c r="AL9755" s="177"/>
    </row>
    <row r="9756" spans="38:38" x14ac:dyDescent="0.2">
      <c r="AL9756" s="177"/>
    </row>
    <row r="9757" spans="38:38" x14ac:dyDescent="0.2">
      <c r="AL9757" s="177"/>
    </row>
    <row r="9758" spans="38:38" x14ac:dyDescent="0.2">
      <c r="AL9758" s="177"/>
    </row>
    <row r="9759" spans="38:38" x14ac:dyDescent="0.2">
      <c r="AL9759" s="177"/>
    </row>
    <row r="9760" spans="38:38" x14ac:dyDescent="0.2">
      <c r="AL9760" s="177"/>
    </row>
    <row r="9761" spans="38:38" x14ac:dyDescent="0.2">
      <c r="AL9761" s="177"/>
    </row>
    <row r="9762" spans="38:38" x14ac:dyDescent="0.2">
      <c r="AL9762" s="177"/>
    </row>
    <row r="9763" spans="38:38" x14ac:dyDescent="0.2">
      <c r="AL9763" s="177"/>
    </row>
    <row r="9764" spans="38:38" x14ac:dyDescent="0.2">
      <c r="AL9764" s="177"/>
    </row>
    <row r="9765" spans="38:38" x14ac:dyDescent="0.2">
      <c r="AL9765" s="177"/>
    </row>
    <row r="9766" spans="38:38" x14ac:dyDescent="0.2">
      <c r="AL9766" s="177"/>
    </row>
    <row r="9767" spans="38:38" x14ac:dyDescent="0.2">
      <c r="AL9767" s="177"/>
    </row>
    <row r="9768" spans="38:38" x14ac:dyDescent="0.2">
      <c r="AL9768" s="177"/>
    </row>
    <row r="9769" spans="38:38" x14ac:dyDescent="0.2">
      <c r="AL9769" s="177"/>
    </row>
    <row r="9770" spans="38:38" x14ac:dyDescent="0.2">
      <c r="AL9770" s="177"/>
    </row>
    <row r="9771" spans="38:38" x14ac:dyDescent="0.2">
      <c r="AL9771" s="177"/>
    </row>
    <row r="9772" spans="38:38" x14ac:dyDescent="0.2">
      <c r="AL9772" s="177"/>
    </row>
    <row r="9773" spans="38:38" x14ac:dyDescent="0.2">
      <c r="AL9773" s="177"/>
    </row>
    <row r="9774" spans="38:38" x14ac:dyDescent="0.2">
      <c r="AL9774" s="177"/>
    </row>
    <row r="9775" spans="38:38" x14ac:dyDescent="0.2">
      <c r="AL9775" s="177"/>
    </row>
    <row r="9776" spans="38:38" x14ac:dyDescent="0.2">
      <c r="AL9776" s="177"/>
    </row>
    <row r="9777" spans="38:38" x14ac:dyDescent="0.2">
      <c r="AL9777" s="177"/>
    </row>
    <row r="9778" spans="38:38" x14ac:dyDescent="0.2">
      <c r="AL9778" s="177"/>
    </row>
    <row r="9779" spans="38:38" x14ac:dyDescent="0.2">
      <c r="AL9779" s="177"/>
    </row>
    <row r="9780" spans="38:38" x14ac:dyDescent="0.2">
      <c r="AL9780" s="177"/>
    </row>
    <row r="9781" spans="38:38" x14ac:dyDescent="0.2">
      <c r="AL9781" s="177"/>
    </row>
    <row r="9782" spans="38:38" x14ac:dyDescent="0.2">
      <c r="AL9782" s="177"/>
    </row>
    <row r="9783" spans="38:38" x14ac:dyDescent="0.2">
      <c r="AL9783" s="177"/>
    </row>
    <row r="9784" spans="38:38" x14ac:dyDescent="0.2">
      <c r="AL9784" s="177"/>
    </row>
    <row r="9785" spans="38:38" x14ac:dyDescent="0.2">
      <c r="AL9785" s="177"/>
    </row>
    <row r="9786" spans="38:38" x14ac:dyDescent="0.2">
      <c r="AL9786" s="177"/>
    </row>
    <row r="9787" spans="38:38" x14ac:dyDescent="0.2">
      <c r="AL9787" s="177"/>
    </row>
    <row r="9788" spans="38:38" x14ac:dyDescent="0.2">
      <c r="AL9788" s="177"/>
    </row>
    <row r="9789" spans="38:38" x14ac:dyDescent="0.2">
      <c r="AL9789" s="177"/>
    </row>
    <row r="9790" spans="38:38" x14ac:dyDescent="0.2">
      <c r="AL9790" s="177"/>
    </row>
    <row r="9791" spans="38:38" x14ac:dyDescent="0.2">
      <c r="AL9791" s="177"/>
    </row>
    <row r="9792" spans="38:38" x14ac:dyDescent="0.2">
      <c r="AL9792" s="177"/>
    </row>
    <row r="9793" spans="38:38" x14ac:dyDescent="0.2">
      <c r="AL9793" s="177"/>
    </row>
    <row r="9794" spans="38:38" x14ac:dyDescent="0.2">
      <c r="AL9794" s="177"/>
    </row>
    <row r="9795" spans="38:38" x14ac:dyDescent="0.2">
      <c r="AL9795" s="177"/>
    </row>
    <row r="9796" spans="38:38" x14ac:dyDescent="0.2">
      <c r="AL9796" s="177"/>
    </row>
    <row r="9797" spans="38:38" x14ac:dyDescent="0.2">
      <c r="AL9797" s="177"/>
    </row>
    <row r="9798" spans="38:38" x14ac:dyDescent="0.2">
      <c r="AL9798" s="177"/>
    </row>
    <row r="9799" spans="38:38" x14ac:dyDescent="0.2">
      <c r="AL9799" s="177"/>
    </row>
    <row r="9800" spans="38:38" x14ac:dyDescent="0.2">
      <c r="AL9800" s="177"/>
    </row>
    <row r="9801" spans="38:38" x14ac:dyDescent="0.2">
      <c r="AL9801" s="177"/>
    </row>
    <row r="9802" spans="38:38" x14ac:dyDescent="0.2">
      <c r="AL9802" s="177"/>
    </row>
    <row r="9803" spans="38:38" x14ac:dyDescent="0.2">
      <c r="AL9803" s="177"/>
    </row>
    <row r="9804" spans="38:38" x14ac:dyDescent="0.2">
      <c r="AL9804" s="177"/>
    </row>
    <row r="9805" spans="38:38" x14ac:dyDescent="0.2">
      <c r="AL9805" s="177"/>
    </row>
    <row r="9806" spans="38:38" x14ac:dyDescent="0.2">
      <c r="AL9806" s="177"/>
    </row>
    <row r="9807" spans="38:38" x14ac:dyDescent="0.2">
      <c r="AL9807" s="177"/>
    </row>
    <row r="9808" spans="38:38" x14ac:dyDescent="0.2">
      <c r="AL9808" s="177"/>
    </row>
    <row r="9809" spans="38:38" x14ac:dyDescent="0.2">
      <c r="AL9809" s="177"/>
    </row>
    <row r="9810" spans="38:38" x14ac:dyDescent="0.2">
      <c r="AL9810" s="177"/>
    </row>
    <row r="9811" spans="38:38" x14ac:dyDescent="0.2">
      <c r="AL9811" s="177"/>
    </row>
    <row r="9812" spans="38:38" x14ac:dyDescent="0.2">
      <c r="AL9812" s="177"/>
    </row>
    <row r="9813" spans="38:38" x14ac:dyDescent="0.2">
      <c r="AL9813" s="177"/>
    </row>
    <row r="9814" spans="38:38" x14ac:dyDescent="0.2">
      <c r="AL9814" s="177"/>
    </row>
    <row r="9815" spans="38:38" x14ac:dyDescent="0.2">
      <c r="AL9815" s="177"/>
    </row>
    <row r="9816" spans="38:38" x14ac:dyDescent="0.2">
      <c r="AL9816" s="177"/>
    </row>
    <row r="9817" spans="38:38" x14ac:dyDescent="0.2">
      <c r="AL9817" s="177"/>
    </row>
    <row r="9818" spans="38:38" x14ac:dyDescent="0.2">
      <c r="AL9818" s="177"/>
    </row>
    <row r="9819" spans="38:38" x14ac:dyDescent="0.2">
      <c r="AL9819" s="177"/>
    </row>
    <row r="9820" spans="38:38" x14ac:dyDescent="0.2">
      <c r="AL9820" s="177"/>
    </row>
    <row r="9821" spans="38:38" x14ac:dyDescent="0.2">
      <c r="AL9821" s="177"/>
    </row>
    <row r="9822" spans="38:38" x14ac:dyDescent="0.2">
      <c r="AL9822" s="177"/>
    </row>
    <row r="9823" spans="38:38" x14ac:dyDescent="0.2">
      <c r="AL9823" s="177"/>
    </row>
    <row r="9824" spans="38:38" x14ac:dyDescent="0.2">
      <c r="AL9824" s="177"/>
    </row>
    <row r="9825" spans="38:38" x14ac:dyDescent="0.2">
      <c r="AL9825" s="177"/>
    </row>
    <row r="9826" spans="38:38" x14ac:dyDescent="0.2">
      <c r="AL9826" s="177"/>
    </row>
    <row r="9827" spans="38:38" x14ac:dyDescent="0.2">
      <c r="AL9827" s="177"/>
    </row>
    <row r="9828" spans="38:38" x14ac:dyDescent="0.2">
      <c r="AL9828" s="177"/>
    </row>
    <row r="9829" spans="38:38" x14ac:dyDescent="0.2">
      <c r="AL9829" s="177"/>
    </row>
    <row r="9830" spans="38:38" x14ac:dyDescent="0.2">
      <c r="AL9830" s="177"/>
    </row>
    <row r="9831" spans="38:38" x14ac:dyDescent="0.2">
      <c r="AL9831" s="177"/>
    </row>
    <row r="9832" spans="38:38" x14ac:dyDescent="0.2">
      <c r="AL9832" s="177"/>
    </row>
    <row r="9833" spans="38:38" x14ac:dyDescent="0.2">
      <c r="AL9833" s="177"/>
    </row>
    <row r="9834" spans="38:38" x14ac:dyDescent="0.2">
      <c r="AL9834" s="177"/>
    </row>
    <row r="9835" spans="38:38" x14ac:dyDescent="0.2">
      <c r="AL9835" s="177"/>
    </row>
    <row r="9836" spans="38:38" x14ac:dyDescent="0.2">
      <c r="AL9836" s="177"/>
    </row>
    <row r="9837" spans="38:38" x14ac:dyDescent="0.2">
      <c r="AL9837" s="177"/>
    </row>
    <row r="9838" spans="38:38" x14ac:dyDescent="0.2">
      <c r="AL9838" s="177"/>
    </row>
    <row r="9839" spans="38:38" x14ac:dyDescent="0.2">
      <c r="AL9839" s="177"/>
    </row>
    <row r="9840" spans="38:38" x14ac:dyDescent="0.2">
      <c r="AL9840" s="177"/>
    </row>
    <row r="9841" spans="38:38" x14ac:dyDescent="0.2">
      <c r="AL9841" s="177"/>
    </row>
    <row r="9842" spans="38:38" x14ac:dyDescent="0.2">
      <c r="AL9842" s="177"/>
    </row>
    <row r="9843" spans="38:38" x14ac:dyDescent="0.2">
      <c r="AL9843" s="177"/>
    </row>
    <row r="9844" spans="38:38" x14ac:dyDescent="0.2">
      <c r="AL9844" s="177"/>
    </row>
    <row r="9845" spans="38:38" x14ac:dyDescent="0.2">
      <c r="AL9845" s="177"/>
    </row>
    <row r="9846" spans="38:38" x14ac:dyDescent="0.2">
      <c r="AL9846" s="177"/>
    </row>
    <row r="9847" spans="38:38" x14ac:dyDescent="0.2">
      <c r="AL9847" s="177"/>
    </row>
    <row r="9848" spans="38:38" x14ac:dyDescent="0.2">
      <c r="AL9848" s="177"/>
    </row>
    <row r="9849" spans="38:38" x14ac:dyDescent="0.2">
      <c r="AL9849" s="177"/>
    </row>
    <row r="9850" spans="38:38" x14ac:dyDescent="0.2">
      <c r="AL9850" s="177"/>
    </row>
    <row r="9851" spans="38:38" x14ac:dyDescent="0.2">
      <c r="AL9851" s="177"/>
    </row>
    <row r="9852" spans="38:38" x14ac:dyDescent="0.2">
      <c r="AL9852" s="177"/>
    </row>
    <row r="9853" spans="38:38" x14ac:dyDescent="0.2">
      <c r="AL9853" s="177"/>
    </row>
    <row r="9854" spans="38:38" x14ac:dyDescent="0.2">
      <c r="AL9854" s="177"/>
    </row>
    <row r="9855" spans="38:38" x14ac:dyDescent="0.2">
      <c r="AL9855" s="177"/>
    </row>
    <row r="9856" spans="38:38" x14ac:dyDescent="0.2">
      <c r="AL9856" s="177"/>
    </row>
    <row r="9857" spans="38:38" x14ac:dyDescent="0.2">
      <c r="AL9857" s="177"/>
    </row>
    <row r="9858" spans="38:38" x14ac:dyDescent="0.2">
      <c r="AL9858" s="177"/>
    </row>
    <row r="9859" spans="38:38" x14ac:dyDescent="0.2">
      <c r="AL9859" s="177"/>
    </row>
    <row r="9860" spans="38:38" x14ac:dyDescent="0.2">
      <c r="AL9860" s="177"/>
    </row>
    <row r="9861" spans="38:38" x14ac:dyDescent="0.2">
      <c r="AL9861" s="177"/>
    </row>
    <row r="9862" spans="38:38" x14ac:dyDescent="0.2">
      <c r="AL9862" s="177"/>
    </row>
    <row r="9863" spans="38:38" x14ac:dyDescent="0.2">
      <c r="AL9863" s="177"/>
    </row>
    <row r="9864" spans="38:38" x14ac:dyDescent="0.2">
      <c r="AL9864" s="177"/>
    </row>
    <row r="9865" spans="38:38" x14ac:dyDescent="0.2">
      <c r="AL9865" s="177"/>
    </row>
    <row r="9866" spans="38:38" x14ac:dyDescent="0.2">
      <c r="AL9866" s="177"/>
    </row>
    <row r="9867" spans="38:38" x14ac:dyDescent="0.2">
      <c r="AL9867" s="177"/>
    </row>
    <row r="9868" spans="38:38" x14ac:dyDescent="0.2">
      <c r="AL9868" s="177"/>
    </row>
    <row r="9869" spans="38:38" x14ac:dyDescent="0.2">
      <c r="AL9869" s="177"/>
    </row>
    <row r="9870" spans="38:38" x14ac:dyDescent="0.2">
      <c r="AL9870" s="177"/>
    </row>
    <row r="9871" spans="38:38" x14ac:dyDescent="0.2">
      <c r="AL9871" s="177"/>
    </row>
    <row r="9872" spans="38:38" x14ac:dyDescent="0.2">
      <c r="AL9872" s="177"/>
    </row>
    <row r="9873" spans="38:38" x14ac:dyDescent="0.2">
      <c r="AL9873" s="177"/>
    </row>
    <row r="9874" spans="38:38" x14ac:dyDescent="0.2">
      <c r="AL9874" s="177"/>
    </row>
    <row r="9875" spans="38:38" x14ac:dyDescent="0.2">
      <c r="AL9875" s="177"/>
    </row>
    <row r="9876" spans="38:38" x14ac:dyDescent="0.2">
      <c r="AL9876" s="177"/>
    </row>
    <row r="9877" spans="38:38" x14ac:dyDescent="0.2">
      <c r="AL9877" s="177"/>
    </row>
    <row r="9878" spans="38:38" x14ac:dyDescent="0.2">
      <c r="AL9878" s="177"/>
    </row>
    <row r="9879" spans="38:38" x14ac:dyDescent="0.2">
      <c r="AL9879" s="177"/>
    </row>
    <row r="9880" spans="38:38" x14ac:dyDescent="0.2">
      <c r="AL9880" s="177"/>
    </row>
    <row r="9881" spans="38:38" x14ac:dyDescent="0.2">
      <c r="AL9881" s="177"/>
    </row>
    <row r="9882" spans="38:38" x14ac:dyDescent="0.2">
      <c r="AL9882" s="177"/>
    </row>
    <row r="9883" spans="38:38" x14ac:dyDescent="0.2">
      <c r="AL9883" s="177"/>
    </row>
    <row r="9884" spans="38:38" x14ac:dyDescent="0.2">
      <c r="AL9884" s="177"/>
    </row>
    <row r="9885" spans="38:38" x14ac:dyDescent="0.2">
      <c r="AL9885" s="177"/>
    </row>
    <row r="9886" spans="38:38" x14ac:dyDescent="0.2">
      <c r="AL9886" s="177"/>
    </row>
    <row r="9887" spans="38:38" x14ac:dyDescent="0.2">
      <c r="AL9887" s="177"/>
    </row>
    <row r="9888" spans="38:38" x14ac:dyDescent="0.2">
      <c r="AL9888" s="177"/>
    </row>
    <row r="9889" spans="38:38" x14ac:dyDescent="0.2">
      <c r="AL9889" s="177"/>
    </row>
    <row r="9890" spans="38:38" x14ac:dyDescent="0.2">
      <c r="AL9890" s="177"/>
    </row>
    <row r="9891" spans="38:38" x14ac:dyDescent="0.2">
      <c r="AL9891" s="177"/>
    </row>
    <row r="9892" spans="38:38" x14ac:dyDescent="0.2">
      <c r="AL9892" s="177"/>
    </row>
    <row r="9893" spans="38:38" x14ac:dyDescent="0.2">
      <c r="AL9893" s="177"/>
    </row>
    <row r="9894" spans="38:38" x14ac:dyDescent="0.2">
      <c r="AL9894" s="177"/>
    </row>
    <row r="9895" spans="38:38" x14ac:dyDescent="0.2">
      <c r="AL9895" s="177"/>
    </row>
    <row r="9896" spans="38:38" x14ac:dyDescent="0.2">
      <c r="AL9896" s="177"/>
    </row>
    <row r="9897" spans="38:38" x14ac:dyDescent="0.2">
      <c r="AL9897" s="177"/>
    </row>
    <row r="9898" spans="38:38" x14ac:dyDescent="0.2">
      <c r="AL9898" s="177"/>
    </row>
    <row r="9899" spans="38:38" x14ac:dyDescent="0.2">
      <c r="AL9899" s="177"/>
    </row>
    <row r="9900" spans="38:38" x14ac:dyDescent="0.2">
      <c r="AL9900" s="177"/>
    </row>
    <row r="9901" spans="38:38" x14ac:dyDescent="0.2">
      <c r="AL9901" s="177"/>
    </row>
    <row r="9902" spans="38:38" x14ac:dyDescent="0.2">
      <c r="AL9902" s="177"/>
    </row>
    <row r="9903" spans="38:38" x14ac:dyDescent="0.2">
      <c r="AL9903" s="177"/>
    </row>
    <row r="9904" spans="38:38" x14ac:dyDescent="0.2">
      <c r="AL9904" s="177"/>
    </row>
    <row r="9905" spans="38:38" x14ac:dyDescent="0.2">
      <c r="AL9905" s="177"/>
    </row>
    <row r="9906" spans="38:38" x14ac:dyDescent="0.2">
      <c r="AL9906" s="177"/>
    </row>
    <row r="9907" spans="38:38" x14ac:dyDescent="0.2">
      <c r="AL9907" s="177"/>
    </row>
    <row r="9908" spans="38:38" x14ac:dyDescent="0.2">
      <c r="AL9908" s="177"/>
    </row>
    <row r="9909" spans="38:38" x14ac:dyDescent="0.2">
      <c r="AL9909" s="177"/>
    </row>
    <row r="9910" spans="38:38" x14ac:dyDescent="0.2">
      <c r="AL9910" s="177"/>
    </row>
    <row r="9911" spans="38:38" x14ac:dyDescent="0.2">
      <c r="AL9911" s="177"/>
    </row>
    <row r="9912" spans="38:38" x14ac:dyDescent="0.2">
      <c r="AL9912" s="177"/>
    </row>
    <row r="9913" spans="38:38" x14ac:dyDescent="0.2">
      <c r="AL9913" s="177"/>
    </row>
    <row r="9914" spans="38:38" x14ac:dyDescent="0.2">
      <c r="AL9914" s="177"/>
    </row>
    <row r="9915" spans="38:38" x14ac:dyDescent="0.2">
      <c r="AL9915" s="177"/>
    </row>
    <row r="9916" spans="38:38" x14ac:dyDescent="0.2">
      <c r="AL9916" s="177"/>
    </row>
    <row r="9917" spans="38:38" x14ac:dyDescent="0.2">
      <c r="AL9917" s="177"/>
    </row>
    <row r="9918" spans="38:38" x14ac:dyDescent="0.2">
      <c r="AL9918" s="177"/>
    </row>
    <row r="9919" spans="38:38" x14ac:dyDescent="0.2">
      <c r="AL9919" s="177"/>
    </row>
    <row r="9920" spans="38:38" x14ac:dyDescent="0.2">
      <c r="AL9920" s="177"/>
    </row>
    <row r="9921" spans="38:38" x14ac:dyDescent="0.2">
      <c r="AL9921" s="177"/>
    </row>
    <row r="9922" spans="38:38" x14ac:dyDescent="0.2">
      <c r="AL9922" s="177"/>
    </row>
    <row r="9923" spans="38:38" x14ac:dyDescent="0.2">
      <c r="AL9923" s="177"/>
    </row>
    <row r="9924" spans="38:38" x14ac:dyDescent="0.2">
      <c r="AL9924" s="177"/>
    </row>
    <row r="9925" spans="38:38" x14ac:dyDescent="0.2">
      <c r="AL9925" s="177"/>
    </row>
    <row r="9926" spans="38:38" x14ac:dyDescent="0.2">
      <c r="AL9926" s="177"/>
    </row>
    <row r="9927" spans="38:38" x14ac:dyDescent="0.2">
      <c r="AL9927" s="177"/>
    </row>
    <row r="9928" spans="38:38" x14ac:dyDescent="0.2">
      <c r="AL9928" s="177"/>
    </row>
    <row r="9929" spans="38:38" x14ac:dyDescent="0.2">
      <c r="AL9929" s="177"/>
    </row>
    <row r="9930" spans="38:38" x14ac:dyDescent="0.2">
      <c r="AL9930" s="177"/>
    </row>
    <row r="9931" spans="38:38" x14ac:dyDescent="0.2">
      <c r="AL9931" s="177"/>
    </row>
    <row r="9932" spans="38:38" x14ac:dyDescent="0.2">
      <c r="AL9932" s="177"/>
    </row>
    <row r="9933" spans="38:38" x14ac:dyDescent="0.2">
      <c r="AL9933" s="177"/>
    </row>
    <row r="9934" spans="38:38" x14ac:dyDescent="0.2">
      <c r="AL9934" s="177"/>
    </row>
    <row r="9935" spans="38:38" x14ac:dyDescent="0.2">
      <c r="AL9935" s="177"/>
    </row>
    <row r="9936" spans="38:38" x14ac:dyDescent="0.2">
      <c r="AL9936" s="177"/>
    </row>
    <row r="9937" spans="38:38" x14ac:dyDescent="0.2">
      <c r="AL9937" s="177"/>
    </row>
    <row r="9938" spans="38:38" x14ac:dyDescent="0.2">
      <c r="AL9938" s="177"/>
    </row>
    <row r="9939" spans="38:38" x14ac:dyDescent="0.2">
      <c r="AL9939" s="177"/>
    </row>
    <row r="9940" spans="38:38" x14ac:dyDescent="0.2">
      <c r="AL9940" s="177"/>
    </row>
    <row r="9941" spans="38:38" x14ac:dyDescent="0.2">
      <c r="AL9941" s="177"/>
    </row>
    <row r="9942" spans="38:38" x14ac:dyDescent="0.2">
      <c r="AL9942" s="177"/>
    </row>
    <row r="9943" spans="38:38" x14ac:dyDescent="0.2">
      <c r="AL9943" s="177"/>
    </row>
    <row r="9944" spans="38:38" x14ac:dyDescent="0.2">
      <c r="AL9944" s="177"/>
    </row>
    <row r="9945" spans="38:38" x14ac:dyDescent="0.2">
      <c r="AL9945" s="177"/>
    </row>
    <row r="9946" spans="38:38" x14ac:dyDescent="0.2">
      <c r="AL9946" s="177"/>
    </row>
    <row r="9947" spans="38:38" x14ac:dyDescent="0.2">
      <c r="AL9947" s="177"/>
    </row>
    <row r="9948" spans="38:38" x14ac:dyDescent="0.2">
      <c r="AL9948" s="177"/>
    </row>
    <row r="9949" spans="38:38" x14ac:dyDescent="0.2">
      <c r="AL9949" s="177"/>
    </row>
    <row r="9950" spans="38:38" x14ac:dyDescent="0.2">
      <c r="AL9950" s="177"/>
    </row>
    <row r="9951" spans="38:38" x14ac:dyDescent="0.2">
      <c r="AL9951" s="177"/>
    </row>
    <row r="9952" spans="38:38" x14ac:dyDescent="0.2">
      <c r="AL9952" s="177"/>
    </row>
    <row r="9953" spans="38:38" x14ac:dyDescent="0.2">
      <c r="AL9953" s="177"/>
    </row>
    <row r="9954" spans="38:38" x14ac:dyDescent="0.2">
      <c r="AL9954" s="177"/>
    </row>
    <row r="9955" spans="38:38" x14ac:dyDescent="0.2">
      <c r="AL9955" s="177"/>
    </row>
    <row r="9956" spans="38:38" x14ac:dyDescent="0.2">
      <c r="AL9956" s="177"/>
    </row>
    <row r="9957" spans="38:38" x14ac:dyDescent="0.2">
      <c r="AL9957" s="177"/>
    </row>
    <row r="9958" spans="38:38" x14ac:dyDescent="0.2">
      <c r="AL9958" s="177"/>
    </row>
    <row r="9959" spans="38:38" x14ac:dyDescent="0.2">
      <c r="AL9959" s="177"/>
    </row>
    <row r="9960" spans="38:38" x14ac:dyDescent="0.2">
      <c r="AL9960" s="177"/>
    </row>
    <row r="9961" spans="38:38" x14ac:dyDescent="0.2">
      <c r="AL9961" s="177"/>
    </row>
    <row r="9962" spans="38:38" x14ac:dyDescent="0.2">
      <c r="AL9962" s="177"/>
    </row>
    <row r="9963" spans="38:38" x14ac:dyDescent="0.2">
      <c r="AL9963" s="177"/>
    </row>
    <row r="9964" spans="38:38" x14ac:dyDescent="0.2">
      <c r="AL9964" s="177"/>
    </row>
    <row r="9965" spans="38:38" x14ac:dyDescent="0.2">
      <c r="AL9965" s="177"/>
    </row>
    <row r="9966" spans="38:38" x14ac:dyDescent="0.2">
      <c r="AL9966" s="177"/>
    </row>
    <row r="9967" spans="38:38" x14ac:dyDescent="0.2">
      <c r="AL9967" s="177"/>
    </row>
    <row r="9968" spans="38:38" x14ac:dyDescent="0.2">
      <c r="AL9968" s="177"/>
    </row>
    <row r="9969" spans="38:38" x14ac:dyDescent="0.2">
      <c r="AL9969" s="177"/>
    </row>
    <row r="9970" spans="38:38" x14ac:dyDescent="0.2">
      <c r="AL9970" s="177"/>
    </row>
    <row r="9971" spans="38:38" x14ac:dyDescent="0.2">
      <c r="AL9971" s="177"/>
    </row>
    <row r="9972" spans="38:38" x14ac:dyDescent="0.2">
      <c r="AL9972" s="177"/>
    </row>
    <row r="9973" spans="38:38" x14ac:dyDescent="0.2">
      <c r="AL9973" s="177"/>
    </row>
    <row r="9974" spans="38:38" x14ac:dyDescent="0.2">
      <c r="AL9974" s="177"/>
    </row>
    <row r="9975" spans="38:38" x14ac:dyDescent="0.2">
      <c r="AL9975" s="177"/>
    </row>
    <row r="9976" spans="38:38" x14ac:dyDescent="0.2">
      <c r="AL9976" s="177"/>
    </row>
    <row r="9977" spans="38:38" x14ac:dyDescent="0.2">
      <c r="AL9977" s="177"/>
    </row>
    <row r="9978" spans="38:38" x14ac:dyDescent="0.2">
      <c r="AL9978" s="177"/>
    </row>
    <row r="9979" spans="38:38" x14ac:dyDescent="0.2">
      <c r="AL9979" s="177"/>
    </row>
    <row r="9980" spans="38:38" x14ac:dyDescent="0.2">
      <c r="AL9980" s="177"/>
    </row>
    <row r="9981" spans="38:38" x14ac:dyDescent="0.2">
      <c r="AL9981" s="177"/>
    </row>
    <row r="9982" spans="38:38" x14ac:dyDescent="0.2">
      <c r="AL9982" s="177"/>
    </row>
    <row r="9983" spans="38:38" x14ac:dyDescent="0.2">
      <c r="AL9983" s="177"/>
    </row>
    <row r="9984" spans="38:38" x14ac:dyDescent="0.2">
      <c r="AL9984" s="177"/>
    </row>
    <row r="9985" spans="38:38" x14ac:dyDescent="0.2">
      <c r="AL9985" s="177"/>
    </row>
    <row r="9986" spans="38:38" x14ac:dyDescent="0.2">
      <c r="AL9986" s="177"/>
    </row>
    <row r="9987" spans="38:38" x14ac:dyDescent="0.2">
      <c r="AL9987" s="177"/>
    </row>
    <row r="9988" spans="38:38" x14ac:dyDescent="0.2">
      <c r="AL9988" s="177"/>
    </row>
    <row r="9989" spans="38:38" x14ac:dyDescent="0.2">
      <c r="AL9989" s="177"/>
    </row>
    <row r="9990" spans="38:38" x14ac:dyDescent="0.2">
      <c r="AL9990" s="177"/>
    </row>
    <row r="9991" spans="38:38" x14ac:dyDescent="0.2">
      <c r="AL9991" s="177"/>
    </row>
    <row r="9992" spans="38:38" x14ac:dyDescent="0.2">
      <c r="AL9992" s="177"/>
    </row>
    <row r="9993" spans="38:38" x14ac:dyDescent="0.2">
      <c r="AL9993" s="177"/>
    </row>
    <row r="9994" spans="38:38" x14ac:dyDescent="0.2">
      <c r="AL9994" s="177"/>
    </row>
    <row r="9995" spans="38:38" x14ac:dyDescent="0.2">
      <c r="AL9995" s="177"/>
    </row>
    <row r="9996" spans="38:38" x14ac:dyDescent="0.2">
      <c r="AL9996" s="177"/>
    </row>
    <row r="9997" spans="38:38" x14ac:dyDescent="0.2">
      <c r="AL9997" s="177"/>
    </row>
    <row r="9998" spans="38:38" x14ac:dyDescent="0.2">
      <c r="AL9998" s="177"/>
    </row>
    <row r="9999" spans="38:38" x14ac:dyDescent="0.2">
      <c r="AL9999" s="177"/>
    </row>
    <row r="10000" spans="38:38" x14ac:dyDescent="0.2">
      <c r="AL10000" s="177"/>
    </row>
    <row r="10001" spans="38:38" x14ac:dyDescent="0.2">
      <c r="AL10001" s="177"/>
    </row>
    <row r="10002" spans="38:38" x14ac:dyDescent="0.2">
      <c r="AL10002" s="177"/>
    </row>
    <row r="10003" spans="38:38" x14ac:dyDescent="0.2">
      <c r="AL10003" s="177"/>
    </row>
    <row r="10004" spans="38:38" x14ac:dyDescent="0.2">
      <c r="AL10004" s="177"/>
    </row>
    <row r="10005" spans="38:38" x14ac:dyDescent="0.2">
      <c r="AL10005" s="177"/>
    </row>
    <row r="10006" spans="38:38" x14ac:dyDescent="0.2">
      <c r="AL10006" s="177"/>
    </row>
    <row r="10007" spans="38:38" x14ac:dyDescent="0.2">
      <c r="AL10007" s="177"/>
    </row>
    <row r="10008" spans="38:38" x14ac:dyDescent="0.2">
      <c r="AL10008" s="177"/>
    </row>
    <row r="10009" spans="38:38" x14ac:dyDescent="0.2">
      <c r="AL10009" s="177"/>
    </row>
    <row r="10010" spans="38:38" x14ac:dyDescent="0.2">
      <c r="AL10010" s="177"/>
    </row>
    <row r="10011" spans="38:38" x14ac:dyDescent="0.2">
      <c r="AL10011" s="177"/>
    </row>
    <row r="10012" spans="38:38" x14ac:dyDescent="0.2">
      <c r="AL10012" s="177"/>
    </row>
    <row r="10013" spans="38:38" x14ac:dyDescent="0.2">
      <c r="AL10013" s="177"/>
    </row>
    <row r="10014" spans="38:38" x14ac:dyDescent="0.2">
      <c r="AL10014" s="177"/>
    </row>
    <row r="10015" spans="38:38" x14ac:dyDescent="0.2">
      <c r="AL10015" s="177"/>
    </row>
    <row r="10016" spans="38:38" x14ac:dyDescent="0.2">
      <c r="AL10016" s="177"/>
    </row>
    <row r="10017" spans="38:38" x14ac:dyDescent="0.2">
      <c r="AL10017" s="177"/>
    </row>
    <row r="10018" spans="38:38" x14ac:dyDescent="0.2">
      <c r="AL10018" s="177"/>
    </row>
    <row r="10019" spans="38:38" x14ac:dyDescent="0.2">
      <c r="AL10019" s="177"/>
    </row>
    <row r="10020" spans="38:38" x14ac:dyDescent="0.2">
      <c r="AL10020" s="177"/>
    </row>
    <row r="10021" spans="38:38" x14ac:dyDescent="0.2">
      <c r="AL10021" s="177"/>
    </row>
    <row r="10022" spans="38:38" x14ac:dyDescent="0.2">
      <c r="AL10022" s="177"/>
    </row>
    <row r="10023" spans="38:38" x14ac:dyDescent="0.2">
      <c r="AL10023" s="177"/>
    </row>
    <row r="10024" spans="38:38" x14ac:dyDescent="0.2">
      <c r="AL10024" s="177"/>
    </row>
    <row r="10025" spans="38:38" x14ac:dyDescent="0.2">
      <c r="AL10025" s="177"/>
    </row>
    <row r="10026" spans="38:38" x14ac:dyDescent="0.2">
      <c r="AL10026" s="177"/>
    </row>
    <row r="10027" spans="38:38" x14ac:dyDescent="0.2">
      <c r="AL10027" s="177"/>
    </row>
    <row r="10028" spans="38:38" x14ac:dyDescent="0.2">
      <c r="AL10028" s="177"/>
    </row>
    <row r="10029" spans="38:38" x14ac:dyDescent="0.2">
      <c r="AL10029" s="177"/>
    </row>
    <row r="10030" spans="38:38" x14ac:dyDescent="0.2">
      <c r="AL10030" s="177"/>
    </row>
    <row r="10031" spans="38:38" x14ac:dyDescent="0.2">
      <c r="AL10031" s="177"/>
    </row>
    <row r="10032" spans="38:38" x14ac:dyDescent="0.2">
      <c r="AL10032" s="177"/>
    </row>
    <row r="10033" spans="38:38" x14ac:dyDescent="0.2">
      <c r="AL10033" s="177"/>
    </row>
    <row r="10034" spans="38:38" x14ac:dyDescent="0.2">
      <c r="AL10034" s="177"/>
    </row>
    <row r="10035" spans="38:38" x14ac:dyDescent="0.2">
      <c r="AL10035" s="177"/>
    </row>
    <row r="10036" spans="38:38" x14ac:dyDescent="0.2">
      <c r="AL10036" s="177"/>
    </row>
    <row r="10037" spans="38:38" x14ac:dyDescent="0.2">
      <c r="AL10037" s="177"/>
    </row>
    <row r="10038" spans="38:38" x14ac:dyDescent="0.2">
      <c r="AL10038" s="177"/>
    </row>
    <row r="10039" spans="38:38" x14ac:dyDescent="0.2">
      <c r="AL10039" s="177"/>
    </row>
    <row r="10040" spans="38:38" x14ac:dyDescent="0.2">
      <c r="AL10040" s="177"/>
    </row>
    <row r="10041" spans="38:38" x14ac:dyDescent="0.2">
      <c r="AL10041" s="177"/>
    </row>
    <row r="10042" spans="38:38" x14ac:dyDescent="0.2">
      <c r="AL10042" s="177"/>
    </row>
    <row r="10043" spans="38:38" x14ac:dyDescent="0.2">
      <c r="AL10043" s="177"/>
    </row>
    <row r="10044" spans="38:38" x14ac:dyDescent="0.2">
      <c r="AL10044" s="177"/>
    </row>
    <row r="10045" spans="38:38" x14ac:dyDescent="0.2">
      <c r="AL10045" s="177"/>
    </row>
    <row r="10046" spans="38:38" x14ac:dyDescent="0.2">
      <c r="AL10046" s="177"/>
    </row>
    <row r="10047" spans="38:38" x14ac:dyDescent="0.2">
      <c r="AL10047" s="177"/>
    </row>
    <row r="10048" spans="38:38" x14ac:dyDescent="0.2">
      <c r="AL10048" s="177"/>
    </row>
    <row r="10049" spans="38:38" x14ac:dyDescent="0.2">
      <c r="AL10049" s="177"/>
    </row>
    <row r="10050" spans="38:38" x14ac:dyDescent="0.2">
      <c r="AL10050" s="177"/>
    </row>
    <row r="10051" spans="38:38" x14ac:dyDescent="0.2">
      <c r="AL10051" s="177"/>
    </row>
    <row r="10052" spans="38:38" x14ac:dyDescent="0.2">
      <c r="AL10052" s="177"/>
    </row>
    <row r="10053" spans="38:38" x14ac:dyDescent="0.2">
      <c r="AL10053" s="177"/>
    </row>
    <row r="10054" spans="38:38" x14ac:dyDescent="0.2">
      <c r="AL10054" s="177"/>
    </row>
    <row r="10055" spans="38:38" x14ac:dyDescent="0.2">
      <c r="AL10055" s="177"/>
    </row>
    <row r="10056" spans="38:38" x14ac:dyDescent="0.2">
      <c r="AL10056" s="177"/>
    </row>
    <row r="10057" spans="38:38" x14ac:dyDescent="0.2">
      <c r="AL10057" s="177"/>
    </row>
    <row r="10058" spans="38:38" x14ac:dyDescent="0.2">
      <c r="AL10058" s="177"/>
    </row>
    <row r="10059" spans="38:38" x14ac:dyDescent="0.2">
      <c r="AL10059" s="177"/>
    </row>
    <row r="10060" spans="38:38" x14ac:dyDescent="0.2">
      <c r="AL10060" s="177"/>
    </row>
    <row r="10061" spans="38:38" x14ac:dyDescent="0.2">
      <c r="AL10061" s="177"/>
    </row>
    <row r="10062" spans="38:38" x14ac:dyDescent="0.2">
      <c r="AL10062" s="177"/>
    </row>
    <row r="10063" spans="38:38" x14ac:dyDescent="0.2">
      <c r="AL10063" s="177"/>
    </row>
    <row r="10064" spans="38:38" x14ac:dyDescent="0.2">
      <c r="AL10064" s="177"/>
    </row>
    <row r="10065" spans="38:38" x14ac:dyDescent="0.2">
      <c r="AL10065" s="177"/>
    </row>
    <row r="10066" spans="38:38" x14ac:dyDescent="0.2">
      <c r="AL10066" s="177"/>
    </row>
    <row r="10067" spans="38:38" x14ac:dyDescent="0.2">
      <c r="AL10067" s="177"/>
    </row>
    <row r="10068" spans="38:38" x14ac:dyDescent="0.2">
      <c r="AL10068" s="177"/>
    </row>
    <row r="10069" spans="38:38" x14ac:dyDescent="0.2">
      <c r="AL10069" s="177"/>
    </row>
    <row r="10070" spans="38:38" x14ac:dyDescent="0.2">
      <c r="AL10070" s="177"/>
    </row>
    <row r="10071" spans="38:38" x14ac:dyDescent="0.2">
      <c r="AL10071" s="177"/>
    </row>
    <row r="10072" spans="38:38" x14ac:dyDescent="0.2">
      <c r="AL10072" s="177"/>
    </row>
    <row r="10073" spans="38:38" x14ac:dyDescent="0.2">
      <c r="AL10073" s="177"/>
    </row>
    <row r="10074" spans="38:38" x14ac:dyDescent="0.2">
      <c r="AL10074" s="177"/>
    </row>
    <row r="10075" spans="38:38" x14ac:dyDescent="0.2">
      <c r="AL10075" s="177"/>
    </row>
    <row r="10076" spans="38:38" x14ac:dyDescent="0.2">
      <c r="AL10076" s="177"/>
    </row>
    <row r="10077" spans="38:38" x14ac:dyDescent="0.2">
      <c r="AL10077" s="177"/>
    </row>
    <row r="10078" spans="38:38" x14ac:dyDescent="0.2">
      <c r="AL10078" s="177"/>
    </row>
    <row r="10079" spans="38:38" x14ac:dyDescent="0.2">
      <c r="AL10079" s="177"/>
    </row>
    <row r="10080" spans="38:38" x14ac:dyDescent="0.2">
      <c r="AL10080" s="177"/>
    </row>
    <row r="10081" spans="38:38" x14ac:dyDescent="0.2">
      <c r="AL10081" s="177"/>
    </row>
    <row r="10082" spans="38:38" x14ac:dyDescent="0.2">
      <c r="AL10082" s="177"/>
    </row>
    <row r="10083" spans="38:38" x14ac:dyDescent="0.2">
      <c r="AL10083" s="177"/>
    </row>
    <row r="10084" spans="38:38" x14ac:dyDescent="0.2">
      <c r="AL10084" s="177"/>
    </row>
    <row r="10085" spans="38:38" x14ac:dyDescent="0.2">
      <c r="AL10085" s="177"/>
    </row>
    <row r="10086" spans="38:38" x14ac:dyDescent="0.2">
      <c r="AL10086" s="177"/>
    </row>
    <row r="10087" spans="38:38" x14ac:dyDescent="0.2">
      <c r="AL10087" s="177"/>
    </row>
    <row r="10088" spans="38:38" x14ac:dyDescent="0.2">
      <c r="AL10088" s="177"/>
    </row>
    <row r="10089" spans="38:38" x14ac:dyDescent="0.2">
      <c r="AL10089" s="177"/>
    </row>
    <row r="10090" spans="38:38" x14ac:dyDescent="0.2">
      <c r="AL10090" s="177"/>
    </row>
    <row r="10091" spans="38:38" x14ac:dyDescent="0.2">
      <c r="AL10091" s="177"/>
    </row>
    <row r="10092" spans="38:38" x14ac:dyDescent="0.2">
      <c r="AL10092" s="177"/>
    </row>
    <row r="10093" spans="38:38" x14ac:dyDescent="0.2">
      <c r="AL10093" s="177"/>
    </row>
    <row r="10094" spans="38:38" x14ac:dyDescent="0.2">
      <c r="AL10094" s="177"/>
    </row>
    <row r="10095" spans="38:38" x14ac:dyDescent="0.2">
      <c r="AL10095" s="177"/>
    </row>
    <row r="10096" spans="38:38" x14ac:dyDescent="0.2">
      <c r="AL10096" s="177"/>
    </row>
    <row r="10097" spans="38:38" x14ac:dyDescent="0.2">
      <c r="AL10097" s="177"/>
    </row>
    <row r="10098" spans="38:38" x14ac:dyDescent="0.2">
      <c r="AL10098" s="177"/>
    </row>
    <row r="10099" spans="38:38" x14ac:dyDescent="0.2">
      <c r="AL10099" s="177"/>
    </row>
    <row r="10100" spans="38:38" x14ac:dyDescent="0.2">
      <c r="AL10100" s="177"/>
    </row>
    <row r="10101" spans="38:38" x14ac:dyDescent="0.2">
      <c r="AL10101" s="177"/>
    </row>
    <row r="10102" spans="38:38" x14ac:dyDescent="0.2">
      <c r="AL10102" s="177"/>
    </row>
    <row r="10103" spans="38:38" x14ac:dyDescent="0.2">
      <c r="AL10103" s="177"/>
    </row>
    <row r="10104" spans="38:38" x14ac:dyDescent="0.2">
      <c r="AL10104" s="177"/>
    </row>
    <row r="10105" spans="38:38" x14ac:dyDescent="0.2">
      <c r="AL10105" s="177"/>
    </row>
    <row r="10106" spans="38:38" x14ac:dyDescent="0.2">
      <c r="AL10106" s="177"/>
    </row>
    <row r="10107" spans="38:38" x14ac:dyDescent="0.2">
      <c r="AL10107" s="177"/>
    </row>
    <row r="10108" spans="38:38" x14ac:dyDescent="0.2">
      <c r="AL10108" s="177"/>
    </row>
    <row r="10109" spans="38:38" x14ac:dyDescent="0.2">
      <c r="AL10109" s="177"/>
    </row>
    <row r="10110" spans="38:38" x14ac:dyDescent="0.2">
      <c r="AL10110" s="177"/>
    </row>
    <row r="10111" spans="38:38" x14ac:dyDescent="0.2">
      <c r="AL10111" s="177"/>
    </row>
    <row r="10112" spans="38:38" x14ac:dyDescent="0.2">
      <c r="AL10112" s="177"/>
    </row>
    <row r="10113" spans="38:38" x14ac:dyDescent="0.2">
      <c r="AL10113" s="177"/>
    </row>
    <row r="10114" spans="38:38" x14ac:dyDescent="0.2">
      <c r="AL10114" s="177"/>
    </row>
    <row r="10115" spans="38:38" x14ac:dyDescent="0.2">
      <c r="AL10115" s="177"/>
    </row>
    <row r="10116" spans="38:38" x14ac:dyDescent="0.2">
      <c r="AL10116" s="177"/>
    </row>
    <row r="10117" spans="38:38" x14ac:dyDescent="0.2">
      <c r="AL10117" s="177"/>
    </row>
    <row r="10118" spans="38:38" x14ac:dyDescent="0.2">
      <c r="AL10118" s="177"/>
    </row>
    <row r="10119" spans="38:38" x14ac:dyDescent="0.2">
      <c r="AL10119" s="177"/>
    </row>
    <row r="10120" spans="38:38" x14ac:dyDescent="0.2">
      <c r="AL10120" s="177"/>
    </row>
    <row r="10121" spans="38:38" x14ac:dyDescent="0.2">
      <c r="AL10121" s="177"/>
    </row>
    <row r="10122" spans="38:38" x14ac:dyDescent="0.2">
      <c r="AL10122" s="177"/>
    </row>
    <row r="10123" spans="38:38" x14ac:dyDescent="0.2">
      <c r="AL10123" s="177"/>
    </row>
    <row r="10124" spans="38:38" x14ac:dyDescent="0.2">
      <c r="AL10124" s="177"/>
    </row>
    <row r="10125" spans="38:38" x14ac:dyDescent="0.2">
      <c r="AL10125" s="177"/>
    </row>
    <row r="10126" spans="38:38" x14ac:dyDescent="0.2">
      <c r="AL10126" s="177"/>
    </row>
    <row r="10127" spans="38:38" x14ac:dyDescent="0.2">
      <c r="AL10127" s="177"/>
    </row>
    <row r="10128" spans="38:38" x14ac:dyDescent="0.2">
      <c r="AL10128" s="177"/>
    </row>
    <row r="10129" spans="38:38" x14ac:dyDescent="0.2">
      <c r="AL10129" s="177"/>
    </row>
    <row r="10130" spans="38:38" x14ac:dyDescent="0.2">
      <c r="AL10130" s="177"/>
    </row>
    <row r="10131" spans="38:38" x14ac:dyDescent="0.2">
      <c r="AL10131" s="177"/>
    </row>
    <row r="10132" spans="38:38" x14ac:dyDescent="0.2">
      <c r="AL10132" s="177"/>
    </row>
    <row r="10133" spans="38:38" x14ac:dyDescent="0.2">
      <c r="AL10133" s="177"/>
    </row>
    <row r="10134" spans="38:38" x14ac:dyDescent="0.2">
      <c r="AL10134" s="177"/>
    </row>
    <row r="10135" spans="38:38" x14ac:dyDescent="0.2">
      <c r="AL10135" s="177"/>
    </row>
    <row r="10136" spans="38:38" x14ac:dyDescent="0.2">
      <c r="AL10136" s="177"/>
    </row>
    <row r="10137" spans="38:38" x14ac:dyDescent="0.2">
      <c r="AL10137" s="177"/>
    </row>
    <row r="10138" spans="38:38" x14ac:dyDescent="0.2">
      <c r="AL10138" s="177"/>
    </row>
    <row r="10139" spans="38:38" x14ac:dyDescent="0.2">
      <c r="AL10139" s="177"/>
    </row>
    <row r="10140" spans="38:38" x14ac:dyDescent="0.2">
      <c r="AL10140" s="177"/>
    </row>
    <row r="10141" spans="38:38" x14ac:dyDescent="0.2">
      <c r="AL10141" s="177"/>
    </row>
    <row r="10142" spans="38:38" x14ac:dyDescent="0.2">
      <c r="AL10142" s="177"/>
    </row>
    <row r="10143" spans="38:38" x14ac:dyDescent="0.2">
      <c r="AL10143" s="177"/>
    </row>
    <row r="10144" spans="38:38" x14ac:dyDescent="0.2">
      <c r="AL10144" s="177"/>
    </row>
    <row r="10145" spans="38:38" x14ac:dyDescent="0.2">
      <c r="AL10145" s="177"/>
    </row>
    <row r="10146" spans="38:38" x14ac:dyDescent="0.2">
      <c r="AL10146" s="177"/>
    </row>
    <row r="10147" spans="38:38" x14ac:dyDescent="0.2">
      <c r="AL10147" s="177"/>
    </row>
    <row r="10148" spans="38:38" x14ac:dyDescent="0.2">
      <c r="AL10148" s="177"/>
    </row>
    <row r="10149" spans="38:38" x14ac:dyDescent="0.2">
      <c r="AL10149" s="177"/>
    </row>
    <row r="10150" spans="38:38" x14ac:dyDescent="0.2">
      <c r="AL10150" s="177"/>
    </row>
    <row r="10151" spans="38:38" x14ac:dyDescent="0.2">
      <c r="AL10151" s="177"/>
    </row>
    <row r="10152" spans="38:38" x14ac:dyDescent="0.2">
      <c r="AL10152" s="177"/>
    </row>
    <row r="10153" spans="38:38" x14ac:dyDescent="0.2">
      <c r="AL10153" s="177"/>
    </row>
    <row r="10154" spans="38:38" x14ac:dyDescent="0.2">
      <c r="AL10154" s="177"/>
    </row>
    <row r="10155" spans="38:38" x14ac:dyDescent="0.2">
      <c r="AL10155" s="177"/>
    </row>
    <row r="10156" spans="38:38" x14ac:dyDescent="0.2">
      <c r="AL10156" s="177"/>
    </row>
    <row r="10157" spans="38:38" x14ac:dyDescent="0.2">
      <c r="AL10157" s="177"/>
    </row>
    <row r="10158" spans="38:38" x14ac:dyDescent="0.2">
      <c r="AL10158" s="177"/>
    </row>
    <row r="10159" spans="38:38" x14ac:dyDescent="0.2">
      <c r="AL10159" s="177"/>
    </row>
    <row r="10160" spans="38:38" x14ac:dyDescent="0.2">
      <c r="AL10160" s="177"/>
    </row>
    <row r="10161" spans="38:38" x14ac:dyDescent="0.2">
      <c r="AL10161" s="177"/>
    </row>
    <row r="10162" spans="38:38" x14ac:dyDescent="0.2">
      <c r="AL10162" s="177"/>
    </row>
    <row r="10163" spans="38:38" x14ac:dyDescent="0.2">
      <c r="AL10163" s="177"/>
    </row>
    <row r="10164" spans="38:38" x14ac:dyDescent="0.2">
      <c r="AL10164" s="177"/>
    </row>
    <row r="10165" spans="38:38" x14ac:dyDescent="0.2">
      <c r="AL10165" s="177"/>
    </row>
    <row r="10166" spans="38:38" x14ac:dyDescent="0.2">
      <c r="AL10166" s="177"/>
    </row>
    <row r="10167" spans="38:38" x14ac:dyDescent="0.2">
      <c r="AL10167" s="177"/>
    </row>
    <row r="10168" spans="38:38" x14ac:dyDescent="0.2">
      <c r="AL10168" s="177"/>
    </row>
    <row r="10169" spans="38:38" x14ac:dyDescent="0.2">
      <c r="AL10169" s="177"/>
    </row>
    <row r="10170" spans="38:38" x14ac:dyDescent="0.2">
      <c r="AL10170" s="177"/>
    </row>
    <row r="10171" spans="38:38" x14ac:dyDescent="0.2">
      <c r="AL10171" s="177"/>
    </row>
    <row r="10172" spans="38:38" x14ac:dyDescent="0.2">
      <c r="AL10172" s="177"/>
    </row>
    <row r="10173" spans="38:38" x14ac:dyDescent="0.2">
      <c r="AL10173" s="177"/>
    </row>
    <row r="10174" spans="38:38" x14ac:dyDescent="0.2">
      <c r="AL10174" s="177"/>
    </row>
    <row r="10175" spans="38:38" x14ac:dyDescent="0.2">
      <c r="AL10175" s="177"/>
    </row>
    <row r="10176" spans="38:38" x14ac:dyDescent="0.2">
      <c r="AL10176" s="177"/>
    </row>
    <row r="10177" spans="38:38" x14ac:dyDescent="0.2">
      <c r="AL10177" s="177"/>
    </row>
    <row r="10178" spans="38:38" x14ac:dyDescent="0.2">
      <c r="AL10178" s="177"/>
    </row>
    <row r="10179" spans="38:38" x14ac:dyDescent="0.2">
      <c r="AL10179" s="177"/>
    </row>
    <row r="10180" spans="38:38" x14ac:dyDescent="0.2">
      <c r="AL10180" s="177"/>
    </row>
    <row r="10181" spans="38:38" x14ac:dyDescent="0.2">
      <c r="AL10181" s="177"/>
    </row>
    <row r="10182" spans="38:38" x14ac:dyDescent="0.2">
      <c r="AL10182" s="177"/>
    </row>
    <row r="10183" spans="38:38" x14ac:dyDescent="0.2">
      <c r="AL10183" s="177"/>
    </row>
    <row r="10184" spans="38:38" x14ac:dyDescent="0.2">
      <c r="AL10184" s="177"/>
    </row>
    <row r="10185" spans="38:38" x14ac:dyDescent="0.2">
      <c r="AL10185" s="177"/>
    </row>
    <row r="10186" spans="38:38" x14ac:dyDescent="0.2">
      <c r="AL10186" s="177"/>
    </row>
    <row r="10187" spans="38:38" x14ac:dyDescent="0.2">
      <c r="AL10187" s="177"/>
    </row>
    <row r="10188" spans="38:38" x14ac:dyDescent="0.2">
      <c r="AL10188" s="177"/>
    </row>
    <row r="10189" spans="38:38" x14ac:dyDescent="0.2">
      <c r="AL10189" s="177"/>
    </row>
    <row r="10190" spans="38:38" x14ac:dyDescent="0.2">
      <c r="AL10190" s="177"/>
    </row>
    <row r="10191" spans="38:38" x14ac:dyDescent="0.2">
      <c r="AL10191" s="177"/>
    </row>
    <row r="10192" spans="38:38" x14ac:dyDescent="0.2">
      <c r="AL10192" s="177"/>
    </row>
    <row r="10193" spans="38:38" x14ac:dyDescent="0.2">
      <c r="AL10193" s="177"/>
    </row>
    <row r="10194" spans="38:38" x14ac:dyDescent="0.2">
      <c r="AL10194" s="177"/>
    </row>
    <row r="10195" spans="38:38" x14ac:dyDescent="0.2">
      <c r="AL10195" s="177"/>
    </row>
    <row r="10196" spans="38:38" x14ac:dyDescent="0.2">
      <c r="AL10196" s="177"/>
    </row>
    <row r="10197" spans="38:38" x14ac:dyDescent="0.2">
      <c r="AL10197" s="177"/>
    </row>
    <row r="10198" spans="38:38" x14ac:dyDescent="0.2">
      <c r="AL10198" s="177"/>
    </row>
    <row r="10199" spans="38:38" x14ac:dyDescent="0.2">
      <c r="AL10199" s="177"/>
    </row>
    <row r="10200" spans="38:38" x14ac:dyDescent="0.2">
      <c r="AL10200" s="177"/>
    </row>
    <row r="10201" spans="38:38" x14ac:dyDescent="0.2">
      <c r="AL10201" s="177"/>
    </row>
    <row r="10202" spans="38:38" x14ac:dyDescent="0.2">
      <c r="AL10202" s="177"/>
    </row>
    <row r="10203" spans="38:38" x14ac:dyDescent="0.2">
      <c r="AL10203" s="177"/>
    </row>
    <row r="10204" spans="38:38" x14ac:dyDescent="0.2">
      <c r="AL10204" s="177"/>
    </row>
    <row r="10205" spans="38:38" x14ac:dyDescent="0.2">
      <c r="AL10205" s="177"/>
    </row>
    <row r="10206" spans="38:38" x14ac:dyDescent="0.2">
      <c r="AL10206" s="177"/>
    </row>
    <row r="10207" spans="38:38" x14ac:dyDescent="0.2">
      <c r="AL10207" s="177"/>
    </row>
    <row r="10208" spans="38:38" x14ac:dyDescent="0.2">
      <c r="AL10208" s="177"/>
    </row>
    <row r="10209" spans="38:38" x14ac:dyDescent="0.2">
      <c r="AL10209" s="177"/>
    </row>
    <row r="10210" spans="38:38" x14ac:dyDescent="0.2">
      <c r="AL10210" s="177"/>
    </row>
    <row r="10211" spans="38:38" x14ac:dyDescent="0.2">
      <c r="AL10211" s="177"/>
    </row>
    <row r="10212" spans="38:38" x14ac:dyDescent="0.2">
      <c r="AL10212" s="177"/>
    </row>
    <row r="10213" spans="38:38" x14ac:dyDescent="0.2">
      <c r="AL10213" s="177"/>
    </row>
    <row r="10214" spans="38:38" x14ac:dyDescent="0.2">
      <c r="AL10214" s="177"/>
    </row>
    <row r="10215" spans="38:38" x14ac:dyDescent="0.2">
      <c r="AL10215" s="177"/>
    </row>
    <row r="10216" spans="38:38" x14ac:dyDescent="0.2">
      <c r="AL10216" s="177"/>
    </row>
    <row r="10217" spans="38:38" x14ac:dyDescent="0.2">
      <c r="AL10217" s="177"/>
    </row>
    <row r="10218" spans="38:38" x14ac:dyDescent="0.2">
      <c r="AL10218" s="177"/>
    </row>
    <row r="10219" spans="38:38" x14ac:dyDescent="0.2">
      <c r="AL10219" s="177"/>
    </row>
    <row r="10220" spans="38:38" x14ac:dyDescent="0.2">
      <c r="AL10220" s="177"/>
    </row>
    <row r="10221" spans="38:38" x14ac:dyDescent="0.2">
      <c r="AL10221" s="177"/>
    </row>
    <row r="10222" spans="38:38" x14ac:dyDescent="0.2">
      <c r="AL10222" s="177"/>
    </row>
    <row r="10223" spans="38:38" x14ac:dyDescent="0.2">
      <c r="AL10223" s="177"/>
    </row>
    <row r="10224" spans="38:38" x14ac:dyDescent="0.2">
      <c r="AL10224" s="177"/>
    </row>
    <row r="10225" spans="38:38" x14ac:dyDescent="0.2">
      <c r="AL10225" s="177"/>
    </row>
    <row r="10226" spans="38:38" x14ac:dyDescent="0.2">
      <c r="AL10226" s="177"/>
    </row>
    <row r="10227" spans="38:38" x14ac:dyDescent="0.2">
      <c r="AL10227" s="177"/>
    </row>
    <row r="10228" spans="38:38" x14ac:dyDescent="0.2">
      <c r="AL10228" s="177"/>
    </row>
    <row r="10229" spans="38:38" x14ac:dyDescent="0.2">
      <c r="AL10229" s="177"/>
    </row>
    <row r="10230" spans="38:38" x14ac:dyDescent="0.2">
      <c r="AL10230" s="177"/>
    </row>
    <row r="10231" spans="38:38" x14ac:dyDescent="0.2">
      <c r="AL10231" s="177"/>
    </row>
    <row r="10232" spans="38:38" x14ac:dyDescent="0.2">
      <c r="AL10232" s="177"/>
    </row>
    <row r="10233" spans="38:38" x14ac:dyDescent="0.2">
      <c r="AL10233" s="177"/>
    </row>
    <row r="10234" spans="38:38" x14ac:dyDescent="0.2">
      <c r="AL10234" s="177"/>
    </row>
    <row r="10235" spans="38:38" x14ac:dyDescent="0.2">
      <c r="AL10235" s="177"/>
    </row>
    <row r="10236" spans="38:38" x14ac:dyDescent="0.2">
      <c r="AL10236" s="177"/>
    </row>
    <row r="10237" spans="38:38" x14ac:dyDescent="0.2">
      <c r="AL10237" s="177"/>
    </row>
    <row r="10238" spans="38:38" x14ac:dyDescent="0.2">
      <c r="AL10238" s="177"/>
    </row>
    <row r="10239" spans="38:38" x14ac:dyDescent="0.2">
      <c r="AL10239" s="177"/>
    </row>
    <row r="10240" spans="38:38" x14ac:dyDescent="0.2">
      <c r="AL10240" s="177"/>
    </row>
    <row r="10241" spans="38:38" x14ac:dyDescent="0.2">
      <c r="AL10241" s="177"/>
    </row>
    <row r="10242" spans="38:38" x14ac:dyDescent="0.2">
      <c r="AL10242" s="177"/>
    </row>
    <row r="10243" spans="38:38" x14ac:dyDescent="0.2">
      <c r="AL10243" s="177"/>
    </row>
    <row r="10244" spans="38:38" x14ac:dyDescent="0.2">
      <c r="AL10244" s="177"/>
    </row>
    <row r="10245" spans="38:38" x14ac:dyDescent="0.2">
      <c r="AL10245" s="177"/>
    </row>
    <row r="10246" spans="38:38" x14ac:dyDescent="0.2">
      <c r="AL10246" s="177"/>
    </row>
    <row r="10247" spans="38:38" x14ac:dyDescent="0.2">
      <c r="AL10247" s="177"/>
    </row>
    <row r="10248" spans="38:38" x14ac:dyDescent="0.2">
      <c r="AL10248" s="177"/>
    </row>
    <row r="10249" spans="38:38" x14ac:dyDescent="0.2">
      <c r="AL10249" s="177"/>
    </row>
    <row r="10250" spans="38:38" x14ac:dyDescent="0.2">
      <c r="AL10250" s="177"/>
    </row>
    <row r="10251" spans="38:38" x14ac:dyDescent="0.2">
      <c r="AL10251" s="177"/>
    </row>
    <row r="10252" spans="38:38" x14ac:dyDescent="0.2">
      <c r="AL10252" s="177"/>
    </row>
    <row r="10253" spans="38:38" x14ac:dyDescent="0.2">
      <c r="AL10253" s="177"/>
    </row>
    <row r="10254" spans="38:38" x14ac:dyDescent="0.2">
      <c r="AL10254" s="177"/>
    </row>
    <row r="10255" spans="38:38" x14ac:dyDescent="0.2">
      <c r="AL10255" s="177"/>
    </row>
    <row r="10256" spans="38:38" x14ac:dyDescent="0.2">
      <c r="AL10256" s="177"/>
    </row>
    <row r="10257" spans="38:38" x14ac:dyDescent="0.2">
      <c r="AL10257" s="177"/>
    </row>
    <row r="10258" spans="38:38" x14ac:dyDescent="0.2">
      <c r="AL10258" s="177"/>
    </row>
    <row r="10259" spans="38:38" x14ac:dyDescent="0.2">
      <c r="AL10259" s="177"/>
    </row>
    <row r="10260" spans="38:38" x14ac:dyDescent="0.2">
      <c r="AL10260" s="177"/>
    </row>
    <row r="10261" spans="38:38" x14ac:dyDescent="0.2">
      <c r="AL10261" s="177"/>
    </row>
    <row r="10262" spans="38:38" x14ac:dyDescent="0.2">
      <c r="AL10262" s="177"/>
    </row>
    <row r="10263" spans="38:38" x14ac:dyDescent="0.2">
      <c r="AL10263" s="177"/>
    </row>
    <row r="10264" spans="38:38" x14ac:dyDescent="0.2">
      <c r="AL10264" s="177"/>
    </row>
    <row r="10265" spans="38:38" x14ac:dyDescent="0.2">
      <c r="AL10265" s="177"/>
    </row>
    <row r="10266" spans="38:38" x14ac:dyDescent="0.2">
      <c r="AL10266" s="177"/>
    </row>
    <row r="10267" spans="38:38" x14ac:dyDescent="0.2">
      <c r="AL10267" s="177"/>
    </row>
    <row r="10268" spans="38:38" x14ac:dyDescent="0.2">
      <c r="AL10268" s="177"/>
    </row>
    <row r="10269" spans="38:38" x14ac:dyDescent="0.2">
      <c r="AL10269" s="177"/>
    </row>
    <row r="10270" spans="38:38" x14ac:dyDescent="0.2">
      <c r="AL10270" s="177"/>
    </row>
    <row r="10271" spans="38:38" x14ac:dyDescent="0.2">
      <c r="AL10271" s="177"/>
    </row>
    <row r="10272" spans="38:38" x14ac:dyDescent="0.2">
      <c r="AL10272" s="177"/>
    </row>
    <row r="10273" spans="38:38" x14ac:dyDescent="0.2">
      <c r="AL10273" s="177"/>
    </row>
    <row r="10274" spans="38:38" x14ac:dyDescent="0.2">
      <c r="AL10274" s="177"/>
    </row>
    <row r="10275" spans="38:38" x14ac:dyDescent="0.2">
      <c r="AL10275" s="177"/>
    </row>
    <row r="10276" spans="38:38" x14ac:dyDescent="0.2">
      <c r="AL10276" s="177"/>
    </row>
    <row r="10277" spans="38:38" x14ac:dyDescent="0.2">
      <c r="AL10277" s="177"/>
    </row>
    <row r="10278" spans="38:38" x14ac:dyDescent="0.2">
      <c r="AL10278" s="177"/>
    </row>
    <row r="10279" spans="38:38" x14ac:dyDescent="0.2">
      <c r="AL10279" s="177"/>
    </row>
    <row r="10280" spans="38:38" x14ac:dyDescent="0.2">
      <c r="AL10280" s="177"/>
    </row>
    <row r="10281" spans="38:38" x14ac:dyDescent="0.2">
      <c r="AL10281" s="177"/>
    </row>
    <row r="10282" spans="38:38" x14ac:dyDescent="0.2">
      <c r="AL10282" s="177"/>
    </row>
    <row r="10283" spans="38:38" x14ac:dyDescent="0.2">
      <c r="AL10283" s="177"/>
    </row>
    <row r="10284" spans="38:38" x14ac:dyDescent="0.2">
      <c r="AL10284" s="177"/>
    </row>
    <row r="10285" spans="38:38" x14ac:dyDescent="0.2">
      <c r="AL10285" s="177"/>
    </row>
    <row r="10286" spans="38:38" x14ac:dyDescent="0.2">
      <c r="AL10286" s="177"/>
    </row>
    <row r="10287" spans="38:38" x14ac:dyDescent="0.2">
      <c r="AL10287" s="177"/>
    </row>
    <row r="10288" spans="38:38" x14ac:dyDescent="0.2">
      <c r="AL10288" s="177"/>
    </row>
    <row r="10289" spans="38:38" x14ac:dyDescent="0.2">
      <c r="AL10289" s="177"/>
    </row>
    <row r="10290" spans="38:38" x14ac:dyDescent="0.2">
      <c r="AL10290" s="177"/>
    </row>
    <row r="10291" spans="38:38" x14ac:dyDescent="0.2">
      <c r="AL10291" s="177"/>
    </row>
    <row r="10292" spans="38:38" x14ac:dyDescent="0.2">
      <c r="AL10292" s="177"/>
    </row>
    <row r="10293" spans="38:38" x14ac:dyDescent="0.2">
      <c r="AL10293" s="177"/>
    </row>
    <row r="10294" spans="38:38" x14ac:dyDescent="0.2">
      <c r="AL10294" s="177"/>
    </row>
    <row r="10295" spans="38:38" x14ac:dyDescent="0.2">
      <c r="AL10295" s="177"/>
    </row>
    <row r="10296" spans="38:38" x14ac:dyDescent="0.2">
      <c r="AL10296" s="177"/>
    </row>
    <row r="10297" spans="38:38" x14ac:dyDescent="0.2">
      <c r="AL10297" s="177"/>
    </row>
    <row r="10298" spans="38:38" x14ac:dyDescent="0.2">
      <c r="AL10298" s="177"/>
    </row>
    <row r="10299" spans="38:38" x14ac:dyDescent="0.2">
      <c r="AL10299" s="177"/>
    </row>
    <row r="10300" spans="38:38" x14ac:dyDescent="0.2">
      <c r="AL10300" s="177"/>
    </row>
    <row r="10301" spans="38:38" x14ac:dyDescent="0.2">
      <c r="AL10301" s="177"/>
    </row>
    <row r="10302" spans="38:38" x14ac:dyDescent="0.2">
      <c r="AL10302" s="177"/>
    </row>
    <row r="10303" spans="38:38" x14ac:dyDescent="0.2">
      <c r="AL10303" s="177"/>
    </row>
    <row r="10304" spans="38:38" x14ac:dyDescent="0.2">
      <c r="AL10304" s="177"/>
    </row>
    <row r="10305" spans="38:38" x14ac:dyDescent="0.2">
      <c r="AL10305" s="177"/>
    </row>
    <row r="10306" spans="38:38" x14ac:dyDescent="0.2">
      <c r="AL10306" s="177"/>
    </row>
    <row r="10307" spans="38:38" x14ac:dyDescent="0.2">
      <c r="AL10307" s="177"/>
    </row>
    <row r="10308" spans="38:38" x14ac:dyDescent="0.2">
      <c r="AL10308" s="177"/>
    </row>
    <row r="10309" spans="38:38" x14ac:dyDescent="0.2">
      <c r="AL10309" s="177"/>
    </row>
    <row r="10310" spans="38:38" x14ac:dyDescent="0.2">
      <c r="AL10310" s="177"/>
    </row>
    <row r="10311" spans="38:38" x14ac:dyDescent="0.2">
      <c r="AL10311" s="177"/>
    </row>
    <row r="10312" spans="38:38" x14ac:dyDescent="0.2">
      <c r="AL10312" s="177"/>
    </row>
    <row r="10313" spans="38:38" x14ac:dyDescent="0.2">
      <c r="AL10313" s="177"/>
    </row>
    <row r="10314" spans="38:38" x14ac:dyDescent="0.2">
      <c r="AL10314" s="177"/>
    </row>
    <row r="10315" spans="38:38" x14ac:dyDescent="0.2">
      <c r="AL10315" s="177"/>
    </row>
    <row r="10316" spans="38:38" x14ac:dyDescent="0.2">
      <c r="AL10316" s="177"/>
    </row>
    <row r="10317" spans="38:38" x14ac:dyDescent="0.2">
      <c r="AL10317" s="177"/>
    </row>
    <row r="10318" spans="38:38" x14ac:dyDescent="0.2">
      <c r="AL10318" s="177"/>
    </row>
    <row r="10319" spans="38:38" x14ac:dyDescent="0.2">
      <c r="AL10319" s="177"/>
    </row>
    <row r="10320" spans="38:38" x14ac:dyDescent="0.2">
      <c r="AL10320" s="177"/>
    </row>
    <row r="10321" spans="38:38" x14ac:dyDescent="0.2">
      <c r="AL10321" s="177"/>
    </row>
    <row r="10322" spans="38:38" x14ac:dyDescent="0.2">
      <c r="AL10322" s="177"/>
    </row>
    <row r="10323" spans="38:38" x14ac:dyDescent="0.2">
      <c r="AL10323" s="177"/>
    </row>
    <row r="10324" spans="38:38" x14ac:dyDescent="0.2">
      <c r="AL10324" s="177"/>
    </row>
    <row r="10325" spans="38:38" x14ac:dyDescent="0.2">
      <c r="AL10325" s="177"/>
    </row>
    <row r="10326" spans="38:38" x14ac:dyDescent="0.2">
      <c r="AL10326" s="177"/>
    </row>
    <row r="10327" spans="38:38" x14ac:dyDescent="0.2">
      <c r="AL10327" s="177"/>
    </row>
    <row r="10328" spans="38:38" x14ac:dyDescent="0.2">
      <c r="AL10328" s="177"/>
    </row>
    <row r="10329" spans="38:38" x14ac:dyDescent="0.2">
      <c r="AL10329" s="177"/>
    </row>
    <row r="10330" spans="38:38" x14ac:dyDescent="0.2">
      <c r="AL10330" s="177"/>
    </row>
    <row r="10331" spans="38:38" x14ac:dyDescent="0.2">
      <c r="AL10331" s="177"/>
    </row>
    <row r="10332" spans="38:38" x14ac:dyDescent="0.2">
      <c r="AL10332" s="177"/>
    </row>
    <row r="10333" spans="38:38" x14ac:dyDescent="0.2">
      <c r="AL10333" s="177"/>
    </row>
    <row r="10334" spans="38:38" x14ac:dyDescent="0.2">
      <c r="AL10334" s="177"/>
    </row>
    <row r="10335" spans="38:38" x14ac:dyDescent="0.2">
      <c r="AL10335" s="177"/>
    </row>
    <row r="10336" spans="38:38" x14ac:dyDescent="0.2">
      <c r="AL10336" s="177"/>
    </row>
    <row r="10337" spans="38:38" x14ac:dyDescent="0.2">
      <c r="AL10337" s="177"/>
    </row>
    <row r="10338" spans="38:38" x14ac:dyDescent="0.2">
      <c r="AL10338" s="177"/>
    </row>
    <row r="10339" spans="38:38" x14ac:dyDescent="0.2">
      <c r="AL10339" s="177"/>
    </row>
    <row r="10340" spans="38:38" x14ac:dyDescent="0.2">
      <c r="AL10340" s="177"/>
    </row>
    <row r="10341" spans="38:38" x14ac:dyDescent="0.2">
      <c r="AL10341" s="177"/>
    </row>
    <row r="10342" spans="38:38" x14ac:dyDescent="0.2">
      <c r="AL10342" s="177"/>
    </row>
    <row r="10343" spans="38:38" x14ac:dyDescent="0.2">
      <c r="AL10343" s="177"/>
    </row>
    <row r="10344" spans="38:38" x14ac:dyDescent="0.2">
      <c r="AL10344" s="177"/>
    </row>
    <row r="10345" spans="38:38" x14ac:dyDescent="0.2">
      <c r="AL10345" s="177"/>
    </row>
    <row r="10346" spans="38:38" x14ac:dyDescent="0.2">
      <c r="AL10346" s="177"/>
    </row>
    <row r="10347" spans="38:38" x14ac:dyDescent="0.2">
      <c r="AL10347" s="177"/>
    </row>
    <row r="10348" spans="38:38" x14ac:dyDescent="0.2">
      <c r="AL10348" s="177"/>
    </row>
    <row r="10349" spans="38:38" x14ac:dyDescent="0.2">
      <c r="AL10349" s="177"/>
    </row>
    <row r="10350" spans="38:38" x14ac:dyDescent="0.2">
      <c r="AL10350" s="177"/>
    </row>
    <row r="10351" spans="38:38" x14ac:dyDescent="0.2">
      <c r="AL10351" s="177"/>
    </row>
    <row r="10352" spans="38:38" x14ac:dyDescent="0.2">
      <c r="AL10352" s="177"/>
    </row>
    <row r="10353" spans="38:38" x14ac:dyDescent="0.2">
      <c r="AL10353" s="177"/>
    </row>
    <row r="10354" spans="38:38" x14ac:dyDescent="0.2">
      <c r="AL10354" s="177"/>
    </row>
    <row r="10355" spans="38:38" x14ac:dyDescent="0.2">
      <c r="AL10355" s="177"/>
    </row>
    <row r="10356" spans="38:38" x14ac:dyDescent="0.2">
      <c r="AL10356" s="177"/>
    </row>
    <row r="10357" spans="38:38" x14ac:dyDescent="0.2">
      <c r="AL10357" s="177"/>
    </row>
    <row r="10358" spans="38:38" x14ac:dyDescent="0.2">
      <c r="AL10358" s="177"/>
    </row>
    <row r="10359" spans="38:38" x14ac:dyDescent="0.2">
      <c r="AL10359" s="177"/>
    </row>
    <row r="10360" spans="38:38" x14ac:dyDescent="0.2">
      <c r="AL10360" s="177"/>
    </row>
    <row r="10361" spans="38:38" x14ac:dyDescent="0.2">
      <c r="AL10361" s="177"/>
    </row>
    <row r="10362" spans="38:38" x14ac:dyDescent="0.2">
      <c r="AL10362" s="177"/>
    </row>
    <row r="10363" spans="38:38" x14ac:dyDescent="0.2">
      <c r="AL10363" s="177"/>
    </row>
    <row r="10364" spans="38:38" x14ac:dyDescent="0.2">
      <c r="AL10364" s="177"/>
    </row>
    <row r="10365" spans="38:38" x14ac:dyDescent="0.2">
      <c r="AL10365" s="177"/>
    </row>
    <row r="10366" spans="38:38" x14ac:dyDescent="0.2">
      <c r="AL10366" s="177"/>
    </row>
    <row r="10367" spans="38:38" x14ac:dyDescent="0.2">
      <c r="AL10367" s="177"/>
    </row>
    <row r="10368" spans="38:38" x14ac:dyDescent="0.2">
      <c r="AL10368" s="177"/>
    </row>
    <row r="10369" spans="38:38" x14ac:dyDescent="0.2">
      <c r="AL10369" s="177"/>
    </row>
    <row r="10370" spans="38:38" x14ac:dyDescent="0.2">
      <c r="AL10370" s="177"/>
    </row>
    <row r="10371" spans="38:38" x14ac:dyDescent="0.2">
      <c r="AL10371" s="177"/>
    </row>
    <row r="10372" spans="38:38" x14ac:dyDescent="0.2">
      <c r="AL10372" s="177"/>
    </row>
    <row r="10373" spans="38:38" x14ac:dyDescent="0.2">
      <c r="AL10373" s="177"/>
    </row>
    <row r="10374" spans="38:38" x14ac:dyDescent="0.2">
      <c r="AL10374" s="177"/>
    </row>
    <row r="10375" spans="38:38" x14ac:dyDescent="0.2">
      <c r="AL10375" s="177"/>
    </row>
    <row r="10376" spans="38:38" x14ac:dyDescent="0.2">
      <c r="AL10376" s="177"/>
    </row>
    <row r="10377" spans="38:38" x14ac:dyDescent="0.2">
      <c r="AL10377" s="177"/>
    </row>
    <row r="10378" spans="38:38" x14ac:dyDescent="0.2">
      <c r="AL10378" s="177"/>
    </row>
    <row r="10379" spans="38:38" x14ac:dyDescent="0.2">
      <c r="AL10379" s="177"/>
    </row>
    <row r="10380" spans="38:38" x14ac:dyDescent="0.2">
      <c r="AL10380" s="177"/>
    </row>
    <row r="10381" spans="38:38" x14ac:dyDescent="0.2">
      <c r="AL10381" s="177"/>
    </row>
    <row r="10382" spans="38:38" x14ac:dyDescent="0.2">
      <c r="AL10382" s="177"/>
    </row>
    <row r="10383" spans="38:38" x14ac:dyDescent="0.2">
      <c r="AL10383" s="177"/>
    </row>
    <row r="10384" spans="38:38" x14ac:dyDescent="0.2">
      <c r="AL10384" s="177"/>
    </row>
    <row r="10385" spans="38:38" x14ac:dyDescent="0.2">
      <c r="AL10385" s="177"/>
    </row>
    <row r="10386" spans="38:38" x14ac:dyDescent="0.2">
      <c r="AL10386" s="177"/>
    </row>
    <row r="10387" spans="38:38" x14ac:dyDescent="0.2">
      <c r="AL10387" s="177"/>
    </row>
    <row r="10388" spans="38:38" x14ac:dyDescent="0.2">
      <c r="AL10388" s="177"/>
    </row>
    <row r="10389" spans="38:38" x14ac:dyDescent="0.2">
      <c r="AL10389" s="177"/>
    </row>
    <row r="10390" spans="38:38" x14ac:dyDescent="0.2">
      <c r="AL10390" s="177"/>
    </row>
    <row r="10391" spans="38:38" x14ac:dyDescent="0.2">
      <c r="AL10391" s="177"/>
    </row>
    <row r="10392" spans="38:38" x14ac:dyDescent="0.2">
      <c r="AL10392" s="177"/>
    </row>
    <row r="10393" spans="38:38" x14ac:dyDescent="0.2">
      <c r="AL10393" s="177"/>
    </row>
    <row r="10394" spans="38:38" x14ac:dyDescent="0.2">
      <c r="AL10394" s="177"/>
    </row>
    <row r="10395" spans="38:38" x14ac:dyDescent="0.2">
      <c r="AL10395" s="177"/>
    </row>
    <row r="10396" spans="38:38" x14ac:dyDescent="0.2">
      <c r="AL10396" s="177"/>
    </row>
    <row r="10397" spans="38:38" x14ac:dyDescent="0.2">
      <c r="AL10397" s="177"/>
    </row>
    <row r="10398" spans="38:38" x14ac:dyDescent="0.2">
      <c r="AL10398" s="177"/>
    </row>
    <row r="10399" spans="38:38" x14ac:dyDescent="0.2">
      <c r="AL10399" s="177"/>
    </row>
    <row r="10400" spans="38:38" x14ac:dyDescent="0.2">
      <c r="AL10400" s="177"/>
    </row>
    <row r="10401" spans="38:38" x14ac:dyDescent="0.2">
      <c r="AL10401" s="177"/>
    </row>
    <row r="10402" spans="38:38" x14ac:dyDescent="0.2">
      <c r="AL10402" s="177"/>
    </row>
    <row r="10403" spans="38:38" x14ac:dyDescent="0.2">
      <c r="AL10403" s="177"/>
    </row>
    <row r="10404" spans="38:38" x14ac:dyDescent="0.2">
      <c r="AL10404" s="177"/>
    </row>
    <row r="10405" spans="38:38" x14ac:dyDescent="0.2">
      <c r="AL10405" s="177"/>
    </row>
    <row r="10406" spans="38:38" x14ac:dyDescent="0.2">
      <c r="AL10406" s="177"/>
    </row>
    <row r="10407" spans="38:38" x14ac:dyDescent="0.2">
      <c r="AL10407" s="177"/>
    </row>
    <row r="10408" spans="38:38" x14ac:dyDescent="0.2">
      <c r="AL10408" s="177"/>
    </row>
    <row r="10409" spans="38:38" x14ac:dyDescent="0.2">
      <c r="AL10409" s="177"/>
    </row>
    <row r="10410" spans="38:38" x14ac:dyDescent="0.2">
      <c r="AL10410" s="177"/>
    </row>
    <row r="10411" spans="38:38" x14ac:dyDescent="0.2">
      <c r="AL10411" s="177"/>
    </row>
    <row r="10412" spans="38:38" x14ac:dyDescent="0.2">
      <c r="AL10412" s="177"/>
    </row>
    <row r="10413" spans="38:38" x14ac:dyDescent="0.2">
      <c r="AL10413" s="177"/>
    </row>
    <row r="10414" spans="38:38" x14ac:dyDescent="0.2">
      <c r="AL10414" s="177"/>
    </row>
    <row r="10415" spans="38:38" x14ac:dyDescent="0.2">
      <c r="AL10415" s="177"/>
    </row>
    <row r="10416" spans="38:38" x14ac:dyDescent="0.2">
      <c r="AL10416" s="177"/>
    </row>
    <row r="10417" spans="38:38" x14ac:dyDescent="0.2">
      <c r="AL10417" s="177"/>
    </row>
    <row r="10418" spans="38:38" x14ac:dyDescent="0.2">
      <c r="AL10418" s="177"/>
    </row>
    <row r="10419" spans="38:38" x14ac:dyDescent="0.2">
      <c r="AL10419" s="177"/>
    </row>
    <row r="10420" spans="38:38" x14ac:dyDescent="0.2">
      <c r="AL10420" s="177"/>
    </row>
    <row r="10421" spans="38:38" x14ac:dyDescent="0.2">
      <c r="AL10421" s="177"/>
    </row>
    <row r="10422" spans="38:38" x14ac:dyDescent="0.2">
      <c r="AL10422" s="177"/>
    </row>
    <row r="10423" spans="38:38" x14ac:dyDescent="0.2">
      <c r="AL10423" s="177"/>
    </row>
    <row r="10424" spans="38:38" x14ac:dyDescent="0.2">
      <c r="AL10424" s="177"/>
    </row>
    <row r="10425" spans="38:38" x14ac:dyDescent="0.2">
      <c r="AL10425" s="177"/>
    </row>
    <row r="10426" spans="38:38" x14ac:dyDescent="0.2">
      <c r="AL10426" s="177"/>
    </row>
    <row r="10427" spans="38:38" x14ac:dyDescent="0.2">
      <c r="AL10427" s="177"/>
    </row>
    <row r="10428" spans="38:38" x14ac:dyDescent="0.2">
      <c r="AL10428" s="177"/>
    </row>
    <row r="10429" spans="38:38" x14ac:dyDescent="0.2">
      <c r="AL10429" s="177"/>
    </row>
    <row r="10430" spans="38:38" x14ac:dyDescent="0.2">
      <c r="AL10430" s="177"/>
    </row>
    <row r="10431" spans="38:38" x14ac:dyDescent="0.2">
      <c r="AL10431" s="177"/>
    </row>
    <row r="10432" spans="38:38" x14ac:dyDescent="0.2">
      <c r="AL10432" s="177"/>
    </row>
    <row r="10433" spans="38:38" x14ac:dyDescent="0.2">
      <c r="AL10433" s="177"/>
    </row>
    <row r="10434" spans="38:38" x14ac:dyDescent="0.2">
      <c r="AL10434" s="177"/>
    </row>
    <row r="10435" spans="38:38" x14ac:dyDescent="0.2">
      <c r="AL10435" s="177"/>
    </row>
    <row r="10436" spans="38:38" x14ac:dyDescent="0.2">
      <c r="AL10436" s="177"/>
    </row>
    <row r="10437" spans="38:38" x14ac:dyDescent="0.2">
      <c r="AL10437" s="177"/>
    </row>
    <row r="10438" spans="38:38" x14ac:dyDescent="0.2">
      <c r="AL10438" s="177"/>
    </row>
    <row r="10439" spans="38:38" x14ac:dyDescent="0.2">
      <c r="AL10439" s="177"/>
    </row>
    <row r="10440" spans="38:38" x14ac:dyDescent="0.2">
      <c r="AL10440" s="177"/>
    </row>
    <row r="10441" spans="38:38" x14ac:dyDescent="0.2">
      <c r="AL10441" s="177"/>
    </row>
    <row r="10442" spans="38:38" x14ac:dyDescent="0.2">
      <c r="AL10442" s="177"/>
    </row>
    <row r="10443" spans="38:38" x14ac:dyDescent="0.2">
      <c r="AL10443" s="177"/>
    </row>
    <row r="10444" spans="38:38" x14ac:dyDescent="0.2">
      <c r="AL10444" s="177"/>
    </row>
    <row r="10445" spans="38:38" x14ac:dyDescent="0.2">
      <c r="AL10445" s="177"/>
    </row>
    <row r="10446" spans="38:38" x14ac:dyDescent="0.2">
      <c r="AL10446" s="177"/>
    </row>
    <row r="10447" spans="38:38" x14ac:dyDescent="0.2">
      <c r="AL10447" s="177"/>
    </row>
    <row r="10448" spans="38:38" x14ac:dyDescent="0.2">
      <c r="AL10448" s="177"/>
    </row>
    <row r="10449" spans="38:38" x14ac:dyDescent="0.2">
      <c r="AL10449" s="177"/>
    </row>
    <row r="10450" spans="38:38" x14ac:dyDescent="0.2">
      <c r="AL10450" s="177"/>
    </row>
    <row r="10451" spans="38:38" x14ac:dyDescent="0.2">
      <c r="AL10451" s="177"/>
    </row>
    <row r="10452" spans="38:38" x14ac:dyDescent="0.2">
      <c r="AL10452" s="177"/>
    </row>
    <row r="10453" spans="38:38" x14ac:dyDescent="0.2">
      <c r="AL10453" s="177"/>
    </row>
    <row r="10454" spans="38:38" x14ac:dyDescent="0.2">
      <c r="AL10454" s="177"/>
    </row>
    <row r="10455" spans="38:38" x14ac:dyDescent="0.2">
      <c r="AL10455" s="177"/>
    </row>
    <row r="10456" spans="38:38" x14ac:dyDescent="0.2">
      <c r="AL10456" s="177"/>
    </row>
    <row r="10457" spans="38:38" x14ac:dyDescent="0.2">
      <c r="AL10457" s="177"/>
    </row>
    <row r="10458" spans="38:38" x14ac:dyDescent="0.2">
      <c r="AL10458" s="177"/>
    </row>
    <row r="10459" spans="38:38" x14ac:dyDescent="0.2">
      <c r="AL10459" s="177"/>
    </row>
    <row r="10460" spans="38:38" x14ac:dyDescent="0.2">
      <c r="AL10460" s="177"/>
    </row>
    <row r="10461" spans="38:38" x14ac:dyDescent="0.2">
      <c r="AL10461" s="177"/>
    </row>
    <row r="10462" spans="38:38" x14ac:dyDescent="0.2">
      <c r="AL10462" s="177"/>
    </row>
    <row r="10463" spans="38:38" x14ac:dyDescent="0.2">
      <c r="AL10463" s="177"/>
    </row>
    <row r="10464" spans="38:38" x14ac:dyDescent="0.2">
      <c r="AL10464" s="177"/>
    </row>
    <row r="10465" spans="38:38" x14ac:dyDescent="0.2">
      <c r="AL10465" s="177"/>
    </row>
    <row r="10466" spans="38:38" x14ac:dyDescent="0.2">
      <c r="AL10466" s="177"/>
    </row>
    <row r="10467" spans="38:38" x14ac:dyDescent="0.2">
      <c r="AL10467" s="177"/>
    </row>
    <row r="10468" spans="38:38" x14ac:dyDescent="0.2">
      <c r="AL10468" s="177"/>
    </row>
    <row r="10469" spans="38:38" x14ac:dyDescent="0.2">
      <c r="AL10469" s="177"/>
    </row>
    <row r="10470" spans="38:38" x14ac:dyDescent="0.2">
      <c r="AL10470" s="177"/>
    </row>
    <row r="10471" spans="38:38" x14ac:dyDescent="0.2">
      <c r="AL10471" s="177"/>
    </row>
    <row r="10472" spans="38:38" x14ac:dyDescent="0.2">
      <c r="AL10472" s="177"/>
    </row>
    <row r="10473" spans="38:38" x14ac:dyDescent="0.2">
      <c r="AL10473" s="177"/>
    </row>
    <row r="10474" spans="38:38" x14ac:dyDescent="0.2">
      <c r="AL10474" s="177"/>
    </row>
    <row r="10475" spans="38:38" x14ac:dyDescent="0.2">
      <c r="AL10475" s="177"/>
    </row>
    <row r="10476" spans="38:38" x14ac:dyDescent="0.2">
      <c r="AL10476" s="177"/>
    </row>
    <row r="10477" spans="38:38" x14ac:dyDescent="0.2">
      <c r="AL10477" s="177"/>
    </row>
    <row r="10478" spans="38:38" x14ac:dyDescent="0.2">
      <c r="AL10478" s="177"/>
    </row>
    <row r="10479" spans="38:38" x14ac:dyDescent="0.2">
      <c r="AL10479" s="177"/>
    </row>
    <row r="10480" spans="38:38" x14ac:dyDescent="0.2">
      <c r="AL10480" s="177"/>
    </row>
    <row r="10481" spans="38:38" x14ac:dyDescent="0.2">
      <c r="AL10481" s="177"/>
    </row>
    <row r="10482" spans="38:38" x14ac:dyDescent="0.2">
      <c r="AL10482" s="177"/>
    </row>
    <row r="10483" spans="38:38" x14ac:dyDescent="0.2">
      <c r="AL10483" s="177"/>
    </row>
    <row r="10484" spans="38:38" x14ac:dyDescent="0.2">
      <c r="AL10484" s="177"/>
    </row>
    <row r="10485" spans="38:38" x14ac:dyDescent="0.2">
      <c r="AL10485" s="177"/>
    </row>
    <row r="10486" spans="38:38" x14ac:dyDescent="0.2">
      <c r="AL10486" s="177"/>
    </row>
    <row r="10487" spans="38:38" x14ac:dyDescent="0.2">
      <c r="AL10487" s="177"/>
    </row>
    <row r="10488" spans="38:38" x14ac:dyDescent="0.2">
      <c r="AL10488" s="177"/>
    </row>
    <row r="10489" spans="38:38" x14ac:dyDescent="0.2">
      <c r="AL10489" s="177"/>
    </row>
    <row r="10490" spans="38:38" x14ac:dyDescent="0.2">
      <c r="AL10490" s="177"/>
    </row>
    <row r="10491" spans="38:38" x14ac:dyDescent="0.2">
      <c r="AL10491" s="177"/>
    </row>
    <row r="10492" spans="38:38" x14ac:dyDescent="0.2">
      <c r="AL10492" s="177"/>
    </row>
    <row r="10493" spans="38:38" x14ac:dyDescent="0.2">
      <c r="AL10493" s="177"/>
    </row>
    <row r="10494" spans="38:38" x14ac:dyDescent="0.2">
      <c r="AL10494" s="177"/>
    </row>
    <row r="10495" spans="38:38" x14ac:dyDescent="0.2">
      <c r="AL10495" s="177"/>
    </row>
    <row r="10496" spans="38:38" x14ac:dyDescent="0.2">
      <c r="AL10496" s="177"/>
    </row>
    <row r="10497" spans="38:38" x14ac:dyDescent="0.2">
      <c r="AL10497" s="177"/>
    </row>
    <row r="10498" spans="38:38" x14ac:dyDescent="0.2">
      <c r="AL10498" s="177"/>
    </row>
    <row r="10499" spans="38:38" x14ac:dyDescent="0.2">
      <c r="AL10499" s="177"/>
    </row>
    <row r="10500" spans="38:38" x14ac:dyDescent="0.2">
      <c r="AL10500" s="177"/>
    </row>
    <row r="10501" spans="38:38" x14ac:dyDescent="0.2">
      <c r="AL10501" s="177"/>
    </row>
    <row r="10502" spans="38:38" x14ac:dyDescent="0.2">
      <c r="AL10502" s="177"/>
    </row>
    <row r="10503" spans="38:38" x14ac:dyDescent="0.2">
      <c r="AL10503" s="177"/>
    </row>
    <row r="10504" spans="38:38" x14ac:dyDescent="0.2">
      <c r="AL10504" s="177"/>
    </row>
    <row r="10505" spans="38:38" x14ac:dyDescent="0.2">
      <c r="AL10505" s="177"/>
    </row>
    <row r="10506" spans="38:38" x14ac:dyDescent="0.2">
      <c r="AL10506" s="177"/>
    </row>
    <row r="10507" spans="38:38" x14ac:dyDescent="0.2">
      <c r="AL10507" s="177"/>
    </row>
    <row r="10508" spans="38:38" x14ac:dyDescent="0.2">
      <c r="AL10508" s="177"/>
    </row>
    <row r="10509" spans="38:38" x14ac:dyDescent="0.2">
      <c r="AL10509" s="177"/>
    </row>
    <row r="10510" spans="38:38" x14ac:dyDescent="0.2">
      <c r="AL10510" s="177"/>
    </row>
    <row r="10511" spans="38:38" x14ac:dyDescent="0.2">
      <c r="AL10511" s="177"/>
    </row>
    <row r="10512" spans="38:38" x14ac:dyDescent="0.2">
      <c r="AL10512" s="177"/>
    </row>
    <row r="10513" spans="38:38" x14ac:dyDescent="0.2">
      <c r="AL10513" s="177"/>
    </row>
    <row r="10514" spans="38:38" x14ac:dyDescent="0.2">
      <c r="AL10514" s="177"/>
    </row>
    <row r="10515" spans="38:38" x14ac:dyDescent="0.2">
      <c r="AL10515" s="177"/>
    </row>
    <row r="10516" spans="38:38" x14ac:dyDescent="0.2">
      <c r="AL10516" s="177"/>
    </row>
    <row r="10517" spans="38:38" x14ac:dyDescent="0.2">
      <c r="AL10517" s="177"/>
    </row>
    <row r="10518" spans="38:38" x14ac:dyDescent="0.2">
      <c r="AL10518" s="177"/>
    </row>
    <row r="10519" spans="38:38" x14ac:dyDescent="0.2">
      <c r="AL10519" s="177"/>
    </row>
    <row r="10520" spans="38:38" x14ac:dyDescent="0.2">
      <c r="AL10520" s="177"/>
    </row>
    <row r="10521" spans="38:38" x14ac:dyDescent="0.2">
      <c r="AL10521" s="177"/>
    </row>
    <row r="10522" spans="38:38" x14ac:dyDescent="0.2">
      <c r="AL10522" s="177"/>
    </row>
    <row r="10523" spans="38:38" x14ac:dyDescent="0.2">
      <c r="AL10523" s="177"/>
    </row>
    <row r="10524" spans="38:38" x14ac:dyDescent="0.2">
      <c r="AL10524" s="177"/>
    </row>
    <row r="10525" spans="38:38" x14ac:dyDescent="0.2">
      <c r="AL10525" s="177"/>
    </row>
    <row r="10526" spans="38:38" x14ac:dyDescent="0.2">
      <c r="AL10526" s="177"/>
    </row>
    <row r="10527" spans="38:38" x14ac:dyDescent="0.2">
      <c r="AL10527" s="177"/>
    </row>
    <row r="10528" spans="38:38" x14ac:dyDescent="0.2">
      <c r="AL10528" s="177"/>
    </row>
    <row r="10529" spans="38:38" x14ac:dyDescent="0.2">
      <c r="AL10529" s="177"/>
    </row>
    <row r="10530" spans="38:38" x14ac:dyDescent="0.2">
      <c r="AL10530" s="177"/>
    </row>
    <row r="10531" spans="38:38" x14ac:dyDescent="0.2">
      <c r="AL10531" s="177"/>
    </row>
    <row r="10532" spans="38:38" x14ac:dyDescent="0.2">
      <c r="AL10532" s="177"/>
    </row>
    <row r="10533" spans="38:38" x14ac:dyDescent="0.2">
      <c r="AL10533" s="177"/>
    </row>
    <row r="10534" spans="38:38" x14ac:dyDescent="0.2">
      <c r="AL10534" s="177"/>
    </row>
    <row r="10535" spans="38:38" x14ac:dyDescent="0.2">
      <c r="AL10535" s="177"/>
    </row>
    <row r="10536" spans="38:38" x14ac:dyDescent="0.2">
      <c r="AL10536" s="177"/>
    </row>
    <row r="10537" spans="38:38" x14ac:dyDescent="0.2">
      <c r="AL10537" s="177"/>
    </row>
    <row r="10538" spans="38:38" x14ac:dyDescent="0.2">
      <c r="AL10538" s="177"/>
    </row>
    <row r="10539" spans="38:38" x14ac:dyDescent="0.2">
      <c r="AL10539" s="177"/>
    </row>
    <row r="10540" spans="38:38" x14ac:dyDescent="0.2">
      <c r="AL10540" s="177"/>
    </row>
    <row r="10541" spans="38:38" x14ac:dyDescent="0.2">
      <c r="AL10541" s="177"/>
    </row>
    <row r="10542" spans="38:38" x14ac:dyDescent="0.2">
      <c r="AL10542" s="177"/>
    </row>
    <row r="10543" spans="38:38" x14ac:dyDescent="0.2">
      <c r="AL10543" s="177"/>
    </row>
    <row r="10544" spans="38:38" x14ac:dyDescent="0.2">
      <c r="AL10544" s="177"/>
    </row>
    <row r="10545" spans="38:38" x14ac:dyDescent="0.2">
      <c r="AL10545" s="177"/>
    </row>
    <row r="10546" spans="38:38" x14ac:dyDescent="0.2">
      <c r="AL10546" s="177"/>
    </row>
    <row r="10547" spans="38:38" x14ac:dyDescent="0.2">
      <c r="AL10547" s="177"/>
    </row>
    <row r="10548" spans="38:38" x14ac:dyDescent="0.2">
      <c r="AL10548" s="177"/>
    </row>
    <row r="10549" spans="38:38" x14ac:dyDescent="0.2">
      <c r="AL10549" s="177"/>
    </row>
    <row r="10550" spans="38:38" x14ac:dyDescent="0.2">
      <c r="AL10550" s="177"/>
    </row>
    <row r="10551" spans="38:38" x14ac:dyDescent="0.2">
      <c r="AL10551" s="177"/>
    </row>
    <row r="10552" spans="38:38" x14ac:dyDescent="0.2">
      <c r="AL10552" s="177"/>
    </row>
    <row r="10553" spans="38:38" x14ac:dyDescent="0.2">
      <c r="AL10553" s="177"/>
    </row>
    <row r="10554" spans="38:38" x14ac:dyDescent="0.2">
      <c r="AL10554" s="177"/>
    </row>
    <row r="10555" spans="38:38" x14ac:dyDescent="0.2">
      <c r="AL10555" s="177"/>
    </row>
    <row r="10556" spans="38:38" x14ac:dyDescent="0.2">
      <c r="AL10556" s="177"/>
    </row>
    <row r="10557" spans="38:38" x14ac:dyDescent="0.2">
      <c r="AL10557" s="177"/>
    </row>
    <row r="10558" spans="38:38" x14ac:dyDescent="0.2">
      <c r="AL10558" s="177"/>
    </row>
    <row r="10559" spans="38:38" x14ac:dyDescent="0.2">
      <c r="AL10559" s="177"/>
    </row>
    <row r="10560" spans="38:38" x14ac:dyDescent="0.2">
      <c r="AL10560" s="177"/>
    </row>
    <row r="10561" spans="38:38" x14ac:dyDescent="0.2">
      <c r="AL10561" s="177"/>
    </row>
    <row r="10562" spans="38:38" x14ac:dyDescent="0.2">
      <c r="AL10562" s="177"/>
    </row>
    <row r="10563" spans="38:38" x14ac:dyDescent="0.2">
      <c r="AL10563" s="177"/>
    </row>
    <row r="10564" spans="38:38" x14ac:dyDescent="0.2">
      <c r="AL10564" s="177"/>
    </row>
    <row r="10565" spans="38:38" x14ac:dyDescent="0.2">
      <c r="AL10565" s="177"/>
    </row>
    <row r="10566" spans="38:38" x14ac:dyDescent="0.2">
      <c r="AL10566" s="177"/>
    </row>
    <row r="10567" spans="38:38" x14ac:dyDescent="0.2">
      <c r="AL10567" s="177"/>
    </row>
    <row r="10568" spans="38:38" x14ac:dyDescent="0.2">
      <c r="AL10568" s="177"/>
    </row>
    <row r="10569" spans="38:38" x14ac:dyDescent="0.2">
      <c r="AL10569" s="177"/>
    </row>
    <row r="10570" spans="38:38" x14ac:dyDescent="0.2">
      <c r="AL10570" s="177"/>
    </row>
    <row r="10571" spans="38:38" x14ac:dyDescent="0.2">
      <c r="AL10571" s="177"/>
    </row>
    <row r="10572" spans="38:38" x14ac:dyDescent="0.2">
      <c r="AL10572" s="177"/>
    </row>
    <row r="10573" spans="38:38" x14ac:dyDescent="0.2">
      <c r="AL10573" s="177"/>
    </row>
    <row r="10574" spans="38:38" x14ac:dyDescent="0.2">
      <c r="AL10574" s="177"/>
    </row>
    <row r="10575" spans="38:38" x14ac:dyDescent="0.2">
      <c r="AL10575" s="177"/>
    </row>
    <row r="10576" spans="38:38" x14ac:dyDescent="0.2">
      <c r="AL10576" s="177"/>
    </row>
    <row r="10577" spans="38:38" x14ac:dyDescent="0.2">
      <c r="AL10577" s="177"/>
    </row>
    <row r="10578" spans="38:38" x14ac:dyDescent="0.2">
      <c r="AL10578" s="177"/>
    </row>
    <row r="10579" spans="38:38" x14ac:dyDescent="0.2">
      <c r="AL10579" s="177"/>
    </row>
    <row r="10580" spans="38:38" x14ac:dyDescent="0.2">
      <c r="AL10580" s="177"/>
    </row>
    <row r="10581" spans="38:38" x14ac:dyDescent="0.2">
      <c r="AL10581" s="177"/>
    </row>
    <row r="10582" spans="38:38" x14ac:dyDescent="0.2">
      <c r="AL10582" s="177"/>
    </row>
    <row r="10583" spans="38:38" x14ac:dyDescent="0.2">
      <c r="AL10583" s="177"/>
    </row>
    <row r="10584" spans="38:38" x14ac:dyDescent="0.2">
      <c r="AL10584" s="177"/>
    </row>
    <row r="10585" spans="38:38" x14ac:dyDescent="0.2">
      <c r="AL10585" s="177"/>
    </row>
    <row r="10586" spans="38:38" x14ac:dyDescent="0.2">
      <c r="AL10586" s="177"/>
    </row>
    <row r="10587" spans="38:38" x14ac:dyDescent="0.2">
      <c r="AL10587" s="177"/>
    </row>
    <row r="10588" spans="38:38" x14ac:dyDescent="0.2">
      <c r="AL10588" s="177"/>
    </row>
    <row r="10589" spans="38:38" x14ac:dyDescent="0.2">
      <c r="AL10589" s="177"/>
    </row>
    <row r="10590" spans="38:38" x14ac:dyDescent="0.2">
      <c r="AL10590" s="177"/>
    </row>
    <row r="10591" spans="38:38" x14ac:dyDescent="0.2">
      <c r="AL10591" s="177"/>
    </row>
    <row r="10592" spans="38:38" x14ac:dyDescent="0.2">
      <c r="AL10592" s="177"/>
    </row>
    <row r="10593" spans="38:38" x14ac:dyDescent="0.2">
      <c r="AL10593" s="177"/>
    </row>
    <row r="10594" spans="38:38" x14ac:dyDescent="0.2">
      <c r="AL10594" s="177"/>
    </row>
    <row r="10595" spans="38:38" x14ac:dyDescent="0.2">
      <c r="AL10595" s="177"/>
    </row>
    <row r="10596" spans="38:38" x14ac:dyDescent="0.2">
      <c r="AL10596" s="177"/>
    </row>
    <row r="10597" spans="38:38" x14ac:dyDescent="0.2">
      <c r="AL10597" s="177"/>
    </row>
    <row r="10598" spans="38:38" x14ac:dyDescent="0.2">
      <c r="AL10598" s="177"/>
    </row>
    <row r="10599" spans="38:38" x14ac:dyDescent="0.2">
      <c r="AL10599" s="177"/>
    </row>
    <row r="10600" spans="38:38" x14ac:dyDescent="0.2">
      <c r="AL10600" s="177"/>
    </row>
    <row r="10601" spans="38:38" x14ac:dyDescent="0.2">
      <c r="AL10601" s="177"/>
    </row>
    <row r="10602" spans="38:38" x14ac:dyDescent="0.2">
      <c r="AL10602" s="177"/>
    </row>
    <row r="10603" spans="38:38" x14ac:dyDescent="0.2">
      <c r="AL10603" s="177"/>
    </row>
    <row r="10604" spans="38:38" x14ac:dyDescent="0.2">
      <c r="AL10604" s="177"/>
    </row>
    <row r="10605" spans="38:38" x14ac:dyDescent="0.2">
      <c r="AL10605" s="177"/>
    </row>
    <row r="10606" spans="38:38" x14ac:dyDescent="0.2">
      <c r="AL10606" s="177"/>
    </row>
    <row r="10607" spans="38:38" x14ac:dyDescent="0.2">
      <c r="AL10607" s="177"/>
    </row>
    <row r="10608" spans="38:38" x14ac:dyDescent="0.2">
      <c r="AL10608" s="177"/>
    </row>
    <row r="10609" spans="38:38" x14ac:dyDescent="0.2">
      <c r="AL10609" s="177"/>
    </row>
    <row r="10610" spans="38:38" x14ac:dyDescent="0.2">
      <c r="AL10610" s="177"/>
    </row>
    <row r="10611" spans="38:38" x14ac:dyDescent="0.2">
      <c r="AL10611" s="177"/>
    </row>
    <row r="10612" spans="38:38" x14ac:dyDescent="0.2">
      <c r="AL10612" s="177"/>
    </row>
    <row r="10613" spans="38:38" x14ac:dyDescent="0.2">
      <c r="AL10613" s="177"/>
    </row>
    <row r="10614" spans="38:38" x14ac:dyDescent="0.2">
      <c r="AL10614" s="177"/>
    </row>
    <row r="10615" spans="38:38" x14ac:dyDescent="0.2">
      <c r="AL10615" s="177"/>
    </row>
    <row r="10616" spans="38:38" x14ac:dyDescent="0.2">
      <c r="AL10616" s="177"/>
    </row>
    <row r="10617" spans="38:38" x14ac:dyDescent="0.2">
      <c r="AL10617" s="177"/>
    </row>
    <row r="10618" spans="38:38" x14ac:dyDescent="0.2">
      <c r="AL10618" s="177"/>
    </row>
    <row r="10619" spans="38:38" x14ac:dyDescent="0.2">
      <c r="AL10619" s="177"/>
    </row>
    <row r="10620" spans="38:38" x14ac:dyDescent="0.2">
      <c r="AL10620" s="177"/>
    </row>
    <row r="10621" spans="38:38" x14ac:dyDescent="0.2">
      <c r="AL10621" s="177"/>
    </row>
    <row r="10622" spans="38:38" x14ac:dyDescent="0.2">
      <c r="AL10622" s="177"/>
    </row>
    <row r="10623" spans="38:38" x14ac:dyDescent="0.2">
      <c r="AL10623" s="177"/>
    </row>
    <row r="10624" spans="38:38" x14ac:dyDescent="0.2">
      <c r="AL10624" s="177"/>
    </row>
    <row r="10625" spans="38:38" x14ac:dyDescent="0.2">
      <c r="AL10625" s="177"/>
    </row>
    <row r="10626" spans="38:38" x14ac:dyDescent="0.2">
      <c r="AL10626" s="177"/>
    </row>
    <row r="10627" spans="38:38" x14ac:dyDescent="0.2">
      <c r="AL10627" s="177"/>
    </row>
    <row r="10628" spans="38:38" x14ac:dyDescent="0.2">
      <c r="AL10628" s="177"/>
    </row>
    <row r="10629" spans="38:38" x14ac:dyDescent="0.2">
      <c r="AL10629" s="177"/>
    </row>
    <row r="10630" spans="38:38" x14ac:dyDescent="0.2">
      <c r="AL10630" s="177"/>
    </row>
    <row r="10631" spans="38:38" x14ac:dyDescent="0.2">
      <c r="AL10631" s="177"/>
    </row>
    <row r="10632" spans="38:38" x14ac:dyDescent="0.2">
      <c r="AL10632" s="177"/>
    </row>
    <row r="10633" spans="38:38" x14ac:dyDescent="0.2">
      <c r="AL10633" s="177"/>
    </row>
    <row r="10634" spans="38:38" x14ac:dyDescent="0.2">
      <c r="AL10634" s="177"/>
    </row>
    <row r="10635" spans="38:38" x14ac:dyDescent="0.2">
      <c r="AL10635" s="177"/>
    </row>
    <row r="10636" spans="38:38" x14ac:dyDescent="0.2">
      <c r="AL10636" s="177"/>
    </row>
    <row r="10637" spans="38:38" x14ac:dyDescent="0.2">
      <c r="AL10637" s="177"/>
    </row>
    <row r="10638" spans="38:38" x14ac:dyDescent="0.2">
      <c r="AL10638" s="177"/>
    </row>
    <row r="10639" spans="38:38" x14ac:dyDescent="0.2">
      <c r="AL10639" s="177"/>
    </row>
    <row r="10640" spans="38:38" x14ac:dyDescent="0.2">
      <c r="AL10640" s="177"/>
    </row>
    <row r="10641" spans="38:38" x14ac:dyDescent="0.2">
      <c r="AL10641" s="177"/>
    </row>
    <row r="10642" spans="38:38" x14ac:dyDescent="0.2">
      <c r="AL10642" s="177"/>
    </row>
    <row r="10643" spans="38:38" x14ac:dyDescent="0.2">
      <c r="AL10643" s="177"/>
    </row>
    <row r="10644" spans="38:38" x14ac:dyDescent="0.2">
      <c r="AL10644" s="177"/>
    </row>
    <row r="10645" spans="38:38" x14ac:dyDescent="0.2">
      <c r="AL10645" s="177"/>
    </row>
    <row r="10646" spans="38:38" x14ac:dyDescent="0.2">
      <c r="AL10646" s="177"/>
    </row>
    <row r="10647" spans="38:38" x14ac:dyDescent="0.2">
      <c r="AL10647" s="177"/>
    </row>
    <row r="10648" spans="38:38" x14ac:dyDescent="0.2">
      <c r="AL10648" s="177"/>
    </row>
    <row r="10649" spans="38:38" x14ac:dyDescent="0.2">
      <c r="AL10649" s="177"/>
    </row>
    <row r="10650" spans="38:38" x14ac:dyDescent="0.2">
      <c r="AL10650" s="177"/>
    </row>
    <row r="10651" spans="38:38" x14ac:dyDescent="0.2">
      <c r="AL10651" s="177"/>
    </row>
    <row r="10652" spans="38:38" x14ac:dyDescent="0.2">
      <c r="AL10652" s="177"/>
    </row>
    <row r="10653" spans="38:38" x14ac:dyDescent="0.2">
      <c r="AL10653" s="177"/>
    </row>
    <row r="10654" spans="38:38" x14ac:dyDescent="0.2">
      <c r="AL10654" s="177"/>
    </row>
    <row r="10655" spans="38:38" x14ac:dyDescent="0.2">
      <c r="AL10655" s="177"/>
    </row>
    <row r="10656" spans="38:38" x14ac:dyDescent="0.2">
      <c r="AL10656" s="177"/>
    </row>
    <row r="10657" spans="38:38" x14ac:dyDescent="0.2">
      <c r="AL10657" s="177"/>
    </row>
    <row r="10658" spans="38:38" x14ac:dyDescent="0.2">
      <c r="AL10658" s="177"/>
    </row>
    <row r="10659" spans="38:38" x14ac:dyDescent="0.2">
      <c r="AL10659" s="177"/>
    </row>
    <row r="10660" spans="38:38" x14ac:dyDescent="0.2">
      <c r="AL10660" s="177"/>
    </row>
    <row r="10661" spans="38:38" x14ac:dyDescent="0.2">
      <c r="AL10661" s="177"/>
    </row>
    <row r="10662" spans="38:38" x14ac:dyDescent="0.2">
      <c r="AL10662" s="177"/>
    </row>
    <row r="10663" spans="38:38" x14ac:dyDescent="0.2">
      <c r="AL10663" s="177"/>
    </row>
    <row r="10664" spans="38:38" x14ac:dyDescent="0.2">
      <c r="AL10664" s="177"/>
    </row>
    <row r="10665" spans="38:38" x14ac:dyDescent="0.2">
      <c r="AL10665" s="177"/>
    </row>
    <row r="10666" spans="38:38" x14ac:dyDescent="0.2">
      <c r="AL10666" s="177"/>
    </row>
    <row r="10667" spans="38:38" x14ac:dyDescent="0.2">
      <c r="AL10667" s="177"/>
    </row>
    <row r="10668" spans="38:38" x14ac:dyDescent="0.2">
      <c r="AL10668" s="177"/>
    </row>
    <row r="10669" spans="38:38" x14ac:dyDescent="0.2">
      <c r="AL10669" s="177"/>
    </row>
    <row r="10670" spans="38:38" x14ac:dyDescent="0.2">
      <c r="AL10670" s="177"/>
    </row>
    <row r="10671" spans="38:38" x14ac:dyDescent="0.2">
      <c r="AL10671" s="177"/>
    </row>
    <row r="10672" spans="38:38" x14ac:dyDescent="0.2">
      <c r="AL10672" s="177"/>
    </row>
    <row r="10673" spans="38:38" x14ac:dyDescent="0.2">
      <c r="AL10673" s="177"/>
    </row>
    <row r="10674" spans="38:38" x14ac:dyDescent="0.2">
      <c r="AL10674" s="177"/>
    </row>
    <row r="10675" spans="38:38" x14ac:dyDescent="0.2">
      <c r="AL10675" s="177"/>
    </row>
    <row r="10676" spans="38:38" x14ac:dyDescent="0.2">
      <c r="AL10676" s="177"/>
    </row>
    <row r="10677" spans="38:38" x14ac:dyDescent="0.2">
      <c r="AL10677" s="177"/>
    </row>
    <row r="10678" spans="38:38" x14ac:dyDescent="0.2">
      <c r="AL10678" s="177"/>
    </row>
    <row r="10679" spans="38:38" x14ac:dyDescent="0.2">
      <c r="AL10679" s="177"/>
    </row>
    <row r="10680" spans="38:38" x14ac:dyDescent="0.2">
      <c r="AL10680" s="177"/>
    </row>
    <row r="10681" spans="38:38" x14ac:dyDescent="0.2">
      <c r="AL10681" s="177"/>
    </row>
    <row r="10682" spans="38:38" x14ac:dyDescent="0.2">
      <c r="AL10682" s="177"/>
    </row>
    <row r="10683" spans="38:38" x14ac:dyDescent="0.2">
      <c r="AL10683" s="177"/>
    </row>
    <row r="10684" spans="38:38" x14ac:dyDescent="0.2">
      <c r="AL10684" s="177"/>
    </row>
    <row r="10685" spans="38:38" x14ac:dyDescent="0.2">
      <c r="AL10685" s="177"/>
    </row>
    <row r="10686" spans="38:38" x14ac:dyDescent="0.2">
      <c r="AL10686" s="177"/>
    </row>
    <row r="10687" spans="38:38" x14ac:dyDescent="0.2">
      <c r="AL10687" s="177"/>
    </row>
    <row r="10688" spans="38:38" x14ac:dyDescent="0.2">
      <c r="AL10688" s="177"/>
    </row>
    <row r="10689" spans="38:38" x14ac:dyDescent="0.2">
      <c r="AL10689" s="177"/>
    </row>
    <row r="10690" spans="38:38" x14ac:dyDescent="0.2">
      <c r="AL10690" s="177"/>
    </row>
    <row r="10691" spans="38:38" x14ac:dyDescent="0.2">
      <c r="AL10691" s="177"/>
    </row>
    <row r="10692" spans="38:38" x14ac:dyDescent="0.2">
      <c r="AL10692" s="177"/>
    </row>
    <row r="10693" spans="38:38" x14ac:dyDescent="0.2">
      <c r="AL10693" s="177"/>
    </row>
    <row r="10694" spans="38:38" x14ac:dyDescent="0.2">
      <c r="AL10694" s="177"/>
    </row>
    <row r="10695" spans="38:38" x14ac:dyDescent="0.2">
      <c r="AL10695" s="177"/>
    </row>
    <row r="10696" spans="38:38" x14ac:dyDescent="0.2">
      <c r="AL10696" s="177"/>
    </row>
    <row r="10697" spans="38:38" x14ac:dyDescent="0.2">
      <c r="AL10697" s="177"/>
    </row>
    <row r="10698" spans="38:38" x14ac:dyDescent="0.2">
      <c r="AL10698" s="177"/>
    </row>
    <row r="10699" spans="38:38" x14ac:dyDescent="0.2">
      <c r="AL10699" s="177"/>
    </row>
    <row r="10700" spans="38:38" x14ac:dyDescent="0.2">
      <c r="AL10700" s="177"/>
    </row>
    <row r="10701" spans="38:38" x14ac:dyDescent="0.2">
      <c r="AL10701" s="177"/>
    </row>
    <row r="10702" spans="38:38" x14ac:dyDescent="0.2">
      <c r="AL10702" s="177"/>
    </row>
    <row r="10703" spans="38:38" x14ac:dyDescent="0.2">
      <c r="AL10703" s="177"/>
    </row>
    <row r="10704" spans="38:38" x14ac:dyDescent="0.2">
      <c r="AL10704" s="177"/>
    </row>
    <row r="10705" spans="38:38" x14ac:dyDescent="0.2">
      <c r="AL10705" s="177"/>
    </row>
    <row r="10706" spans="38:38" x14ac:dyDescent="0.2">
      <c r="AL10706" s="177"/>
    </row>
    <row r="10707" spans="38:38" x14ac:dyDescent="0.2">
      <c r="AL10707" s="177"/>
    </row>
    <row r="10708" spans="38:38" x14ac:dyDescent="0.2">
      <c r="AL10708" s="177"/>
    </row>
    <row r="10709" spans="38:38" x14ac:dyDescent="0.2">
      <c r="AL10709" s="177"/>
    </row>
    <row r="10710" spans="38:38" x14ac:dyDescent="0.2">
      <c r="AL10710" s="177"/>
    </row>
    <row r="10711" spans="38:38" x14ac:dyDescent="0.2">
      <c r="AL10711" s="177"/>
    </row>
    <row r="10712" spans="38:38" x14ac:dyDescent="0.2">
      <c r="AL10712" s="177"/>
    </row>
    <row r="10713" spans="38:38" x14ac:dyDescent="0.2">
      <c r="AL10713" s="177"/>
    </row>
    <row r="10714" spans="38:38" x14ac:dyDescent="0.2">
      <c r="AL10714" s="177"/>
    </row>
    <row r="10715" spans="38:38" x14ac:dyDescent="0.2">
      <c r="AL10715" s="177"/>
    </row>
    <row r="10716" spans="38:38" x14ac:dyDescent="0.2">
      <c r="AL10716" s="177"/>
    </row>
    <row r="10717" spans="38:38" x14ac:dyDescent="0.2">
      <c r="AL10717" s="177"/>
    </row>
    <row r="10718" spans="38:38" x14ac:dyDescent="0.2">
      <c r="AL10718" s="177"/>
    </row>
    <row r="10719" spans="38:38" x14ac:dyDescent="0.2">
      <c r="AL10719" s="177"/>
    </row>
    <row r="10720" spans="38:38" x14ac:dyDescent="0.2">
      <c r="AL10720" s="177"/>
    </row>
    <row r="10721" spans="38:38" x14ac:dyDescent="0.2">
      <c r="AL10721" s="177"/>
    </row>
    <row r="10722" spans="38:38" x14ac:dyDescent="0.2">
      <c r="AL10722" s="177"/>
    </row>
    <row r="10723" spans="38:38" x14ac:dyDescent="0.2">
      <c r="AL10723" s="177"/>
    </row>
    <row r="10724" spans="38:38" x14ac:dyDescent="0.2">
      <c r="AL10724" s="177"/>
    </row>
    <row r="10725" spans="38:38" x14ac:dyDescent="0.2">
      <c r="AL10725" s="177"/>
    </row>
    <row r="10726" spans="38:38" x14ac:dyDescent="0.2">
      <c r="AL10726" s="177"/>
    </row>
    <row r="10727" spans="38:38" x14ac:dyDescent="0.2">
      <c r="AL10727" s="177"/>
    </row>
    <row r="10728" spans="38:38" x14ac:dyDescent="0.2">
      <c r="AL10728" s="177"/>
    </row>
    <row r="10729" spans="38:38" x14ac:dyDescent="0.2">
      <c r="AL10729" s="177"/>
    </row>
    <row r="10730" spans="38:38" x14ac:dyDescent="0.2">
      <c r="AL10730" s="177"/>
    </row>
    <row r="10731" spans="38:38" x14ac:dyDescent="0.2">
      <c r="AL10731" s="177"/>
    </row>
    <row r="10732" spans="38:38" x14ac:dyDescent="0.2">
      <c r="AL10732" s="177"/>
    </row>
    <row r="10733" spans="38:38" x14ac:dyDescent="0.2">
      <c r="AL10733" s="177"/>
    </row>
    <row r="10734" spans="38:38" x14ac:dyDescent="0.2">
      <c r="AL10734" s="177"/>
    </row>
    <row r="10735" spans="38:38" x14ac:dyDescent="0.2">
      <c r="AL10735" s="177"/>
    </row>
    <row r="10736" spans="38:38" x14ac:dyDescent="0.2">
      <c r="AL10736" s="177"/>
    </row>
    <row r="10737" spans="38:38" x14ac:dyDescent="0.2">
      <c r="AL10737" s="177"/>
    </row>
    <row r="10738" spans="38:38" x14ac:dyDescent="0.2">
      <c r="AL10738" s="177"/>
    </row>
    <row r="10739" spans="38:38" x14ac:dyDescent="0.2">
      <c r="AL10739" s="177"/>
    </row>
    <row r="10740" spans="38:38" x14ac:dyDescent="0.2">
      <c r="AL10740" s="177"/>
    </row>
    <row r="10741" spans="38:38" x14ac:dyDescent="0.2">
      <c r="AL10741" s="177"/>
    </row>
    <row r="10742" spans="38:38" x14ac:dyDescent="0.2">
      <c r="AL10742" s="177"/>
    </row>
    <row r="10743" spans="38:38" x14ac:dyDescent="0.2">
      <c r="AL10743" s="177"/>
    </row>
    <row r="10744" spans="38:38" x14ac:dyDescent="0.2">
      <c r="AL10744" s="177"/>
    </row>
    <row r="10745" spans="38:38" x14ac:dyDescent="0.2">
      <c r="AL10745" s="177"/>
    </row>
    <row r="10746" spans="38:38" x14ac:dyDescent="0.2">
      <c r="AL10746" s="177"/>
    </row>
    <row r="10747" spans="38:38" x14ac:dyDescent="0.2">
      <c r="AL10747" s="177"/>
    </row>
    <row r="10748" spans="38:38" x14ac:dyDescent="0.2">
      <c r="AL10748" s="177"/>
    </row>
    <row r="10749" spans="38:38" x14ac:dyDescent="0.2">
      <c r="AL10749" s="177"/>
    </row>
    <row r="10750" spans="38:38" x14ac:dyDescent="0.2">
      <c r="AL10750" s="177"/>
    </row>
    <row r="10751" spans="38:38" x14ac:dyDescent="0.2">
      <c r="AL10751" s="177"/>
    </row>
    <row r="10752" spans="38:38" x14ac:dyDescent="0.2">
      <c r="AL10752" s="177"/>
    </row>
    <row r="10753" spans="38:38" x14ac:dyDescent="0.2">
      <c r="AL10753" s="177"/>
    </row>
    <row r="10754" spans="38:38" x14ac:dyDescent="0.2">
      <c r="AL10754" s="177"/>
    </row>
    <row r="10755" spans="38:38" x14ac:dyDescent="0.2">
      <c r="AL10755" s="177"/>
    </row>
    <row r="10756" spans="38:38" x14ac:dyDescent="0.2">
      <c r="AL10756" s="177"/>
    </row>
    <row r="10757" spans="38:38" x14ac:dyDescent="0.2">
      <c r="AL10757" s="177"/>
    </row>
    <row r="10758" spans="38:38" x14ac:dyDescent="0.2">
      <c r="AL10758" s="177"/>
    </row>
    <row r="10759" spans="38:38" x14ac:dyDescent="0.2">
      <c r="AL10759" s="177"/>
    </row>
    <row r="10760" spans="38:38" x14ac:dyDescent="0.2">
      <c r="AL10760" s="177"/>
    </row>
    <row r="10761" spans="38:38" x14ac:dyDescent="0.2">
      <c r="AL10761" s="177"/>
    </row>
    <row r="10762" spans="38:38" x14ac:dyDescent="0.2">
      <c r="AL10762" s="177"/>
    </row>
    <row r="10763" spans="38:38" x14ac:dyDescent="0.2">
      <c r="AL10763" s="177"/>
    </row>
    <row r="10764" spans="38:38" x14ac:dyDescent="0.2">
      <c r="AL10764" s="177"/>
    </row>
    <row r="10765" spans="38:38" x14ac:dyDescent="0.2">
      <c r="AL10765" s="177"/>
    </row>
    <row r="10766" spans="38:38" x14ac:dyDescent="0.2">
      <c r="AL10766" s="177"/>
    </row>
    <row r="10767" spans="38:38" x14ac:dyDescent="0.2">
      <c r="AL10767" s="177"/>
    </row>
    <row r="10768" spans="38:38" x14ac:dyDescent="0.2">
      <c r="AL10768" s="177"/>
    </row>
    <row r="10769" spans="38:38" x14ac:dyDescent="0.2">
      <c r="AL10769" s="177"/>
    </row>
    <row r="10770" spans="38:38" x14ac:dyDescent="0.2">
      <c r="AL10770" s="177"/>
    </row>
    <row r="10771" spans="38:38" x14ac:dyDescent="0.2">
      <c r="AL10771" s="177"/>
    </row>
    <row r="10772" spans="38:38" x14ac:dyDescent="0.2">
      <c r="AL10772" s="177"/>
    </row>
    <row r="10773" spans="38:38" x14ac:dyDescent="0.2">
      <c r="AL10773" s="177"/>
    </row>
    <row r="10774" spans="38:38" x14ac:dyDescent="0.2">
      <c r="AL10774" s="177"/>
    </row>
    <row r="10775" spans="38:38" x14ac:dyDescent="0.2">
      <c r="AL10775" s="177"/>
    </row>
    <row r="10776" spans="38:38" x14ac:dyDescent="0.2">
      <c r="AL10776" s="177"/>
    </row>
    <row r="10777" spans="38:38" x14ac:dyDescent="0.2">
      <c r="AL10777" s="177"/>
    </row>
    <row r="10778" spans="38:38" x14ac:dyDescent="0.2">
      <c r="AL10778" s="177"/>
    </row>
    <row r="10779" spans="38:38" x14ac:dyDescent="0.2">
      <c r="AL10779" s="177"/>
    </row>
    <row r="10780" spans="38:38" x14ac:dyDescent="0.2">
      <c r="AL10780" s="177"/>
    </row>
    <row r="10781" spans="38:38" x14ac:dyDescent="0.2">
      <c r="AL10781" s="177"/>
    </row>
    <row r="10782" spans="38:38" x14ac:dyDescent="0.2">
      <c r="AL10782" s="177"/>
    </row>
    <row r="10783" spans="38:38" x14ac:dyDescent="0.2">
      <c r="AL10783" s="177"/>
    </row>
    <row r="10784" spans="38:38" x14ac:dyDescent="0.2">
      <c r="AL10784" s="177"/>
    </row>
    <row r="10785" spans="38:38" x14ac:dyDescent="0.2">
      <c r="AL10785" s="177"/>
    </row>
    <row r="10786" spans="38:38" x14ac:dyDescent="0.2">
      <c r="AL10786" s="177"/>
    </row>
    <row r="10787" spans="38:38" x14ac:dyDescent="0.2">
      <c r="AL10787" s="177"/>
    </row>
    <row r="10788" spans="38:38" x14ac:dyDescent="0.2">
      <c r="AL10788" s="177"/>
    </row>
    <row r="10789" spans="38:38" x14ac:dyDescent="0.2">
      <c r="AL10789" s="177"/>
    </row>
    <row r="10790" spans="38:38" x14ac:dyDescent="0.2">
      <c r="AL10790" s="177"/>
    </row>
    <row r="10791" spans="38:38" x14ac:dyDescent="0.2">
      <c r="AL10791" s="177"/>
    </row>
    <row r="10792" spans="38:38" x14ac:dyDescent="0.2">
      <c r="AL10792" s="177"/>
    </row>
    <row r="10793" spans="38:38" x14ac:dyDescent="0.2">
      <c r="AL10793" s="177"/>
    </row>
    <row r="10794" spans="38:38" x14ac:dyDescent="0.2">
      <c r="AL10794" s="177"/>
    </row>
    <row r="10795" spans="38:38" x14ac:dyDescent="0.2">
      <c r="AL10795" s="177"/>
    </row>
    <row r="10796" spans="38:38" x14ac:dyDescent="0.2">
      <c r="AL10796" s="177"/>
    </row>
    <row r="10797" spans="38:38" x14ac:dyDescent="0.2">
      <c r="AL10797" s="177"/>
    </row>
    <row r="10798" spans="38:38" x14ac:dyDescent="0.2">
      <c r="AL10798" s="177"/>
    </row>
    <row r="10799" spans="38:38" x14ac:dyDescent="0.2">
      <c r="AL10799" s="177"/>
    </row>
    <row r="10800" spans="38:38" x14ac:dyDescent="0.2">
      <c r="AL10800" s="177"/>
    </row>
    <row r="10801" spans="38:38" x14ac:dyDescent="0.2">
      <c r="AL10801" s="177"/>
    </row>
    <row r="10802" spans="38:38" x14ac:dyDescent="0.2">
      <c r="AL10802" s="177"/>
    </row>
    <row r="10803" spans="38:38" x14ac:dyDescent="0.2">
      <c r="AL10803" s="177"/>
    </row>
    <row r="10804" spans="38:38" x14ac:dyDescent="0.2">
      <c r="AL10804" s="177"/>
    </row>
    <row r="10805" spans="38:38" x14ac:dyDescent="0.2">
      <c r="AL10805" s="177"/>
    </row>
    <row r="10806" spans="38:38" x14ac:dyDescent="0.2">
      <c r="AL10806" s="177"/>
    </row>
    <row r="10807" spans="38:38" x14ac:dyDescent="0.2">
      <c r="AL10807" s="177"/>
    </row>
    <row r="10808" spans="38:38" x14ac:dyDescent="0.2">
      <c r="AL10808" s="177"/>
    </row>
    <row r="10809" spans="38:38" x14ac:dyDescent="0.2">
      <c r="AL10809" s="177"/>
    </row>
    <row r="10810" spans="38:38" x14ac:dyDescent="0.2">
      <c r="AL10810" s="177"/>
    </row>
    <row r="10811" spans="38:38" x14ac:dyDescent="0.2">
      <c r="AL10811" s="177"/>
    </row>
    <row r="10812" spans="38:38" x14ac:dyDescent="0.2">
      <c r="AL10812" s="177"/>
    </row>
    <row r="10813" spans="38:38" x14ac:dyDescent="0.2">
      <c r="AL10813" s="177"/>
    </row>
    <row r="10814" spans="38:38" x14ac:dyDescent="0.2">
      <c r="AL10814" s="177"/>
    </row>
    <row r="10815" spans="38:38" x14ac:dyDescent="0.2">
      <c r="AL10815" s="177"/>
    </row>
    <row r="10816" spans="38:38" x14ac:dyDescent="0.2">
      <c r="AL10816" s="177"/>
    </row>
    <row r="10817" spans="38:38" x14ac:dyDescent="0.2">
      <c r="AL10817" s="177"/>
    </row>
    <row r="10818" spans="38:38" x14ac:dyDescent="0.2">
      <c r="AL10818" s="177"/>
    </row>
    <row r="10819" spans="38:38" x14ac:dyDescent="0.2">
      <c r="AL10819" s="177"/>
    </row>
    <row r="10820" spans="38:38" x14ac:dyDescent="0.2">
      <c r="AL10820" s="177"/>
    </row>
    <row r="10821" spans="38:38" x14ac:dyDescent="0.2">
      <c r="AL10821" s="177"/>
    </row>
    <row r="10822" spans="38:38" x14ac:dyDescent="0.2">
      <c r="AL10822" s="177"/>
    </row>
    <row r="10823" spans="38:38" x14ac:dyDescent="0.2">
      <c r="AL10823" s="177"/>
    </row>
    <row r="10824" spans="38:38" x14ac:dyDescent="0.2">
      <c r="AL10824" s="177"/>
    </row>
    <row r="10825" spans="38:38" x14ac:dyDescent="0.2">
      <c r="AL10825" s="177"/>
    </row>
    <row r="10826" spans="38:38" x14ac:dyDescent="0.2">
      <c r="AL10826" s="177"/>
    </row>
    <row r="10827" spans="38:38" x14ac:dyDescent="0.2">
      <c r="AL10827" s="177"/>
    </row>
    <row r="10828" spans="38:38" x14ac:dyDescent="0.2">
      <c r="AL10828" s="177"/>
    </row>
    <row r="10829" spans="38:38" x14ac:dyDescent="0.2">
      <c r="AL10829" s="177"/>
    </row>
    <row r="10830" spans="38:38" x14ac:dyDescent="0.2">
      <c r="AL10830" s="177"/>
    </row>
    <row r="10831" spans="38:38" x14ac:dyDescent="0.2">
      <c r="AL10831" s="177"/>
    </row>
    <row r="10832" spans="38:38" x14ac:dyDescent="0.2">
      <c r="AL10832" s="177"/>
    </row>
    <row r="10833" spans="38:38" x14ac:dyDescent="0.2">
      <c r="AL10833" s="177"/>
    </row>
    <row r="10834" spans="38:38" x14ac:dyDescent="0.2">
      <c r="AL10834" s="177"/>
    </row>
    <row r="10835" spans="38:38" x14ac:dyDescent="0.2">
      <c r="AL10835" s="177"/>
    </row>
    <row r="10836" spans="38:38" x14ac:dyDescent="0.2">
      <c r="AL10836" s="177"/>
    </row>
    <row r="10837" spans="38:38" x14ac:dyDescent="0.2">
      <c r="AL10837" s="177"/>
    </row>
    <row r="10838" spans="38:38" x14ac:dyDescent="0.2">
      <c r="AL10838" s="177"/>
    </row>
    <row r="10839" spans="38:38" x14ac:dyDescent="0.2">
      <c r="AL10839" s="177"/>
    </row>
    <row r="10840" spans="38:38" x14ac:dyDescent="0.2">
      <c r="AL10840" s="177"/>
    </row>
    <row r="10841" spans="38:38" x14ac:dyDescent="0.2">
      <c r="AL10841" s="177"/>
    </row>
    <row r="10842" spans="38:38" x14ac:dyDescent="0.2">
      <c r="AL10842" s="177"/>
    </row>
    <row r="10843" spans="38:38" x14ac:dyDescent="0.2">
      <c r="AL10843" s="177"/>
    </row>
    <row r="10844" spans="38:38" x14ac:dyDescent="0.2">
      <c r="AL10844" s="177"/>
    </row>
    <row r="10845" spans="38:38" x14ac:dyDescent="0.2">
      <c r="AL10845" s="177"/>
    </row>
    <row r="10846" spans="38:38" x14ac:dyDescent="0.2">
      <c r="AL10846" s="177"/>
    </row>
    <row r="10847" spans="38:38" x14ac:dyDescent="0.2">
      <c r="AL10847" s="177"/>
    </row>
    <row r="10848" spans="38:38" x14ac:dyDescent="0.2">
      <c r="AL10848" s="177"/>
    </row>
    <row r="10849" spans="38:38" x14ac:dyDescent="0.2">
      <c r="AL10849" s="177"/>
    </row>
    <row r="10850" spans="38:38" x14ac:dyDescent="0.2">
      <c r="AL10850" s="177"/>
    </row>
    <row r="10851" spans="38:38" x14ac:dyDescent="0.2">
      <c r="AL10851" s="177"/>
    </row>
    <row r="10852" spans="38:38" x14ac:dyDescent="0.2">
      <c r="AL10852" s="177"/>
    </row>
    <row r="10853" spans="38:38" x14ac:dyDescent="0.2">
      <c r="AL10853" s="177"/>
    </row>
    <row r="10854" spans="38:38" x14ac:dyDescent="0.2">
      <c r="AL10854" s="177"/>
    </row>
    <row r="10855" spans="38:38" x14ac:dyDescent="0.2">
      <c r="AL10855" s="177"/>
    </row>
    <row r="10856" spans="38:38" x14ac:dyDescent="0.2">
      <c r="AL10856" s="177"/>
    </row>
    <row r="10857" spans="38:38" x14ac:dyDescent="0.2">
      <c r="AL10857" s="177"/>
    </row>
    <row r="10858" spans="38:38" x14ac:dyDescent="0.2">
      <c r="AL10858" s="177"/>
    </row>
    <row r="10859" spans="38:38" x14ac:dyDescent="0.2">
      <c r="AL10859" s="177"/>
    </row>
    <row r="10860" spans="38:38" x14ac:dyDescent="0.2">
      <c r="AL10860" s="177"/>
    </row>
    <row r="10861" spans="38:38" x14ac:dyDescent="0.2">
      <c r="AL10861" s="177"/>
    </row>
    <row r="10862" spans="38:38" x14ac:dyDescent="0.2">
      <c r="AL10862" s="177"/>
    </row>
    <row r="10863" spans="38:38" x14ac:dyDescent="0.2">
      <c r="AL10863" s="177"/>
    </row>
    <row r="10864" spans="38:38" x14ac:dyDescent="0.2">
      <c r="AL10864" s="177"/>
    </row>
    <row r="10865" spans="38:38" x14ac:dyDescent="0.2">
      <c r="AL10865" s="177"/>
    </row>
    <row r="10866" spans="38:38" x14ac:dyDescent="0.2">
      <c r="AL10866" s="177"/>
    </row>
    <row r="10867" spans="38:38" x14ac:dyDescent="0.2">
      <c r="AL10867" s="177"/>
    </row>
    <row r="10868" spans="38:38" x14ac:dyDescent="0.2">
      <c r="AL10868" s="177"/>
    </row>
    <row r="10869" spans="38:38" x14ac:dyDescent="0.2">
      <c r="AL10869" s="177"/>
    </row>
    <row r="10870" spans="38:38" x14ac:dyDescent="0.2">
      <c r="AL10870" s="177"/>
    </row>
    <row r="10871" spans="38:38" x14ac:dyDescent="0.2">
      <c r="AL10871" s="177"/>
    </row>
    <row r="10872" spans="38:38" x14ac:dyDescent="0.2">
      <c r="AL10872" s="177"/>
    </row>
    <row r="10873" spans="38:38" x14ac:dyDescent="0.2">
      <c r="AL10873" s="177"/>
    </row>
    <row r="10874" spans="38:38" x14ac:dyDescent="0.2">
      <c r="AL10874" s="177"/>
    </row>
    <row r="10875" spans="38:38" x14ac:dyDescent="0.2">
      <c r="AL10875" s="177"/>
    </row>
    <row r="10876" spans="38:38" x14ac:dyDescent="0.2">
      <c r="AL10876" s="177"/>
    </row>
    <row r="10877" spans="38:38" x14ac:dyDescent="0.2">
      <c r="AL10877" s="177"/>
    </row>
    <row r="10878" spans="38:38" x14ac:dyDescent="0.2">
      <c r="AL10878" s="177"/>
    </row>
    <row r="10879" spans="38:38" x14ac:dyDescent="0.2">
      <c r="AL10879" s="177"/>
    </row>
    <row r="10880" spans="38:38" x14ac:dyDescent="0.2">
      <c r="AL10880" s="177"/>
    </row>
    <row r="10881" spans="38:38" x14ac:dyDescent="0.2">
      <c r="AL10881" s="177"/>
    </row>
    <row r="10882" spans="38:38" x14ac:dyDescent="0.2">
      <c r="AL10882" s="177"/>
    </row>
    <row r="10883" spans="38:38" x14ac:dyDescent="0.2">
      <c r="AL10883" s="177"/>
    </row>
    <row r="10884" spans="38:38" x14ac:dyDescent="0.2">
      <c r="AL10884" s="177"/>
    </row>
    <row r="10885" spans="38:38" x14ac:dyDescent="0.2">
      <c r="AL10885" s="177"/>
    </row>
    <row r="10886" spans="38:38" x14ac:dyDescent="0.2">
      <c r="AL10886" s="177"/>
    </row>
    <row r="10887" spans="38:38" x14ac:dyDescent="0.2">
      <c r="AL10887" s="177"/>
    </row>
    <row r="10888" spans="38:38" x14ac:dyDescent="0.2">
      <c r="AL10888" s="177"/>
    </row>
    <row r="10889" spans="38:38" x14ac:dyDescent="0.2">
      <c r="AL10889" s="177"/>
    </row>
    <row r="10890" spans="38:38" x14ac:dyDescent="0.2">
      <c r="AL10890" s="177"/>
    </row>
    <row r="10891" spans="38:38" x14ac:dyDescent="0.2">
      <c r="AL10891" s="177"/>
    </row>
    <row r="10892" spans="38:38" x14ac:dyDescent="0.2">
      <c r="AL10892" s="177"/>
    </row>
    <row r="10893" spans="38:38" x14ac:dyDescent="0.2">
      <c r="AL10893" s="177"/>
    </row>
    <row r="10894" spans="38:38" x14ac:dyDescent="0.2">
      <c r="AL10894" s="177"/>
    </row>
    <row r="10895" spans="38:38" x14ac:dyDescent="0.2">
      <c r="AL10895" s="177"/>
    </row>
    <row r="10896" spans="38:38" x14ac:dyDescent="0.2">
      <c r="AL10896" s="177"/>
    </row>
    <row r="10897" spans="38:38" x14ac:dyDescent="0.2">
      <c r="AL10897" s="177"/>
    </row>
    <row r="10898" spans="38:38" x14ac:dyDescent="0.2">
      <c r="AL10898" s="177"/>
    </row>
    <row r="10899" spans="38:38" x14ac:dyDescent="0.2">
      <c r="AL10899" s="177"/>
    </row>
    <row r="10900" spans="38:38" x14ac:dyDescent="0.2">
      <c r="AL10900" s="177"/>
    </row>
    <row r="10901" spans="38:38" x14ac:dyDescent="0.2">
      <c r="AL10901" s="177"/>
    </row>
    <row r="10902" spans="38:38" x14ac:dyDescent="0.2">
      <c r="AL10902" s="177"/>
    </row>
    <row r="10903" spans="38:38" x14ac:dyDescent="0.2">
      <c r="AL10903" s="177"/>
    </row>
    <row r="10904" spans="38:38" x14ac:dyDescent="0.2">
      <c r="AL10904" s="177"/>
    </row>
    <row r="10905" spans="38:38" x14ac:dyDescent="0.2">
      <c r="AL10905" s="177"/>
    </row>
    <row r="10906" spans="38:38" x14ac:dyDescent="0.2">
      <c r="AL10906" s="177"/>
    </row>
    <row r="10907" spans="38:38" x14ac:dyDescent="0.2">
      <c r="AL10907" s="177"/>
    </row>
    <row r="10908" spans="38:38" x14ac:dyDescent="0.2">
      <c r="AL10908" s="177"/>
    </row>
    <row r="10909" spans="38:38" x14ac:dyDescent="0.2">
      <c r="AL10909" s="177"/>
    </row>
    <row r="10910" spans="38:38" x14ac:dyDescent="0.2">
      <c r="AL10910" s="177"/>
    </row>
    <row r="10911" spans="38:38" x14ac:dyDescent="0.2">
      <c r="AL10911" s="177"/>
    </row>
    <row r="10912" spans="38:38" x14ac:dyDescent="0.2">
      <c r="AL10912" s="177"/>
    </row>
    <row r="10913" spans="38:38" x14ac:dyDescent="0.2">
      <c r="AL10913" s="177"/>
    </row>
    <row r="10914" spans="38:38" x14ac:dyDescent="0.2">
      <c r="AL10914" s="177"/>
    </row>
    <row r="10915" spans="38:38" x14ac:dyDescent="0.2">
      <c r="AL10915" s="177"/>
    </row>
    <row r="10916" spans="38:38" x14ac:dyDescent="0.2">
      <c r="AL10916" s="177"/>
    </row>
    <row r="10917" spans="38:38" x14ac:dyDescent="0.2">
      <c r="AL10917" s="177"/>
    </row>
    <row r="10918" spans="38:38" x14ac:dyDescent="0.2">
      <c r="AL10918" s="177"/>
    </row>
    <row r="10919" spans="38:38" x14ac:dyDescent="0.2">
      <c r="AL10919" s="177"/>
    </row>
    <row r="10920" spans="38:38" x14ac:dyDescent="0.2">
      <c r="AL10920" s="177"/>
    </row>
    <row r="10921" spans="38:38" x14ac:dyDescent="0.2">
      <c r="AL10921" s="177"/>
    </row>
    <row r="10922" spans="38:38" x14ac:dyDescent="0.2">
      <c r="AL10922" s="177"/>
    </row>
    <row r="10923" spans="38:38" x14ac:dyDescent="0.2">
      <c r="AL10923" s="177"/>
    </row>
    <row r="10924" spans="38:38" x14ac:dyDescent="0.2">
      <c r="AL10924" s="177"/>
    </row>
    <row r="10925" spans="38:38" x14ac:dyDescent="0.2">
      <c r="AL10925" s="177"/>
    </row>
    <row r="10926" spans="38:38" x14ac:dyDescent="0.2">
      <c r="AL10926" s="177"/>
    </row>
    <row r="10927" spans="38:38" x14ac:dyDescent="0.2">
      <c r="AL10927" s="177"/>
    </row>
    <row r="10928" spans="38:38" x14ac:dyDescent="0.2">
      <c r="AL10928" s="177"/>
    </row>
    <row r="10929" spans="38:38" x14ac:dyDescent="0.2">
      <c r="AL10929" s="177"/>
    </row>
    <row r="10930" spans="38:38" x14ac:dyDescent="0.2">
      <c r="AL10930" s="177"/>
    </row>
    <row r="10931" spans="38:38" x14ac:dyDescent="0.2">
      <c r="AL10931" s="177"/>
    </row>
    <row r="10932" spans="38:38" x14ac:dyDescent="0.2">
      <c r="AL10932" s="177"/>
    </row>
    <row r="10933" spans="38:38" x14ac:dyDescent="0.2">
      <c r="AL10933" s="177"/>
    </row>
    <row r="10934" spans="38:38" x14ac:dyDescent="0.2">
      <c r="AL10934" s="177"/>
    </row>
    <row r="10935" spans="38:38" x14ac:dyDescent="0.2">
      <c r="AL10935" s="177"/>
    </row>
    <row r="10936" spans="38:38" x14ac:dyDescent="0.2">
      <c r="AL10936" s="177"/>
    </row>
    <row r="10937" spans="38:38" x14ac:dyDescent="0.2">
      <c r="AL10937" s="177"/>
    </row>
    <row r="10938" spans="38:38" x14ac:dyDescent="0.2">
      <c r="AL10938" s="177"/>
    </row>
    <row r="10939" spans="38:38" x14ac:dyDescent="0.2">
      <c r="AL10939" s="177"/>
    </row>
    <row r="10940" spans="38:38" x14ac:dyDescent="0.2">
      <c r="AL10940" s="177"/>
    </row>
    <row r="10941" spans="38:38" x14ac:dyDescent="0.2">
      <c r="AL10941" s="177"/>
    </row>
    <row r="10942" spans="38:38" x14ac:dyDescent="0.2">
      <c r="AL10942" s="177"/>
    </row>
    <row r="10943" spans="38:38" x14ac:dyDescent="0.2">
      <c r="AL10943" s="177"/>
    </row>
    <row r="10944" spans="38:38" x14ac:dyDescent="0.2">
      <c r="AL10944" s="177"/>
    </row>
    <row r="10945" spans="38:38" x14ac:dyDescent="0.2">
      <c r="AL10945" s="177"/>
    </row>
    <row r="10946" spans="38:38" x14ac:dyDescent="0.2">
      <c r="AL10946" s="177"/>
    </row>
    <row r="10947" spans="38:38" x14ac:dyDescent="0.2">
      <c r="AL10947" s="177"/>
    </row>
    <row r="10948" spans="38:38" x14ac:dyDescent="0.2">
      <c r="AL10948" s="177"/>
    </row>
    <row r="10949" spans="38:38" x14ac:dyDescent="0.2">
      <c r="AL10949" s="177"/>
    </row>
    <row r="10950" spans="38:38" x14ac:dyDescent="0.2">
      <c r="AL10950" s="177"/>
    </row>
    <row r="10951" spans="38:38" x14ac:dyDescent="0.2">
      <c r="AL10951" s="177"/>
    </row>
    <row r="10952" spans="38:38" x14ac:dyDescent="0.2">
      <c r="AL10952" s="177"/>
    </row>
    <row r="10953" spans="38:38" x14ac:dyDescent="0.2">
      <c r="AL10953" s="177"/>
    </row>
    <row r="10954" spans="38:38" x14ac:dyDescent="0.2">
      <c r="AL10954" s="177"/>
    </row>
    <row r="10955" spans="38:38" x14ac:dyDescent="0.2">
      <c r="AL10955" s="177"/>
    </row>
    <row r="10956" spans="38:38" x14ac:dyDescent="0.2">
      <c r="AL10956" s="177"/>
    </row>
    <row r="10957" spans="38:38" x14ac:dyDescent="0.2">
      <c r="AL10957" s="177"/>
    </row>
    <row r="10958" spans="38:38" x14ac:dyDescent="0.2">
      <c r="AL10958" s="177"/>
    </row>
    <row r="10959" spans="38:38" x14ac:dyDescent="0.2">
      <c r="AL10959" s="177"/>
    </row>
    <row r="10960" spans="38:38" x14ac:dyDescent="0.2">
      <c r="AL10960" s="177"/>
    </row>
    <row r="10961" spans="38:38" x14ac:dyDescent="0.2">
      <c r="AL10961" s="177"/>
    </row>
    <row r="10962" spans="38:38" x14ac:dyDescent="0.2">
      <c r="AL10962" s="177"/>
    </row>
    <row r="10963" spans="38:38" x14ac:dyDescent="0.2">
      <c r="AL10963" s="177"/>
    </row>
    <row r="10964" spans="38:38" x14ac:dyDescent="0.2">
      <c r="AL10964" s="177"/>
    </row>
    <row r="10965" spans="38:38" x14ac:dyDescent="0.2">
      <c r="AL10965" s="177"/>
    </row>
    <row r="10966" spans="38:38" x14ac:dyDescent="0.2">
      <c r="AL10966" s="177"/>
    </row>
    <row r="10967" spans="38:38" x14ac:dyDescent="0.2">
      <c r="AL10967" s="177"/>
    </row>
    <row r="10968" spans="38:38" x14ac:dyDescent="0.2">
      <c r="AL10968" s="177"/>
    </row>
    <row r="10969" spans="38:38" x14ac:dyDescent="0.2">
      <c r="AL10969" s="177"/>
    </row>
    <row r="10970" spans="38:38" x14ac:dyDescent="0.2">
      <c r="AL10970" s="177"/>
    </row>
    <row r="10971" spans="38:38" x14ac:dyDescent="0.2">
      <c r="AL10971" s="177"/>
    </row>
    <row r="10972" spans="38:38" x14ac:dyDescent="0.2">
      <c r="AL10972" s="177"/>
    </row>
    <row r="10973" spans="38:38" x14ac:dyDescent="0.2">
      <c r="AL10973" s="177"/>
    </row>
    <row r="10974" spans="38:38" x14ac:dyDescent="0.2">
      <c r="AL10974" s="177"/>
    </row>
    <row r="10975" spans="38:38" x14ac:dyDescent="0.2">
      <c r="AL10975" s="177"/>
    </row>
    <row r="10976" spans="38:38" x14ac:dyDescent="0.2">
      <c r="AL10976" s="177"/>
    </row>
    <row r="10977" spans="38:38" x14ac:dyDescent="0.2">
      <c r="AL10977" s="177"/>
    </row>
    <row r="10978" spans="38:38" x14ac:dyDescent="0.2">
      <c r="AL10978" s="177"/>
    </row>
    <row r="10979" spans="38:38" x14ac:dyDescent="0.2">
      <c r="AL10979" s="177"/>
    </row>
    <row r="10980" spans="38:38" x14ac:dyDescent="0.2">
      <c r="AL10980" s="177"/>
    </row>
    <row r="10981" spans="38:38" x14ac:dyDescent="0.2">
      <c r="AL10981" s="177"/>
    </row>
    <row r="10982" spans="38:38" x14ac:dyDescent="0.2">
      <c r="AL10982" s="177"/>
    </row>
    <row r="10983" spans="38:38" x14ac:dyDescent="0.2">
      <c r="AL10983" s="177"/>
    </row>
    <row r="10984" spans="38:38" x14ac:dyDescent="0.2">
      <c r="AL10984" s="177"/>
    </row>
    <row r="10985" spans="38:38" x14ac:dyDescent="0.2">
      <c r="AL10985" s="177"/>
    </row>
    <row r="10986" spans="38:38" x14ac:dyDescent="0.2">
      <c r="AL10986" s="177"/>
    </row>
    <row r="10987" spans="38:38" x14ac:dyDescent="0.2">
      <c r="AL10987" s="177"/>
    </row>
    <row r="10988" spans="38:38" x14ac:dyDescent="0.2">
      <c r="AL10988" s="177"/>
    </row>
    <row r="10989" spans="38:38" x14ac:dyDescent="0.2">
      <c r="AL10989" s="177"/>
    </row>
    <row r="10990" spans="38:38" x14ac:dyDescent="0.2">
      <c r="AL10990" s="177"/>
    </row>
    <row r="10991" spans="38:38" x14ac:dyDescent="0.2">
      <c r="AL10991" s="177"/>
    </row>
    <row r="10992" spans="38:38" x14ac:dyDescent="0.2">
      <c r="AL10992" s="177"/>
    </row>
    <row r="10993" spans="38:38" x14ac:dyDescent="0.2">
      <c r="AL10993" s="177"/>
    </row>
    <row r="10994" spans="38:38" x14ac:dyDescent="0.2">
      <c r="AL10994" s="177"/>
    </row>
    <row r="10995" spans="38:38" x14ac:dyDescent="0.2">
      <c r="AL10995" s="177"/>
    </row>
    <row r="10996" spans="38:38" x14ac:dyDescent="0.2">
      <c r="AL10996" s="177"/>
    </row>
    <row r="10997" spans="38:38" x14ac:dyDescent="0.2">
      <c r="AL10997" s="177"/>
    </row>
    <row r="10998" spans="38:38" x14ac:dyDescent="0.2">
      <c r="AL10998" s="177"/>
    </row>
    <row r="10999" spans="38:38" x14ac:dyDescent="0.2">
      <c r="AL10999" s="177"/>
    </row>
    <row r="11000" spans="38:38" x14ac:dyDescent="0.2">
      <c r="AL11000" s="177"/>
    </row>
    <row r="11001" spans="38:38" x14ac:dyDescent="0.2">
      <c r="AL11001" s="177"/>
    </row>
    <row r="11002" spans="38:38" x14ac:dyDescent="0.2">
      <c r="AL11002" s="177"/>
    </row>
    <row r="11003" spans="38:38" x14ac:dyDescent="0.2">
      <c r="AL11003" s="177"/>
    </row>
    <row r="11004" spans="38:38" x14ac:dyDescent="0.2">
      <c r="AL11004" s="177"/>
    </row>
    <row r="11005" spans="38:38" x14ac:dyDescent="0.2">
      <c r="AL11005" s="177"/>
    </row>
    <row r="11006" spans="38:38" x14ac:dyDescent="0.2">
      <c r="AL11006" s="177"/>
    </row>
    <row r="11007" spans="38:38" x14ac:dyDescent="0.2">
      <c r="AL11007" s="177"/>
    </row>
    <row r="11008" spans="38:38" x14ac:dyDescent="0.2">
      <c r="AL11008" s="177"/>
    </row>
    <row r="11009" spans="38:38" x14ac:dyDescent="0.2">
      <c r="AL11009" s="177"/>
    </row>
    <row r="11010" spans="38:38" x14ac:dyDescent="0.2">
      <c r="AL11010" s="177"/>
    </row>
    <row r="11011" spans="38:38" x14ac:dyDescent="0.2">
      <c r="AL11011" s="177"/>
    </row>
    <row r="11012" spans="38:38" x14ac:dyDescent="0.2">
      <c r="AL11012" s="177"/>
    </row>
    <row r="11013" spans="38:38" x14ac:dyDescent="0.2">
      <c r="AL11013" s="177"/>
    </row>
    <row r="11014" spans="38:38" x14ac:dyDescent="0.2">
      <c r="AL11014" s="177"/>
    </row>
    <row r="11015" spans="38:38" x14ac:dyDescent="0.2">
      <c r="AL11015" s="177"/>
    </row>
    <row r="11016" spans="38:38" x14ac:dyDescent="0.2">
      <c r="AL11016" s="177"/>
    </row>
    <row r="11017" spans="38:38" x14ac:dyDescent="0.2">
      <c r="AL11017" s="177"/>
    </row>
    <row r="11018" spans="38:38" x14ac:dyDescent="0.2">
      <c r="AL11018" s="177"/>
    </row>
    <row r="11019" spans="38:38" x14ac:dyDescent="0.2">
      <c r="AL11019" s="177"/>
    </row>
    <row r="11020" spans="38:38" x14ac:dyDescent="0.2">
      <c r="AL11020" s="177"/>
    </row>
    <row r="11021" spans="38:38" x14ac:dyDescent="0.2">
      <c r="AL11021" s="177"/>
    </row>
    <row r="11022" spans="38:38" x14ac:dyDescent="0.2">
      <c r="AL11022" s="177"/>
    </row>
    <row r="11023" spans="38:38" x14ac:dyDescent="0.2">
      <c r="AL11023" s="177"/>
    </row>
    <row r="11024" spans="38:38" x14ac:dyDescent="0.2">
      <c r="AL11024" s="177"/>
    </row>
    <row r="11025" spans="38:38" x14ac:dyDescent="0.2">
      <c r="AL11025" s="177"/>
    </row>
    <row r="11026" spans="38:38" x14ac:dyDescent="0.2">
      <c r="AL11026" s="177"/>
    </row>
    <row r="11027" spans="38:38" x14ac:dyDescent="0.2">
      <c r="AL11027" s="177"/>
    </row>
    <row r="11028" spans="38:38" x14ac:dyDescent="0.2">
      <c r="AL11028" s="177"/>
    </row>
    <row r="11029" spans="38:38" x14ac:dyDescent="0.2">
      <c r="AL11029" s="177"/>
    </row>
    <row r="11030" spans="38:38" x14ac:dyDescent="0.2">
      <c r="AL11030" s="177"/>
    </row>
    <row r="11031" spans="38:38" x14ac:dyDescent="0.2">
      <c r="AL11031" s="177"/>
    </row>
    <row r="11032" spans="38:38" x14ac:dyDescent="0.2">
      <c r="AL11032" s="177"/>
    </row>
    <row r="11033" spans="38:38" x14ac:dyDescent="0.2">
      <c r="AL11033" s="177"/>
    </row>
    <row r="11034" spans="38:38" x14ac:dyDescent="0.2">
      <c r="AL11034" s="177"/>
    </row>
    <row r="11035" spans="38:38" x14ac:dyDescent="0.2">
      <c r="AL11035" s="177"/>
    </row>
    <row r="11036" spans="38:38" x14ac:dyDescent="0.2">
      <c r="AL11036" s="177"/>
    </row>
    <row r="11037" spans="38:38" x14ac:dyDescent="0.2">
      <c r="AL11037" s="177"/>
    </row>
    <row r="11038" spans="38:38" x14ac:dyDescent="0.2">
      <c r="AL11038" s="177"/>
    </row>
    <row r="11039" spans="38:38" x14ac:dyDescent="0.2">
      <c r="AL11039" s="177"/>
    </row>
    <row r="11040" spans="38:38" x14ac:dyDescent="0.2">
      <c r="AL11040" s="177"/>
    </row>
    <row r="11041" spans="38:38" x14ac:dyDescent="0.2">
      <c r="AL11041" s="177"/>
    </row>
    <row r="11042" spans="38:38" x14ac:dyDescent="0.2">
      <c r="AL11042" s="177"/>
    </row>
    <row r="11043" spans="38:38" x14ac:dyDescent="0.2">
      <c r="AL11043" s="177"/>
    </row>
    <row r="11044" spans="38:38" x14ac:dyDescent="0.2">
      <c r="AL11044" s="177"/>
    </row>
    <row r="11045" spans="38:38" x14ac:dyDescent="0.2">
      <c r="AL11045" s="177"/>
    </row>
    <row r="11046" spans="38:38" x14ac:dyDescent="0.2">
      <c r="AL11046" s="177"/>
    </row>
    <row r="11047" spans="38:38" x14ac:dyDescent="0.2">
      <c r="AL11047" s="177"/>
    </row>
    <row r="11048" spans="38:38" x14ac:dyDescent="0.2">
      <c r="AL11048" s="177"/>
    </row>
    <row r="11049" spans="38:38" x14ac:dyDescent="0.2">
      <c r="AL11049" s="177"/>
    </row>
    <row r="11050" spans="38:38" x14ac:dyDescent="0.2">
      <c r="AL11050" s="177"/>
    </row>
    <row r="11051" spans="38:38" x14ac:dyDescent="0.2">
      <c r="AL11051" s="177"/>
    </row>
    <row r="11052" spans="38:38" x14ac:dyDescent="0.2">
      <c r="AL11052" s="177"/>
    </row>
    <row r="11053" spans="38:38" x14ac:dyDescent="0.2">
      <c r="AL11053" s="177"/>
    </row>
    <row r="11054" spans="38:38" x14ac:dyDescent="0.2">
      <c r="AL11054" s="177"/>
    </row>
    <row r="11055" spans="38:38" x14ac:dyDescent="0.2">
      <c r="AL11055" s="177"/>
    </row>
    <row r="11056" spans="38:38" x14ac:dyDescent="0.2">
      <c r="AL11056" s="177"/>
    </row>
    <row r="11057" spans="38:38" x14ac:dyDescent="0.2">
      <c r="AL11057" s="177"/>
    </row>
    <row r="11058" spans="38:38" x14ac:dyDescent="0.2">
      <c r="AL11058" s="177"/>
    </row>
    <row r="11059" spans="38:38" x14ac:dyDescent="0.2">
      <c r="AL11059" s="177"/>
    </row>
    <row r="11060" spans="38:38" x14ac:dyDescent="0.2">
      <c r="AL11060" s="177"/>
    </row>
    <row r="11061" spans="38:38" x14ac:dyDescent="0.2">
      <c r="AL11061" s="177"/>
    </row>
    <row r="11062" spans="38:38" x14ac:dyDescent="0.2">
      <c r="AL11062" s="177"/>
    </row>
    <row r="11063" spans="38:38" x14ac:dyDescent="0.2">
      <c r="AL11063" s="177"/>
    </row>
    <row r="11064" spans="38:38" x14ac:dyDescent="0.2">
      <c r="AL11064" s="177"/>
    </row>
    <row r="11065" spans="38:38" x14ac:dyDescent="0.2">
      <c r="AL11065" s="177"/>
    </row>
    <row r="11066" spans="38:38" x14ac:dyDescent="0.2">
      <c r="AL11066" s="177"/>
    </row>
    <row r="11067" spans="38:38" x14ac:dyDescent="0.2">
      <c r="AL11067" s="177"/>
    </row>
    <row r="11068" spans="38:38" x14ac:dyDescent="0.2">
      <c r="AL11068" s="177"/>
    </row>
    <row r="11069" spans="38:38" x14ac:dyDescent="0.2">
      <c r="AL11069" s="177"/>
    </row>
    <row r="11070" spans="38:38" x14ac:dyDescent="0.2">
      <c r="AL11070" s="177"/>
    </row>
    <row r="11071" spans="38:38" x14ac:dyDescent="0.2">
      <c r="AL11071" s="177"/>
    </row>
    <row r="11072" spans="38:38" x14ac:dyDescent="0.2">
      <c r="AL11072" s="177"/>
    </row>
    <row r="11073" spans="38:38" x14ac:dyDescent="0.2">
      <c r="AL11073" s="177"/>
    </row>
    <row r="11074" spans="38:38" x14ac:dyDescent="0.2">
      <c r="AL11074" s="177"/>
    </row>
    <row r="11075" spans="38:38" x14ac:dyDescent="0.2">
      <c r="AL11075" s="177"/>
    </row>
    <row r="11076" spans="38:38" x14ac:dyDescent="0.2">
      <c r="AL11076" s="177"/>
    </row>
    <row r="11077" spans="38:38" x14ac:dyDescent="0.2">
      <c r="AL11077" s="177"/>
    </row>
    <row r="11078" spans="38:38" x14ac:dyDescent="0.2">
      <c r="AL11078" s="177"/>
    </row>
    <row r="11079" spans="38:38" x14ac:dyDescent="0.2">
      <c r="AL11079" s="177"/>
    </row>
    <row r="11080" spans="38:38" x14ac:dyDescent="0.2">
      <c r="AL11080" s="177"/>
    </row>
    <row r="11081" spans="38:38" x14ac:dyDescent="0.2">
      <c r="AL11081" s="177"/>
    </row>
    <row r="11082" spans="38:38" x14ac:dyDescent="0.2">
      <c r="AL11082" s="177"/>
    </row>
    <row r="11083" spans="38:38" x14ac:dyDescent="0.2">
      <c r="AL11083" s="177"/>
    </row>
    <row r="11084" spans="38:38" x14ac:dyDescent="0.2">
      <c r="AL11084" s="177"/>
    </row>
    <row r="11085" spans="38:38" x14ac:dyDescent="0.2">
      <c r="AL11085" s="177"/>
    </row>
    <row r="11086" spans="38:38" x14ac:dyDescent="0.2">
      <c r="AL11086" s="177"/>
    </row>
    <row r="11087" spans="38:38" x14ac:dyDescent="0.2">
      <c r="AL11087" s="177"/>
    </row>
    <row r="11088" spans="38:38" x14ac:dyDescent="0.2">
      <c r="AL11088" s="177"/>
    </row>
    <row r="11089" spans="38:38" x14ac:dyDescent="0.2">
      <c r="AL11089" s="177"/>
    </row>
    <row r="11090" spans="38:38" x14ac:dyDescent="0.2">
      <c r="AL11090" s="177"/>
    </row>
    <row r="11091" spans="38:38" x14ac:dyDescent="0.2">
      <c r="AL11091" s="177"/>
    </row>
    <row r="11092" spans="38:38" x14ac:dyDescent="0.2">
      <c r="AL11092" s="177"/>
    </row>
    <row r="11093" spans="38:38" x14ac:dyDescent="0.2">
      <c r="AL11093" s="177"/>
    </row>
    <row r="11094" spans="38:38" x14ac:dyDescent="0.2">
      <c r="AL11094" s="177"/>
    </row>
    <row r="11095" spans="38:38" x14ac:dyDescent="0.2">
      <c r="AL11095" s="177"/>
    </row>
    <row r="11096" spans="38:38" x14ac:dyDescent="0.2">
      <c r="AL11096" s="177"/>
    </row>
    <row r="11097" spans="38:38" x14ac:dyDescent="0.2">
      <c r="AL11097" s="177"/>
    </row>
    <row r="11098" spans="38:38" x14ac:dyDescent="0.2">
      <c r="AL11098" s="177"/>
    </row>
    <row r="11099" spans="38:38" x14ac:dyDescent="0.2">
      <c r="AL11099" s="177"/>
    </row>
    <row r="11100" spans="38:38" x14ac:dyDescent="0.2">
      <c r="AL11100" s="177"/>
    </row>
    <row r="11101" spans="38:38" x14ac:dyDescent="0.2">
      <c r="AL11101" s="177"/>
    </row>
    <row r="11102" spans="38:38" x14ac:dyDescent="0.2">
      <c r="AL11102" s="177"/>
    </row>
    <row r="11103" spans="38:38" x14ac:dyDescent="0.2">
      <c r="AL11103" s="177"/>
    </row>
    <row r="11104" spans="38:38" x14ac:dyDescent="0.2">
      <c r="AL11104" s="177"/>
    </row>
    <row r="11105" spans="38:38" x14ac:dyDescent="0.2">
      <c r="AL11105" s="177"/>
    </row>
    <row r="11106" spans="38:38" x14ac:dyDescent="0.2">
      <c r="AL11106" s="177"/>
    </row>
    <row r="11107" spans="38:38" x14ac:dyDescent="0.2">
      <c r="AL11107" s="177"/>
    </row>
    <row r="11108" spans="38:38" x14ac:dyDescent="0.2">
      <c r="AL11108" s="177"/>
    </row>
    <row r="11109" spans="38:38" x14ac:dyDescent="0.2">
      <c r="AL11109" s="177"/>
    </row>
    <row r="11110" spans="38:38" x14ac:dyDescent="0.2">
      <c r="AL11110" s="177"/>
    </row>
    <row r="11111" spans="38:38" x14ac:dyDescent="0.2">
      <c r="AL11111" s="177"/>
    </row>
    <row r="11112" spans="38:38" x14ac:dyDescent="0.2">
      <c r="AL11112" s="177"/>
    </row>
    <row r="11113" spans="38:38" x14ac:dyDescent="0.2">
      <c r="AL11113" s="177"/>
    </row>
    <row r="11114" spans="38:38" x14ac:dyDescent="0.2">
      <c r="AL11114" s="177"/>
    </row>
    <row r="11115" spans="38:38" x14ac:dyDescent="0.2">
      <c r="AL11115" s="177"/>
    </row>
    <row r="11116" spans="38:38" x14ac:dyDescent="0.2">
      <c r="AL11116" s="177"/>
    </row>
    <row r="11117" spans="38:38" x14ac:dyDescent="0.2">
      <c r="AL11117" s="177"/>
    </row>
    <row r="11118" spans="38:38" x14ac:dyDescent="0.2">
      <c r="AL11118" s="177"/>
    </row>
    <row r="11119" spans="38:38" x14ac:dyDescent="0.2">
      <c r="AL11119" s="177"/>
    </row>
    <row r="11120" spans="38:38" x14ac:dyDescent="0.2">
      <c r="AL11120" s="177"/>
    </row>
    <row r="11121" spans="38:38" x14ac:dyDescent="0.2">
      <c r="AL11121" s="177"/>
    </row>
    <row r="11122" spans="38:38" x14ac:dyDescent="0.2">
      <c r="AL11122" s="177"/>
    </row>
    <row r="11123" spans="38:38" x14ac:dyDescent="0.2">
      <c r="AL11123" s="177"/>
    </row>
    <row r="11124" spans="38:38" x14ac:dyDescent="0.2">
      <c r="AL11124" s="177"/>
    </row>
    <row r="11125" spans="38:38" x14ac:dyDescent="0.2">
      <c r="AL11125" s="177"/>
    </row>
    <row r="11126" spans="38:38" x14ac:dyDescent="0.2">
      <c r="AL11126" s="177"/>
    </row>
    <row r="11127" spans="38:38" x14ac:dyDescent="0.2">
      <c r="AL11127" s="177"/>
    </row>
    <row r="11128" spans="38:38" x14ac:dyDescent="0.2">
      <c r="AL11128" s="177"/>
    </row>
    <row r="11129" spans="38:38" x14ac:dyDescent="0.2">
      <c r="AL11129" s="177"/>
    </row>
    <row r="11130" spans="38:38" x14ac:dyDescent="0.2">
      <c r="AL11130" s="177"/>
    </row>
    <row r="11131" spans="38:38" x14ac:dyDescent="0.2">
      <c r="AL11131" s="177"/>
    </row>
    <row r="11132" spans="38:38" x14ac:dyDescent="0.2">
      <c r="AL11132" s="177"/>
    </row>
    <row r="11133" spans="38:38" x14ac:dyDescent="0.2">
      <c r="AL11133" s="177"/>
    </row>
    <row r="11134" spans="38:38" x14ac:dyDescent="0.2">
      <c r="AL11134" s="177"/>
    </row>
    <row r="11135" spans="38:38" x14ac:dyDescent="0.2">
      <c r="AL11135" s="177"/>
    </row>
    <row r="11136" spans="38:38" x14ac:dyDescent="0.2">
      <c r="AL11136" s="177"/>
    </row>
    <row r="11137" spans="38:38" x14ac:dyDescent="0.2">
      <c r="AL11137" s="177"/>
    </row>
    <row r="11138" spans="38:38" x14ac:dyDescent="0.2">
      <c r="AL11138" s="177"/>
    </row>
    <row r="11139" spans="38:38" x14ac:dyDescent="0.2">
      <c r="AL11139" s="177"/>
    </row>
    <row r="11140" spans="38:38" x14ac:dyDescent="0.2">
      <c r="AL11140" s="177"/>
    </row>
    <row r="11141" spans="38:38" x14ac:dyDescent="0.2">
      <c r="AL11141" s="177"/>
    </row>
    <row r="11142" spans="38:38" x14ac:dyDescent="0.2">
      <c r="AL11142" s="177"/>
    </row>
    <row r="11143" spans="38:38" x14ac:dyDescent="0.2">
      <c r="AL11143" s="177"/>
    </row>
    <row r="11144" spans="38:38" x14ac:dyDescent="0.2">
      <c r="AL11144" s="177"/>
    </row>
    <row r="11145" spans="38:38" x14ac:dyDescent="0.2">
      <c r="AL11145" s="177"/>
    </row>
    <row r="11146" spans="38:38" x14ac:dyDescent="0.2">
      <c r="AL11146" s="177"/>
    </row>
    <row r="11147" spans="38:38" x14ac:dyDescent="0.2">
      <c r="AL11147" s="177"/>
    </row>
    <row r="11148" spans="38:38" x14ac:dyDescent="0.2">
      <c r="AL11148" s="177"/>
    </row>
    <row r="11149" spans="38:38" x14ac:dyDescent="0.2">
      <c r="AL11149" s="177"/>
    </row>
    <row r="11150" spans="38:38" x14ac:dyDescent="0.2">
      <c r="AL11150" s="177"/>
    </row>
    <row r="11151" spans="38:38" x14ac:dyDescent="0.2">
      <c r="AL11151" s="177"/>
    </row>
    <row r="11152" spans="38:38" x14ac:dyDescent="0.2">
      <c r="AL11152" s="177"/>
    </row>
    <row r="11153" spans="38:38" x14ac:dyDescent="0.2">
      <c r="AL11153" s="177"/>
    </row>
    <row r="11154" spans="38:38" x14ac:dyDescent="0.2">
      <c r="AL11154" s="177"/>
    </row>
    <row r="11155" spans="38:38" x14ac:dyDescent="0.2">
      <c r="AL11155" s="177"/>
    </row>
    <row r="11156" spans="38:38" x14ac:dyDescent="0.2">
      <c r="AL11156" s="177"/>
    </row>
    <row r="11157" spans="38:38" x14ac:dyDescent="0.2">
      <c r="AL11157" s="177"/>
    </row>
    <row r="11158" spans="38:38" x14ac:dyDescent="0.2">
      <c r="AL11158" s="177"/>
    </row>
    <row r="11159" spans="38:38" x14ac:dyDescent="0.2">
      <c r="AL11159" s="177"/>
    </row>
    <row r="11160" spans="38:38" x14ac:dyDescent="0.2">
      <c r="AL11160" s="177"/>
    </row>
    <row r="11161" spans="38:38" x14ac:dyDescent="0.2">
      <c r="AL11161" s="177"/>
    </row>
    <row r="11162" spans="38:38" x14ac:dyDescent="0.2">
      <c r="AL11162" s="177"/>
    </row>
    <row r="11163" spans="38:38" x14ac:dyDescent="0.2">
      <c r="AL11163" s="177"/>
    </row>
    <row r="11164" spans="38:38" x14ac:dyDescent="0.2">
      <c r="AL11164" s="177"/>
    </row>
    <row r="11165" spans="38:38" x14ac:dyDescent="0.2">
      <c r="AL11165" s="177"/>
    </row>
    <row r="11166" spans="38:38" x14ac:dyDescent="0.2">
      <c r="AL11166" s="177"/>
    </row>
    <row r="11167" spans="38:38" x14ac:dyDescent="0.2">
      <c r="AL11167" s="177"/>
    </row>
    <row r="11168" spans="38:38" x14ac:dyDescent="0.2">
      <c r="AL11168" s="177"/>
    </row>
    <row r="11169" spans="38:38" x14ac:dyDescent="0.2">
      <c r="AL11169" s="177"/>
    </row>
    <row r="11170" spans="38:38" x14ac:dyDescent="0.2">
      <c r="AL11170" s="177"/>
    </row>
    <row r="11171" spans="38:38" x14ac:dyDescent="0.2">
      <c r="AL11171" s="177"/>
    </row>
    <row r="11172" spans="38:38" x14ac:dyDescent="0.2">
      <c r="AL11172" s="177"/>
    </row>
    <row r="11173" spans="38:38" x14ac:dyDescent="0.2">
      <c r="AL11173" s="177"/>
    </row>
    <row r="11174" spans="38:38" x14ac:dyDescent="0.2">
      <c r="AL11174" s="177"/>
    </row>
    <row r="11175" spans="38:38" x14ac:dyDescent="0.2">
      <c r="AL11175" s="177"/>
    </row>
    <row r="11176" spans="38:38" x14ac:dyDescent="0.2">
      <c r="AL11176" s="177"/>
    </row>
    <row r="11177" spans="38:38" x14ac:dyDescent="0.2">
      <c r="AL11177" s="177"/>
    </row>
    <row r="11178" spans="38:38" x14ac:dyDescent="0.2">
      <c r="AL11178" s="177"/>
    </row>
    <row r="11179" spans="38:38" x14ac:dyDescent="0.2">
      <c r="AL11179" s="177"/>
    </row>
    <row r="11180" spans="38:38" x14ac:dyDescent="0.2">
      <c r="AL11180" s="177"/>
    </row>
    <row r="11181" spans="38:38" x14ac:dyDescent="0.2">
      <c r="AL11181" s="177"/>
    </row>
    <row r="11182" spans="38:38" x14ac:dyDescent="0.2">
      <c r="AL11182" s="177"/>
    </row>
    <row r="11183" spans="38:38" x14ac:dyDescent="0.2">
      <c r="AL11183" s="177"/>
    </row>
    <row r="11184" spans="38:38" x14ac:dyDescent="0.2">
      <c r="AL11184" s="177"/>
    </row>
    <row r="11185" spans="38:38" x14ac:dyDescent="0.2">
      <c r="AL11185" s="177"/>
    </row>
    <row r="11186" spans="38:38" x14ac:dyDescent="0.2">
      <c r="AL11186" s="177"/>
    </row>
    <row r="11187" spans="38:38" x14ac:dyDescent="0.2">
      <c r="AL11187" s="177"/>
    </row>
    <row r="11188" spans="38:38" x14ac:dyDescent="0.2">
      <c r="AL11188" s="177"/>
    </row>
    <row r="11189" spans="38:38" x14ac:dyDescent="0.2">
      <c r="AL11189" s="177"/>
    </row>
    <row r="11190" spans="38:38" x14ac:dyDescent="0.2">
      <c r="AL11190" s="177"/>
    </row>
    <row r="11191" spans="38:38" x14ac:dyDescent="0.2">
      <c r="AL11191" s="177"/>
    </row>
    <row r="11192" spans="38:38" x14ac:dyDescent="0.2">
      <c r="AL11192" s="177"/>
    </row>
    <row r="11193" spans="38:38" x14ac:dyDescent="0.2">
      <c r="AL11193" s="177"/>
    </row>
    <row r="11194" spans="38:38" x14ac:dyDescent="0.2">
      <c r="AL11194" s="177"/>
    </row>
    <row r="11195" spans="38:38" x14ac:dyDescent="0.2">
      <c r="AL11195" s="177"/>
    </row>
    <row r="11196" spans="38:38" x14ac:dyDescent="0.2">
      <c r="AL11196" s="177"/>
    </row>
    <row r="11197" spans="38:38" x14ac:dyDescent="0.2">
      <c r="AL11197" s="177"/>
    </row>
    <row r="11198" spans="38:38" x14ac:dyDescent="0.2">
      <c r="AL11198" s="177"/>
    </row>
    <row r="11199" spans="38:38" x14ac:dyDescent="0.2">
      <c r="AL11199" s="177"/>
    </row>
    <row r="11200" spans="38:38" x14ac:dyDescent="0.2">
      <c r="AL11200" s="177"/>
    </row>
    <row r="11201" spans="38:38" x14ac:dyDescent="0.2">
      <c r="AL11201" s="177"/>
    </row>
    <row r="11202" spans="38:38" x14ac:dyDescent="0.2">
      <c r="AL11202" s="177"/>
    </row>
    <row r="11203" spans="38:38" x14ac:dyDescent="0.2">
      <c r="AL11203" s="177"/>
    </row>
    <row r="11204" spans="38:38" x14ac:dyDescent="0.2">
      <c r="AL11204" s="177"/>
    </row>
    <row r="11205" spans="38:38" x14ac:dyDescent="0.2">
      <c r="AL11205" s="177"/>
    </row>
    <row r="11206" spans="38:38" x14ac:dyDescent="0.2">
      <c r="AL11206" s="177"/>
    </row>
    <row r="11207" spans="38:38" x14ac:dyDescent="0.2">
      <c r="AL11207" s="177"/>
    </row>
    <row r="11208" spans="38:38" x14ac:dyDescent="0.2">
      <c r="AL11208" s="177"/>
    </row>
    <row r="11209" spans="38:38" x14ac:dyDescent="0.2">
      <c r="AL11209" s="177"/>
    </row>
    <row r="11210" spans="38:38" x14ac:dyDescent="0.2">
      <c r="AL11210" s="177"/>
    </row>
    <row r="11211" spans="38:38" x14ac:dyDescent="0.2">
      <c r="AL11211" s="177"/>
    </row>
    <row r="11212" spans="38:38" x14ac:dyDescent="0.2">
      <c r="AL11212" s="177"/>
    </row>
    <row r="11213" spans="38:38" x14ac:dyDescent="0.2">
      <c r="AL11213" s="177"/>
    </row>
    <row r="11214" spans="38:38" x14ac:dyDescent="0.2">
      <c r="AL11214" s="177"/>
    </row>
    <row r="11215" spans="38:38" x14ac:dyDescent="0.2">
      <c r="AL11215" s="177"/>
    </row>
    <row r="11216" spans="38:38" x14ac:dyDescent="0.2">
      <c r="AL11216" s="177"/>
    </row>
    <row r="11217" spans="38:38" x14ac:dyDescent="0.2">
      <c r="AL11217" s="177"/>
    </row>
    <row r="11218" spans="38:38" x14ac:dyDescent="0.2">
      <c r="AL11218" s="177"/>
    </row>
    <row r="11219" spans="38:38" x14ac:dyDescent="0.2">
      <c r="AL11219" s="177"/>
    </row>
    <row r="11220" spans="38:38" x14ac:dyDescent="0.2">
      <c r="AL11220" s="177"/>
    </row>
    <row r="11221" spans="38:38" x14ac:dyDescent="0.2">
      <c r="AL11221" s="177"/>
    </row>
    <row r="11222" spans="38:38" x14ac:dyDescent="0.2">
      <c r="AL11222" s="177"/>
    </row>
    <row r="11223" spans="38:38" x14ac:dyDescent="0.2">
      <c r="AL11223" s="177"/>
    </row>
    <row r="11224" spans="38:38" x14ac:dyDescent="0.2">
      <c r="AL11224" s="177"/>
    </row>
    <row r="11225" spans="38:38" x14ac:dyDescent="0.2">
      <c r="AL11225" s="177"/>
    </row>
    <row r="11226" spans="38:38" x14ac:dyDescent="0.2">
      <c r="AL11226" s="177"/>
    </row>
    <row r="11227" spans="38:38" x14ac:dyDescent="0.2">
      <c r="AL11227" s="177"/>
    </row>
    <row r="11228" spans="38:38" x14ac:dyDescent="0.2">
      <c r="AL11228" s="177"/>
    </row>
    <row r="11229" spans="38:38" x14ac:dyDescent="0.2">
      <c r="AL11229" s="177"/>
    </row>
    <row r="11230" spans="38:38" x14ac:dyDescent="0.2">
      <c r="AL11230" s="177"/>
    </row>
    <row r="11231" spans="38:38" x14ac:dyDescent="0.2">
      <c r="AL11231" s="177"/>
    </row>
    <row r="11232" spans="38:38" x14ac:dyDescent="0.2">
      <c r="AL11232" s="177"/>
    </row>
    <row r="11233" spans="38:38" x14ac:dyDescent="0.2">
      <c r="AL11233" s="177"/>
    </row>
    <row r="11234" spans="38:38" x14ac:dyDescent="0.2">
      <c r="AL11234" s="177"/>
    </row>
    <row r="11235" spans="38:38" x14ac:dyDescent="0.2">
      <c r="AL11235" s="177"/>
    </row>
    <row r="11236" spans="38:38" x14ac:dyDescent="0.2">
      <c r="AL11236" s="177"/>
    </row>
    <row r="11237" spans="38:38" x14ac:dyDescent="0.2">
      <c r="AL11237" s="177"/>
    </row>
    <row r="11238" spans="38:38" x14ac:dyDescent="0.2">
      <c r="AL11238" s="177"/>
    </row>
    <row r="11239" spans="38:38" x14ac:dyDescent="0.2">
      <c r="AL11239" s="177"/>
    </row>
    <row r="11240" spans="38:38" x14ac:dyDescent="0.2">
      <c r="AL11240" s="177"/>
    </row>
    <row r="11241" spans="38:38" x14ac:dyDescent="0.2">
      <c r="AL11241" s="177"/>
    </row>
    <row r="11242" spans="38:38" x14ac:dyDescent="0.2">
      <c r="AL11242" s="177"/>
    </row>
    <row r="11243" spans="38:38" x14ac:dyDescent="0.2">
      <c r="AL11243" s="177"/>
    </row>
    <row r="11244" spans="38:38" x14ac:dyDescent="0.2">
      <c r="AL11244" s="177"/>
    </row>
    <row r="11245" spans="38:38" x14ac:dyDescent="0.2">
      <c r="AL11245" s="177"/>
    </row>
    <row r="11246" spans="38:38" x14ac:dyDescent="0.2">
      <c r="AL11246" s="177"/>
    </row>
    <row r="11247" spans="38:38" x14ac:dyDescent="0.2">
      <c r="AL11247" s="177"/>
    </row>
    <row r="11248" spans="38:38" x14ac:dyDescent="0.2">
      <c r="AL11248" s="177"/>
    </row>
    <row r="11249" spans="38:38" x14ac:dyDescent="0.2">
      <c r="AL11249" s="177"/>
    </row>
    <row r="11250" spans="38:38" x14ac:dyDescent="0.2">
      <c r="AL11250" s="177"/>
    </row>
    <row r="11251" spans="38:38" x14ac:dyDescent="0.2">
      <c r="AL11251" s="177"/>
    </row>
    <row r="11252" spans="38:38" x14ac:dyDescent="0.2">
      <c r="AL11252" s="177"/>
    </row>
    <row r="11253" spans="38:38" x14ac:dyDescent="0.2">
      <c r="AL11253" s="177"/>
    </row>
    <row r="11254" spans="38:38" x14ac:dyDescent="0.2">
      <c r="AL11254" s="177"/>
    </row>
    <row r="11255" spans="38:38" x14ac:dyDescent="0.2">
      <c r="AL11255" s="177"/>
    </row>
    <row r="11256" spans="38:38" x14ac:dyDescent="0.2">
      <c r="AL11256" s="177"/>
    </row>
    <row r="11257" spans="38:38" x14ac:dyDescent="0.2">
      <c r="AL11257" s="177"/>
    </row>
    <row r="11258" spans="38:38" x14ac:dyDescent="0.2">
      <c r="AL11258" s="177"/>
    </row>
    <row r="11259" spans="38:38" x14ac:dyDescent="0.2">
      <c r="AL11259" s="177"/>
    </row>
    <row r="11260" spans="38:38" x14ac:dyDescent="0.2">
      <c r="AL11260" s="177"/>
    </row>
    <row r="11261" spans="38:38" x14ac:dyDescent="0.2">
      <c r="AL11261" s="177"/>
    </row>
    <row r="11262" spans="38:38" x14ac:dyDescent="0.2">
      <c r="AL11262" s="177"/>
    </row>
    <row r="11263" spans="38:38" x14ac:dyDescent="0.2">
      <c r="AL11263" s="177"/>
    </row>
    <row r="11264" spans="38:38" x14ac:dyDescent="0.2">
      <c r="AL11264" s="177"/>
    </row>
    <row r="11265" spans="38:38" x14ac:dyDescent="0.2">
      <c r="AL11265" s="177"/>
    </row>
    <row r="11266" spans="38:38" x14ac:dyDescent="0.2">
      <c r="AL11266" s="177"/>
    </row>
    <row r="11267" spans="38:38" x14ac:dyDescent="0.2">
      <c r="AL11267" s="177"/>
    </row>
    <row r="11268" spans="38:38" x14ac:dyDescent="0.2">
      <c r="AL11268" s="177"/>
    </row>
    <row r="11269" spans="38:38" x14ac:dyDescent="0.2">
      <c r="AL11269" s="177"/>
    </row>
    <row r="11270" spans="38:38" x14ac:dyDescent="0.2">
      <c r="AL11270" s="177"/>
    </row>
    <row r="11271" spans="38:38" x14ac:dyDescent="0.2">
      <c r="AL11271" s="177"/>
    </row>
    <row r="11272" spans="38:38" x14ac:dyDescent="0.2">
      <c r="AL11272" s="177"/>
    </row>
    <row r="11273" spans="38:38" x14ac:dyDescent="0.2">
      <c r="AL11273" s="177"/>
    </row>
    <row r="11274" spans="38:38" x14ac:dyDescent="0.2">
      <c r="AL11274" s="177"/>
    </row>
    <row r="11275" spans="38:38" x14ac:dyDescent="0.2">
      <c r="AL11275" s="177"/>
    </row>
    <row r="11276" spans="38:38" x14ac:dyDescent="0.2">
      <c r="AL11276" s="177"/>
    </row>
    <row r="11277" spans="38:38" x14ac:dyDescent="0.2">
      <c r="AL11277" s="177"/>
    </row>
    <row r="11278" spans="38:38" x14ac:dyDescent="0.2">
      <c r="AL11278" s="177"/>
    </row>
    <row r="11279" spans="38:38" x14ac:dyDescent="0.2">
      <c r="AL11279" s="177"/>
    </row>
    <row r="11280" spans="38:38" x14ac:dyDescent="0.2">
      <c r="AL11280" s="177"/>
    </row>
    <row r="11281" spans="38:38" x14ac:dyDescent="0.2">
      <c r="AL11281" s="177"/>
    </row>
    <row r="11282" spans="38:38" x14ac:dyDescent="0.2">
      <c r="AL11282" s="177"/>
    </row>
    <row r="11283" spans="38:38" x14ac:dyDescent="0.2">
      <c r="AL11283" s="177"/>
    </row>
    <row r="11284" spans="38:38" x14ac:dyDescent="0.2">
      <c r="AL11284" s="177"/>
    </row>
    <row r="11285" spans="38:38" x14ac:dyDescent="0.2">
      <c r="AL11285" s="177"/>
    </row>
    <row r="11286" spans="38:38" x14ac:dyDescent="0.2">
      <c r="AL11286" s="177"/>
    </row>
    <row r="11287" spans="38:38" x14ac:dyDescent="0.2">
      <c r="AL11287" s="177"/>
    </row>
    <row r="11288" spans="38:38" x14ac:dyDescent="0.2">
      <c r="AL11288" s="177"/>
    </row>
    <row r="11289" spans="38:38" x14ac:dyDescent="0.2">
      <c r="AL11289" s="177"/>
    </row>
    <row r="11290" spans="38:38" x14ac:dyDescent="0.2">
      <c r="AL11290" s="177"/>
    </row>
    <row r="11291" spans="38:38" x14ac:dyDescent="0.2">
      <c r="AL11291" s="177"/>
    </row>
    <row r="11292" spans="38:38" x14ac:dyDescent="0.2">
      <c r="AL11292" s="177"/>
    </row>
    <row r="11293" spans="38:38" x14ac:dyDescent="0.2">
      <c r="AL11293" s="177"/>
    </row>
    <row r="11294" spans="38:38" x14ac:dyDescent="0.2">
      <c r="AL11294" s="177"/>
    </row>
    <row r="11295" spans="38:38" x14ac:dyDescent="0.2">
      <c r="AL11295" s="177"/>
    </row>
    <row r="11296" spans="38:38" x14ac:dyDescent="0.2">
      <c r="AL11296" s="177"/>
    </row>
    <row r="11297" spans="38:38" x14ac:dyDescent="0.2">
      <c r="AL11297" s="177"/>
    </row>
    <row r="11298" spans="38:38" x14ac:dyDescent="0.2">
      <c r="AL11298" s="177"/>
    </row>
    <row r="11299" spans="38:38" x14ac:dyDescent="0.2">
      <c r="AL11299" s="177"/>
    </row>
    <row r="11300" spans="38:38" x14ac:dyDescent="0.2">
      <c r="AL11300" s="177"/>
    </row>
    <row r="11301" spans="38:38" x14ac:dyDescent="0.2">
      <c r="AL11301" s="177"/>
    </row>
    <row r="11302" spans="38:38" x14ac:dyDescent="0.2">
      <c r="AL11302" s="177"/>
    </row>
    <row r="11303" spans="38:38" x14ac:dyDescent="0.2">
      <c r="AL11303" s="177"/>
    </row>
    <row r="11304" spans="38:38" x14ac:dyDescent="0.2">
      <c r="AL11304" s="177"/>
    </row>
    <row r="11305" spans="38:38" x14ac:dyDescent="0.2">
      <c r="AL11305" s="177"/>
    </row>
    <row r="11306" spans="38:38" x14ac:dyDescent="0.2">
      <c r="AL11306" s="177"/>
    </row>
    <row r="11307" spans="38:38" x14ac:dyDescent="0.2">
      <c r="AL11307" s="177"/>
    </row>
    <row r="11308" spans="38:38" x14ac:dyDescent="0.2">
      <c r="AL11308" s="177"/>
    </row>
    <row r="11309" spans="38:38" x14ac:dyDescent="0.2">
      <c r="AL11309" s="177"/>
    </row>
    <row r="11310" spans="38:38" x14ac:dyDescent="0.2">
      <c r="AL11310" s="177"/>
    </row>
    <row r="11311" spans="38:38" x14ac:dyDescent="0.2">
      <c r="AL11311" s="177"/>
    </row>
    <row r="11312" spans="38:38" x14ac:dyDescent="0.2">
      <c r="AL11312" s="177"/>
    </row>
    <row r="11313" spans="38:38" x14ac:dyDescent="0.2">
      <c r="AL11313" s="177"/>
    </row>
    <row r="11314" spans="38:38" x14ac:dyDescent="0.2">
      <c r="AL11314" s="177"/>
    </row>
    <row r="11315" spans="38:38" x14ac:dyDescent="0.2">
      <c r="AL11315" s="177"/>
    </row>
    <row r="11316" spans="38:38" x14ac:dyDescent="0.2">
      <c r="AL11316" s="177"/>
    </row>
    <row r="11317" spans="38:38" x14ac:dyDescent="0.2">
      <c r="AL11317" s="177"/>
    </row>
    <row r="11318" spans="38:38" x14ac:dyDescent="0.2">
      <c r="AL11318" s="177"/>
    </row>
    <row r="11319" spans="38:38" x14ac:dyDescent="0.2">
      <c r="AL11319" s="177"/>
    </row>
    <row r="11320" spans="38:38" x14ac:dyDescent="0.2">
      <c r="AL11320" s="177"/>
    </row>
    <row r="11321" spans="38:38" x14ac:dyDescent="0.2">
      <c r="AL11321" s="177"/>
    </row>
    <row r="11322" spans="38:38" x14ac:dyDescent="0.2">
      <c r="AL11322" s="177"/>
    </row>
    <row r="11323" spans="38:38" x14ac:dyDescent="0.2">
      <c r="AL11323" s="177"/>
    </row>
    <row r="11324" spans="38:38" x14ac:dyDescent="0.2">
      <c r="AL11324" s="177"/>
    </row>
    <row r="11325" spans="38:38" x14ac:dyDescent="0.2">
      <c r="AL11325" s="177"/>
    </row>
    <row r="11326" spans="38:38" x14ac:dyDescent="0.2">
      <c r="AL11326" s="177"/>
    </row>
    <row r="11327" spans="38:38" x14ac:dyDescent="0.2">
      <c r="AL11327" s="177"/>
    </row>
    <row r="11328" spans="38:38" x14ac:dyDescent="0.2">
      <c r="AL11328" s="177"/>
    </row>
    <row r="11329" spans="38:38" x14ac:dyDescent="0.2">
      <c r="AL11329" s="177"/>
    </row>
    <row r="11330" spans="38:38" x14ac:dyDescent="0.2">
      <c r="AL11330" s="177"/>
    </row>
    <row r="11331" spans="38:38" x14ac:dyDescent="0.2">
      <c r="AL11331" s="177"/>
    </row>
    <row r="11332" spans="38:38" x14ac:dyDescent="0.2">
      <c r="AL11332" s="177"/>
    </row>
    <row r="11333" spans="38:38" x14ac:dyDescent="0.2">
      <c r="AL11333" s="177"/>
    </row>
    <row r="11334" spans="38:38" x14ac:dyDescent="0.2">
      <c r="AL11334" s="177"/>
    </row>
    <row r="11335" spans="38:38" x14ac:dyDescent="0.2">
      <c r="AL11335" s="177"/>
    </row>
    <row r="11336" spans="38:38" x14ac:dyDescent="0.2">
      <c r="AL11336" s="177"/>
    </row>
    <row r="11337" spans="38:38" x14ac:dyDescent="0.2">
      <c r="AL11337" s="177"/>
    </row>
    <row r="11338" spans="38:38" x14ac:dyDescent="0.2">
      <c r="AL11338" s="177"/>
    </row>
    <row r="11339" spans="38:38" x14ac:dyDescent="0.2">
      <c r="AL11339" s="177"/>
    </row>
    <row r="11340" spans="38:38" x14ac:dyDescent="0.2">
      <c r="AL11340" s="177"/>
    </row>
    <row r="11341" spans="38:38" x14ac:dyDescent="0.2">
      <c r="AL11341" s="177"/>
    </row>
    <row r="11342" spans="38:38" x14ac:dyDescent="0.2">
      <c r="AL11342" s="177"/>
    </row>
    <row r="11343" spans="38:38" x14ac:dyDescent="0.2">
      <c r="AL11343" s="177"/>
    </row>
    <row r="11344" spans="38:38" x14ac:dyDescent="0.2">
      <c r="AL11344" s="177"/>
    </row>
    <row r="11345" spans="38:38" x14ac:dyDescent="0.2">
      <c r="AL11345" s="177"/>
    </row>
    <row r="11346" spans="38:38" x14ac:dyDescent="0.2">
      <c r="AL11346" s="177"/>
    </row>
    <row r="11347" spans="38:38" x14ac:dyDescent="0.2">
      <c r="AL11347" s="177"/>
    </row>
    <row r="11348" spans="38:38" x14ac:dyDescent="0.2">
      <c r="AL11348" s="177"/>
    </row>
    <row r="11349" spans="38:38" x14ac:dyDescent="0.2">
      <c r="AL11349" s="177"/>
    </row>
    <row r="11350" spans="38:38" x14ac:dyDescent="0.2">
      <c r="AL11350" s="177"/>
    </row>
    <row r="11351" spans="38:38" x14ac:dyDescent="0.2">
      <c r="AL11351" s="177"/>
    </row>
    <row r="11352" spans="38:38" x14ac:dyDescent="0.2">
      <c r="AL11352" s="177"/>
    </row>
    <row r="11353" spans="38:38" x14ac:dyDescent="0.2">
      <c r="AL11353" s="177"/>
    </row>
    <row r="11354" spans="38:38" x14ac:dyDescent="0.2">
      <c r="AL11354" s="177"/>
    </row>
    <row r="11355" spans="38:38" x14ac:dyDescent="0.2">
      <c r="AL11355" s="177"/>
    </row>
    <row r="11356" spans="38:38" x14ac:dyDescent="0.2">
      <c r="AL11356" s="177"/>
    </row>
    <row r="11357" spans="38:38" x14ac:dyDescent="0.2">
      <c r="AL11357" s="177"/>
    </row>
    <row r="11358" spans="38:38" x14ac:dyDescent="0.2">
      <c r="AL11358" s="177"/>
    </row>
    <row r="11359" spans="38:38" x14ac:dyDescent="0.2">
      <c r="AL11359" s="177"/>
    </row>
    <row r="11360" spans="38:38" x14ac:dyDescent="0.2">
      <c r="AL11360" s="177"/>
    </row>
    <row r="11361" spans="38:38" x14ac:dyDescent="0.2">
      <c r="AL11361" s="177"/>
    </row>
    <row r="11362" spans="38:38" x14ac:dyDescent="0.2">
      <c r="AL11362" s="177"/>
    </row>
    <row r="11363" spans="38:38" x14ac:dyDescent="0.2">
      <c r="AL11363" s="177"/>
    </row>
    <row r="11364" spans="38:38" x14ac:dyDescent="0.2">
      <c r="AL11364" s="177"/>
    </row>
    <row r="11365" spans="38:38" x14ac:dyDescent="0.2">
      <c r="AL11365" s="177"/>
    </row>
    <row r="11366" spans="38:38" x14ac:dyDescent="0.2">
      <c r="AL11366" s="177"/>
    </row>
    <row r="11367" spans="38:38" x14ac:dyDescent="0.2">
      <c r="AL11367" s="177"/>
    </row>
    <row r="11368" spans="38:38" x14ac:dyDescent="0.2">
      <c r="AL11368" s="177"/>
    </row>
    <row r="11369" spans="38:38" x14ac:dyDescent="0.2">
      <c r="AL11369" s="177"/>
    </row>
    <row r="11370" spans="38:38" x14ac:dyDescent="0.2">
      <c r="AL11370" s="177"/>
    </row>
    <row r="11371" spans="38:38" x14ac:dyDescent="0.2">
      <c r="AL11371" s="177"/>
    </row>
    <row r="11372" spans="38:38" x14ac:dyDescent="0.2">
      <c r="AL11372" s="177"/>
    </row>
    <row r="11373" spans="38:38" x14ac:dyDescent="0.2">
      <c r="AL11373" s="177"/>
    </row>
    <row r="11374" spans="38:38" x14ac:dyDescent="0.2">
      <c r="AL11374" s="177"/>
    </row>
    <row r="11375" spans="38:38" x14ac:dyDescent="0.2">
      <c r="AL11375" s="177"/>
    </row>
    <row r="11376" spans="38:38" x14ac:dyDescent="0.2">
      <c r="AL11376" s="177"/>
    </row>
    <row r="11377" spans="38:38" x14ac:dyDescent="0.2">
      <c r="AL11377" s="177"/>
    </row>
    <row r="11378" spans="38:38" x14ac:dyDescent="0.2">
      <c r="AL11378" s="177"/>
    </row>
    <row r="11379" spans="38:38" x14ac:dyDescent="0.2">
      <c r="AL11379" s="177"/>
    </row>
    <row r="11380" spans="38:38" x14ac:dyDescent="0.2">
      <c r="AL11380" s="177"/>
    </row>
    <row r="11381" spans="38:38" x14ac:dyDescent="0.2">
      <c r="AL11381" s="177"/>
    </row>
    <row r="11382" spans="38:38" x14ac:dyDescent="0.2">
      <c r="AL11382" s="177"/>
    </row>
    <row r="11383" spans="38:38" x14ac:dyDescent="0.2">
      <c r="AL11383" s="177"/>
    </row>
    <row r="11384" spans="38:38" x14ac:dyDescent="0.2">
      <c r="AL11384" s="177"/>
    </row>
    <row r="11385" spans="38:38" x14ac:dyDescent="0.2">
      <c r="AL11385" s="177"/>
    </row>
    <row r="11386" spans="38:38" x14ac:dyDescent="0.2">
      <c r="AL11386" s="177"/>
    </row>
    <row r="11387" spans="38:38" x14ac:dyDescent="0.2">
      <c r="AL11387" s="177"/>
    </row>
    <row r="11388" spans="38:38" x14ac:dyDescent="0.2">
      <c r="AL11388" s="177"/>
    </row>
    <row r="11389" spans="38:38" x14ac:dyDescent="0.2">
      <c r="AL11389" s="177"/>
    </row>
    <row r="11390" spans="38:38" x14ac:dyDescent="0.2">
      <c r="AL11390" s="177"/>
    </row>
    <row r="11391" spans="38:38" x14ac:dyDescent="0.2">
      <c r="AL11391" s="177"/>
    </row>
    <row r="11392" spans="38:38" x14ac:dyDescent="0.2">
      <c r="AL11392" s="177"/>
    </row>
    <row r="11393" spans="38:38" x14ac:dyDescent="0.2">
      <c r="AL11393" s="177"/>
    </row>
    <row r="11394" spans="38:38" x14ac:dyDescent="0.2">
      <c r="AL11394" s="177"/>
    </row>
    <row r="11395" spans="38:38" x14ac:dyDescent="0.2">
      <c r="AL11395" s="177"/>
    </row>
    <row r="11396" spans="38:38" x14ac:dyDescent="0.2">
      <c r="AL11396" s="177"/>
    </row>
    <row r="11397" spans="38:38" x14ac:dyDescent="0.2">
      <c r="AL11397" s="177"/>
    </row>
    <row r="11398" spans="38:38" x14ac:dyDescent="0.2">
      <c r="AL11398" s="177"/>
    </row>
    <row r="11399" spans="38:38" x14ac:dyDescent="0.2">
      <c r="AL11399" s="177"/>
    </row>
    <row r="11400" spans="38:38" x14ac:dyDescent="0.2">
      <c r="AL11400" s="177"/>
    </row>
    <row r="11401" spans="38:38" x14ac:dyDescent="0.2">
      <c r="AL11401" s="177"/>
    </row>
    <row r="11402" spans="38:38" x14ac:dyDescent="0.2">
      <c r="AL11402" s="177"/>
    </row>
    <row r="11403" spans="38:38" x14ac:dyDescent="0.2">
      <c r="AL11403" s="177"/>
    </row>
    <row r="11404" spans="38:38" x14ac:dyDescent="0.2">
      <c r="AL11404" s="177"/>
    </row>
    <row r="11405" spans="38:38" x14ac:dyDescent="0.2">
      <c r="AL11405" s="177"/>
    </row>
    <row r="11406" spans="38:38" x14ac:dyDescent="0.2">
      <c r="AL11406" s="177"/>
    </row>
    <row r="11407" spans="38:38" x14ac:dyDescent="0.2">
      <c r="AL11407" s="177"/>
    </row>
    <row r="11408" spans="38:38" x14ac:dyDescent="0.2">
      <c r="AL11408" s="177"/>
    </row>
    <row r="11409" spans="38:38" x14ac:dyDescent="0.2">
      <c r="AL11409" s="177"/>
    </row>
    <row r="11410" spans="38:38" x14ac:dyDescent="0.2">
      <c r="AL11410" s="177"/>
    </row>
    <row r="11411" spans="38:38" x14ac:dyDescent="0.2">
      <c r="AL11411" s="177"/>
    </row>
    <row r="11412" spans="38:38" x14ac:dyDescent="0.2">
      <c r="AL11412" s="177"/>
    </row>
    <row r="11413" spans="38:38" x14ac:dyDescent="0.2">
      <c r="AL11413" s="177"/>
    </row>
    <row r="11414" spans="38:38" x14ac:dyDescent="0.2">
      <c r="AL11414" s="177"/>
    </row>
    <row r="11415" spans="38:38" x14ac:dyDescent="0.2">
      <c r="AL11415" s="177"/>
    </row>
    <row r="11416" spans="38:38" x14ac:dyDescent="0.2">
      <c r="AL11416" s="177"/>
    </row>
    <row r="11417" spans="38:38" x14ac:dyDescent="0.2">
      <c r="AL11417" s="177"/>
    </row>
    <row r="11418" spans="38:38" x14ac:dyDescent="0.2">
      <c r="AL11418" s="177"/>
    </row>
    <row r="11419" spans="38:38" x14ac:dyDescent="0.2">
      <c r="AL11419" s="177"/>
    </row>
    <row r="11420" spans="38:38" x14ac:dyDescent="0.2">
      <c r="AL11420" s="177"/>
    </row>
    <row r="11421" spans="38:38" x14ac:dyDescent="0.2">
      <c r="AL11421" s="177"/>
    </row>
    <row r="11422" spans="38:38" x14ac:dyDescent="0.2">
      <c r="AL11422" s="177"/>
    </row>
    <row r="11423" spans="38:38" x14ac:dyDescent="0.2">
      <c r="AL11423" s="177"/>
    </row>
    <row r="11424" spans="38:38" x14ac:dyDescent="0.2">
      <c r="AL11424" s="177"/>
    </row>
    <row r="11425" spans="38:38" x14ac:dyDescent="0.2">
      <c r="AL11425" s="177"/>
    </row>
    <row r="11426" spans="38:38" x14ac:dyDescent="0.2">
      <c r="AL11426" s="177"/>
    </row>
    <row r="11427" spans="38:38" x14ac:dyDescent="0.2">
      <c r="AL11427" s="177"/>
    </row>
    <row r="11428" spans="38:38" x14ac:dyDescent="0.2">
      <c r="AL11428" s="177"/>
    </row>
    <row r="11429" spans="38:38" x14ac:dyDescent="0.2">
      <c r="AL11429" s="177"/>
    </row>
    <row r="11430" spans="38:38" x14ac:dyDescent="0.2">
      <c r="AL11430" s="177"/>
    </row>
    <row r="11431" spans="38:38" x14ac:dyDescent="0.2">
      <c r="AL11431" s="177"/>
    </row>
    <row r="11432" spans="38:38" x14ac:dyDescent="0.2">
      <c r="AL11432" s="177"/>
    </row>
    <row r="11433" spans="38:38" x14ac:dyDescent="0.2">
      <c r="AL11433" s="177"/>
    </row>
    <row r="11434" spans="38:38" x14ac:dyDescent="0.2">
      <c r="AL11434" s="177"/>
    </row>
    <row r="11435" spans="38:38" x14ac:dyDescent="0.2">
      <c r="AL11435" s="177"/>
    </row>
    <row r="11436" spans="38:38" x14ac:dyDescent="0.2">
      <c r="AL11436" s="177"/>
    </row>
    <row r="11437" spans="38:38" x14ac:dyDescent="0.2">
      <c r="AL11437" s="177"/>
    </row>
    <row r="11438" spans="38:38" x14ac:dyDescent="0.2">
      <c r="AL11438" s="177"/>
    </row>
    <row r="11439" spans="38:38" x14ac:dyDescent="0.2">
      <c r="AL11439" s="177"/>
    </row>
    <row r="11440" spans="38:38" x14ac:dyDescent="0.2">
      <c r="AL11440" s="177"/>
    </row>
    <row r="11441" spans="38:38" x14ac:dyDescent="0.2">
      <c r="AL11441" s="177"/>
    </row>
    <row r="11442" spans="38:38" x14ac:dyDescent="0.2">
      <c r="AL11442" s="177"/>
    </row>
    <row r="11443" spans="38:38" x14ac:dyDescent="0.2">
      <c r="AL11443" s="177"/>
    </row>
    <row r="11444" spans="38:38" x14ac:dyDescent="0.2">
      <c r="AL11444" s="177"/>
    </row>
    <row r="11445" spans="38:38" x14ac:dyDescent="0.2">
      <c r="AL11445" s="177"/>
    </row>
    <row r="11446" spans="38:38" x14ac:dyDescent="0.2">
      <c r="AL11446" s="177"/>
    </row>
    <row r="11447" spans="38:38" x14ac:dyDescent="0.2">
      <c r="AL11447" s="177"/>
    </row>
    <row r="11448" spans="38:38" x14ac:dyDescent="0.2">
      <c r="AL11448" s="177"/>
    </row>
    <row r="11449" spans="38:38" x14ac:dyDescent="0.2">
      <c r="AL11449" s="177"/>
    </row>
    <row r="11450" spans="38:38" x14ac:dyDescent="0.2">
      <c r="AL11450" s="177"/>
    </row>
    <row r="11451" spans="38:38" x14ac:dyDescent="0.2">
      <c r="AL11451" s="177"/>
    </row>
    <row r="11452" spans="38:38" x14ac:dyDescent="0.2">
      <c r="AL11452" s="177"/>
    </row>
    <row r="11453" spans="38:38" x14ac:dyDescent="0.2">
      <c r="AL11453" s="177"/>
    </row>
    <row r="11454" spans="38:38" x14ac:dyDescent="0.2">
      <c r="AL11454" s="177"/>
    </row>
    <row r="11455" spans="38:38" x14ac:dyDescent="0.2">
      <c r="AL11455" s="177"/>
    </row>
    <row r="11456" spans="38:38" x14ac:dyDescent="0.2">
      <c r="AL11456" s="177"/>
    </row>
    <row r="11457" spans="38:38" x14ac:dyDescent="0.2">
      <c r="AL11457" s="177"/>
    </row>
    <row r="11458" spans="38:38" x14ac:dyDescent="0.2">
      <c r="AL11458" s="177"/>
    </row>
    <row r="11459" spans="38:38" x14ac:dyDescent="0.2">
      <c r="AL11459" s="177"/>
    </row>
    <row r="11460" spans="38:38" x14ac:dyDescent="0.2">
      <c r="AL11460" s="177"/>
    </row>
    <row r="11461" spans="38:38" x14ac:dyDescent="0.2">
      <c r="AL11461" s="177"/>
    </row>
    <row r="11462" spans="38:38" x14ac:dyDescent="0.2">
      <c r="AL11462" s="177"/>
    </row>
    <row r="11463" spans="38:38" x14ac:dyDescent="0.2">
      <c r="AL11463" s="177"/>
    </row>
    <row r="11464" spans="38:38" x14ac:dyDescent="0.2">
      <c r="AL11464" s="177"/>
    </row>
    <row r="11465" spans="38:38" x14ac:dyDescent="0.2">
      <c r="AL11465" s="177"/>
    </row>
    <row r="11466" spans="38:38" x14ac:dyDescent="0.2">
      <c r="AL11466" s="177"/>
    </row>
    <row r="11467" spans="38:38" x14ac:dyDescent="0.2">
      <c r="AL11467" s="177"/>
    </row>
    <row r="11468" spans="38:38" x14ac:dyDescent="0.2">
      <c r="AL11468" s="177"/>
    </row>
    <row r="11469" spans="38:38" x14ac:dyDescent="0.2">
      <c r="AL11469" s="177"/>
    </row>
    <row r="11470" spans="38:38" x14ac:dyDescent="0.2">
      <c r="AL11470" s="177"/>
    </row>
    <row r="11471" spans="38:38" x14ac:dyDescent="0.2">
      <c r="AL11471" s="177"/>
    </row>
    <row r="11472" spans="38:38" x14ac:dyDescent="0.2">
      <c r="AL11472" s="177"/>
    </row>
    <row r="11473" spans="38:38" x14ac:dyDescent="0.2">
      <c r="AL11473" s="177"/>
    </row>
    <row r="11474" spans="38:38" x14ac:dyDescent="0.2">
      <c r="AL11474" s="177"/>
    </row>
    <row r="11475" spans="38:38" x14ac:dyDescent="0.2">
      <c r="AL11475" s="177"/>
    </row>
    <row r="11476" spans="38:38" x14ac:dyDescent="0.2">
      <c r="AL11476" s="177"/>
    </row>
    <row r="11477" spans="38:38" x14ac:dyDescent="0.2">
      <c r="AL11477" s="177"/>
    </row>
    <row r="11478" spans="38:38" x14ac:dyDescent="0.2">
      <c r="AL11478" s="177"/>
    </row>
    <row r="11479" spans="38:38" x14ac:dyDescent="0.2">
      <c r="AL11479" s="177"/>
    </row>
    <row r="11480" spans="38:38" x14ac:dyDescent="0.2">
      <c r="AL11480" s="177"/>
    </row>
    <row r="11481" spans="38:38" x14ac:dyDescent="0.2">
      <c r="AL11481" s="177"/>
    </row>
    <row r="11482" spans="38:38" x14ac:dyDescent="0.2">
      <c r="AL11482" s="177"/>
    </row>
    <row r="11483" spans="38:38" x14ac:dyDescent="0.2">
      <c r="AL11483" s="177"/>
    </row>
    <row r="11484" spans="38:38" x14ac:dyDescent="0.2">
      <c r="AL11484" s="177"/>
    </row>
    <row r="11485" spans="38:38" x14ac:dyDescent="0.2">
      <c r="AL11485" s="177"/>
    </row>
    <row r="11486" spans="38:38" x14ac:dyDescent="0.2">
      <c r="AL11486" s="177"/>
    </row>
    <row r="11487" spans="38:38" x14ac:dyDescent="0.2">
      <c r="AL11487" s="177"/>
    </row>
    <row r="11488" spans="38:38" x14ac:dyDescent="0.2">
      <c r="AL11488" s="177"/>
    </row>
    <row r="11489" spans="38:38" x14ac:dyDescent="0.2">
      <c r="AL11489" s="177"/>
    </row>
    <row r="11490" spans="38:38" x14ac:dyDescent="0.2">
      <c r="AL11490" s="177"/>
    </row>
    <row r="11491" spans="38:38" x14ac:dyDescent="0.2">
      <c r="AL11491" s="177"/>
    </row>
    <row r="11492" spans="38:38" x14ac:dyDescent="0.2">
      <c r="AL11492" s="177"/>
    </row>
    <row r="11493" spans="38:38" x14ac:dyDescent="0.2">
      <c r="AL11493" s="177"/>
    </row>
    <row r="11494" spans="38:38" x14ac:dyDescent="0.2">
      <c r="AL11494" s="177"/>
    </row>
    <row r="11495" spans="38:38" x14ac:dyDescent="0.2">
      <c r="AL11495" s="177"/>
    </row>
    <row r="11496" spans="38:38" x14ac:dyDescent="0.2">
      <c r="AL11496" s="177"/>
    </row>
    <row r="11497" spans="38:38" x14ac:dyDescent="0.2">
      <c r="AL11497" s="177"/>
    </row>
    <row r="11498" spans="38:38" x14ac:dyDescent="0.2">
      <c r="AL11498" s="177"/>
    </row>
    <row r="11499" spans="38:38" x14ac:dyDescent="0.2">
      <c r="AL11499" s="177"/>
    </row>
    <row r="11500" spans="38:38" x14ac:dyDescent="0.2">
      <c r="AL11500" s="177"/>
    </row>
    <row r="11501" spans="38:38" x14ac:dyDescent="0.2">
      <c r="AL11501" s="177"/>
    </row>
    <row r="11502" spans="38:38" x14ac:dyDescent="0.2">
      <c r="AL11502" s="177"/>
    </row>
    <row r="11503" spans="38:38" x14ac:dyDescent="0.2">
      <c r="AL11503" s="177"/>
    </row>
    <row r="11504" spans="38:38" x14ac:dyDescent="0.2">
      <c r="AL11504" s="177"/>
    </row>
    <row r="11505" spans="38:38" x14ac:dyDescent="0.2">
      <c r="AL11505" s="177"/>
    </row>
    <row r="11506" spans="38:38" x14ac:dyDescent="0.2">
      <c r="AL11506" s="177"/>
    </row>
    <row r="11507" spans="38:38" x14ac:dyDescent="0.2">
      <c r="AL11507" s="177"/>
    </row>
    <row r="11508" spans="38:38" x14ac:dyDescent="0.2">
      <c r="AL11508" s="177"/>
    </row>
    <row r="11509" spans="38:38" x14ac:dyDescent="0.2">
      <c r="AL11509" s="177"/>
    </row>
    <row r="11510" spans="38:38" x14ac:dyDescent="0.2">
      <c r="AL11510" s="177"/>
    </row>
    <row r="11511" spans="38:38" x14ac:dyDescent="0.2">
      <c r="AL11511" s="177"/>
    </row>
    <row r="11512" spans="38:38" x14ac:dyDescent="0.2">
      <c r="AL11512" s="177"/>
    </row>
    <row r="11513" spans="38:38" x14ac:dyDescent="0.2">
      <c r="AL11513" s="177"/>
    </row>
    <row r="11514" spans="38:38" x14ac:dyDescent="0.2">
      <c r="AL11514" s="177"/>
    </row>
    <row r="11515" spans="38:38" x14ac:dyDescent="0.2">
      <c r="AL11515" s="177"/>
    </row>
    <row r="11516" spans="38:38" x14ac:dyDescent="0.2">
      <c r="AL11516" s="177"/>
    </row>
    <row r="11517" spans="38:38" x14ac:dyDescent="0.2">
      <c r="AL11517" s="177"/>
    </row>
    <row r="11518" spans="38:38" x14ac:dyDescent="0.2">
      <c r="AL11518" s="177"/>
    </row>
    <row r="11519" spans="38:38" x14ac:dyDescent="0.2">
      <c r="AL11519" s="177"/>
    </row>
    <row r="11520" spans="38:38" x14ac:dyDescent="0.2">
      <c r="AL11520" s="177"/>
    </row>
    <row r="11521" spans="38:38" x14ac:dyDescent="0.2">
      <c r="AL11521" s="177"/>
    </row>
    <row r="11522" spans="38:38" x14ac:dyDescent="0.2">
      <c r="AL11522" s="177"/>
    </row>
    <row r="11523" spans="38:38" x14ac:dyDescent="0.2">
      <c r="AL11523" s="177"/>
    </row>
    <row r="11524" spans="38:38" x14ac:dyDescent="0.2">
      <c r="AL11524" s="177"/>
    </row>
    <row r="11525" spans="38:38" x14ac:dyDescent="0.2">
      <c r="AL11525" s="177"/>
    </row>
    <row r="11526" spans="38:38" x14ac:dyDescent="0.2">
      <c r="AL11526" s="177"/>
    </row>
    <row r="11527" spans="38:38" x14ac:dyDescent="0.2">
      <c r="AL11527" s="177"/>
    </row>
    <row r="11528" spans="38:38" x14ac:dyDescent="0.2">
      <c r="AL11528" s="177"/>
    </row>
    <row r="11529" spans="38:38" x14ac:dyDescent="0.2">
      <c r="AL11529" s="177"/>
    </row>
    <row r="11530" spans="38:38" x14ac:dyDescent="0.2">
      <c r="AL11530" s="177"/>
    </row>
    <row r="11531" spans="38:38" x14ac:dyDescent="0.2">
      <c r="AL11531" s="177"/>
    </row>
    <row r="11532" spans="38:38" x14ac:dyDescent="0.2">
      <c r="AL11532" s="177"/>
    </row>
    <row r="11533" spans="38:38" x14ac:dyDescent="0.2">
      <c r="AL11533" s="177"/>
    </row>
    <row r="11534" spans="38:38" x14ac:dyDescent="0.2">
      <c r="AL11534" s="177"/>
    </row>
    <row r="11535" spans="38:38" x14ac:dyDescent="0.2">
      <c r="AL11535" s="177"/>
    </row>
    <row r="11536" spans="38:38" x14ac:dyDescent="0.2">
      <c r="AL11536" s="177"/>
    </row>
    <row r="11537" spans="38:38" x14ac:dyDescent="0.2">
      <c r="AL11537" s="177"/>
    </row>
    <row r="11538" spans="38:38" x14ac:dyDescent="0.2">
      <c r="AL11538" s="177"/>
    </row>
    <row r="11539" spans="38:38" x14ac:dyDescent="0.2">
      <c r="AL11539" s="177"/>
    </row>
    <row r="11540" spans="38:38" x14ac:dyDescent="0.2">
      <c r="AL11540" s="177"/>
    </row>
    <row r="11541" spans="38:38" x14ac:dyDescent="0.2">
      <c r="AL11541" s="177"/>
    </row>
    <row r="11542" spans="38:38" x14ac:dyDescent="0.2">
      <c r="AL11542" s="177"/>
    </row>
    <row r="11543" spans="38:38" x14ac:dyDescent="0.2">
      <c r="AL11543" s="177"/>
    </row>
    <row r="11544" spans="38:38" x14ac:dyDescent="0.2">
      <c r="AL11544" s="177"/>
    </row>
    <row r="11545" spans="38:38" x14ac:dyDescent="0.2">
      <c r="AL11545" s="177"/>
    </row>
    <row r="11546" spans="38:38" x14ac:dyDescent="0.2">
      <c r="AL11546" s="177"/>
    </row>
    <row r="11547" spans="38:38" x14ac:dyDescent="0.2">
      <c r="AL11547" s="177"/>
    </row>
    <row r="11548" spans="38:38" x14ac:dyDescent="0.2">
      <c r="AL11548" s="177"/>
    </row>
    <row r="11549" spans="38:38" x14ac:dyDescent="0.2">
      <c r="AL11549" s="177"/>
    </row>
    <row r="11550" spans="38:38" x14ac:dyDescent="0.2">
      <c r="AL11550" s="177"/>
    </row>
    <row r="11551" spans="38:38" x14ac:dyDescent="0.2">
      <c r="AL11551" s="177"/>
    </row>
    <row r="11552" spans="38:38" x14ac:dyDescent="0.2">
      <c r="AL11552" s="177"/>
    </row>
    <row r="11553" spans="38:38" x14ac:dyDescent="0.2">
      <c r="AL11553" s="177"/>
    </row>
    <row r="11554" spans="38:38" x14ac:dyDescent="0.2">
      <c r="AL11554" s="177"/>
    </row>
    <row r="11555" spans="38:38" x14ac:dyDescent="0.2">
      <c r="AL11555" s="177"/>
    </row>
    <row r="11556" spans="38:38" x14ac:dyDescent="0.2">
      <c r="AL11556" s="177"/>
    </row>
    <row r="11557" spans="38:38" x14ac:dyDescent="0.2">
      <c r="AL11557" s="177"/>
    </row>
    <row r="11558" spans="38:38" x14ac:dyDescent="0.2">
      <c r="AL11558" s="177"/>
    </row>
    <row r="11559" spans="38:38" x14ac:dyDescent="0.2">
      <c r="AL11559" s="177"/>
    </row>
    <row r="11560" spans="38:38" x14ac:dyDescent="0.2">
      <c r="AL11560" s="177"/>
    </row>
    <row r="11561" spans="38:38" x14ac:dyDescent="0.2">
      <c r="AL11561" s="177"/>
    </row>
    <row r="11562" spans="38:38" x14ac:dyDescent="0.2">
      <c r="AL11562" s="177"/>
    </row>
    <row r="11563" spans="38:38" x14ac:dyDescent="0.2">
      <c r="AL11563" s="177"/>
    </row>
    <row r="11564" spans="38:38" x14ac:dyDescent="0.2">
      <c r="AL11564" s="177"/>
    </row>
    <row r="11565" spans="38:38" x14ac:dyDescent="0.2">
      <c r="AL11565" s="177"/>
    </row>
    <row r="11566" spans="38:38" x14ac:dyDescent="0.2">
      <c r="AL11566" s="177"/>
    </row>
    <row r="11567" spans="38:38" x14ac:dyDescent="0.2">
      <c r="AL11567" s="177"/>
    </row>
    <row r="11568" spans="38:38" x14ac:dyDescent="0.2">
      <c r="AL11568" s="177"/>
    </row>
    <row r="11569" spans="38:38" x14ac:dyDescent="0.2">
      <c r="AL11569" s="177"/>
    </row>
    <row r="11570" spans="38:38" x14ac:dyDescent="0.2">
      <c r="AL11570" s="177"/>
    </row>
    <row r="11571" spans="38:38" x14ac:dyDescent="0.2">
      <c r="AL11571" s="177"/>
    </row>
    <row r="11572" spans="38:38" x14ac:dyDescent="0.2">
      <c r="AL11572" s="177"/>
    </row>
    <row r="11573" spans="38:38" x14ac:dyDescent="0.2">
      <c r="AL11573" s="177"/>
    </row>
    <row r="11574" spans="38:38" x14ac:dyDescent="0.2">
      <c r="AL11574" s="177"/>
    </row>
    <row r="11575" spans="38:38" x14ac:dyDescent="0.2">
      <c r="AL11575" s="177"/>
    </row>
    <row r="11576" spans="38:38" x14ac:dyDescent="0.2">
      <c r="AL11576" s="177"/>
    </row>
    <row r="11577" spans="38:38" x14ac:dyDescent="0.2">
      <c r="AL11577" s="177"/>
    </row>
    <row r="11578" spans="38:38" x14ac:dyDescent="0.2">
      <c r="AL11578" s="177"/>
    </row>
    <row r="11579" spans="38:38" x14ac:dyDescent="0.2">
      <c r="AL11579" s="177"/>
    </row>
    <row r="11580" spans="38:38" x14ac:dyDescent="0.2">
      <c r="AL11580" s="177"/>
    </row>
    <row r="11581" spans="38:38" x14ac:dyDescent="0.2">
      <c r="AL11581" s="177"/>
    </row>
    <row r="11582" spans="38:38" x14ac:dyDescent="0.2">
      <c r="AL11582" s="177"/>
    </row>
    <row r="11583" spans="38:38" x14ac:dyDescent="0.2">
      <c r="AL11583" s="177"/>
    </row>
    <row r="11584" spans="38:38" x14ac:dyDescent="0.2">
      <c r="AL11584" s="177"/>
    </row>
    <row r="11585" spans="38:38" x14ac:dyDescent="0.2">
      <c r="AL11585" s="177"/>
    </row>
    <row r="11586" spans="38:38" x14ac:dyDescent="0.2">
      <c r="AL11586" s="177"/>
    </row>
    <row r="11587" spans="38:38" x14ac:dyDescent="0.2">
      <c r="AL11587" s="177"/>
    </row>
    <row r="11588" spans="38:38" x14ac:dyDescent="0.2">
      <c r="AL11588" s="177"/>
    </row>
    <row r="11589" spans="38:38" x14ac:dyDescent="0.2">
      <c r="AL11589" s="177"/>
    </row>
    <row r="11590" spans="38:38" x14ac:dyDescent="0.2">
      <c r="AL11590" s="177"/>
    </row>
    <row r="11591" spans="38:38" x14ac:dyDescent="0.2">
      <c r="AL11591" s="177"/>
    </row>
    <row r="11592" spans="38:38" x14ac:dyDescent="0.2">
      <c r="AL11592" s="177"/>
    </row>
    <row r="11593" spans="38:38" x14ac:dyDescent="0.2">
      <c r="AL11593" s="177"/>
    </row>
    <row r="11594" spans="38:38" x14ac:dyDescent="0.2">
      <c r="AL11594" s="177"/>
    </row>
    <row r="11595" spans="38:38" x14ac:dyDescent="0.2">
      <c r="AL11595" s="177"/>
    </row>
    <row r="11596" spans="38:38" x14ac:dyDescent="0.2">
      <c r="AL11596" s="177"/>
    </row>
    <row r="11597" spans="38:38" x14ac:dyDescent="0.2">
      <c r="AL11597" s="177"/>
    </row>
    <row r="11598" spans="38:38" x14ac:dyDescent="0.2">
      <c r="AL11598" s="177"/>
    </row>
    <row r="11599" spans="38:38" x14ac:dyDescent="0.2">
      <c r="AL11599" s="177"/>
    </row>
    <row r="11600" spans="38:38" x14ac:dyDescent="0.2">
      <c r="AL11600" s="177"/>
    </row>
    <row r="11601" spans="38:38" x14ac:dyDescent="0.2">
      <c r="AL11601" s="177"/>
    </row>
    <row r="11602" spans="38:38" x14ac:dyDescent="0.2">
      <c r="AL11602" s="177"/>
    </row>
    <row r="11603" spans="38:38" x14ac:dyDescent="0.2">
      <c r="AL11603" s="177"/>
    </row>
    <row r="11604" spans="38:38" x14ac:dyDescent="0.2">
      <c r="AL11604" s="177"/>
    </row>
    <row r="11605" spans="38:38" x14ac:dyDescent="0.2">
      <c r="AL11605" s="177"/>
    </row>
    <row r="11606" spans="38:38" x14ac:dyDescent="0.2">
      <c r="AL11606" s="177"/>
    </row>
    <row r="11607" spans="38:38" x14ac:dyDescent="0.2">
      <c r="AL11607" s="177"/>
    </row>
    <row r="11608" spans="38:38" x14ac:dyDescent="0.2">
      <c r="AL11608" s="177"/>
    </row>
    <row r="11609" spans="38:38" x14ac:dyDescent="0.2">
      <c r="AL11609" s="177"/>
    </row>
    <row r="11610" spans="38:38" x14ac:dyDescent="0.2">
      <c r="AL11610" s="177"/>
    </row>
    <row r="11611" spans="38:38" x14ac:dyDescent="0.2">
      <c r="AL11611" s="177"/>
    </row>
    <row r="11612" spans="38:38" x14ac:dyDescent="0.2">
      <c r="AL11612" s="177"/>
    </row>
    <row r="11613" spans="38:38" x14ac:dyDescent="0.2">
      <c r="AL11613" s="177"/>
    </row>
    <row r="11614" spans="38:38" x14ac:dyDescent="0.2">
      <c r="AL11614" s="177"/>
    </row>
    <row r="11615" spans="38:38" x14ac:dyDescent="0.2">
      <c r="AL11615" s="177"/>
    </row>
    <row r="11616" spans="38:38" x14ac:dyDescent="0.2">
      <c r="AL11616" s="177"/>
    </row>
    <row r="11617" spans="38:38" x14ac:dyDescent="0.2">
      <c r="AL11617" s="177"/>
    </row>
    <row r="11618" spans="38:38" x14ac:dyDescent="0.2">
      <c r="AL11618" s="177"/>
    </row>
    <row r="11619" spans="38:38" x14ac:dyDescent="0.2">
      <c r="AL11619" s="177"/>
    </row>
    <row r="11620" spans="38:38" x14ac:dyDescent="0.2">
      <c r="AL11620" s="177"/>
    </row>
    <row r="11621" spans="38:38" x14ac:dyDescent="0.2">
      <c r="AL11621" s="177"/>
    </row>
    <row r="11622" spans="38:38" x14ac:dyDescent="0.2">
      <c r="AL11622" s="177"/>
    </row>
    <row r="11623" spans="38:38" x14ac:dyDescent="0.2">
      <c r="AL11623" s="177"/>
    </row>
    <row r="11624" spans="38:38" x14ac:dyDescent="0.2">
      <c r="AL11624" s="177"/>
    </row>
    <row r="11625" spans="38:38" x14ac:dyDescent="0.2">
      <c r="AL11625" s="177"/>
    </row>
    <row r="11626" spans="38:38" x14ac:dyDescent="0.2">
      <c r="AL11626" s="177"/>
    </row>
    <row r="11627" spans="38:38" x14ac:dyDescent="0.2">
      <c r="AL11627" s="177"/>
    </row>
    <row r="11628" spans="38:38" x14ac:dyDescent="0.2">
      <c r="AL11628" s="177"/>
    </row>
    <row r="11629" spans="38:38" x14ac:dyDescent="0.2">
      <c r="AL11629" s="177"/>
    </row>
    <row r="11630" spans="38:38" x14ac:dyDescent="0.2">
      <c r="AL11630" s="177"/>
    </row>
    <row r="11631" spans="38:38" x14ac:dyDescent="0.2">
      <c r="AL11631" s="177"/>
    </row>
    <row r="11632" spans="38:38" x14ac:dyDescent="0.2">
      <c r="AL11632" s="177"/>
    </row>
    <row r="11633" spans="38:38" x14ac:dyDescent="0.2">
      <c r="AL11633" s="177"/>
    </row>
    <row r="11634" spans="38:38" x14ac:dyDescent="0.2">
      <c r="AL11634" s="177"/>
    </row>
    <row r="11635" spans="38:38" x14ac:dyDescent="0.2">
      <c r="AL11635" s="177"/>
    </row>
    <row r="11636" spans="38:38" x14ac:dyDescent="0.2">
      <c r="AL11636" s="177"/>
    </row>
    <row r="11637" spans="38:38" x14ac:dyDescent="0.2">
      <c r="AL11637" s="177"/>
    </row>
    <row r="11638" spans="38:38" x14ac:dyDescent="0.2">
      <c r="AL11638" s="177"/>
    </row>
    <row r="11639" spans="38:38" x14ac:dyDescent="0.2">
      <c r="AL11639" s="177"/>
    </row>
    <row r="11640" spans="38:38" x14ac:dyDescent="0.2">
      <c r="AL11640" s="177"/>
    </row>
    <row r="11641" spans="38:38" x14ac:dyDescent="0.2">
      <c r="AL11641" s="177"/>
    </row>
    <row r="11642" spans="38:38" x14ac:dyDescent="0.2">
      <c r="AL11642" s="177"/>
    </row>
    <row r="11643" spans="38:38" x14ac:dyDescent="0.2">
      <c r="AL11643" s="177"/>
    </row>
    <row r="11644" spans="38:38" x14ac:dyDescent="0.2">
      <c r="AL11644" s="177"/>
    </row>
    <row r="11645" spans="38:38" x14ac:dyDescent="0.2">
      <c r="AL11645" s="177"/>
    </row>
    <row r="11646" spans="38:38" x14ac:dyDescent="0.2">
      <c r="AL11646" s="177"/>
    </row>
    <row r="11647" spans="38:38" x14ac:dyDescent="0.2">
      <c r="AL11647" s="177"/>
    </row>
    <row r="11648" spans="38:38" x14ac:dyDescent="0.2">
      <c r="AL11648" s="177"/>
    </row>
    <row r="11649" spans="38:38" x14ac:dyDescent="0.2">
      <c r="AL11649" s="177"/>
    </row>
    <row r="11650" spans="38:38" x14ac:dyDescent="0.2">
      <c r="AL11650" s="177"/>
    </row>
    <row r="11651" spans="38:38" x14ac:dyDescent="0.2">
      <c r="AL11651" s="177"/>
    </row>
    <row r="11652" spans="38:38" x14ac:dyDescent="0.2">
      <c r="AL11652" s="177"/>
    </row>
    <row r="11653" spans="38:38" x14ac:dyDescent="0.2">
      <c r="AL11653" s="177"/>
    </row>
    <row r="11654" spans="38:38" x14ac:dyDescent="0.2">
      <c r="AL11654" s="177"/>
    </row>
    <row r="11655" spans="38:38" x14ac:dyDescent="0.2">
      <c r="AL11655" s="177"/>
    </row>
    <row r="11656" spans="38:38" x14ac:dyDescent="0.2">
      <c r="AL11656" s="177"/>
    </row>
    <row r="11657" spans="38:38" x14ac:dyDescent="0.2">
      <c r="AL11657" s="177"/>
    </row>
    <row r="11658" spans="38:38" x14ac:dyDescent="0.2">
      <c r="AL11658" s="177"/>
    </row>
    <row r="11659" spans="38:38" x14ac:dyDescent="0.2">
      <c r="AL11659" s="177"/>
    </row>
    <row r="11660" spans="38:38" x14ac:dyDescent="0.2">
      <c r="AL11660" s="177"/>
    </row>
    <row r="11661" spans="38:38" x14ac:dyDescent="0.2">
      <c r="AL11661" s="177"/>
    </row>
    <row r="11662" spans="38:38" x14ac:dyDescent="0.2">
      <c r="AL11662" s="177"/>
    </row>
    <row r="11663" spans="38:38" x14ac:dyDescent="0.2">
      <c r="AL11663" s="177"/>
    </row>
    <row r="11664" spans="38:38" x14ac:dyDescent="0.2">
      <c r="AL11664" s="177"/>
    </row>
    <row r="11665" spans="38:38" x14ac:dyDescent="0.2">
      <c r="AL11665" s="177"/>
    </row>
    <row r="11666" spans="38:38" x14ac:dyDescent="0.2">
      <c r="AL11666" s="177"/>
    </row>
    <row r="11667" spans="38:38" x14ac:dyDescent="0.2">
      <c r="AL11667" s="177"/>
    </row>
    <row r="11668" spans="38:38" x14ac:dyDescent="0.2">
      <c r="AL11668" s="177"/>
    </row>
    <row r="11669" spans="38:38" x14ac:dyDescent="0.2">
      <c r="AL11669" s="177"/>
    </row>
    <row r="11670" spans="38:38" x14ac:dyDescent="0.2">
      <c r="AL11670" s="177"/>
    </row>
    <row r="11671" spans="38:38" x14ac:dyDescent="0.2">
      <c r="AL11671" s="177"/>
    </row>
    <row r="11672" spans="38:38" x14ac:dyDescent="0.2">
      <c r="AL11672" s="177"/>
    </row>
    <row r="11673" spans="38:38" x14ac:dyDescent="0.2">
      <c r="AL11673" s="177"/>
    </row>
    <row r="11674" spans="38:38" x14ac:dyDescent="0.2">
      <c r="AL11674" s="177"/>
    </row>
    <row r="11675" spans="38:38" x14ac:dyDescent="0.2">
      <c r="AL11675" s="177"/>
    </row>
    <row r="11676" spans="38:38" x14ac:dyDescent="0.2">
      <c r="AL11676" s="177"/>
    </row>
    <row r="11677" spans="38:38" x14ac:dyDescent="0.2">
      <c r="AL11677" s="177"/>
    </row>
    <row r="11678" spans="38:38" x14ac:dyDescent="0.2">
      <c r="AL11678" s="177"/>
    </row>
    <row r="11679" spans="38:38" x14ac:dyDescent="0.2">
      <c r="AL11679" s="177"/>
    </row>
    <row r="11680" spans="38:38" x14ac:dyDescent="0.2">
      <c r="AL11680" s="177"/>
    </row>
    <row r="11681" spans="38:38" x14ac:dyDescent="0.2">
      <c r="AL11681" s="177"/>
    </row>
    <row r="11682" spans="38:38" x14ac:dyDescent="0.2">
      <c r="AL11682" s="177"/>
    </row>
    <row r="11683" spans="38:38" x14ac:dyDescent="0.2">
      <c r="AL11683" s="177"/>
    </row>
    <row r="11684" spans="38:38" x14ac:dyDescent="0.2">
      <c r="AL11684" s="177"/>
    </row>
    <row r="11685" spans="38:38" x14ac:dyDescent="0.2">
      <c r="AL11685" s="177"/>
    </row>
    <row r="11686" spans="38:38" x14ac:dyDescent="0.2">
      <c r="AL11686" s="177"/>
    </row>
    <row r="11687" spans="38:38" x14ac:dyDescent="0.2">
      <c r="AL11687" s="177"/>
    </row>
    <row r="11688" spans="38:38" x14ac:dyDescent="0.2">
      <c r="AL11688" s="177"/>
    </row>
    <row r="11689" spans="38:38" x14ac:dyDescent="0.2">
      <c r="AL11689" s="177"/>
    </row>
    <row r="11690" spans="38:38" x14ac:dyDescent="0.2">
      <c r="AL11690" s="177"/>
    </row>
    <row r="11691" spans="38:38" x14ac:dyDescent="0.2">
      <c r="AL11691" s="177"/>
    </row>
    <row r="11692" spans="38:38" x14ac:dyDescent="0.2">
      <c r="AL11692" s="177"/>
    </row>
    <row r="11693" spans="38:38" x14ac:dyDescent="0.2">
      <c r="AL11693" s="177"/>
    </row>
    <row r="11694" spans="38:38" x14ac:dyDescent="0.2">
      <c r="AL11694" s="177"/>
    </row>
    <row r="11695" spans="38:38" x14ac:dyDescent="0.2">
      <c r="AL11695" s="177"/>
    </row>
    <row r="11696" spans="38:38" x14ac:dyDescent="0.2">
      <c r="AL11696" s="177"/>
    </row>
    <row r="11697" spans="38:38" x14ac:dyDescent="0.2">
      <c r="AL11697" s="177"/>
    </row>
    <row r="11698" spans="38:38" x14ac:dyDescent="0.2">
      <c r="AL11698" s="177"/>
    </row>
    <row r="11699" spans="38:38" x14ac:dyDescent="0.2">
      <c r="AL11699" s="177"/>
    </row>
    <row r="11700" spans="38:38" x14ac:dyDescent="0.2">
      <c r="AL11700" s="177"/>
    </row>
    <row r="11701" spans="38:38" x14ac:dyDescent="0.2">
      <c r="AL11701" s="177"/>
    </row>
    <row r="11702" spans="38:38" x14ac:dyDescent="0.2">
      <c r="AL11702" s="177"/>
    </row>
    <row r="11703" spans="38:38" x14ac:dyDescent="0.2">
      <c r="AL11703" s="177"/>
    </row>
    <row r="11704" spans="38:38" x14ac:dyDescent="0.2">
      <c r="AL11704" s="177"/>
    </row>
    <row r="11705" spans="38:38" x14ac:dyDescent="0.2">
      <c r="AL11705" s="177"/>
    </row>
    <row r="11706" spans="38:38" x14ac:dyDescent="0.2">
      <c r="AL11706" s="177"/>
    </row>
    <row r="11707" spans="38:38" x14ac:dyDescent="0.2">
      <c r="AL11707" s="177"/>
    </row>
    <row r="11708" spans="38:38" x14ac:dyDescent="0.2">
      <c r="AL11708" s="177"/>
    </row>
    <row r="11709" spans="38:38" x14ac:dyDescent="0.2">
      <c r="AL11709" s="177"/>
    </row>
    <row r="11710" spans="38:38" x14ac:dyDescent="0.2">
      <c r="AL11710" s="177"/>
    </row>
    <row r="11711" spans="38:38" x14ac:dyDescent="0.2">
      <c r="AL11711" s="177"/>
    </row>
    <row r="11712" spans="38:38" x14ac:dyDescent="0.2">
      <c r="AL11712" s="177"/>
    </row>
    <row r="11713" spans="38:38" x14ac:dyDescent="0.2">
      <c r="AL11713" s="177"/>
    </row>
    <row r="11714" spans="38:38" x14ac:dyDescent="0.2">
      <c r="AL11714" s="177"/>
    </row>
    <row r="11715" spans="38:38" x14ac:dyDescent="0.2">
      <c r="AL11715" s="177"/>
    </row>
    <row r="11716" spans="38:38" x14ac:dyDescent="0.2">
      <c r="AL11716" s="177"/>
    </row>
    <row r="11717" spans="38:38" x14ac:dyDescent="0.2">
      <c r="AL11717" s="177"/>
    </row>
    <row r="11718" spans="38:38" x14ac:dyDescent="0.2">
      <c r="AL11718" s="177"/>
    </row>
    <row r="11719" spans="38:38" x14ac:dyDescent="0.2">
      <c r="AL11719" s="177"/>
    </row>
    <row r="11720" spans="38:38" x14ac:dyDescent="0.2">
      <c r="AL11720" s="177"/>
    </row>
    <row r="11721" spans="38:38" x14ac:dyDescent="0.2">
      <c r="AL11721" s="177"/>
    </row>
    <row r="11722" spans="38:38" x14ac:dyDescent="0.2">
      <c r="AL11722" s="177"/>
    </row>
    <row r="11723" spans="38:38" x14ac:dyDescent="0.2">
      <c r="AL11723" s="177"/>
    </row>
    <row r="11724" spans="38:38" x14ac:dyDescent="0.2">
      <c r="AL11724" s="177"/>
    </row>
    <row r="11725" spans="38:38" x14ac:dyDescent="0.2">
      <c r="AL11725" s="177"/>
    </row>
    <row r="11726" spans="38:38" x14ac:dyDescent="0.2">
      <c r="AL11726" s="177"/>
    </row>
    <row r="11727" spans="38:38" x14ac:dyDescent="0.2">
      <c r="AL11727" s="177"/>
    </row>
    <row r="11728" spans="38:38" x14ac:dyDescent="0.2">
      <c r="AL11728" s="177"/>
    </row>
    <row r="11729" spans="38:38" x14ac:dyDescent="0.2">
      <c r="AL11729" s="177"/>
    </row>
    <row r="11730" spans="38:38" x14ac:dyDescent="0.2">
      <c r="AL11730" s="177"/>
    </row>
    <row r="11731" spans="38:38" x14ac:dyDescent="0.2">
      <c r="AL11731" s="177"/>
    </row>
    <row r="11732" spans="38:38" x14ac:dyDescent="0.2">
      <c r="AL11732" s="177"/>
    </row>
    <row r="11733" spans="38:38" x14ac:dyDescent="0.2">
      <c r="AL11733" s="177"/>
    </row>
    <row r="11734" spans="38:38" x14ac:dyDescent="0.2">
      <c r="AL11734" s="177"/>
    </row>
    <row r="11735" spans="38:38" x14ac:dyDescent="0.2">
      <c r="AL11735" s="177"/>
    </row>
    <row r="11736" spans="38:38" x14ac:dyDescent="0.2">
      <c r="AL11736" s="177"/>
    </row>
    <row r="11737" spans="38:38" x14ac:dyDescent="0.2">
      <c r="AL11737" s="177"/>
    </row>
    <row r="11738" spans="38:38" x14ac:dyDescent="0.2">
      <c r="AL11738" s="177"/>
    </row>
    <row r="11739" spans="38:38" x14ac:dyDescent="0.2">
      <c r="AL11739" s="177"/>
    </row>
    <row r="11740" spans="38:38" x14ac:dyDescent="0.2">
      <c r="AL11740" s="177"/>
    </row>
    <row r="11741" spans="38:38" x14ac:dyDescent="0.2">
      <c r="AL11741" s="177"/>
    </row>
    <row r="11742" spans="38:38" x14ac:dyDescent="0.2">
      <c r="AL11742" s="177"/>
    </row>
    <row r="11743" spans="38:38" x14ac:dyDescent="0.2">
      <c r="AL11743" s="177"/>
    </row>
    <row r="11744" spans="38:38" x14ac:dyDescent="0.2">
      <c r="AL11744" s="177"/>
    </row>
    <row r="11745" spans="38:38" x14ac:dyDescent="0.2">
      <c r="AL11745" s="177"/>
    </row>
    <row r="11746" spans="38:38" x14ac:dyDescent="0.2">
      <c r="AL11746" s="177"/>
    </row>
    <row r="11747" spans="38:38" x14ac:dyDescent="0.2">
      <c r="AL11747" s="177"/>
    </row>
    <row r="11748" spans="38:38" x14ac:dyDescent="0.2">
      <c r="AL11748" s="177"/>
    </row>
    <row r="11749" spans="38:38" x14ac:dyDescent="0.2">
      <c r="AL11749" s="177"/>
    </row>
    <row r="11750" spans="38:38" x14ac:dyDescent="0.2">
      <c r="AL11750" s="177"/>
    </row>
    <row r="11751" spans="38:38" x14ac:dyDescent="0.2">
      <c r="AL11751" s="177"/>
    </row>
    <row r="11752" spans="38:38" x14ac:dyDescent="0.2">
      <c r="AL11752" s="177"/>
    </row>
    <row r="11753" spans="38:38" x14ac:dyDescent="0.2">
      <c r="AL11753" s="177"/>
    </row>
    <row r="11754" spans="38:38" x14ac:dyDescent="0.2">
      <c r="AL11754" s="177"/>
    </row>
    <row r="11755" spans="38:38" x14ac:dyDescent="0.2">
      <c r="AL11755" s="177"/>
    </row>
    <row r="11756" spans="38:38" x14ac:dyDescent="0.2">
      <c r="AL11756" s="177"/>
    </row>
    <row r="11757" spans="38:38" x14ac:dyDescent="0.2">
      <c r="AL11757" s="177"/>
    </row>
    <row r="11758" spans="38:38" x14ac:dyDescent="0.2">
      <c r="AL11758" s="177"/>
    </row>
    <row r="11759" spans="38:38" x14ac:dyDescent="0.2">
      <c r="AL11759" s="177"/>
    </row>
    <row r="11760" spans="38:38" x14ac:dyDescent="0.2">
      <c r="AL11760" s="177"/>
    </row>
    <row r="11761" spans="38:38" x14ac:dyDescent="0.2">
      <c r="AL11761" s="177"/>
    </row>
    <row r="11762" spans="38:38" x14ac:dyDescent="0.2">
      <c r="AL11762" s="177"/>
    </row>
    <row r="11763" spans="38:38" x14ac:dyDescent="0.2">
      <c r="AL11763" s="177"/>
    </row>
    <row r="11764" spans="38:38" x14ac:dyDescent="0.2">
      <c r="AL11764" s="177"/>
    </row>
    <row r="11765" spans="38:38" x14ac:dyDescent="0.2">
      <c r="AL11765" s="177"/>
    </row>
    <row r="11766" spans="38:38" x14ac:dyDescent="0.2">
      <c r="AL11766" s="177"/>
    </row>
    <row r="11767" spans="38:38" x14ac:dyDescent="0.2">
      <c r="AL11767" s="177"/>
    </row>
    <row r="11768" spans="38:38" x14ac:dyDescent="0.2">
      <c r="AL11768" s="177"/>
    </row>
    <row r="11769" spans="38:38" x14ac:dyDescent="0.2">
      <c r="AL11769" s="177"/>
    </row>
    <row r="11770" spans="38:38" x14ac:dyDescent="0.2">
      <c r="AL11770" s="177"/>
    </row>
    <row r="11771" spans="38:38" x14ac:dyDescent="0.2">
      <c r="AL11771" s="177"/>
    </row>
    <row r="11772" spans="38:38" x14ac:dyDescent="0.2">
      <c r="AL11772" s="177"/>
    </row>
    <row r="11773" spans="38:38" x14ac:dyDescent="0.2">
      <c r="AL11773" s="177"/>
    </row>
    <row r="11774" spans="38:38" x14ac:dyDescent="0.2">
      <c r="AL11774" s="177"/>
    </row>
    <row r="11775" spans="38:38" x14ac:dyDescent="0.2">
      <c r="AL11775" s="177"/>
    </row>
    <row r="11776" spans="38:38" x14ac:dyDescent="0.2">
      <c r="AL11776" s="177"/>
    </row>
    <row r="11777" spans="38:38" x14ac:dyDescent="0.2">
      <c r="AL11777" s="177"/>
    </row>
    <row r="11778" spans="38:38" x14ac:dyDescent="0.2">
      <c r="AL11778" s="177"/>
    </row>
    <row r="11779" spans="38:38" x14ac:dyDescent="0.2">
      <c r="AL11779" s="177"/>
    </row>
    <row r="11780" spans="38:38" x14ac:dyDescent="0.2">
      <c r="AL11780" s="177"/>
    </row>
    <row r="11781" spans="38:38" x14ac:dyDescent="0.2">
      <c r="AL11781" s="177"/>
    </row>
    <row r="11782" spans="38:38" x14ac:dyDescent="0.2">
      <c r="AL11782" s="177"/>
    </row>
    <row r="11783" spans="38:38" x14ac:dyDescent="0.2">
      <c r="AL11783" s="177"/>
    </row>
    <row r="11784" spans="38:38" x14ac:dyDescent="0.2">
      <c r="AL11784" s="177"/>
    </row>
    <row r="11785" spans="38:38" x14ac:dyDescent="0.2">
      <c r="AL11785" s="177"/>
    </row>
    <row r="11786" spans="38:38" x14ac:dyDescent="0.2">
      <c r="AL11786" s="177"/>
    </row>
    <row r="11787" spans="38:38" x14ac:dyDescent="0.2">
      <c r="AL11787" s="177"/>
    </row>
    <row r="11788" spans="38:38" x14ac:dyDescent="0.2">
      <c r="AL11788" s="177"/>
    </row>
    <row r="11789" spans="38:38" x14ac:dyDescent="0.2">
      <c r="AL11789" s="177"/>
    </row>
    <row r="11790" spans="38:38" x14ac:dyDescent="0.2">
      <c r="AL11790" s="177"/>
    </row>
    <row r="11791" spans="38:38" x14ac:dyDescent="0.2">
      <c r="AL11791" s="177"/>
    </row>
    <row r="11792" spans="38:38" x14ac:dyDescent="0.2">
      <c r="AL11792" s="177"/>
    </row>
    <row r="11793" spans="38:38" x14ac:dyDescent="0.2">
      <c r="AL11793" s="177"/>
    </row>
    <row r="11794" spans="38:38" x14ac:dyDescent="0.2">
      <c r="AL11794" s="177"/>
    </row>
    <row r="11795" spans="38:38" x14ac:dyDescent="0.2">
      <c r="AL11795" s="177"/>
    </row>
    <row r="11796" spans="38:38" x14ac:dyDescent="0.2">
      <c r="AL11796" s="177"/>
    </row>
    <row r="11797" spans="38:38" x14ac:dyDescent="0.2">
      <c r="AL11797" s="177"/>
    </row>
    <row r="11798" spans="38:38" x14ac:dyDescent="0.2">
      <c r="AL11798" s="177"/>
    </row>
    <row r="11799" spans="38:38" x14ac:dyDescent="0.2">
      <c r="AL11799" s="177"/>
    </row>
    <row r="11800" spans="38:38" x14ac:dyDescent="0.2">
      <c r="AL11800" s="177"/>
    </row>
    <row r="11801" spans="38:38" x14ac:dyDescent="0.2">
      <c r="AL11801" s="177"/>
    </row>
    <row r="11802" spans="38:38" x14ac:dyDescent="0.2">
      <c r="AL11802" s="177"/>
    </row>
    <row r="11803" spans="38:38" x14ac:dyDescent="0.2">
      <c r="AL11803" s="177"/>
    </row>
    <row r="11804" spans="38:38" x14ac:dyDescent="0.2">
      <c r="AL11804" s="177"/>
    </row>
    <row r="11805" spans="38:38" x14ac:dyDescent="0.2">
      <c r="AL11805" s="177"/>
    </row>
    <row r="11806" spans="38:38" x14ac:dyDescent="0.2">
      <c r="AL11806" s="177"/>
    </row>
    <row r="11807" spans="38:38" x14ac:dyDescent="0.2">
      <c r="AL11807" s="177"/>
    </row>
    <row r="11808" spans="38:38" x14ac:dyDescent="0.2">
      <c r="AL11808" s="177"/>
    </row>
    <row r="11809" spans="38:38" x14ac:dyDescent="0.2">
      <c r="AL11809" s="177"/>
    </row>
    <row r="11810" spans="38:38" x14ac:dyDescent="0.2">
      <c r="AL11810" s="177"/>
    </row>
    <row r="11811" spans="38:38" x14ac:dyDescent="0.2">
      <c r="AL11811" s="177"/>
    </row>
    <row r="11812" spans="38:38" x14ac:dyDescent="0.2">
      <c r="AL11812" s="177"/>
    </row>
    <row r="11813" spans="38:38" x14ac:dyDescent="0.2">
      <c r="AL11813" s="177"/>
    </row>
    <row r="11814" spans="38:38" x14ac:dyDescent="0.2">
      <c r="AL11814" s="177"/>
    </row>
    <row r="11815" spans="38:38" x14ac:dyDescent="0.2">
      <c r="AL11815" s="177"/>
    </row>
    <row r="11816" spans="38:38" x14ac:dyDescent="0.2">
      <c r="AL11816" s="177"/>
    </row>
    <row r="11817" spans="38:38" x14ac:dyDescent="0.2">
      <c r="AL11817" s="177"/>
    </row>
    <row r="11818" spans="38:38" x14ac:dyDescent="0.2">
      <c r="AL11818" s="177"/>
    </row>
    <row r="11819" spans="38:38" x14ac:dyDescent="0.2">
      <c r="AL11819" s="177"/>
    </row>
    <row r="11820" spans="38:38" x14ac:dyDescent="0.2">
      <c r="AL11820" s="177"/>
    </row>
    <row r="11821" spans="38:38" x14ac:dyDescent="0.2">
      <c r="AL11821" s="177"/>
    </row>
    <row r="11822" spans="38:38" x14ac:dyDescent="0.2">
      <c r="AL11822" s="177"/>
    </row>
    <row r="11823" spans="38:38" x14ac:dyDescent="0.2">
      <c r="AL11823" s="177"/>
    </row>
    <row r="11824" spans="38:38" x14ac:dyDescent="0.2">
      <c r="AL11824" s="177"/>
    </row>
    <row r="11825" spans="38:38" x14ac:dyDescent="0.2">
      <c r="AL11825" s="177"/>
    </row>
    <row r="11826" spans="38:38" x14ac:dyDescent="0.2">
      <c r="AL11826" s="177"/>
    </row>
    <row r="11827" spans="38:38" x14ac:dyDescent="0.2">
      <c r="AL11827" s="177"/>
    </row>
    <row r="11828" spans="38:38" x14ac:dyDescent="0.2">
      <c r="AL11828" s="177"/>
    </row>
    <row r="11829" spans="38:38" x14ac:dyDescent="0.2">
      <c r="AL11829" s="177"/>
    </row>
    <row r="11830" spans="38:38" x14ac:dyDescent="0.2">
      <c r="AL11830" s="177"/>
    </row>
    <row r="11831" spans="38:38" x14ac:dyDescent="0.2">
      <c r="AL11831" s="177"/>
    </row>
    <row r="11832" spans="38:38" x14ac:dyDescent="0.2">
      <c r="AL11832" s="177"/>
    </row>
    <row r="11833" spans="38:38" x14ac:dyDescent="0.2">
      <c r="AL11833" s="177"/>
    </row>
    <row r="11834" spans="38:38" x14ac:dyDescent="0.2">
      <c r="AL11834" s="177"/>
    </row>
    <row r="11835" spans="38:38" x14ac:dyDescent="0.2">
      <c r="AL11835" s="177"/>
    </row>
    <row r="11836" spans="38:38" x14ac:dyDescent="0.2">
      <c r="AL11836" s="177"/>
    </row>
    <row r="11837" spans="38:38" x14ac:dyDescent="0.2">
      <c r="AL11837" s="177"/>
    </row>
    <row r="11838" spans="38:38" x14ac:dyDescent="0.2">
      <c r="AL11838" s="177"/>
    </row>
    <row r="11839" spans="38:38" x14ac:dyDescent="0.2">
      <c r="AL11839" s="177"/>
    </row>
    <row r="11840" spans="38:38" x14ac:dyDescent="0.2">
      <c r="AL11840" s="177"/>
    </row>
    <row r="11841" spans="38:38" x14ac:dyDescent="0.2">
      <c r="AL11841" s="177"/>
    </row>
    <row r="11842" spans="38:38" x14ac:dyDescent="0.2">
      <c r="AL11842" s="177"/>
    </row>
    <row r="11843" spans="38:38" x14ac:dyDescent="0.2">
      <c r="AL11843" s="177"/>
    </row>
    <row r="11844" spans="38:38" x14ac:dyDescent="0.2">
      <c r="AL11844" s="177"/>
    </row>
    <row r="11845" spans="38:38" x14ac:dyDescent="0.2">
      <c r="AL11845" s="177"/>
    </row>
    <row r="11846" spans="38:38" x14ac:dyDescent="0.2">
      <c r="AL11846" s="177"/>
    </row>
    <row r="11847" spans="38:38" x14ac:dyDescent="0.2">
      <c r="AL11847" s="177"/>
    </row>
    <row r="11848" spans="38:38" x14ac:dyDescent="0.2">
      <c r="AL11848" s="177"/>
    </row>
    <row r="11849" spans="38:38" x14ac:dyDescent="0.2">
      <c r="AL11849" s="177"/>
    </row>
    <row r="11850" spans="38:38" x14ac:dyDescent="0.2">
      <c r="AL11850" s="177"/>
    </row>
    <row r="11851" spans="38:38" x14ac:dyDescent="0.2">
      <c r="AL11851" s="177"/>
    </row>
    <row r="11852" spans="38:38" x14ac:dyDescent="0.2">
      <c r="AL11852" s="177"/>
    </row>
    <row r="11853" spans="38:38" x14ac:dyDescent="0.2">
      <c r="AL11853" s="177"/>
    </row>
    <row r="11854" spans="38:38" x14ac:dyDescent="0.2">
      <c r="AL11854" s="177"/>
    </row>
    <row r="11855" spans="38:38" x14ac:dyDescent="0.2">
      <c r="AL11855" s="177"/>
    </row>
    <row r="11856" spans="38:38" x14ac:dyDescent="0.2">
      <c r="AL11856" s="177"/>
    </row>
    <row r="11857" spans="38:38" x14ac:dyDescent="0.2">
      <c r="AL11857" s="177"/>
    </row>
    <row r="11858" spans="38:38" x14ac:dyDescent="0.2">
      <c r="AL11858" s="177"/>
    </row>
    <row r="11859" spans="38:38" x14ac:dyDescent="0.2">
      <c r="AL11859" s="177"/>
    </row>
    <row r="11860" spans="38:38" x14ac:dyDescent="0.2">
      <c r="AL11860" s="177"/>
    </row>
    <row r="11861" spans="38:38" x14ac:dyDescent="0.2">
      <c r="AL11861" s="177"/>
    </row>
    <row r="11862" spans="38:38" x14ac:dyDescent="0.2">
      <c r="AL11862" s="177"/>
    </row>
    <row r="11863" spans="38:38" x14ac:dyDescent="0.2">
      <c r="AL11863" s="177"/>
    </row>
    <row r="11864" spans="38:38" x14ac:dyDescent="0.2">
      <c r="AL11864" s="177"/>
    </row>
    <row r="11865" spans="38:38" x14ac:dyDescent="0.2">
      <c r="AL11865" s="177"/>
    </row>
    <row r="11866" spans="38:38" x14ac:dyDescent="0.2">
      <c r="AL11866" s="177"/>
    </row>
    <row r="11867" spans="38:38" x14ac:dyDescent="0.2">
      <c r="AL11867" s="177"/>
    </row>
    <row r="11868" spans="38:38" x14ac:dyDescent="0.2">
      <c r="AL11868" s="177"/>
    </row>
    <row r="11869" spans="38:38" x14ac:dyDescent="0.2">
      <c r="AL11869" s="177"/>
    </row>
    <row r="11870" spans="38:38" x14ac:dyDescent="0.2">
      <c r="AL11870" s="177"/>
    </row>
    <row r="11871" spans="38:38" x14ac:dyDescent="0.2">
      <c r="AL11871" s="177"/>
    </row>
    <row r="11872" spans="38:38" x14ac:dyDescent="0.2">
      <c r="AL11872" s="177"/>
    </row>
    <row r="11873" spans="38:38" x14ac:dyDescent="0.2">
      <c r="AL11873" s="177"/>
    </row>
    <row r="11874" spans="38:38" x14ac:dyDescent="0.2">
      <c r="AL11874" s="177"/>
    </row>
    <row r="11875" spans="38:38" x14ac:dyDescent="0.2">
      <c r="AL11875" s="177"/>
    </row>
    <row r="11876" spans="38:38" x14ac:dyDescent="0.2">
      <c r="AL11876" s="177"/>
    </row>
    <row r="11877" spans="38:38" x14ac:dyDescent="0.2">
      <c r="AL11877" s="177"/>
    </row>
    <row r="11878" spans="38:38" x14ac:dyDescent="0.2">
      <c r="AL11878" s="177"/>
    </row>
    <row r="11879" spans="38:38" x14ac:dyDescent="0.2">
      <c r="AL11879" s="177"/>
    </row>
    <row r="11880" spans="38:38" x14ac:dyDescent="0.2">
      <c r="AL11880" s="177"/>
    </row>
    <row r="11881" spans="38:38" x14ac:dyDescent="0.2">
      <c r="AL11881" s="177"/>
    </row>
    <row r="11882" spans="38:38" x14ac:dyDescent="0.2">
      <c r="AL11882" s="177"/>
    </row>
    <row r="11883" spans="38:38" x14ac:dyDescent="0.2">
      <c r="AL11883" s="177"/>
    </row>
    <row r="11884" spans="38:38" x14ac:dyDescent="0.2">
      <c r="AL11884" s="177"/>
    </row>
    <row r="11885" spans="38:38" x14ac:dyDescent="0.2">
      <c r="AL11885" s="177"/>
    </row>
    <row r="11886" spans="38:38" x14ac:dyDescent="0.2">
      <c r="AL11886" s="177"/>
    </row>
    <row r="11887" spans="38:38" x14ac:dyDescent="0.2">
      <c r="AL11887" s="177"/>
    </row>
    <row r="11888" spans="38:38" x14ac:dyDescent="0.2">
      <c r="AL11888" s="177"/>
    </row>
    <row r="11889" spans="38:38" x14ac:dyDescent="0.2">
      <c r="AL11889" s="177"/>
    </row>
    <row r="11890" spans="38:38" x14ac:dyDescent="0.2">
      <c r="AL11890" s="177"/>
    </row>
    <row r="11891" spans="38:38" x14ac:dyDescent="0.2">
      <c r="AL11891" s="177"/>
    </row>
    <row r="11892" spans="38:38" x14ac:dyDescent="0.2">
      <c r="AL11892" s="177"/>
    </row>
    <row r="11893" spans="38:38" x14ac:dyDescent="0.2">
      <c r="AL11893" s="177"/>
    </row>
    <row r="11894" spans="38:38" x14ac:dyDescent="0.2">
      <c r="AL11894" s="177"/>
    </row>
    <row r="11895" spans="38:38" x14ac:dyDescent="0.2">
      <c r="AL11895" s="177"/>
    </row>
    <row r="11896" spans="38:38" x14ac:dyDescent="0.2">
      <c r="AL11896" s="177"/>
    </row>
    <row r="11897" spans="38:38" x14ac:dyDescent="0.2">
      <c r="AL11897" s="177"/>
    </row>
    <row r="11898" spans="38:38" x14ac:dyDescent="0.2">
      <c r="AL11898" s="177"/>
    </row>
    <row r="11899" spans="38:38" x14ac:dyDescent="0.2">
      <c r="AL11899" s="177"/>
    </row>
    <row r="11900" spans="38:38" x14ac:dyDescent="0.2">
      <c r="AL11900" s="177"/>
    </row>
    <row r="11901" spans="38:38" x14ac:dyDescent="0.2">
      <c r="AL11901" s="177"/>
    </row>
    <row r="11902" spans="38:38" x14ac:dyDescent="0.2">
      <c r="AL11902" s="177"/>
    </row>
    <row r="11903" spans="38:38" x14ac:dyDescent="0.2">
      <c r="AL11903" s="177"/>
    </row>
    <row r="11904" spans="38:38" x14ac:dyDescent="0.2">
      <c r="AL11904" s="177"/>
    </row>
    <row r="11905" spans="38:38" x14ac:dyDescent="0.2">
      <c r="AL11905" s="177"/>
    </row>
    <row r="11906" spans="38:38" x14ac:dyDescent="0.2">
      <c r="AL11906" s="177"/>
    </row>
    <row r="11907" spans="38:38" x14ac:dyDescent="0.2">
      <c r="AL11907" s="177"/>
    </row>
    <row r="11908" spans="38:38" x14ac:dyDescent="0.2">
      <c r="AL11908" s="177"/>
    </row>
    <row r="11909" spans="38:38" x14ac:dyDescent="0.2">
      <c r="AL11909" s="177"/>
    </row>
    <row r="11910" spans="38:38" x14ac:dyDescent="0.2">
      <c r="AL11910" s="177"/>
    </row>
    <row r="11911" spans="38:38" x14ac:dyDescent="0.2">
      <c r="AL11911" s="177"/>
    </row>
    <row r="11912" spans="38:38" x14ac:dyDescent="0.2">
      <c r="AL11912" s="177"/>
    </row>
    <row r="11913" spans="38:38" x14ac:dyDescent="0.2">
      <c r="AL11913" s="177"/>
    </row>
    <row r="11914" spans="38:38" x14ac:dyDescent="0.2">
      <c r="AL11914" s="177"/>
    </row>
    <row r="11915" spans="38:38" x14ac:dyDescent="0.2">
      <c r="AL11915" s="177"/>
    </row>
    <row r="11916" spans="38:38" x14ac:dyDescent="0.2">
      <c r="AL11916" s="177"/>
    </row>
    <row r="11917" spans="38:38" x14ac:dyDescent="0.2">
      <c r="AL11917" s="177"/>
    </row>
    <row r="11918" spans="38:38" x14ac:dyDescent="0.2">
      <c r="AL11918" s="177"/>
    </row>
    <row r="11919" spans="38:38" x14ac:dyDescent="0.2">
      <c r="AL11919" s="177"/>
    </row>
    <row r="11920" spans="38:38" x14ac:dyDescent="0.2">
      <c r="AL11920" s="177"/>
    </row>
    <row r="11921" spans="38:38" x14ac:dyDescent="0.2">
      <c r="AL11921" s="177"/>
    </row>
    <row r="11922" spans="38:38" x14ac:dyDescent="0.2">
      <c r="AL11922" s="177"/>
    </row>
    <row r="11923" spans="38:38" x14ac:dyDescent="0.2">
      <c r="AL11923" s="177"/>
    </row>
    <row r="11924" spans="38:38" x14ac:dyDescent="0.2">
      <c r="AL11924" s="177"/>
    </row>
    <row r="11925" spans="38:38" x14ac:dyDescent="0.2">
      <c r="AL11925" s="177"/>
    </row>
    <row r="11926" spans="38:38" x14ac:dyDescent="0.2">
      <c r="AL11926" s="177"/>
    </row>
    <row r="11927" spans="38:38" x14ac:dyDescent="0.2">
      <c r="AL11927" s="177"/>
    </row>
    <row r="11928" spans="38:38" x14ac:dyDescent="0.2">
      <c r="AL11928" s="177"/>
    </row>
    <row r="11929" spans="38:38" x14ac:dyDescent="0.2">
      <c r="AL11929" s="177"/>
    </row>
    <row r="11930" spans="38:38" x14ac:dyDescent="0.2">
      <c r="AL11930" s="177"/>
    </row>
    <row r="11931" spans="38:38" x14ac:dyDescent="0.2">
      <c r="AL11931" s="177"/>
    </row>
    <row r="11932" spans="38:38" x14ac:dyDescent="0.2">
      <c r="AL11932" s="177"/>
    </row>
    <row r="11933" spans="38:38" x14ac:dyDescent="0.2">
      <c r="AL11933" s="177"/>
    </row>
    <row r="11934" spans="38:38" x14ac:dyDescent="0.2">
      <c r="AL11934" s="177"/>
    </row>
    <row r="11935" spans="38:38" x14ac:dyDescent="0.2">
      <c r="AL11935" s="177"/>
    </row>
    <row r="11936" spans="38:38" x14ac:dyDescent="0.2">
      <c r="AL11936" s="177"/>
    </row>
    <row r="11937" spans="38:38" x14ac:dyDescent="0.2">
      <c r="AL11937" s="177"/>
    </row>
    <row r="11938" spans="38:38" x14ac:dyDescent="0.2">
      <c r="AL11938" s="177"/>
    </row>
    <row r="11939" spans="38:38" x14ac:dyDescent="0.2">
      <c r="AL11939" s="177"/>
    </row>
    <row r="11940" spans="38:38" x14ac:dyDescent="0.2">
      <c r="AL11940" s="177"/>
    </row>
    <row r="11941" spans="38:38" x14ac:dyDescent="0.2">
      <c r="AL11941" s="177"/>
    </row>
    <row r="11942" spans="38:38" x14ac:dyDescent="0.2">
      <c r="AL11942" s="177"/>
    </row>
    <row r="11943" spans="38:38" x14ac:dyDescent="0.2">
      <c r="AL11943" s="177"/>
    </row>
    <row r="11944" spans="38:38" x14ac:dyDescent="0.2">
      <c r="AL11944" s="177"/>
    </row>
    <row r="11945" spans="38:38" x14ac:dyDescent="0.2">
      <c r="AL11945" s="177"/>
    </row>
    <row r="11946" spans="38:38" x14ac:dyDescent="0.2">
      <c r="AL11946" s="177"/>
    </row>
    <row r="11947" spans="38:38" x14ac:dyDescent="0.2">
      <c r="AL11947" s="177"/>
    </row>
    <row r="11948" spans="38:38" x14ac:dyDescent="0.2">
      <c r="AL11948" s="177"/>
    </row>
    <row r="11949" spans="38:38" x14ac:dyDescent="0.2">
      <c r="AL11949" s="177"/>
    </row>
    <row r="11950" spans="38:38" x14ac:dyDescent="0.2">
      <c r="AL11950" s="177"/>
    </row>
    <row r="11951" spans="38:38" x14ac:dyDescent="0.2">
      <c r="AL11951" s="177"/>
    </row>
    <row r="11952" spans="38:38" x14ac:dyDescent="0.2">
      <c r="AL11952" s="177"/>
    </row>
    <row r="11953" spans="38:38" x14ac:dyDescent="0.2">
      <c r="AL11953" s="177"/>
    </row>
    <row r="11954" spans="38:38" x14ac:dyDescent="0.2">
      <c r="AL11954" s="177"/>
    </row>
    <row r="11955" spans="38:38" x14ac:dyDescent="0.2">
      <c r="AL11955" s="177"/>
    </row>
    <row r="11956" spans="38:38" x14ac:dyDescent="0.2">
      <c r="AL11956" s="177"/>
    </row>
    <row r="11957" spans="38:38" x14ac:dyDescent="0.2">
      <c r="AL11957" s="177"/>
    </row>
    <row r="11958" spans="38:38" x14ac:dyDescent="0.2">
      <c r="AL11958" s="177"/>
    </row>
    <row r="11959" spans="38:38" x14ac:dyDescent="0.2">
      <c r="AL11959" s="177"/>
    </row>
    <row r="11960" spans="38:38" x14ac:dyDescent="0.2">
      <c r="AL11960" s="177"/>
    </row>
    <row r="11961" spans="38:38" x14ac:dyDescent="0.2">
      <c r="AL11961" s="177"/>
    </row>
    <row r="11962" spans="38:38" x14ac:dyDescent="0.2">
      <c r="AL11962" s="177"/>
    </row>
    <row r="11963" spans="38:38" x14ac:dyDescent="0.2">
      <c r="AL11963" s="177"/>
    </row>
    <row r="11964" spans="38:38" x14ac:dyDescent="0.2">
      <c r="AL11964" s="177"/>
    </row>
    <row r="11965" spans="38:38" x14ac:dyDescent="0.2">
      <c r="AL11965" s="177"/>
    </row>
    <row r="11966" spans="38:38" x14ac:dyDescent="0.2">
      <c r="AL11966" s="177"/>
    </row>
    <row r="11967" spans="38:38" x14ac:dyDescent="0.2">
      <c r="AL11967" s="177"/>
    </row>
    <row r="11968" spans="38:38" x14ac:dyDescent="0.2">
      <c r="AL11968" s="177"/>
    </row>
    <row r="11969" spans="38:38" x14ac:dyDescent="0.2">
      <c r="AL11969" s="177"/>
    </row>
    <row r="11970" spans="38:38" x14ac:dyDescent="0.2">
      <c r="AL11970" s="177"/>
    </row>
    <row r="11971" spans="38:38" x14ac:dyDescent="0.2">
      <c r="AL11971" s="177"/>
    </row>
    <row r="11972" spans="38:38" x14ac:dyDescent="0.2">
      <c r="AL11972" s="177"/>
    </row>
    <row r="11973" spans="38:38" x14ac:dyDescent="0.2">
      <c r="AL11973" s="177"/>
    </row>
    <row r="11974" spans="38:38" x14ac:dyDescent="0.2">
      <c r="AL11974" s="177"/>
    </row>
    <row r="11975" spans="38:38" x14ac:dyDescent="0.2">
      <c r="AL11975" s="177"/>
    </row>
    <row r="11976" spans="38:38" x14ac:dyDescent="0.2">
      <c r="AL11976" s="177"/>
    </row>
    <row r="11977" spans="38:38" x14ac:dyDescent="0.2">
      <c r="AL11977" s="177"/>
    </row>
    <row r="11978" spans="38:38" x14ac:dyDescent="0.2">
      <c r="AL11978" s="177"/>
    </row>
    <row r="11979" spans="38:38" x14ac:dyDescent="0.2">
      <c r="AL11979" s="177"/>
    </row>
    <row r="11980" spans="38:38" x14ac:dyDescent="0.2">
      <c r="AL11980" s="177"/>
    </row>
    <row r="11981" spans="38:38" x14ac:dyDescent="0.2">
      <c r="AL11981" s="177"/>
    </row>
    <row r="11982" spans="38:38" x14ac:dyDescent="0.2">
      <c r="AL11982" s="177"/>
    </row>
    <row r="11983" spans="38:38" x14ac:dyDescent="0.2">
      <c r="AL11983" s="177"/>
    </row>
    <row r="11984" spans="38:38" x14ac:dyDescent="0.2">
      <c r="AL11984" s="177"/>
    </row>
    <row r="11985" spans="38:38" x14ac:dyDescent="0.2">
      <c r="AL11985" s="177"/>
    </row>
    <row r="11986" spans="38:38" x14ac:dyDescent="0.2">
      <c r="AL11986" s="177"/>
    </row>
    <row r="11987" spans="38:38" x14ac:dyDescent="0.2">
      <c r="AL11987" s="177"/>
    </row>
    <row r="11988" spans="38:38" x14ac:dyDescent="0.2">
      <c r="AL11988" s="177"/>
    </row>
    <row r="11989" spans="38:38" x14ac:dyDescent="0.2">
      <c r="AL11989" s="177"/>
    </row>
    <row r="11990" spans="38:38" x14ac:dyDescent="0.2">
      <c r="AL11990" s="177"/>
    </row>
    <row r="11991" spans="38:38" x14ac:dyDescent="0.2">
      <c r="AL11991" s="177"/>
    </row>
    <row r="11992" spans="38:38" x14ac:dyDescent="0.2">
      <c r="AL11992" s="177"/>
    </row>
    <row r="11993" spans="38:38" x14ac:dyDescent="0.2">
      <c r="AL11993" s="177"/>
    </row>
    <row r="11994" spans="38:38" x14ac:dyDescent="0.2">
      <c r="AL11994" s="177"/>
    </row>
    <row r="11995" spans="38:38" x14ac:dyDescent="0.2">
      <c r="AL11995" s="177"/>
    </row>
    <row r="11996" spans="38:38" x14ac:dyDescent="0.2">
      <c r="AL11996" s="177"/>
    </row>
    <row r="11997" spans="38:38" x14ac:dyDescent="0.2">
      <c r="AL11997" s="177"/>
    </row>
    <row r="11998" spans="38:38" x14ac:dyDescent="0.2">
      <c r="AL11998" s="177"/>
    </row>
    <row r="11999" spans="38:38" x14ac:dyDescent="0.2">
      <c r="AL11999" s="177"/>
    </row>
    <row r="12000" spans="38:38" x14ac:dyDescent="0.2">
      <c r="AL12000" s="177"/>
    </row>
    <row r="12001" spans="38:38" x14ac:dyDescent="0.2">
      <c r="AL12001" s="177"/>
    </row>
    <row r="12002" spans="38:38" x14ac:dyDescent="0.2">
      <c r="AL12002" s="177"/>
    </row>
    <row r="12003" spans="38:38" x14ac:dyDescent="0.2">
      <c r="AL12003" s="177"/>
    </row>
    <row r="12004" spans="38:38" x14ac:dyDescent="0.2">
      <c r="AL12004" s="177"/>
    </row>
    <row r="12005" spans="38:38" x14ac:dyDescent="0.2">
      <c r="AL12005" s="177"/>
    </row>
    <row r="12006" spans="38:38" x14ac:dyDescent="0.2">
      <c r="AL12006" s="177"/>
    </row>
    <row r="12007" spans="38:38" x14ac:dyDescent="0.2">
      <c r="AL12007" s="177"/>
    </row>
    <row r="12008" spans="38:38" x14ac:dyDescent="0.2">
      <c r="AL12008" s="177"/>
    </row>
    <row r="12009" spans="38:38" x14ac:dyDescent="0.2">
      <c r="AL12009" s="177"/>
    </row>
    <row r="12010" spans="38:38" x14ac:dyDescent="0.2">
      <c r="AL12010" s="177"/>
    </row>
    <row r="12011" spans="38:38" x14ac:dyDescent="0.2">
      <c r="AL12011" s="177"/>
    </row>
    <row r="12012" spans="38:38" x14ac:dyDescent="0.2">
      <c r="AL12012" s="177"/>
    </row>
    <row r="12013" spans="38:38" x14ac:dyDescent="0.2">
      <c r="AL12013" s="177"/>
    </row>
    <row r="12014" spans="38:38" x14ac:dyDescent="0.2">
      <c r="AL12014" s="177"/>
    </row>
    <row r="12015" spans="38:38" x14ac:dyDescent="0.2">
      <c r="AL12015" s="177"/>
    </row>
    <row r="12016" spans="38:38" x14ac:dyDescent="0.2">
      <c r="AL12016" s="177"/>
    </row>
    <row r="12017" spans="38:38" x14ac:dyDescent="0.2">
      <c r="AL12017" s="177"/>
    </row>
    <row r="12018" spans="38:38" x14ac:dyDescent="0.2">
      <c r="AL12018" s="177"/>
    </row>
    <row r="12019" spans="38:38" x14ac:dyDescent="0.2">
      <c r="AL12019" s="177"/>
    </row>
    <row r="12020" spans="38:38" x14ac:dyDescent="0.2">
      <c r="AL12020" s="177"/>
    </row>
    <row r="12021" spans="38:38" x14ac:dyDescent="0.2">
      <c r="AL12021" s="177"/>
    </row>
    <row r="12022" spans="38:38" x14ac:dyDescent="0.2">
      <c r="AL12022" s="177"/>
    </row>
    <row r="12023" spans="38:38" x14ac:dyDescent="0.2">
      <c r="AL12023" s="177"/>
    </row>
    <row r="12024" spans="38:38" x14ac:dyDescent="0.2">
      <c r="AL12024" s="177"/>
    </row>
    <row r="12025" spans="38:38" x14ac:dyDescent="0.2">
      <c r="AL12025" s="177"/>
    </row>
    <row r="12026" spans="38:38" x14ac:dyDescent="0.2">
      <c r="AL12026" s="177"/>
    </row>
    <row r="12027" spans="38:38" x14ac:dyDescent="0.2">
      <c r="AL12027" s="177"/>
    </row>
    <row r="12028" spans="38:38" x14ac:dyDescent="0.2">
      <c r="AL12028" s="177"/>
    </row>
    <row r="12029" spans="38:38" x14ac:dyDescent="0.2">
      <c r="AL12029" s="177"/>
    </row>
    <row r="12030" spans="38:38" x14ac:dyDescent="0.2">
      <c r="AL12030" s="177"/>
    </row>
    <row r="12031" spans="38:38" x14ac:dyDescent="0.2">
      <c r="AL12031" s="177"/>
    </row>
    <row r="12032" spans="38:38" x14ac:dyDescent="0.2">
      <c r="AL12032" s="177"/>
    </row>
    <row r="12033" spans="38:38" x14ac:dyDescent="0.2">
      <c r="AL12033" s="177"/>
    </row>
    <row r="12034" spans="38:38" x14ac:dyDescent="0.2">
      <c r="AL12034" s="177"/>
    </row>
    <row r="12035" spans="38:38" x14ac:dyDescent="0.2">
      <c r="AL12035" s="177"/>
    </row>
    <row r="12036" spans="38:38" x14ac:dyDescent="0.2">
      <c r="AL12036" s="177"/>
    </row>
    <row r="12037" spans="38:38" x14ac:dyDescent="0.2">
      <c r="AL12037" s="177"/>
    </row>
    <row r="12038" spans="38:38" x14ac:dyDescent="0.2">
      <c r="AL12038" s="177"/>
    </row>
    <row r="12039" spans="38:38" x14ac:dyDescent="0.2">
      <c r="AL12039" s="177"/>
    </row>
    <row r="12040" spans="38:38" x14ac:dyDescent="0.2">
      <c r="AL12040" s="177"/>
    </row>
    <row r="12041" spans="38:38" x14ac:dyDescent="0.2">
      <c r="AL12041" s="177"/>
    </row>
    <row r="12042" spans="38:38" x14ac:dyDescent="0.2">
      <c r="AL12042" s="177"/>
    </row>
    <row r="12043" spans="38:38" x14ac:dyDescent="0.2">
      <c r="AL12043" s="177"/>
    </row>
    <row r="12044" spans="38:38" x14ac:dyDescent="0.2">
      <c r="AL12044" s="177"/>
    </row>
    <row r="12045" spans="38:38" x14ac:dyDescent="0.2">
      <c r="AL12045" s="177"/>
    </row>
    <row r="12046" spans="38:38" x14ac:dyDescent="0.2">
      <c r="AL12046" s="177"/>
    </row>
    <row r="12047" spans="38:38" x14ac:dyDescent="0.2">
      <c r="AL12047" s="177"/>
    </row>
    <row r="12048" spans="38:38" x14ac:dyDescent="0.2">
      <c r="AL12048" s="177"/>
    </row>
    <row r="12049" spans="38:38" x14ac:dyDescent="0.2">
      <c r="AL12049" s="177"/>
    </row>
    <row r="12050" spans="38:38" x14ac:dyDescent="0.2">
      <c r="AL12050" s="177"/>
    </row>
    <row r="12051" spans="38:38" x14ac:dyDescent="0.2">
      <c r="AL12051" s="177"/>
    </row>
    <row r="12052" spans="38:38" x14ac:dyDescent="0.2">
      <c r="AL12052" s="177"/>
    </row>
    <row r="12053" spans="38:38" x14ac:dyDescent="0.2">
      <c r="AL12053" s="177"/>
    </row>
    <row r="12054" spans="38:38" x14ac:dyDescent="0.2">
      <c r="AL12054" s="177"/>
    </row>
    <row r="12055" spans="38:38" x14ac:dyDescent="0.2">
      <c r="AL12055" s="177"/>
    </row>
    <row r="12056" spans="38:38" x14ac:dyDescent="0.2">
      <c r="AL12056" s="177"/>
    </row>
    <row r="12057" spans="38:38" x14ac:dyDescent="0.2">
      <c r="AL12057" s="177"/>
    </row>
    <row r="12058" spans="38:38" x14ac:dyDescent="0.2">
      <c r="AL12058" s="177"/>
    </row>
    <row r="12059" spans="38:38" x14ac:dyDescent="0.2">
      <c r="AL12059" s="177"/>
    </row>
    <row r="12060" spans="38:38" x14ac:dyDescent="0.2">
      <c r="AL12060" s="177"/>
    </row>
    <row r="12061" spans="38:38" x14ac:dyDescent="0.2">
      <c r="AL12061" s="177"/>
    </row>
    <row r="12062" spans="38:38" x14ac:dyDescent="0.2">
      <c r="AL12062" s="177"/>
    </row>
    <row r="12063" spans="38:38" x14ac:dyDescent="0.2">
      <c r="AL12063" s="177"/>
    </row>
    <row r="12064" spans="38:38" x14ac:dyDescent="0.2">
      <c r="AL12064" s="177"/>
    </row>
    <row r="12065" spans="38:38" x14ac:dyDescent="0.2">
      <c r="AL12065" s="177"/>
    </row>
    <row r="12066" spans="38:38" x14ac:dyDescent="0.2">
      <c r="AL12066" s="177"/>
    </row>
    <row r="12067" spans="38:38" x14ac:dyDescent="0.2">
      <c r="AL12067" s="177"/>
    </row>
    <row r="12068" spans="38:38" x14ac:dyDescent="0.2">
      <c r="AL12068" s="177"/>
    </row>
    <row r="12069" spans="38:38" x14ac:dyDescent="0.2">
      <c r="AL12069" s="177"/>
    </row>
    <row r="12070" spans="38:38" x14ac:dyDescent="0.2">
      <c r="AL12070" s="177"/>
    </row>
    <row r="12071" spans="38:38" x14ac:dyDescent="0.2">
      <c r="AL12071" s="177"/>
    </row>
    <row r="12072" spans="38:38" x14ac:dyDescent="0.2">
      <c r="AL12072" s="177"/>
    </row>
    <row r="12073" spans="38:38" x14ac:dyDescent="0.2">
      <c r="AL12073" s="177"/>
    </row>
    <row r="12074" spans="38:38" x14ac:dyDescent="0.2">
      <c r="AL12074" s="177"/>
    </row>
    <row r="12075" spans="38:38" x14ac:dyDescent="0.2">
      <c r="AL12075" s="177"/>
    </row>
    <row r="12076" spans="38:38" x14ac:dyDescent="0.2">
      <c r="AL12076" s="177"/>
    </row>
    <row r="12077" spans="38:38" x14ac:dyDescent="0.2">
      <c r="AL12077" s="177"/>
    </row>
    <row r="12078" spans="38:38" x14ac:dyDescent="0.2">
      <c r="AL12078" s="177"/>
    </row>
    <row r="12079" spans="38:38" x14ac:dyDescent="0.2">
      <c r="AL12079" s="177"/>
    </row>
    <row r="12080" spans="38:38" x14ac:dyDescent="0.2">
      <c r="AL12080" s="177"/>
    </row>
    <row r="12081" spans="38:38" x14ac:dyDescent="0.2">
      <c r="AL12081" s="177"/>
    </row>
    <row r="12082" spans="38:38" x14ac:dyDescent="0.2">
      <c r="AL12082" s="177"/>
    </row>
    <row r="12083" spans="38:38" x14ac:dyDescent="0.2">
      <c r="AL12083" s="177"/>
    </row>
    <row r="12084" spans="38:38" x14ac:dyDescent="0.2">
      <c r="AL12084" s="177"/>
    </row>
    <row r="12085" spans="38:38" x14ac:dyDescent="0.2">
      <c r="AL12085" s="177"/>
    </row>
    <row r="12086" spans="38:38" x14ac:dyDescent="0.2">
      <c r="AL12086" s="177"/>
    </row>
    <row r="12087" spans="38:38" x14ac:dyDescent="0.2">
      <c r="AL12087" s="177"/>
    </row>
    <row r="12088" spans="38:38" x14ac:dyDescent="0.2">
      <c r="AL12088" s="177"/>
    </row>
    <row r="12089" spans="38:38" x14ac:dyDescent="0.2">
      <c r="AL12089" s="177"/>
    </row>
    <row r="12090" spans="38:38" x14ac:dyDescent="0.2">
      <c r="AL12090" s="177"/>
    </row>
    <row r="12091" spans="38:38" x14ac:dyDescent="0.2">
      <c r="AL12091" s="177"/>
    </row>
    <row r="12092" spans="38:38" x14ac:dyDescent="0.2">
      <c r="AL12092" s="177"/>
    </row>
    <row r="12093" spans="38:38" x14ac:dyDescent="0.2">
      <c r="AL12093" s="177"/>
    </row>
    <row r="12094" spans="38:38" x14ac:dyDescent="0.2">
      <c r="AL12094" s="177"/>
    </row>
    <row r="12095" spans="38:38" x14ac:dyDescent="0.2">
      <c r="AL12095" s="177"/>
    </row>
    <row r="12096" spans="38:38" x14ac:dyDescent="0.2">
      <c r="AL12096" s="177"/>
    </row>
    <row r="12097" spans="38:38" x14ac:dyDescent="0.2">
      <c r="AL12097" s="177"/>
    </row>
    <row r="12098" spans="38:38" x14ac:dyDescent="0.2">
      <c r="AL12098" s="177"/>
    </row>
    <row r="12099" spans="38:38" x14ac:dyDescent="0.2">
      <c r="AL12099" s="177"/>
    </row>
    <row r="12100" spans="38:38" x14ac:dyDescent="0.2">
      <c r="AL12100" s="177"/>
    </row>
    <row r="12101" spans="38:38" x14ac:dyDescent="0.2">
      <c r="AL12101" s="177"/>
    </row>
    <row r="12102" spans="38:38" x14ac:dyDescent="0.2">
      <c r="AL12102" s="177"/>
    </row>
    <row r="12103" spans="38:38" x14ac:dyDescent="0.2">
      <c r="AL12103" s="177"/>
    </row>
    <row r="12104" spans="38:38" x14ac:dyDescent="0.2">
      <c r="AL12104" s="177"/>
    </row>
    <row r="12105" spans="38:38" x14ac:dyDescent="0.2">
      <c r="AL12105" s="177"/>
    </row>
    <row r="12106" spans="38:38" x14ac:dyDescent="0.2">
      <c r="AL12106" s="177"/>
    </row>
    <row r="12107" spans="38:38" x14ac:dyDescent="0.2">
      <c r="AL12107" s="177"/>
    </row>
    <row r="12108" spans="38:38" x14ac:dyDescent="0.2">
      <c r="AL12108" s="177"/>
    </row>
    <row r="12109" spans="38:38" x14ac:dyDescent="0.2">
      <c r="AL12109" s="177"/>
    </row>
    <row r="12110" spans="38:38" x14ac:dyDescent="0.2">
      <c r="AL12110" s="177"/>
    </row>
    <row r="12111" spans="38:38" x14ac:dyDescent="0.2">
      <c r="AL12111" s="177"/>
    </row>
    <row r="12112" spans="38:38" x14ac:dyDescent="0.2">
      <c r="AL12112" s="177"/>
    </row>
    <row r="12113" spans="38:38" x14ac:dyDescent="0.2">
      <c r="AL12113" s="177"/>
    </row>
    <row r="12114" spans="38:38" x14ac:dyDescent="0.2">
      <c r="AL12114" s="177"/>
    </row>
    <row r="12115" spans="38:38" x14ac:dyDescent="0.2">
      <c r="AL12115" s="177"/>
    </row>
    <row r="12116" spans="38:38" x14ac:dyDescent="0.2">
      <c r="AL12116" s="177"/>
    </row>
    <row r="12117" spans="38:38" x14ac:dyDescent="0.2">
      <c r="AL12117" s="177"/>
    </row>
    <row r="12118" spans="38:38" x14ac:dyDescent="0.2">
      <c r="AL12118" s="177"/>
    </row>
    <row r="12119" spans="38:38" x14ac:dyDescent="0.2">
      <c r="AL12119" s="177"/>
    </row>
    <row r="12120" spans="38:38" x14ac:dyDescent="0.2">
      <c r="AL12120" s="177"/>
    </row>
    <row r="12121" spans="38:38" x14ac:dyDescent="0.2">
      <c r="AL12121" s="177"/>
    </row>
    <row r="12122" spans="38:38" x14ac:dyDescent="0.2">
      <c r="AL12122" s="177"/>
    </row>
    <row r="12123" spans="38:38" x14ac:dyDescent="0.2">
      <c r="AL12123" s="177"/>
    </row>
    <row r="12124" spans="38:38" x14ac:dyDescent="0.2">
      <c r="AL12124" s="177"/>
    </row>
    <row r="12125" spans="38:38" x14ac:dyDescent="0.2">
      <c r="AL12125" s="177"/>
    </row>
    <row r="12126" spans="38:38" x14ac:dyDescent="0.2">
      <c r="AL12126" s="177"/>
    </row>
    <row r="12127" spans="38:38" x14ac:dyDescent="0.2">
      <c r="AL12127" s="177"/>
    </row>
    <row r="12128" spans="38:38" x14ac:dyDescent="0.2">
      <c r="AL12128" s="177"/>
    </row>
    <row r="12129" spans="38:38" x14ac:dyDescent="0.2">
      <c r="AL12129" s="177"/>
    </row>
    <row r="12130" spans="38:38" x14ac:dyDescent="0.2">
      <c r="AL12130" s="177"/>
    </row>
    <row r="12131" spans="38:38" x14ac:dyDescent="0.2">
      <c r="AL12131" s="177"/>
    </row>
    <row r="12132" spans="38:38" x14ac:dyDescent="0.2">
      <c r="AL12132" s="177"/>
    </row>
    <row r="12133" spans="38:38" x14ac:dyDescent="0.2">
      <c r="AL12133" s="177"/>
    </row>
    <row r="12134" spans="38:38" x14ac:dyDescent="0.2">
      <c r="AL12134" s="177"/>
    </row>
    <row r="12135" spans="38:38" x14ac:dyDescent="0.2">
      <c r="AL12135" s="177"/>
    </row>
    <row r="12136" spans="38:38" x14ac:dyDescent="0.2">
      <c r="AL12136" s="177"/>
    </row>
    <row r="12137" spans="38:38" x14ac:dyDescent="0.2">
      <c r="AL12137" s="177"/>
    </row>
    <row r="12138" spans="38:38" x14ac:dyDescent="0.2">
      <c r="AL12138" s="177"/>
    </row>
    <row r="12139" spans="38:38" x14ac:dyDescent="0.2">
      <c r="AL12139" s="177"/>
    </row>
    <row r="12140" spans="38:38" x14ac:dyDescent="0.2">
      <c r="AL12140" s="177"/>
    </row>
    <row r="12141" spans="38:38" x14ac:dyDescent="0.2">
      <c r="AL12141" s="177"/>
    </row>
    <row r="12142" spans="38:38" x14ac:dyDescent="0.2">
      <c r="AL12142" s="177"/>
    </row>
    <row r="12143" spans="38:38" x14ac:dyDescent="0.2">
      <c r="AL12143" s="177"/>
    </row>
    <row r="12144" spans="38:38" x14ac:dyDescent="0.2">
      <c r="AL12144" s="177"/>
    </row>
    <row r="12145" spans="38:38" x14ac:dyDescent="0.2">
      <c r="AL12145" s="177"/>
    </row>
    <row r="12146" spans="38:38" x14ac:dyDescent="0.2">
      <c r="AL12146" s="177"/>
    </row>
    <row r="12147" spans="38:38" x14ac:dyDescent="0.2">
      <c r="AL12147" s="177"/>
    </row>
    <row r="12148" spans="38:38" x14ac:dyDescent="0.2">
      <c r="AL12148" s="177"/>
    </row>
    <row r="12149" spans="38:38" x14ac:dyDescent="0.2">
      <c r="AL12149" s="177"/>
    </row>
    <row r="12150" spans="38:38" x14ac:dyDescent="0.2">
      <c r="AL12150" s="177"/>
    </row>
    <row r="12151" spans="38:38" x14ac:dyDescent="0.2">
      <c r="AL12151" s="177"/>
    </row>
    <row r="12152" spans="38:38" x14ac:dyDescent="0.2">
      <c r="AL12152" s="177"/>
    </row>
    <row r="12153" spans="38:38" x14ac:dyDescent="0.2">
      <c r="AL12153" s="177"/>
    </row>
    <row r="12154" spans="38:38" x14ac:dyDescent="0.2">
      <c r="AL12154" s="177"/>
    </row>
    <row r="12155" spans="38:38" x14ac:dyDescent="0.2">
      <c r="AL12155" s="177"/>
    </row>
    <row r="12156" spans="38:38" x14ac:dyDescent="0.2">
      <c r="AL12156" s="177"/>
    </row>
    <row r="12157" spans="38:38" x14ac:dyDescent="0.2">
      <c r="AL12157" s="177"/>
    </row>
    <row r="12158" spans="38:38" x14ac:dyDescent="0.2">
      <c r="AL12158" s="177"/>
    </row>
    <row r="12159" spans="38:38" x14ac:dyDescent="0.2">
      <c r="AL12159" s="177"/>
    </row>
    <row r="12160" spans="38:38" x14ac:dyDescent="0.2">
      <c r="AL12160" s="177"/>
    </row>
    <row r="12161" spans="38:38" x14ac:dyDescent="0.2">
      <c r="AL12161" s="177"/>
    </row>
    <row r="12162" spans="38:38" x14ac:dyDescent="0.2">
      <c r="AL12162" s="177"/>
    </row>
    <row r="12163" spans="38:38" x14ac:dyDescent="0.2">
      <c r="AL12163" s="177"/>
    </row>
    <row r="12164" spans="38:38" x14ac:dyDescent="0.2">
      <c r="AL12164" s="177"/>
    </row>
    <row r="12165" spans="38:38" x14ac:dyDescent="0.2">
      <c r="AL12165" s="177"/>
    </row>
    <row r="12166" spans="38:38" x14ac:dyDescent="0.2">
      <c r="AL12166" s="177"/>
    </row>
    <row r="12167" spans="38:38" x14ac:dyDescent="0.2">
      <c r="AL12167" s="177"/>
    </row>
    <row r="12168" spans="38:38" x14ac:dyDescent="0.2">
      <c r="AL12168" s="177"/>
    </row>
    <row r="12169" spans="38:38" x14ac:dyDescent="0.2">
      <c r="AL12169" s="177"/>
    </row>
    <row r="12170" spans="38:38" x14ac:dyDescent="0.2">
      <c r="AL12170" s="177"/>
    </row>
    <row r="12171" spans="38:38" x14ac:dyDescent="0.2">
      <c r="AL12171" s="177"/>
    </row>
    <row r="12172" spans="38:38" x14ac:dyDescent="0.2">
      <c r="AL12172" s="177"/>
    </row>
    <row r="12173" spans="38:38" x14ac:dyDescent="0.2">
      <c r="AL12173" s="177"/>
    </row>
    <row r="12174" spans="38:38" x14ac:dyDescent="0.2">
      <c r="AL12174" s="177"/>
    </row>
    <row r="12175" spans="38:38" x14ac:dyDescent="0.2">
      <c r="AL12175" s="177"/>
    </row>
    <row r="12176" spans="38:38" x14ac:dyDescent="0.2">
      <c r="AL12176" s="177"/>
    </row>
    <row r="12177" spans="38:38" x14ac:dyDescent="0.2">
      <c r="AL12177" s="177"/>
    </row>
    <row r="12178" spans="38:38" x14ac:dyDescent="0.2">
      <c r="AL12178" s="177"/>
    </row>
    <row r="12179" spans="38:38" x14ac:dyDescent="0.2">
      <c r="AL12179" s="177"/>
    </row>
    <row r="12180" spans="38:38" x14ac:dyDescent="0.2">
      <c r="AL12180" s="177"/>
    </row>
    <row r="12181" spans="38:38" x14ac:dyDescent="0.2">
      <c r="AL12181" s="177"/>
    </row>
    <row r="12182" spans="38:38" x14ac:dyDescent="0.2">
      <c r="AL12182" s="177"/>
    </row>
    <row r="12183" spans="38:38" x14ac:dyDescent="0.2">
      <c r="AL12183" s="177"/>
    </row>
    <row r="12184" spans="38:38" x14ac:dyDescent="0.2">
      <c r="AL12184" s="177"/>
    </row>
    <row r="12185" spans="38:38" x14ac:dyDescent="0.2">
      <c r="AL12185" s="177"/>
    </row>
    <row r="12186" spans="38:38" x14ac:dyDescent="0.2">
      <c r="AL12186" s="177"/>
    </row>
    <row r="12187" spans="38:38" x14ac:dyDescent="0.2">
      <c r="AL12187" s="177"/>
    </row>
    <row r="12188" spans="38:38" x14ac:dyDescent="0.2">
      <c r="AL12188" s="177"/>
    </row>
    <row r="12189" spans="38:38" x14ac:dyDescent="0.2">
      <c r="AL12189" s="177"/>
    </row>
    <row r="12190" spans="38:38" x14ac:dyDescent="0.2">
      <c r="AL12190" s="177"/>
    </row>
    <row r="12191" spans="38:38" x14ac:dyDescent="0.2">
      <c r="AL12191" s="177"/>
    </row>
    <row r="12192" spans="38:38" x14ac:dyDescent="0.2">
      <c r="AL12192" s="177"/>
    </row>
    <row r="12193" spans="38:38" x14ac:dyDescent="0.2">
      <c r="AL12193" s="177"/>
    </row>
    <row r="12194" spans="38:38" x14ac:dyDescent="0.2">
      <c r="AL12194" s="177"/>
    </row>
    <row r="12195" spans="38:38" x14ac:dyDescent="0.2">
      <c r="AL12195" s="177"/>
    </row>
    <row r="12196" spans="38:38" x14ac:dyDescent="0.2">
      <c r="AL12196" s="177"/>
    </row>
    <row r="12197" spans="38:38" x14ac:dyDescent="0.2">
      <c r="AL12197" s="177"/>
    </row>
    <row r="12198" spans="38:38" x14ac:dyDescent="0.2">
      <c r="AL12198" s="177"/>
    </row>
    <row r="12199" spans="38:38" x14ac:dyDescent="0.2">
      <c r="AL12199" s="177"/>
    </row>
    <row r="12200" spans="38:38" x14ac:dyDescent="0.2">
      <c r="AL12200" s="177"/>
    </row>
    <row r="12201" spans="38:38" x14ac:dyDescent="0.2">
      <c r="AL12201" s="177"/>
    </row>
    <row r="12202" spans="38:38" x14ac:dyDescent="0.2">
      <c r="AL12202" s="177"/>
    </row>
    <row r="12203" spans="38:38" x14ac:dyDescent="0.2">
      <c r="AL12203" s="177"/>
    </row>
    <row r="12204" spans="38:38" x14ac:dyDescent="0.2">
      <c r="AL12204" s="177"/>
    </row>
    <row r="12205" spans="38:38" x14ac:dyDescent="0.2">
      <c r="AL12205" s="177"/>
    </row>
    <row r="12206" spans="38:38" x14ac:dyDescent="0.2">
      <c r="AL12206" s="177"/>
    </row>
    <row r="12207" spans="38:38" x14ac:dyDescent="0.2">
      <c r="AL12207" s="177"/>
    </row>
    <row r="12208" spans="38:38" x14ac:dyDescent="0.2">
      <c r="AL12208" s="177"/>
    </row>
    <row r="12209" spans="38:38" x14ac:dyDescent="0.2">
      <c r="AL12209" s="177"/>
    </row>
    <row r="12210" spans="38:38" x14ac:dyDescent="0.2">
      <c r="AL12210" s="177"/>
    </row>
    <row r="12211" spans="38:38" x14ac:dyDescent="0.2">
      <c r="AL12211" s="177"/>
    </row>
    <row r="12212" spans="38:38" x14ac:dyDescent="0.2">
      <c r="AL12212" s="177"/>
    </row>
    <row r="12213" spans="38:38" x14ac:dyDescent="0.2">
      <c r="AL12213" s="177"/>
    </row>
    <row r="12214" spans="38:38" x14ac:dyDescent="0.2">
      <c r="AL12214" s="177"/>
    </row>
    <row r="12215" spans="38:38" x14ac:dyDescent="0.2">
      <c r="AL12215" s="177"/>
    </row>
    <row r="12216" spans="38:38" x14ac:dyDescent="0.2">
      <c r="AL12216" s="177"/>
    </row>
    <row r="12217" spans="38:38" x14ac:dyDescent="0.2">
      <c r="AL12217" s="177"/>
    </row>
    <row r="12218" spans="38:38" x14ac:dyDescent="0.2">
      <c r="AL12218" s="177"/>
    </row>
    <row r="12219" spans="38:38" x14ac:dyDescent="0.2">
      <c r="AL12219" s="177"/>
    </row>
    <row r="12220" spans="38:38" x14ac:dyDescent="0.2">
      <c r="AL12220" s="177"/>
    </row>
    <row r="12221" spans="38:38" x14ac:dyDescent="0.2">
      <c r="AL12221" s="177"/>
    </row>
    <row r="12222" spans="38:38" x14ac:dyDescent="0.2">
      <c r="AL12222" s="177"/>
    </row>
    <row r="12223" spans="38:38" x14ac:dyDescent="0.2">
      <c r="AL12223" s="177"/>
    </row>
    <row r="12224" spans="38:38" x14ac:dyDescent="0.2">
      <c r="AL12224" s="177"/>
    </row>
    <row r="12225" spans="38:38" x14ac:dyDescent="0.2">
      <c r="AL12225" s="177"/>
    </row>
    <row r="12226" spans="38:38" x14ac:dyDescent="0.2">
      <c r="AL12226" s="177"/>
    </row>
    <row r="12227" spans="38:38" x14ac:dyDescent="0.2">
      <c r="AL12227" s="177"/>
    </row>
    <row r="12228" spans="38:38" x14ac:dyDescent="0.2">
      <c r="AL12228" s="177"/>
    </row>
    <row r="12229" spans="38:38" x14ac:dyDescent="0.2">
      <c r="AL12229" s="177"/>
    </row>
    <row r="12230" spans="38:38" x14ac:dyDescent="0.2">
      <c r="AL12230" s="177"/>
    </row>
    <row r="12231" spans="38:38" x14ac:dyDescent="0.2">
      <c r="AL12231" s="177"/>
    </row>
    <row r="12232" spans="38:38" x14ac:dyDescent="0.2">
      <c r="AL12232" s="177"/>
    </row>
    <row r="12233" spans="38:38" x14ac:dyDescent="0.2">
      <c r="AL12233" s="177"/>
    </row>
    <row r="12234" spans="38:38" x14ac:dyDescent="0.2">
      <c r="AL12234" s="177"/>
    </row>
    <row r="12235" spans="38:38" x14ac:dyDescent="0.2">
      <c r="AL12235" s="177"/>
    </row>
    <row r="12236" spans="38:38" x14ac:dyDescent="0.2">
      <c r="AL12236" s="177"/>
    </row>
    <row r="12237" spans="38:38" x14ac:dyDescent="0.2">
      <c r="AL12237" s="177"/>
    </row>
    <row r="12238" spans="38:38" x14ac:dyDescent="0.2">
      <c r="AL12238" s="177"/>
    </row>
    <row r="12239" spans="38:38" x14ac:dyDescent="0.2">
      <c r="AL12239" s="177"/>
    </row>
    <row r="12240" spans="38:38" x14ac:dyDescent="0.2">
      <c r="AL12240" s="177"/>
    </row>
    <row r="12241" spans="38:38" x14ac:dyDescent="0.2">
      <c r="AL12241" s="177"/>
    </row>
    <row r="12242" spans="38:38" x14ac:dyDescent="0.2">
      <c r="AL12242" s="177"/>
    </row>
    <row r="12243" spans="38:38" x14ac:dyDescent="0.2">
      <c r="AL12243" s="177"/>
    </row>
    <row r="12244" spans="38:38" x14ac:dyDescent="0.2">
      <c r="AL12244" s="177"/>
    </row>
    <row r="12245" spans="38:38" x14ac:dyDescent="0.2">
      <c r="AL12245" s="177"/>
    </row>
    <row r="12246" spans="38:38" x14ac:dyDescent="0.2">
      <c r="AL12246" s="177"/>
    </row>
    <row r="12247" spans="38:38" x14ac:dyDescent="0.2">
      <c r="AL12247" s="177"/>
    </row>
    <row r="12248" spans="38:38" x14ac:dyDescent="0.2">
      <c r="AL12248" s="177"/>
    </row>
    <row r="12249" spans="38:38" x14ac:dyDescent="0.2">
      <c r="AL12249" s="177"/>
    </row>
    <row r="12250" spans="38:38" x14ac:dyDescent="0.2">
      <c r="AL12250" s="177"/>
    </row>
    <row r="12251" spans="38:38" x14ac:dyDescent="0.2">
      <c r="AL12251" s="177"/>
    </row>
    <row r="12252" spans="38:38" x14ac:dyDescent="0.2">
      <c r="AL12252" s="177"/>
    </row>
    <row r="12253" spans="38:38" x14ac:dyDescent="0.2">
      <c r="AL12253" s="177"/>
    </row>
    <row r="12254" spans="38:38" x14ac:dyDescent="0.2">
      <c r="AL12254" s="177"/>
    </row>
    <row r="12255" spans="38:38" x14ac:dyDescent="0.2">
      <c r="AL12255" s="177"/>
    </row>
    <row r="12256" spans="38:38" x14ac:dyDescent="0.2">
      <c r="AL12256" s="177"/>
    </row>
    <row r="12257" spans="38:38" x14ac:dyDescent="0.2">
      <c r="AL12257" s="177"/>
    </row>
    <row r="12258" spans="38:38" x14ac:dyDescent="0.2">
      <c r="AL12258" s="177"/>
    </row>
    <row r="12259" spans="38:38" x14ac:dyDescent="0.2">
      <c r="AL12259" s="177"/>
    </row>
    <row r="12260" spans="38:38" x14ac:dyDescent="0.2">
      <c r="AL12260" s="177"/>
    </row>
    <row r="12261" spans="38:38" x14ac:dyDescent="0.2">
      <c r="AL12261" s="177"/>
    </row>
    <row r="12262" spans="38:38" x14ac:dyDescent="0.2">
      <c r="AL12262" s="177"/>
    </row>
    <row r="12263" spans="38:38" x14ac:dyDescent="0.2">
      <c r="AL12263" s="177"/>
    </row>
    <row r="12264" spans="38:38" x14ac:dyDescent="0.2">
      <c r="AL12264" s="177"/>
    </row>
    <row r="12265" spans="38:38" x14ac:dyDescent="0.2">
      <c r="AL12265" s="177"/>
    </row>
    <row r="12266" spans="38:38" x14ac:dyDescent="0.2">
      <c r="AL12266" s="177"/>
    </row>
    <row r="12267" spans="38:38" x14ac:dyDescent="0.2">
      <c r="AL12267" s="177"/>
    </row>
    <row r="12268" spans="38:38" x14ac:dyDescent="0.2">
      <c r="AL12268" s="177"/>
    </row>
    <row r="12269" spans="38:38" x14ac:dyDescent="0.2">
      <c r="AL12269" s="177"/>
    </row>
    <row r="12270" spans="38:38" x14ac:dyDescent="0.2">
      <c r="AL12270" s="177"/>
    </row>
    <row r="12271" spans="38:38" x14ac:dyDescent="0.2">
      <c r="AL12271" s="177"/>
    </row>
    <row r="12272" spans="38:38" x14ac:dyDescent="0.2">
      <c r="AL12272" s="177"/>
    </row>
    <row r="12273" spans="38:38" x14ac:dyDescent="0.2">
      <c r="AL12273" s="177"/>
    </row>
    <row r="12274" spans="38:38" x14ac:dyDescent="0.2">
      <c r="AL12274" s="177"/>
    </row>
    <row r="12275" spans="38:38" x14ac:dyDescent="0.2">
      <c r="AL12275" s="177"/>
    </row>
    <row r="12276" spans="38:38" x14ac:dyDescent="0.2">
      <c r="AL12276" s="177"/>
    </row>
    <row r="12277" spans="38:38" x14ac:dyDescent="0.2">
      <c r="AL12277" s="177"/>
    </row>
    <row r="12278" spans="38:38" x14ac:dyDescent="0.2">
      <c r="AL12278" s="177"/>
    </row>
    <row r="12279" spans="38:38" x14ac:dyDescent="0.2">
      <c r="AL12279" s="177"/>
    </row>
    <row r="12280" spans="38:38" x14ac:dyDescent="0.2">
      <c r="AL12280" s="177"/>
    </row>
    <row r="12281" spans="38:38" x14ac:dyDescent="0.2">
      <c r="AL12281" s="177"/>
    </row>
    <row r="12282" spans="38:38" x14ac:dyDescent="0.2">
      <c r="AL12282" s="177"/>
    </row>
    <row r="12283" spans="38:38" x14ac:dyDescent="0.2">
      <c r="AL12283" s="177"/>
    </row>
    <row r="12284" spans="38:38" x14ac:dyDescent="0.2">
      <c r="AL12284" s="177"/>
    </row>
    <row r="12285" spans="38:38" x14ac:dyDescent="0.2">
      <c r="AL12285" s="177"/>
    </row>
    <row r="12286" spans="38:38" x14ac:dyDescent="0.2">
      <c r="AL12286" s="177"/>
    </row>
    <row r="12287" spans="38:38" x14ac:dyDescent="0.2">
      <c r="AL12287" s="177"/>
    </row>
    <row r="12288" spans="38:38" x14ac:dyDescent="0.2">
      <c r="AL12288" s="177"/>
    </row>
    <row r="12289" spans="38:38" x14ac:dyDescent="0.2">
      <c r="AL12289" s="177"/>
    </row>
    <row r="12290" spans="38:38" x14ac:dyDescent="0.2">
      <c r="AL12290" s="177"/>
    </row>
    <row r="12291" spans="38:38" x14ac:dyDescent="0.2">
      <c r="AL12291" s="177"/>
    </row>
    <row r="12292" spans="38:38" x14ac:dyDescent="0.2">
      <c r="AL12292" s="177"/>
    </row>
    <row r="12293" spans="38:38" x14ac:dyDescent="0.2">
      <c r="AL12293" s="177"/>
    </row>
    <row r="12294" spans="38:38" x14ac:dyDescent="0.2">
      <c r="AL12294" s="177"/>
    </row>
    <row r="12295" spans="38:38" x14ac:dyDescent="0.2">
      <c r="AL12295" s="177"/>
    </row>
    <row r="12296" spans="38:38" x14ac:dyDescent="0.2">
      <c r="AL12296" s="177"/>
    </row>
    <row r="12297" spans="38:38" x14ac:dyDescent="0.2">
      <c r="AL12297" s="177"/>
    </row>
    <row r="12298" spans="38:38" x14ac:dyDescent="0.2">
      <c r="AL12298" s="177"/>
    </row>
    <row r="12299" spans="38:38" x14ac:dyDescent="0.2">
      <c r="AL12299" s="177"/>
    </row>
    <row r="12300" spans="38:38" x14ac:dyDescent="0.2">
      <c r="AL12300" s="177"/>
    </row>
    <row r="12301" spans="38:38" x14ac:dyDescent="0.2">
      <c r="AL12301" s="177"/>
    </row>
    <row r="12302" spans="38:38" x14ac:dyDescent="0.2">
      <c r="AL12302" s="177"/>
    </row>
    <row r="12303" spans="38:38" x14ac:dyDescent="0.2">
      <c r="AL12303" s="177"/>
    </row>
    <row r="12304" spans="38:38" x14ac:dyDescent="0.2">
      <c r="AL12304" s="177"/>
    </row>
    <row r="12305" spans="38:38" x14ac:dyDescent="0.2">
      <c r="AL12305" s="177"/>
    </row>
    <row r="12306" spans="38:38" x14ac:dyDescent="0.2">
      <c r="AL12306" s="177"/>
    </row>
    <row r="12307" spans="38:38" x14ac:dyDescent="0.2">
      <c r="AL12307" s="177"/>
    </row>
    <row r="12308" spans="38:38" x14ac:dyDescent="0.2">
      <c r="AL12308" s="177"/>
    </row>
    <row r="12309" spans="38:38" x14ac:dyDescent="0.2">
      <c r="AL12309" s="177"/>
    </row>
    <row r="12310" spans="38:38" x14ac:dyDescent="0.2">
      <c r="AL12310" s="177"/>
    </row>
    <row r="12311" spans="38:38" x14ac:dyDescent="0.2">
      <c r="AL12311" s="177"/>
    </row>
    <row r="12312" spans="38:38" x14ac:dyDescent="0.2">
      <c r="AL12312" s="177"/>
    </row>
    <row r="12313" spans="38:38" x14ac:dyDescent="0.2">
      <c r="AL12313" s="177"/>
    </row>
    <row r="12314" spans="38:38" x14ac:dyDescent="0.2">
      <c r="AL12314" s="177"/>
    </row>
    <row r="12315" spans="38:38" x14ac:dyDescent="0.2">
      <c r="AL12315" s="177"/>
    </row>
    <row r="12316" spans="38:38" x14ac:dyDescent="0.2">
      <c r="AL12316" s="177"/>
    </row>
    <row r="12317" spans="38:38" x14ac:dyDescent="0.2">
      <c r="AL12317" s="177"/>
    </row>
    <row r="12318" spans="38:38" x14ac:dyDescent="0.2">
      <c r="AL12318" s="177"/>
    </row>
    <row r="12319" spans="38:38" x14ac:dyDescent="0.2">
      <c r="AL12319" s="177"/>
    </row>
    <row r="12320" spans="38:38" x14ac:dyDescent="0.2">
      <c r="AL12320" s="177"/>
    </row>
    <row r="12321" spans="38:38" x14ac:dyDescent="0.2">
      <c r="AL12321" s="177"/>
    </row>
    <row r="12322" spans="38:38" x14ac:dyDescent="0.2">
      <c r="AL12322" s="177"/>
    </row>
    <row r="12323" spans="38:38" x14ac:dyDescent="0.2">
      <c r="AL12323" s="177"/>
    </row>
    <row r="12324" spans="38:38" x14ac:dyDescent="0.2">
      <c r="AL12324" s="177"/>
    </row>
    <row r="12325" spans="38:38" x14ac:dyDescent="0.2">
      <c r="AL12325" s="177"/>
    </row>
    <row r="12326" spans="38:38" x14ac:dyDescent="0.2">
      <c r="AL12326" s="177"/>
    </row>
    <row r="12327" spans="38:38" x14ac:dyDescent="0.2">
      <c r="AL12327" s="177"/>
    </row>
    <row r="12328" spans="38:38" x14ac:dyDescent="0.2">
      <c r="AL12328" s="177"/>
    </row>
    <row r="12329" spans="38:38" x14ac:dyDescent="0.2">
      <c r="AL12329" s="177"/>
    </row>
    <row r="12330" spans="38:38" x14ac:dyDescent="0.2">
      <c r="AL12330" s="177"/>
    </row>
    <row r="12331" spans="38:38" x14ac:dyDescent="0.2">
      <c r="AL12331" s="177"/>
    </row>
    <row r="12332" spans="38:38" x14ac:dyDescent="0.2">
      <c r="AL12332" s="177"/>
    </row>
    <row r="12333" spans="38:38" x14ac:dyDescent="0.2">
      <c r="AL12333" s="177"/>
    </row>
    <row r="12334" spans="38:38" x14ac:dyDescent="0.2">
      <c r="AL12334" s="177"/>
    </row>
    <row r="12335" spans="38:38" x14ac:dyDescent="0.2">
      <c r="AL12335" s="177"/>
    </row>
    <row r="12336" spans="38:38" x14ac:dyDescent="0.2">
      <c r="AL12336" s="177"/>
    </row>
    <row r="12337" spans="38:38" x14ac:dyDescent="0.2">
      <c r="AL12337" s="177"/>
    </row>
    <row r="12338" spans="38:38" x14ac:dyDescent="0.2">
      <c r="AL12338" s="177"/>
    </row>
    <row r="12339" spans="38:38" x14ac:dyDescent="0.2">
      <c r="AL12339" s="177"/>
    </row>
    <row r="12340" spans="38:38" x14ac:dyDescent="0.2">
      <c r="AL12340" s="177"/>
    </row>
    <row r="12341" spans="38:38" x14ac:dyDescent="0.2">
      <c r="AL12341" s="177"/>
    </row>
    <row r="12342" spans="38:38" x14ac:dyDescent="0.2">
      <c r="AL12342" s="177"/>
    </row>
    <row r="12343" spans="38:38" x14ac:dyDescent="0.2">
      <c r="AL12343" s="177"/>
    </row>
    <row r="12344" spans="38:38" x14ac:dyDescent="0.2">
      <c r="AL12344" s="177"/>
    </row>
    <row r="12345" spans="38:38" x14ac:dyDescent="0.2">
      <c r="AL12345" s="177"/>
    </row>
    <row r="12346" spans="38:38" x14ac:dyDescent="0.2">
      <c r="AL12346" s="177"/>
    </row>
    <row r="12347" spans="38:38" x14ac:dyDescent="0.2">
      <c r="AL12347" s="177"/>
    </row>
    <row r="12348" spans="38:38" x14ac:dyDescent="0.2">
      <c r="AL12348" s="177"/>
    </row>
    <row r="12349" spans="38:38" x14ac:dyDescent="0.2">
      <c r="AL12349" s="177"/>
    </row>
    <row r="12350" spans="38:38" x14ac:dyDescent="0.2">
      <c r="AL12350" s="177"/>
    </row>
    <row r="12351" spans="38:38" x14ac:dyDescent="0.2">
      <c r="AL12351" s="177"/>
    </row>
    <row r="12352" spans="38:38" x14ac:dyDescent="0.2">
      <c r="AL12352" s="177"/>
    </row>
    <row r="12353" spans="38:38" x14ac:dyDescent="0.2">
      <c r="AL12353" s="177"/>
    </row>
    <row r="12354" spans="38:38" x14ac:dyDescent="0.2">
      <c r="AL12354" s="177"/>
    </row>
    <row r="12355" spans="38:38" x14ac:dyDescent="0.2">
      <c r="AL12355" s="177"/>
    </row>
    <row r="12356" spans="38:38" x14ac:dyDescent="0.2">
      <c r="AL12356" s="177"/>
    </row>
    <row r="12357" spans="38:38" x14ac:dyDescent="0.2">
      <c r="AL12357" s="177"/>
    </row>
    <row r="12358" spans="38:38" x14ac:dyDescent="0.2">
      <c r="AL12358" s="177"/>
    </row>
    <row r="12359" spans="38:38" x14ac:dyDescent="0.2">
      <c r="AL12359" s="177"/>
    </row>
    <row r="12360" spans="38:38" x14ac:dyDescent="0.2">
      <c r="AL12360" s="177"/>
    </row>
    <row r="12361" spans="38:38" x14ac:dyDescent="0.2">
      <c r="AL12361" s="177"/>
    </row>
    <row r="12362" spans="38:38" x14ac:dyDescent="0.2">
      <c r="AL12362" s="177"/>
    </row>
    <row r="12363" spans="38:38" x14ac:dyDescent="0.2">
      <c r="AL12363" s="177"/>
    </row>
    <row r="12364" spans="38:38" x14ac:dyDescent="0.2">
      <c r="AL12364" s="177"/>
    </row>
    <row r="12365" spans="38:38" x14ac:dyDescent="0.2">
      <c r="AL12365" s="177"/>
    </row>
    <row r="12366" spans="38:38" x14ac:dyDescent="0.2">
      <c r="AL12366" s="177"/>
    </row>
    <row r="12367" spans="38:38" x14ac:dyDescent="0.2">
      <c r="AL12367" s="177"/>
    </row>
    <row r="12368" spans="38:38" x14ac:dyDescent="0.2">
      <c r="AL12368" s="177"/>
    </row>
    <row r="12369" spans="38:38" x14ac:dyDescent="0.2">
      <c r="AL12369" s="177"/>
    </row>
    <row r="12370" spans="38:38" x14ac:dyDescent="0.2">
      <c r="AL12370" s="177"/>
    </row>
    <row r="12371" spans="38:38" x14ac:dyDescent="0.2">
      <c r="AL12371" s="177"/>
    </row>
    <row r="12372" spans="38:38" x14ac:dyDescent="0.2">
      <c r="AL12372" s="177"/>
    </row>
    <row r="12373" spans="38:38" x14ac:dyDescent="0.2">
      <c r="AL12373" s="177"/>
    </row>
    <row r="12374" spans="38:38" x14ac:dyDescent="0.2">
      <c r="AL12374" s="177"/>
    </row>
    <row r="12375" spans="38:38" x14ac:dyDescent="0.2">
      <c r="AL12375" s="177"/>
    </row>
    <row r="12376" spans="38:38" x14ac:dyDescent="0.2">
      <c r="AL12376" s="177"/>
    </row>
    <row r="12377" spans="38:38" x14ac:dyDescent="0.2">
      <c r="AL12377" s="177"/>
    </row>
    <row r="12378" spans="38:38" x14ac:dyDescent="0.2">
      <c r="AL12378" s="177"/>
    </row>
    <row r="12379" spans="38:38" x14ac:dyDescent="0.2">
      <c r="AL12379" s="177"/>
    </row>
    <row r="12380" spans="38:38" x14ac:dyDescent="0.2">
      <c r="AL12380" s="177"/>
    </row>
    <row r="12381" spans="38:38" x14ac:dyDescent="0.2">
      <c r="AL12381" s="177"/>
    </row>
    <row r="12382" spans="38:38" x14ac:dyDescent="0.2">
      <c r="AL12382" s="177"/>
    </row>
    <row r="12383" spans="38:38" x14ac:dyDescent="0.2">
      <c r="AL12383" s="177"/>
    </row>
    <row r="12384" spans="38:38" x14ac:dyDescent="0.2">
      <c r="AL12384" s="177"/>
    </row>
    <row r="12385" spans="38:38" x14ac:dyDescent="0.2">
      <c r="AL12385" s="177"/>
    </row>
    <row r="12386" spans="38:38" x14ac:dyDescent="0.2">
      <c r="AL12386" s="177"/>
    </row>
    <row r="12387" spans="38:38" x14ac:dyDescent="0.2">
      <c r="AL12387" s="177"/>
    </row>
    <row r="12388" spans="38:38" x14ac:dyDescent="0.2">
      <c r="AL12388" s="177"/>
    </row>
    <row r="12389" spans="38:38" x14ac:dyDescent="0.2">
      <c r="AL12389" s="177"/>
    </row>
    <row r="12390" spans="38:38" x14ac:dyDescent="0.2">
      <c r="AL12390" s="177"/>
    </row>
    <row r="12391" spans="38:38" x14ac:dyDescent="0.2">
      <c r="AL12391" s="177"/>
    </row>
    <row r="12392" spans="38:38" x14ac:dyDescent="0.2">
      <c r="AL12392" s="177"/>
    </row>
    <row r="12393" spans="38:38" x14ac:dyDescent="0.2">
      <c r="AL12393" s="177"/>
    </row>
    <row r="12394" spans="38:38" x14ac:dyDescent="0.2">
      <c r="AL12394" s="177"/>
    </row>
    <row r="12395" spans="38:38" x14ac:dyDescent="0.2">
      <c r="AL12395" s="177"/>
    </row>
    <row r="12396" spans="38:38" x14ac:dyDescent="0.2">
      <c r="AL12396" s="177"/>
    </row>
    <row r="12397" spans="38:38" x14ac:dyDescent="0.2">
      <c r="AL12397" s="177"/>
    </row>
    <row r="12398" spans="38:38" x14ac:dyDescent="0.2">
      <c r="AL12398" s="177"/>
    </row>
    <row r="12399" spans="38:38" x14ac:dyDescent="0.2">
      <c r="AL12399" s="177"/>
    </row>
    <row r="12400" spans="38:38" x14ac:dyDescent="0.2">
      <c r="AL12400" s="177"/>
    </row>
    <row r="12401" spans="38:38" x14ac:dyDescent="0.2">
      <c r="AL12401" s="177"/>
    </row>
    <row r="12402" spans="38:38" x14ac:dyDescent="0.2">
      <c r="AL12402" s="177"/>
    </row>
    <row r="12403" spans="38:38" x14ac:dyDescent="0.2">
      <c r="AL12403" s="177"/>
    </row>
    <row r="12404" spans="38:38" x14ac:dyDescent="0.2">
      <c r="AL12404" s="177"/>
    </row>
    <row r="12405" spans="38:38" x14ac:dyDescent="0.2">
      <c r="AL12405" s="177"/>
    </row>
    <row r="12406" spans="38:38" x14ac:dyDescent="0.2">
      <c r="AL12406" s="177"/>
    </row>
    <row r="12407" spans="38:38" x14ac:dyDescent="0.2">
      <c r="AL12407" s="177"/>
    </row>
    <row r="12408" spans="38:38" x14ac:dyDescent="0.2">
      <c r="AL12408" s="177"/>
    </row>
    <row r="12409" spans="38:38" x14ac:dyDescent="0.2">
      <c r="AL12409" s="177"/>
    </row>
    <row r="12410" spans="38:38" x14ac:dyDescent="0.2">
      <c r="AL12410" s="177"/>
    </row>
    <row r="12411" spans="38:38" x14ac:dyDescent="0.2">
      <c r="AL12411" s="177"/>
    </row>
    <row r="12412" spans="38:38" x14ac:dyDescent="0.2">
      <c r="AL12412" s="177"/>
    </row>
    <row r="12413" spans="38:38" x14ac:dyDescent="0.2">
      <c r="AL12413" s="177"/>
    </row>
    <row r="12414" spans="38:38" x14ac:dyDescent="0.2">
      <c r="AL12414" s="177"/>
    </row>
    <row r="12415" spans="38:38" x14ac:dyDescent="0.2">
      <c r="AL12415" s="177"/>
    </row>
    <row r="12416" spans="38:38" x14ac:dyDescent="0.2">
      <c r="AL12416" s="177"/>
    </row>
    <row r="12417" spans="38:38" x14ac:dyDescent="0.2">
      <c r="AL12417" s="177"/>
    </row>
    <row r="12418" spans="38:38" x14ac:dyDescent="0.2">
      <c r="AL12418" s="177"/>
    </row>
    <row r="12419" spans="38:38" x14ac:dyDescent="0.2">
      <c r="AL12419" s="177"/>
    </row>
    <row r="12420" spans="38:38" x14ac:dyDescent="0.2">
      <c r="AL12420" s="177"/>
    </row>
    <row r="12421" spans="38:38" x14ac:dyDescent="0.2">
      <c r="AL12421" s="177"/>
    </row>
    <row r="12422" spans="38:38" x14ac:dyDescent="0.2">
      <c r="AL12422" s="177"/>
    </row>
    <row r="12423" spans="38:38" x14ac:dyDescent="0.2">
      <c r="AL12423" s="177"/>
    </row>
    <row r="12424" spans="38:38" x14ac:dyDescent="0.2">
      <c r="AL12424" s="177"/>
    </row>
    <row r="12425" spans="38:38" x14ac:dyDescent="0.2">
      <c r="AL12425" s="177"/>
    </row>
    <row r="12426" spans="38:38" x14ac:dyDescent="0.2">
      <c r="AL12426" s="177"/>
    </row>
    <row r="12427" spans="38:38" x14ac:dyDescent="0.2">
      <c r="AL12427" s="177"/>
    </row>
    <row r="12428" spans="38:38" x14ac:dyDescent="0.2">
      <c r="AL12428" s="177"/>
    </row>
    <row r="12429" spans="38:38" x14ac:dyDescent="0.2">
      <c r="AL12429" s="177"/>
    </row>
    <row r="12430" spans="38:38" x14ac:dyDescent="0.2">
      <c r="AL12430" s="177"/>
    </row>
    <row r="12431" spans="38:38" x14ac:dyDescent="0.2">
      <c r="AL12431" s="177"/>
    </row>
    <row r="12432" spans="38:38" x14ac:dyDescent="0.2">
      <c r="AL12432" s="177"/>
    </row>
    <row r="12433" spans="38:38" x14ac:dyDescent="0.2">
      <c r="AL12433" s="177"/>
    </row>
    <row r="12434" spans="38:38" x14ac:dyDescent="0.2">
      <c r="AL12434" s="177"/>
    </row>
    <row r="12435" spans="38:38" x14ac:dyDescent="0.2">
      <c r="AL12435" s="177"/>
    </row>
    <row r="12436" spans="38:38" x14ac:dyDescent="0.2">
      <c r="AL12436" s="177"/>
    </row>
    <row r="12437" spans="38:38" x14ac:dyDescent="0.2">
      <c r="AL12437" s="177"/>
    </row>
    <row r="12438" spans="38:38" x14ac:dyDescent="0.2">
      <c r="AL12438" s="177"/>
    </row>
    <row r="12439" spans="38:38" x14ac:dyDescent="0.2">
      <c r="AL12439" s="177"/>
    </row>
    <row r="12440" spans="38:38" x14ac:dyDescent="0.2">
      <c r="AL12440" s="177"/>
    </row>
    <row r="12441" spans="38:38" x14ac:dyDescent="0.2">
      <c r="AL12441" s="177"/>
    </row>
    <row r="12442" spans="38:38" x14ac:dyDescent="0.2">
      <c r="AL12442" s="177"/>
    </row>
    <row r="12443" spans="38:38" x14ac:dyDescent="0.2">
      <c r="AL12443" s="177"/>
    </row>
    <row r="12444" spans="38:38" x14ac:dyDescent="0.2">
      <c r="AL12444" s="177"/>
    </row>
    <row r="12445" spans="38:38" x14ac:dyDescent="0.2">
      <c r="AL12445" s="177"/>
    </row>
    <row r="12446" spans="38:38" x14ac:dyDescent="0.2">
      <c r="AL12446" s="177"/>
    </row>
    <row r="12447" spans="38:38" x14ac:dyDescent="0.2">
      <c r="AL12447" s="177"/>
    </row>
    <row r="12448" spans="38:38" x14ac:dyDescent="0.2">
      <c r="AL12448" s="177"/>
    </row>
    <row r="12449" spans="38:38" x14ac:dyDescent="0.2">
      <c r="AL12449" s="177"/>
    </row>
    <row r="12450" spans="38:38" x14ac:dyDescent="0.2">
      <c r="AL12450" s="177"/>
    </row>
    <row r="12451" spans="38:38" x14ac:dyDescent="0.2">
      <c r="AL12451" s="177"/>
    </row>
    <row r="12452" spans="38:38" x14ac:dyDescent="0.2">
      <c r="AL12452" s="177"/>
    </row>
    <row r="12453" spans="38:38" x14ac:dyDescent="0.2">
      <c r="AL12453" s="177"/>
    </row>
    <row r="12454" spans="38:38" x14ac:dyDescent="0.2">
      <c r="AL12454" s="177"/>
    </row>
    <row r="12455" spans="38:38" x14ac:dyDescent="0.2">
      <c r="AL12455" s="177"/>
    </row>
    <row r="12456" spans="38:38" x14ac:dyDescent="0.2">
      <c r="AL12456" s="177"/>
    </row>
    <row r="12457" spans="38:38" x14ac:dyDescent="0.2">
      <c r="AL12457" s="177"/>
    </row>
    <row r="12458" spans="38:38" x14ac:dyDescent="0.2">
      <c r="AL12458" s="177"/>
    </row>
    <row r="12459" spans="38:38" x14ac:dyDescent="0.2">
      <c r="AL12459" s="177"/>
    </row>
    <row r="12460" spans="38:38" x14ac:dyDescent="0.2">
      <c r="AL12460" s="177"/>
    </row>
    <row r="12461" spans="38:38" x14ac:dyDescent="0.2">
      <c r="AL12461" s="177"/>
    </row>
    <row r="12462" spans="38:38" x14ac:dyDescent="0.2">
      <c r="AL12462" s="177"/>
    </row>
    <row r="12463" spans="38:38" x14ac:dyDescent="0.2">
      <c r="AL12463" s="177"/>
    </row>
    <row r="12464" spans="38:38" x14ac:dyDescent="0.2">
      <c r="AL12464" s="177"/>
    </row>
    <row r="12465" spans="38:38" x14ac:dyDescent="0.2">
      <c r="AL12465" s="177"/>
    </row>
    <row r="12466" spans="38:38" x14ac:dyDescent="0.2">
      <c r="AL12466" s="177"/>
    </row>
    <row r="12467" spans="38:38" x14ac:dyDescent="0.2">
      <c r="AL12467" s="177"/>
    </row>
    <row r="12468" spans="38:38" x14ac:dyDescent="0.2">
      <c r="AL12468" s="177"/>
    </row>
    <row r="12469" spans="38:38" x14ac:dyDescent="0.2">
      <c r="AL12469" s="177"/>
    </row>
    <row r="12470" spans="38:38" x14ac:dyDescent="0.2">
      <c r="AL12470" s="177"/>
    </row>
    <row r="12471" spans="38:38" x14ac:dyDescent="0.2">
      <c r="AL12471" s="177"/>
    </row>
    <row r="12472" spans="38:38" x14ac:dyDescent="0.2">
      <c r="AL12472" s="177"/>
    </row>
    <row r="12473" spans="38:38" x14ac:dyDescent="0.2">
      <c r="AL12473" s="177"/>
    </row>
    <row r="12474" spans="38:38" x14ac:dyDescent="0.2">
      <c r="AL12474" s="177"/>
    </row>
    <row r="12475" spans="38:38" x14ac:dyDescent="0.2">
      <c r="AL12475" s="177"/>
    </row>
    <row r="12476" spans="38:38" x14ac:dyDescent="0.2">
      <c r="AL12476" s="177"/>
    </row>
    <row r="12477" spans="38:38" x14ac:dyDescent="0.2">
      <c r="AL12477" s="177"/>
    </row>
    <row r="12478" spans="38:38" x14ac:dyDescent="0.2">
      <c r="AL12478" s="177"/>
    </row>
    <row r="12479" spans="38:38" x14ac:dyDescent="0.2">
      <c r="AL12479" s="177"/>
    </row>
    <row r="12480" spans="38:38" x14ac:dyDescent="0.2">
      <c r="AL12480" s="177"/>
    </row>
    <row r="12481" spans="38:38" x14ac:dyDescent="0.2">
      <c r="AL12481" s="177"/>
    </row>
    <row r="12482" spans="38:38" x14ac:dyDescent="0.2">
      <c r="AL12482" s="177"/>
    </row>
    <row r="12483" spans="38:38" x14ac:dyDescent="0.2">
      <c r="AL12483" s="177"/>
    </row>
    <row r="12484" spans="38:38" x14ac:dyDescent="0.2">
      <c r="AL12484" s="177"/>
    </row>
    <row r="12485" spans="38:38" x14ac:dyDescent="0.2">
      <c r="AL12485" s="177"/>
    </row>
    <row r="12486" spans="38:38" x14ac:dyDescent="0.2">
      <c r="AL12486" s="177"/>
    </row>
    <row r="12487" spans="38:38" x14ac:dyDescent="0.2">
      <c r="AL12487" s="177"/>
    </row>
    <row r="12488" spans="38:38" x14ac:dyDescent="0.2">
      <c r="AL12488" s="177"/>
    </row>
    <row r="12489" spans="38:38" x14ac:dyDescent="0.2">
      <c r="AL12489" s="177"/>
    </row>
    <row r="12490" spans="38:38" x14ac:dyDescent="0.2">
      <c r="AL12490" s="177"/>
    </row>
    <row r="12491" spans="38:38" x14ac:dyDescent="0.2">
      <c r="AL12491" s="177"/>
    </row>
    <row r="12492" spans="38:38" x14ac:dyDescent="0.2">
      <c r="AL12492" s="177"/>
    </row>
    <row r="12493" spans="38:38" x14ac:dyDescent="0.2">
      <c r="AL12493" s="177"/>
    </row>
    <row r="12494" spans="38:38" x14ac:dyDescent="0.2">
      <c r="AL12494" s="177"/>
    </row>
    <row r="12495" spans="38:38" x14ac:dyDescent="0.2">
      <c r="AL12495" s="177"/>
    </row>
    <row r="12496" spans="38:38" x14ac:dyDescent="0.2">
      <c r="AL12496" s="177"/>
    </row>
    <row r="12497" spans="38:38" x14ac:dyDescent="0.2">
      <c r="AL12497" s="177"/>
    </row>
    <row r="12498" spans="38:38" x14ac:dyDescent="0.2">
      <c r="AL12498" s="177"/>
    </row>
    <row r="12499" spans="38:38" x14ac:dyDescent="0.2">
      <c r="AL12499" s="177"/>
    </row>
    <row r="12500" spans="38:38" x14ac:dyDescent="0.2">
      <c r="AL12500" s="177"/>
    </row>
    <row r="12501" spans="38:38" x14ac:dyDescent="0.2">
      <c r="AL12501" s="177"/>
    </row>
    <row r="12502" spans="38:38" x14ac:dyDescent="0.2">
      <c r="AL12502" s="177"/>
    </row>
    <row r="12503" spans="38:38" x14ac:dyDescent="0.2">
      <c r="AL12503" s="177"/>
    </row>
    <row r="12504" spans="38:38" x14ac:dyDescent="0.2">
      <c r="AL12504" s="177"/>
    </row>
    <row r="12505" spans="38:38" x14ac:dyDescent="0.2">
      <c r="AL12505" s="177"/>
    </row>
    <row r="12506" spans="38:38" x14ac:dyDescent="0.2">
      <c r="AL12506" s="177"/>
    </row>
    <row r="12507" spans="38:38" x14ac:dyDescent="0.2">
      <c r="AL12507" s="177"/>
    </row>
    <row r="12508" spans="38:38" x14ac:dyDescent="0.2">
      <c r="AL12508" s="177"/>
    </row>
    <row r="12509" spans="38:38" x14ac:dyDescent="0.2">
      <c r="AL12509" s="177"/>
    </row>
    <row r="12510" spans="38:38" x14ac:dyDescent="0.2">
      <c r="AL12510" s="177"/>
    </row>
    <row r="12511" spans="38:38" x14ac:dyDescent="0.2">
      <c r="AL12511" s="177"/>
    </row>
    <row r="12512" spans="38:38" x14ac:dyDescent="0.2">
      <c r="AL12512" s="177"/>
    </row>
    <row r="12513" spans="38:38" x14ac:dyDescent="0.2">
      <c r="AL12513" s="177"/>
    </row>
    <row r="12514" spans="38:38" x14ac:dyDescent="0.2">
      <c r="AL12514" s="177"/>
    </row>
    <row r="12515" spans="38:38" x14ac:dyDescent="0.2">
      <c r="AL12515" s="177"/>
    </row>
    <row r="12516" spans="38:38" x14ac:dyDescent="0.2">
      <c r="AL12516" s="177"/>
    </row>
    <row r="12517" spans="38:38" x14ac:dyDescent="0.2">
      <c r="AL12517" s="177"/>
    </row>
    <row r="12518" spans="38:38" x14ac:dyDescent="0.2">
      <c r="AL12518" s="177"/>
    </row>
    <row r="12519" spans="38:38" x14ac:dyDescent="0.2">
      <c r="AL12519" s="177"/>
    </row>
    <row r="12520" spans="38:38" x14ac:dyDescent="0.2">
      <c r="AL12520" s="177"/>
    </row>
    <row r="12521" spans="38:38" x14ac:dyDescent="0.2">
      <c r="AL12521" s="177"/>
    </row>
    <row r="12522" spans="38:38" x14ac:dyDescent="0.2">
      <c r="AL12522" s="177"/>
    </row>
    <row r="12523" spans="38:38" x14ac:dyDescent="0.2">
      <c r="AL12523" s="177"/>
    </row>
    <row r="12524" spans="38:38" x14ac:dyDescent="0.2">
      <c r="AL12524" s="177"/>
    </row>
    <row r="12525" spans="38:38" x14ac:dyDescent="0.2">
      <c r="AL12525" s="177"/>
    </row>
    <row r="12526" spans="38:38" x14ac:dyDescent="0.2">
      <c r="AL12526" s="177"/>
    </row>
    <row r="12527" spans="38:38" x14ac:dyDescent="0.2">
      <c r="AL12527" s="177"/>
    </row>
    <row r="12528" spans="38:38" x14ac:dyDescent="0.2">
      <c r="AL12528" s="177"/>
    </row>
    <row r="12529" spans="38:38" x14ac:dyDescent="0.2">
      <c r="AL12529" s="177"/>
    </row>
    <row r="12530" spans="38:38" x14ac:dyDescent="0.2">
      <c r="AL12530" s="177"/>
    </row>
    <row r="12531" spans="38:38" x14ac:dyDescent="0.2">
      <c r="AL12531" s="177"/>
    </row>
    <row r="12532" spans="38:38" x14ac:dyDescent="0.2">
      <c r="AL12532" s="177"/>
    </row>
    <row r="12533" spans="38:38" x14ac:dyDescent="0.2">
      <c r="AL12533" s="177"/>
    </row>
    <row r="12534" spans="38:38" x14ac:dyDescent="0.2">
      <c r="AL12534" s="177"/>
    </row>
    <row r="12535" spans="38:38" x14ac:dyDescent="0.2">
      <c r="AL12535" s="177"/>
    </row>
    <row r="12536" spans="38:38" x14ac:dyDescent="0.2">
      <c r="AL12536" s="177"/>
    </row>
    <row r="12537" spans="38:38" x14ac:dyDescent="0.2">
      <c r="AL12537" s="177"/>
    </row>
    <row r="12538" spans="38:38" x14ac:dyDescent="0.2">
      <c r="AL12538" s="177"/>
    </row>
    <row r="12539" spans="38:38" x14ac:dyDescent="0.2">
      <c r="AL12539" s="177"/>
    </row>
    <row r="12540" spans="38:38" x14ac:dyDescent="0.2">
      <c r="AL12540" s="177"/>
    </row>
    <row r="12541" spans="38:38" x14ac:dyDescent="0.2">
      <c r="AL12541" s="177"/>
    </row>
    <row r="12542" spans="38:38" x14ac:dyDescent="0.2">
      <c r="AL12542" s="177"/>
    </row>
    <row r="12543" spans="38:38" x14ac:dyDescent="0.2">
      <c r="AL12543" s="177"/>
    </row>
    <row r="12544" spans="38:38" x14ac:dyDescent="0.2">
      <c r="AL12544" s="177"/>
    </row>
    <row r="12545" spans="38:38" x14ac:dyDescent="0.2">
      <c r="AL12545" s="177"/>
    </row>
    <row r="12546" spans="38:38" x14ac:dyDescent="0.2">
      <c r="AL12546" s="177"/>
    </row>
    <row r="12547" spans="38:38" x14ac:dyDescent="0.2">
      <c r="AL12547" s="177"/>
    </row>
    <row r="12548" spans="38:38" x14ac:dyDescent="0.2">
      <c r="AL12548" s="177"/>
    </row>
    <row r="12549" spans="38:38" x14ac:dyDescent="0.2">
      <c r="AL12549" s="177"/>
    </row>
    <row r="12550" spans="38:38" x14ac:dyDescent="0.2">
      <c r="AL12550" s="177"/>
    </row>
    <row r="12551" spans="38:38" x14ac:dyDescent="0.2">
      <c r="AL12551" s="177"/>
    </row>
    <row r="12552" spans="38:38" x14ac:dyDescent="0.2">
      <c r="AL12552" s="177"/>
    </row>
    <row r="12553" spans="38:38" x14ac:dyDescent="0.2">
      <c r="AL12553" s="177"/>
    </row>
    <row r="12554" spans="38:38" x14ac:dyDescent="0.2">
      <c r="AL12554" s="177"/>
    </row>
    <row r="12555" spans="38:38" x14ac:dyDescent="0.2">
      <c r="AL12555" s="177"/>
    </row>
    <row r="12556" spans="38:38" x14ac:dyDescent="0.2">
      <c r="AL12556" s="177"/>
    </row>
    <row r="12557" spans="38:38" x14ac:dyDescent="0.2">
      <c r="AL12557" s="177"/>
    </row>
    <row r="12558" spans="38:38" x14ac:dyDescent="0.2">
      <c r="AL12558" s="177"/>
    </row>
    <row r="12559" spans="38:38" x14ac:dyDescent="0.2">
      <c r="AL12559" s="177"/>
    </row>
    <row r="12560" spans="38:38" x14ac:dyDescent="0.2">
      <c r="AL12560" s="177"/>
    </row>
    <row r="12561" spans="38:38" x14ac:dyDescent="0.2">
      <c r="AL12561" s="177"/>
    </row>
    <row r="12562" spans="38:38" x14ac:dyDescent="0.2">
      <c r="AL12562" s="177"/>
    </row>
    <row r="12563" spans="38:38" x14ac:dyDescent="0.2">
      <c r="AL12563" s="177"/>
    </row>
    <row r="12564" spans="38:38" x14ac:dyDescent="0.2">
      <c r="AL12564" s="177"/>
    </row>
    <row r="12565" spans="38:38" x14ac:dyDescent="0.2">
      <c r="AL12565" s="177"/>
    </row>
    <row r="12566" spans="38:38" x14ac:dyDescent="0.2">
      <c r="AL12566" s="177"/>
    </row>
    <row r="12567" spans="38:38" x14ac:dyDescent="0.2">
      <c r="AL12567" s="177"/>
    </row>
    <row r="12568" spans="38:38" x14ac:dyDescent="0.2">
      <c r="AL12568" s="177"/>
    </row>
    <row r="12569" spans="38:38" x14ac:dyDescent="0.2">
      <c r="AL12569" s="177"/>
    </row>
    <row r="12570" spans="38:38" x14ac:dyDescent="0.2">
      <c r="AL12570" s="177"/>
    </row>
    <row r="12571" spans="38:38" x14ac:dyDescent="0.2">
      <c r="AL12571" s="177"/>
    </row>
    <row r="12572" spans="38:38" x14ac:dyDescent="0.2">
      <c r="AL12572" s="177"/>
    </row>
    <row r="12573" spans="38:38" x14ac:dyDescent="0.2">
      <c r="AL12573" s="177"/>
    </row>
    <row r="12574" spans="38:38" x14ac:dyDescent="0.2">
      <c r="AL12574" s="177"/>
    </row>
    <row r="12575" spans="38:38" x14ac:dyDescent="0.2">
      <c r="AL12575" s="177"/>
    </row>
    <row r="12576" spans="38:38" x14ac:dyDescent="0.2">
      <c r="AL12576" s="177"/>
    </row>
    <row r="12577" spans="38:38" x14ac:dyDescent="0.2">
      <c r="AL12577" s="177"/>
    </row>
    <row r="12578" spans="38:38" x14ac:dyDescent="0.2">
      <c r="AL12578" s="177"/>
    </row>
    <row r="12579" spans="38:38" x14ac:dyDescent="0.2">
      <c r="AL12579" s="177"/>
    </row>
    <row r="12580" spans="38:38" x14ac:dyDescent="0.2">
      <c r="AL12580" s="177"/>
    </row>
    <row r="12581" spans="38:38" x14ac:dyDescent="0.2">
      <c r="AL12581" s="177"/>
    </row>
    <row r="12582" spans="38:38" x14ac:dyDescent="0.2">
      <c r="AL12582" s="177"/>
    </row>
    <row r="12583" spans="38:38" x14ac:dyDescent="0.2">
      <c r="AL12583" s="177"/>
    </row>
    <row r="12584" spans="38:38" x14ac:dyDescent="0.2">
      <c r="AL12584" s="177"/>
    </row>
    <row r="12585" spans="38:38" x14ac:dyDescent="0.2">
      <c r="AL12585" s="177"/>
    </row>
    <row r="12586" spans="38:38" x14ac:dyDescent="0.2">
      <c r="AL12586" s="177"/>
    </row>
    <row r="12587" spans="38:38" x14ac:dyDescent="0.2">
      <c r="AL12587" s="177"/>
    </row>
    <row r="12588" spans="38:38" x14ac:dyDescent="0.2">
      <c r="AL12588" s="177"/>
    </row>
    <row r="12589" spans="38:38" x14ac:dyDescent="0.2">
      <c r="AL12589" s="177"/>
    </row>
    <row r="12590" spans="38:38" x14ac:dyDescent="0.2">
      <c r="AL12590" s="177"/>
    </row>
    <row r="12591" spans="38:38" x14ac:dyDescent="0.2">
      <c r="AL12591" s="177"/>
    </row>
    <row r="12592" spans="38:38" x14ac:dyDescent="0.2">
      <c r="AL12592" s="177"/>
    </row>
    <row r="12593" spans="38:38" x14ac:dyDescent="0.2">
      <c r="AL12593" s="177"/>
    </row>
    <row r="12594" spans="38:38" x14ac:dyDescent="0.2">
      <c r="AL12594" s="177"/>
    </row>
    <row r="12595" spans="38:38" x14ac:dyDescent="0.2">
      <c r="AL12595" s="177"/>
    </row>
    <row r="12596" spans="38:38" x14ac:dyDescent="0.2">
      <c r="AL12596" s="177"/>
    </row>
    <row r="12597" spans="38:38" x14ac:dyDescent="0.2">
      <c r="AL12597" s="177"/>
    </row>
    <row r="12598" spans="38:38" x14ac:dyDescent="0.2">
      <c r="AL12598" s="177"/>
    </row>
    <row r="12599" spans="38:38" x14ac:dyDescent="0.2">
      <c r="AL12599" s="177"/>
    </row>
    <row r="12600" spans="38:38" x14ac:dyDescent="0.2">
      <c r="AL12600" s="177"/>
    </row>
    <row r="12601" spans="38:38" x14ac:dyDescent="0.2">
      <c r="AL12601" s="177"/>
    </row>
    <row r="12602" spans="38:38" x14ac:dyDescent="0.2">
      <c r="AL12602" s="177"/>
    </row>
    <row r="12603" spans="38:38" x14ac:dyDescent="0.2">
      <c r="AL12603" s="177"/>
    </row>
    <row r="12604" spans="38:38" x14ac:dyDescent="0.2">
      <c r="AL12604" s="177"/>
    </row>
    <row r="12605" spans="38:38" x14ac:dyDescent="0.2">
      <c r="AL12605" s="177"/>
    </row>
    <row r="12606" spans="38:38" x14ac:dyDescent="0.2">
      <c r="AL12606" s="177"/>
    </row>
    <row r="12607" spans="38:38" x14ac:dyDescent="0.2">
      <c r="AL12607" s="177"/>
    </row>
    <row r="12608" spans="38:38" x14ac:dyDescent="0.2">
      <c r="AL12608" s="177"/>
    </row>
    <row r="12609" spans="38:38" x14ac:dyDescent="0.2">
      <c r="AL12609" s="177"/>
    </row>
    <row r="12610" spans="38:38" x14ac:dyDescent="0.2">
      <c r="AL12610" s="177"/>
    </row>
    <row r="12611" spans="38:38" x14ac:dyDescent="0.2">
      <c r="AL12611" s="177"/>
    </row>
    <row r="12612" spans="38:38" x14ac:dyDescent="0.2">
      <c r="AL12612" s="177"/>
    </row>
    <row r="12613" spans="38:38" x14ac:dyDescent="0.2">
      <c r="AL12613" s="177"/>
    </row>
    <row r="12614" spans="38:38" x14ac:dyDescent="0.2">
      <c r="AL12614" s="177"/>
    </row>
    <row r="12615" spans="38:38" x14ac:dyDescent="0.2">
      <c r="AL12615" s="177"/>
    </row>
    <row r="12616" spans="38:38" x14ac:dyDescent="0.2">
      <c r="AL12616" s="177"/>
    </row>
    <row r="12617" spans="38:38" x14ac:dyDescent="0.2">
      <c r="AL12617" s="177"/>
    </row>
    <row r="12618" spans="38:38" x14ac:dyDescent="0.2">
      <c r="AL12618" s="177"/>
    </row>
    <row r="12619" spans="38:38" x14ac:dyDescent="0.2">
      <c r="AL12619" s="177"/>
    </row>
    <row r="12620" spans="38:38" x14ac:dyDescent="0.2">
      <c r="AL12620" s="177"/>
    </row>
    <row r="12621" spans="38:38" x14ac:dyDescent="0.2">
      <c r="AL12621" s="177"/>
    </row>
    <row r="12622" spans="38:38" x14ac:dyDescent="0.2">
      <c r="AL12622" s="177"/>
    </row>
    <row r="12623" spans="38:38" x14ac:dyDescent="0.2">
      <c r="AL12623" s="177"/>
    </row>
    <row r="12624" spans="38:38" x14ac:dyDescent="0.2">
      <c r="AL12624" s="177"/>
    </row>
    <row r="12625" spans="38:38" x14ac:dyDescent="0.2">
      <c r="AL12625" s="177"/>
    </row>
    <row r="12626" spans="38:38" x14ac:dyDescent="0.2">
      <c r="AL12626" s="177"/>
    </row>
    <row r="12627" spans="38:38" x14ac:dyDescent="0.2">
      <c r="AL12627" s="177"/>
    </row>
    <row r="12628" spans="38:38" x14ac:dyDescent="0.2">
      <c r="AL12628" s="177"/>
    </row>
    <row r="12629" spans="38:38" x14ac:dyDescent="0.2">
      <c r="AL12629" s="177"/>
    </row>
    <row r="12630" spans="38:38" x14ac:dyDescent="0.2">
      <c r="AL12630" s="177"/>
    </row>
    <row r="12631" spans="38:38" x14ac:dyDescent="0.2">
      <c r="AL12631" s="177"/>
    </row>
    <row r="12632" spans="38:38" x14ac:dyDescent="0.2">
      <c r="AL12632" s="177"/>
    </row>
    <row r="12633" spans="38:38" x14ac:dyDescent="0.2">
      <c r="AL12633" s="177"/>
    </row>
    <row r="12634" spans="38:38" x14ac:dyDescent="0.2">
      <c r="AL12634" s="177"/>
    </row>
    <row r="12635" spans="38:38" x14ac:dyDescent="0.2">
      <c r="AL12635" s="177"/>
    </row>
    <row r="12636" spans="38:38" x14ac:dyDescent="0.2">
      <c r="AL12636" s="177"/>
    </row>
    <row r="12637" spans="38:38" x14ac:dyDescent="0.2">
      <c r="AL12637" s="177"/>
    </row>
    <row r="12638" spans="38:38" x14ac:dyDescent="0.2">
      <c r="AL12638" s="177"/>
    </row>
    <row r="12639" spans="38:38" x14ac:dyDescent="0.2">
      <c r="AL12639" s="177"/>
    </row>
    <row r="12640" spans="38:38" x14ac:dyDescent="0.2">
      <c r="AL12640" s="177"/>
    </row>
    <row r="12641" spans="38:38" x14ac:dyDescent="0.2">
      <c r="AL12641" s="177"/>
    </row>
    <row r="12642" spans="38:38" x14ac:dyDescent="0.2">
      <c r="AL12642" s="177"/>
    </row>
    <row r="12643" spans="38:38" x14ac:dyDescent="0.2">
      <c r="AL12643" s="177"/>
    </row>
    <row r="12644" spans="38:38" x14ac:dyDescent="0.2">
      <c r="AL12644" s="177"/>
    </row>
    <row r="12645" spans="38:38" x14ac:dyDescent="0.2">
      <c r="AL12645" s="177"/>
    </row>
    <row r="12646" spans="38:38" x14ac:dyDescent="0.2">
      <c r="AL12646" s="177"/>
    </row>
    <row r="12647" spans="38:38" x14ac:dyDescent="0.2">
      <c r="AL12647" s="177"/>
    </row>
    <row r="12648" spans="38:38" x14ac:dyDescent="0.2">
      <c r="AL12648" s="177"/>
    </row>
    <row r="12649" spans="38:38" x14ac:dyDescent="0.2">
      <c r="AL12649" s="177"/>
    </row>
    <row r="12650" spans="38:38" x14ac:dyDescent="0.2">
      <c r="AL12650" s="177"/>
    </row>
    <row r="12651" spans="38:38" x14ac:dyDescent="0.2">
      <c r="AL12651" s="177"/>
    </row>
    <row r="12652" spans="38:38" x14ac:dyDescent="0.2">
      <c r="AL12652" s="177"/>
    </row>
    <row r="12653" spans="38:38" x14ac:dyDescent="0.2">
      <c r="AL12653" s="177"/>
    </row>
    <row r="12654" spans="38:38" x14ac:dyDescent="0.2">
      <c r="AL12654" s="177"/>
    </row>
    <row r="12655" spans="38:38" x14ac:dyDescent="0.2">
      <c r="AL12655" s="177"/>
    </row>
    <row r="12656" spans="38:38" x14ac:dyDescent="0.2">
      <c r="AL12656" s="177"/>
    </row>
    <row r="12657" spans="38:38" x14ac:dyDescent="0.2">
      <c r="AL12657" s="177"/>
    </row>
    <row r="12658" spans="38:38" x14ac:dyDescent="0.2">
      <c r="AL12658" s="177"/>
    </row>
    <row r="12659" spans="38:38" x14ac:dyDescent="0.2">
      <c r="AL12659" s="177"/>
    </row>
    <row r="12660" spans="38:38" x14ac:dyDescent="0.2">
      <c r="AL12660" s="177"/>
    </row>
    <row r="12661" spans="38:38" x14ac:dyDescent="0.2">
      <c r="AL12661" s="177"/>
    </row>
    <row r="12662" spans="38:38" x14ac:dyDescent="0.2">
      <c r="AL12662" s="177"/>
    </row>
    <row r="12663" spans="38:38" x14ac:dyDescent="0.2">
      <c r="AL12663" s="177"/>
    </row>
    <row r="12664" spans="38:38" x14ac:dyDescent="0.2">
      <c r="AL12664" s="177"/>
    </row>
    <row r="12665" spans="38:38" x14ac:dyDescent="0.2">
      <c r="AL12665" s="177"/>
    </row>
    <row r="12666" spans="38:38" x14ac:dyDescent="0.2">
      <c r="AL12666" s="177"/>
    </row>
    <row r="12667" spans="38:38" x14ac:dyDescent="0.2">
      <c r="AL12667" s="177"/>
    </row>
    <row r="12668" spans="38:38" x14ac:dyDescent="0.2">
      <c r="AL12668" s="177"/>
    </row>
    <row r="12669" spans="38:38" x14ac:dyDescent="0.2">
      <c r="AL12669" s="177"/>
    </row>
    <row r="12670" spans="38:38" x14ac:dyDescent="0.2">
      <c r="AL12670" s="177"/>
    </row>
    <row r="12671" spans="38:38" x14ac:dyDescent="0.2">
      <c r="AL12671" s="177"/>
    </row>
    <row r="12672" spans="38:38" x14ac:dyDescent="0.2">
      <c r="AL12672" s="177"/>
    </row>
    <row r="12673" spans="38:38" x14ac:dyDescent="0.2">
      <c r="AL12673" s="177"/>
    </row>
    <row r="12674" spans="38:38" x14ac:dyDescent="0.2">
      <c r="AL12674" s="177"/>
    </row>
    <row r="12675" spans="38:38" x14ac:dyDescent="0.2">
      <c r="AL12675" s="177"/>
    </row>
    <row r="12676" spans="38:38" x14ac:dyDescent="0.2">
      <c r="AL12676" s="177"/>
    </row>
    <row r="12677" spans="38:38" x14ac:dyDescent="0.2">
      <c r="AL12677" s="177"/>
    </row>
    <row r="12678" spans="38:38" x14ac:dyDescent="0.2">
      <c r="AL12678" s="177"/>
    </row>
    <row r="12679" spans="38:38" x14ac:dyDescent="0.2">
      <c r="AL12679" s="177"/>
    </row>
    <row r="12680" spans="38:38" x14ac:dyDescent="0.2">
      <c r="AL12680" s="177"/>
    </row>
    <row r="12681" spans="38:38" x14ac:dyDescent="0.2">
      <c r="AL12681" s="177"/>
    </row>
    <row r="12682" spans="38:38" x14ac:dyDescent="0.2">
      <c r="AL12682" s="177"/>
    </row>
    <row r="12683" spans="38:38" x14ac:dyDescent="0.2">
      <c r="AL12683" s="177"/>
    </row>
    <row r="12684" spans="38:38" x14ac:dyDescent="0.2">
      <c r="AL12684" s="177"/>
    </row>
    <row r="12685" spans="38:38" x14ac:dyDescent="0.2">
      <c r="AL12685" s="177"/>
    </row>
    <row r="12686" spans="38:38" x14ac:dyDescent="0.2">
      <c r="AL12686" s="177"/>
    </row>
    <row r="12687" spans="38:38" x14ac:dyDescent="0.2">
      <c r="AL12687" s="177"/>
    </row>
    <row r="12688" spans="38:38" x14ac:dyDescent="0.2">
      <c r="AL12688" s="177"/>
    </row>
    <row r="12689" spans="38:38" x14ac:dyDescent="0.2">
      <c r="AL12689" s="177"/>
    </row>
    <row r="12690" spans="38:38" x14ac:dyDescent="0.2">
      <c r="AL12690" s="177"/>
    </row>
    <row r="12691" spans="38:38" x14ac:dyDescent="0.2">
      <c r="AL12691" s="177"/>
    </row>
    <row r="12692" spans="38:38" x14ac:dyDescent="0.2">
      <c r="AL12692" s="177"/>
    </row>
    <row r="12693" spans="38:38" x14ac:dyDescent="0.2">
      <c r="AL12693" s="177"/>
    </row>
    <row r="12694" spans="38:38" x14ac:dyDescent="0.2">
      <c r="AL12694" s="177"/>
    </row>
    <row r="12695" spans="38:38" x14ac:dyDescent="0.2">
      <c r="AL12695" s="177"/>
    </row>
    <row r="12696" spans="38:38" x14ac:dyDescent="0.2">
      <c r="AL12696" s="177"/>
    </row>
    <row r="12697" spans="38:38" x14ac:dyDescent="0.2">
      <c r="AL12697" s="177"/>
    </row>
    <row r="12698" spans="38:38" x14ac:dyDescent="0.2">
      <c r="AL12698" s="177"/>
    </row>
    <row r="12699" spans="38:38" x14ac:dyDescent="0.2">
      <c r="AL12699" s="177"/>
    </row>
    <row r="12700" spans="38:38" x14ac:dyDescent="0.2">
      <c r="AL12700" s="177"/>
    </row>
    <row r="12701" spans="38:38" x14ac:dyDescent="0.2">
      <c r="AL12701" s="177"/>
    </row>
    <row r="12702" spans="38:38" x14ac:dyDescent="0.2">
      <c r="AL12702" s="177"/>
    </row>
    <row r="12703" spans="38:38" x14ac:dyDescent="0.2">
      <c r="AL12703" s="177"/>
    </row>
    <row r="12704" spans="38:38" x14ac:dyDescent="0.2">
      <c r="AL12704" s="177"/>
    </row>
    <row r="12705" spans="38:38" x14ac:dyDescent="0.2">
      <c r="AL12705" s="177"/>
    </row>
    <row r="12706" spans="38:38" x14ac:dyDescent="0.2">
      <c r="AL12706" s="177"/>
    </row>
    <row r="12707" spans="38:38" x14ac:dyDescent="0.2">
      <c r="AL12707" s="177"/>
    </row>
    <row r="12708" spans="38:38" x14ac:dyDescent="0.2">
      <c r="AL12708" s="177"/>
    </row>
    <row r="12709" spans="38:38" x14ac:dyDescent="0.2">
      <c r="AL12709" s="177"/>
    </row>
    <row r="12710" spans="38:38" x14ac:dyDescent="0.2">
      <c r="AL12710" s="177"/>
    </row>
    <row r="12711" spans="38:38" x14ac:dyDescent="0.2">
      <c r="AL12711" s="177"/>
    </row>
    <row r="12712" spans="38:38" x14ac:dyDescent="0.2">
      <c r="AL12712" s="177"/>
    </row>
    <row r="12713" spans="38:38" x14ac:dyDescent="0.2">
      <c r="AL12713" s="177"/>
    </row>
    <row r="12714" spans="38:38" x14ac:dyDescent="0.2">
      <c r="AL12714" s="177"/>
    </row>
    <row r="12715" spans="38:38" x14ac:dyDescent="0.2">
      <c r="AL12715" s="177"/>
    </row>
    <row r="12716" spans="38:38" x14ac:dyDescent="0.2">
      <c r="AL12716" s="177"/>
    </row>
    <row r="12717" spans="38:38" x14ac:dyDescent="0.2">
      <c r="AL12717" s="177"/>
    </row>
    <row r="12718" spans="38:38" x14ac:dyDescent="0.2">
      <c r="AL12718" s="177"/>
    </row>
    <row r="12719" spans="38:38" x14ac:dyDescent="0.2">
      <c r="AL12719" s="177"/>
    </row>
    <row r="12720" spans="38:38" x14ac:dyDescent="0.2">
      <c r="AL12720" s="177"/>
    </row>
    <row r="12721" spans="38:38" x14ac:dyDescent="0.2">
      <c r="AL12721" s="177"/>
    </row>
    <row r="12722" spans="38:38" x14ac:dyDescent="0.2">
      <c r="AL12722" s="177"/>
    </row>
    <row r="12723" spans="38:38" x14ac:dyDescent="0.2">
      <c r="AL12723" s="177"/>
    </row>
    <row r="12724" spans="38:38" x14ac:dyDescent="0.2">
      <c r="AL12724" s="177"/>
    </row>
    <row r="12725" spans="38:38" x14ac:dyDescent="0.2">
      <c r="AL12725" s="177"/>
    </row>
    <row r="12726" spans="38:38" x14ac:dyDescent="0.2">
      <c r="AL12726" s="177"/>
    </row>
    <row r="12727" spans="38:38" x14ac:dyDescent="0.2">
      <c r="AL12727" s="177"/>
    </row>
    <row r="12728" spans="38:38" x14ac:dyDescent="0.2">
      <c r="AL12728" s="177"/>
    </row>
    <row r="12729" spans="38:38" x14ac:dyDescent="0.2">
      <c r="AL12729" s="177"/>
    </row>
    <row r="12730" spans="38:38" x14ac:dyDescent="0.2">
      <c r="AL12730" s="177"/>
    </row>
    <row r="12731" spans="38:38" x14ac:dyDescent="0.2">
      <c r="AL12731" s="177"/>
    </row>
    <row r="12732" spans="38:38" x14ac:dyDescent="0.2">
      <c r="AL12732" s="177"/>
    </row>
    <row r="12733" spans="38:38" x14ac:dyDescent="0.2">
      <c r="AL12733" s="177"/>
    </row>
    <row r="12734" spans="38:38" x14ac:dyDescent="0.2">
      <c r="AL12734" s="177"/>
    </row>
    <row r="12735" spans="38:38" x14ac:dyDescent="0.2">
      <c r="AL12735" s="177"/>
    </row>
    <row r="12736" spans="38:38" x14ac:dyDescent="0.2">
      <c r="AL12736" s="177"/>
    </row>
    <row r="12737" spans="38:38" x14ac:dyDescent="0.2">
      <c r="AL12737" s="177"/>
    </row>
    <row r="12738" spans="38:38" x14ac:dyDescent="0.2">
      <c r="AL12738" s="177"/>
    </row>
    <row r="12739" spans="38:38" x14ac:dyDescent="0.2">
      <c r="AL12739" s="177"/>
    </row>
    <row r="12740" spans="38:38" x14ac:dyDescent="0.2">
      <c r="AL12740" s="177"/>
    </row>
    <row r="12741" spans="38:38" x14ac:dyDescent="0.2">
      <c r="AL12741" s="177"/>
    </row>
    <row r="12742" spans="38:38" x14ac:dyDescent="0.2">
      <c r="AL12742" s="177"/>
    </row>
    <row r="12743" spans="38:38" x14ac:dyDescent="0.2">
      <c r="AL12743" s="177"/>
    </row>
    <row r="12744" spans="38:38" x14ac:dyDescent="0.2">
      <c r="AL12744" s="177"/>
    </row>
    <row r="12745" spans="38:38" x14ac:dyDescent="0.2">
      <c r="AL12745" s="177"/>
    </row>
    <row r="12746" spans="38:38" x14ac:dyDescent="0.2">
      <c r="AL12746" s="177"/>
    </row>
    <row r="12747" spans="38:38" x14ac:dyDescent="0.2">
      <c r="AL12747" s="177"/>
    </row>
    <row r="12748" spans="38:38" x14ac:dyDescent="0.2">
      <c r="AL12748" s="177"/>
    </row>
    <row r="12749" spans="38:38" x14ac:dyDescent="0.2">
      <c r="AL12749" s="177"/>
    </row>
    <row r="12750" spans="38:38" x14ac:dyDescent="0.2">
      <c r="AL12750" s="177"/>
    </row>
    <row r="12751" spans="38:38" x14ac:dyDescent="0.2">
      <c r="AL12751" s="177"/>
    </row>
    <row r="12752" spans="38:38" x14ac:dyDescent="0.2">
      <c r="AL12752" s="177"/>
    </row>
    <row r="12753" spans="38:38" x14ac:dyDescent="0.2">
      <c r="AL12753" s="177"/>
    </row>
    <row r="12754" spans="38:38" x14ac:dyDescent="0.2">
      <c r="AL12754" s="177"/>
    </row>
    <row r="12755" spans="38:38" x14ac:dyDescent="0.2">
      <c r="AL12755" s="177"/>
    </row>
    <row r="12756" spans="38:38" x14ac:dyDescent="0.2">
      <c r="AL12756" s="177"/>
    </row>
    <row r="12757" spans="38:38" x14ac:dyDescent="0.2">
      <c r="AL12757" s="177"/>
    </row>
    <row r="12758" spans="38:38" x14ac:dyDescent="0.2">
      <c r="AL12758" s="177"/>
    </row>
    <row r="12759" spans="38:38" x14ac:dyDescent="0.2">
      <c r="AL12759" s="177"/>
    </row>
    <row r="12760" spans="38:38" x14ac:dyDescent="0.2">
      <c r="AL12760" s="177"/>
    </row>
    <row r="12761" spans="38:38" x14ac:dyDescent="0.2">
      <c r="AL12761" s="177"/>
    </row>
    <row r="12762" spans="38:38" x14ac:dyDescent="0.2">
      <c r="AL12762" s="177"/>
    </row>
    <row r="12763" spans="38:38" x14ac:dyDescent="0.2">
      <c r="AL12763" s="177"/>
    </row>
    <row r="12764" spans="38:38" x14ac:dyDescent="0.2">
      <c r="AL12764" s="177"/>
    </row>
    <row r="12765" spans="38:38" x14ac:dyDescent="0.2">
      <c r="AL12765" s="177"/>
    </row>
    <row r="12766" spans="38:38" x14ac:dyDescent="0.2">
      <c r="AL12766" s="177"/>
    </row>
    <row r="12767" spans="38:38" x14ac:dyDescent="0.2">
      <c r="AL12767" s="177"/>
    </row>
    <row r="12768" spans="38:38" x14ac:dyDescent="0.2">
      <c r="AL12768" s="177"/>
    </row>
    <row r="12769" spans="38:38" x14ac:dyDescent="0.2">
      <c r="AL12769" s="177"/>
    </row>
    <row r="12770" spans="38:38" x14ac:dyDescent="0.2">
      <c r="AL12770" s="177"/>
    </row>
    <row r="12771" spans="38:38" x14ac:dyDescent="0.2">
      <c r="AL12771" s="177"/>
    </row>
    <row r="12772" spans="38:38" x14ac:dyDescent="0.2">
      <c r="AL12772" s="177"/>
    </row>
    <row r="12773" spans="38:38" x14ac:dyDescent="0.2">
      <c r="AL12773" s="177"/>
    </row>
    <row r="12774" spans="38:38" x14ac:dyDescent="0.2">
      <c r="AL12774" s="177"/>
    </row>
    <row r="12775" spans="38:38" x14ac:dyDescent="0.2">
      <c r="AL12775" s="177"/>
    </row>
    <row r="12776" spans="38:38" x14ac:dyDescent="0.2">
      <c r="AL12776" s="177"/>
    </row>
    <row r="12777" spans="38:38" x14ac:dyDescent="0.2">
      <c r="AL12777" s="177"/>
    </row>
    <row r="12778" spans="38:38" x14ac:dyDescent="0.2">
      <c r="AL12778" s="177"/>
    </row>
    <row r="12779" spans="38:38" x14ac:dyDescent="0.2">
      <c r="AL12779" s="177"/>
    </row>
    <row r="12780" spans="38:38" x14ac:dyDescent="0.2">
      <c r="AL12780" s="177"/>
    </row>
    <row r="12781" spans="38:38" x14ac:dyDescent="0.2">
      <c r="AL12781" s="177"/>
    </row>
    <row r="12782" spans="38:38" x14ac:dyDescent="0.2">
      <c r="AL12782" s="177"/>
    </row>
    <row r="12783" spans="38:38" x14ac:dyDescent="0.2">
      <c r="AL12783" s="177"/>
    </row>
    <row r="12784" spans="38:38" x14ac:dyDescent="0.2">
      <c r="AL12784" s="177"/>
    </row>
    <row r="12785" spans="38:38" x14ac:dyDescent="0.2">
      <c r="AL12785" s="177"/>
    </row>
    <row r="12786" spans="38:38" x14ac:dyDescent="0.2">
      <c r="AL12786" s="177"/>
    </row>
    <row r="12787" spans="38:38" x14ac:dyDescent="0.2">
      <c r="AL12787" s="177"/>
    </row>
    <row r="12788" spans="38:38" x14ac:dyDescent="0.2">
      <c r="AL12788" s="177"/>
    </row>
    <row r="12789" spans="38:38" x14ac:dyDescent="0.2">
      <c r="AL12789" s="177"/>
    </row>
    <row r="12790" spans="38:38" x14ac:dyDescent="0.2">
      <c r="AL12790" s="177"/>
    </row>
    <row r="12791" spans="38:38" x14ac:dyDescent="0.2">
      <c r="AL12791" s="177"/>
    </row>
    <row r="12792" spans="38:38" x14ac:dyDescent="0.2">
      <c r="AL12792" s="177"/>
    </row>
    <row r="12793" spans="38:38" x14ac:dyDescent="0.2">
      <c r="AL12793" s="177"/>
    </row>
    <row r="12794" spans="38:38" x14ac:dyDescent="0.2">
      <c r="AL12794" s="177"/>
    </row>
    <row r="12795" spans="38:38" x14ac:dyDescent="0.2">
      <c r="AL12795" s="177"/>
    </row>
    <row r="12796" spans="38:38" x14ac:dyDescent="0.2">
      <c r="AL12796" s="177"/>
    </row>
    <row r="12797" spans="38:38" x14ac:dyDescent="0.2">
      <c r="AL12797" s="177"/>
    </row>
    <row r="12798" spans="38:38" x14ac:dyDescent="0.2">
      <c r="AL12798" s="177"/>
    </row>
    <row r="12799" spans="38:38" x14ac:dyDescent="0.2">
      <c r="AL12799" s="177"/>
    </row>
    <row r="12800" spans="38:38" x14ac:dyDescent="0.2">
      <c r="AL12800" s="177"/>
    </row>
    <row r="12801" spans="38:38" x14ac:dyDescent="0.2">
      <c r="AL12801" s="177"/>
    </row>
    <row r="12802" spans="38:38" x14ac:dyDescent="0.2">
      <c r="AL12802" s="177"/>
    </row>
    <row r="12803" spans="38:38" x14ac:dyDescent="0.2">
      <c r="AL12803" s="177"/>
    </row>
    <row r="12804" spans="38:38" x14ac:dyDescent="0.2">
      <c r="AL12804" s="177"/>
    </row>
    <row r="12805" spans="38:38" x14ac:dyDescent="0.2">
      <c r="AL12805" s="177"/>
    </row>
    <row r="12806" spans="38:38" x14ac:dyDescent="0.2">
      <c r="AL12806" s="177"/>
    </row>
    <row r="12807" spans="38:38" x14ac:dyDescent="0.2">
      <c r="AL12807" s="177"/>
    </row>
    <row r="12808" spans="38:38" x14ac:dyDescent="0.2">
      <c r="AL12808" s="177"/>
    </row>
    <row r="12809" spans="38:38" x14ac:dyDescent="0.2">
      <c r="AL12809" s="177"/>
    </row>
    <row r="12810" spans="38:38" x14ac:dyDescent="0.2">
      <c r="AL12810" s="177"/>
    </row>
    <row r="12811" spans="38:38" x14ac:dyDescent="0.2">
      <c r="AL12811" s="177"/>
    </row>
    <row r="12812" spans="38:38" x14ac:dyDescent="0.2">
      <c r="AL12812" s="177"/>
    </row>
    <row r="12813" spans="38:38" x14ac:dyDescent="0.2">
      <c r="AL12813" s="177"/>
    </row>
    <row r="12814" spans="38:38" x14ac:dyDescent="0.2">
      <c r="AL12814" s="177"/>
    </row>
    <row r="12815" spans="38:38" x14ac:dyDescent="0.2">
      <c r="AL12815" s="177"/>
    </row>
    <row r="12816" spans="38:38" x14ac:dyDescent="0.2">
      <c r="AL12816" s="177"/>
    </row>
    <row r="12817" spans="38:38" x14ac:dyDescent="0.2">
      <c r="AL12817" s="177"/>
    </row>
    <row r="12818" spans="38:38" x14ac:dyDescent="0.2">
      <c r="AL12818" s="177"/>
    </row>
    <row r="12819" spans="38:38" x14ac:dyDescent="0.2">
      <c r="AL12819" s="177"/>
    </row>
    <row r="12820" spans="38:38" x14ac:dyDescent="0.2">
      <c r="AL12820" s="177"/>
    </row>
    <row r="12821" spans="38:38" x14ac:dyDescent="0.2">
      <c r="AL12821" s="177"/>
    </row>
    <row r="12822" spans="38:38" x14ac:dyDescent="0.2">
      <c r="AL12822" s="177"/>
    </row>
    <row r="12823" spans="38:38" x14ac:dyDescent="0.2">
      <c r="AL12823" s="177"/>
    </row>
    <row r="12824" spans="38:38" x14ac:dyDescent="0.2">
      <c r="AL12824" s="177"/>
    </row>
    <row r="12825" spans="38:38" x14ac:dyDescent="0.2">
      <c r="AL12825" s="177"/>
    </row>
    <row r="12826" spans="38:38" x14ac:dyDescent="0.2">
      <c r="AL12826" s="177"/>
    </row>
    <row r="12827" spans="38:38" x14ac:dyDescent="0.2">
      <c r="AL12827" s="177"/>
    </row>
    <row r="12828" spans="38:38" x14ac:dyDescent="0.2">
      <c r="AL12828" s="177"/>
    </row>
    <row r="12829" spans="38:38" x14ac:dyDescent="0.2">
      <c r="AL12829" s="177"/>
    </row>
    <row r="12830" spans="38:38" x14ac:dyDescent="0.2">
      <c r="AL12830" s="177"/>
    </row>
    <row r="12831" spans="38:38" x14ac:dyDescent="0.2">
      <c r="AL12831" s="177"/>
    </row>
    <row r="12832" spans="38:38" x14ac:dyDescent="0.2">
      <c r="AL12832" s="177"/>
    </row>
    <row r="12833" spans="38:38" x14ac:dyDescent="0.2">
      <c r="AL12833" s="177"/>
    </row>
    <row r="12834" spans="38:38" x14ac:dyDescent="0.2">
      <c r="AL12834" s="177"/>
    </row>
    <row r="12835" spans="38:38" x14ac:dyDescent="0.2">
      <c r="AL12835" s="177"/>
    </row>
    <row r="12836" spans="38:38" x14ac:dyDescent="0.2">
      <c r="AL12836" s="177"/>
    </row>
    <row r="12837" spans="38:38" x14ac:dyDescent="0.2">
      <c r="AL12837" s="177"/>
    </row>
    <row r="12838" spans="38:38" x14ac:dyDescent="0.2">
      <c r="AL12838" s="177"/>
    </row>
    <row r="12839" spans="38:38" x14ac:dyDescent="0.2">
      <c r="AL12839" s="177"/>
    </row>
    <row r="12840" spans="38:38" x14ac:dyDescent="0.2">
      <c r="AL12840" s="177"/>
    </row>
    <row r="12841" spans="38:38" x14ac:dyDescent="0.2">
      <c r="AL12841" s="177"/>
    </row>
    <row r="12842" spans="38:38" x14ac:dyDescent="0.2">
      <c r="AL12842" s="177"/>
    </row>
    <row r="12843" spans="38:38" x14ac:dyDescent="0.2">
      <c r="AL12843" s="177"/>
    </row>
    <row r="12844" spans="38:38" x14ac:dyDescent="0.2">
      <c r="AL12844" s="177"/>
    </row>
    <row r="12845" spans="38:38" x14ac:dyDescent="0.2">
      <c r="AL12845" s="177"/>
    </row>
    <row r="12846" spans="38:38" x14ac:dyDescent="0.2">
      <c r="AL12846" s="177"/>
    </row>
    <row r="12847" spans="38:38" x14ac:dyDescent="0.2">
      <c r="AL12847" s="177"/>
    </row>
    <row r="12848" spans="38:38" x14ac:dyDescent="0.2">
      <c r="AL12848" s="177"/>
    </row>
    <row r="12849" spans="38:38" x14ac:dyDescent="0.2">
      <c r="AL12849" s="177"/>
    </row>
    <row r="12850" spans="38:38" x14ac:dyDescent="0.2">
      <c r="AL12850" s="177"/>
    </row>
    <row r="12851" spans="38:38" x14ac:dyDescent="0.2">
      <c r="AL12851" s="177"/>
    </row>
    <row r="12852" spans="38:38" x14ac:dyDescent="0.2">
      <c r="AL12852" s="177"/>
    </row>
    <row r="12853" spans="38:38" x14ac:dyDescent="0.2">
      <c r="AL12853" s="177"/>
    </row>
    <row r="12854" spans="38:38" x14ac:dyDescent="0.2">
      <c r="AL12854" s="177"/>
    </row>
    <row r="12855" spans="38:38" x14ac:dyDescent="0.2">
      <c r="AL12855" s="177"/>
    </row>
    <row r="12856" spans="38:38" x14ac:dyDescent="0.2">
      <c r="AL12856" s="177"/>
    </row>
    <row r="12857" spans="38:38" x14ac:dyDescent="0.2">
      <c r="AL12857" s="177"/>
    </row>
    <row r="12858" spans="38:38" x14ac:dyDescent="0.2">
      <c r="AL12858" s="177"/>
    </row>
    <row r="12859" spans="38:38" x14ac:dyDescent="0.2">
      <c r="AL12859" s="177"/>
    </row>
    <row r="12860" spans="38:38" x14ac:dyDescent="0.2">
      <c r="AL12860" s="177"/>
    </row>
    <row r="12861" spans="38:38" x14ac:dyDescent="0.2">
      <c r="AL12861" s="177"/>
    </row>
    <row r="12862" spans="38:38" x14ac:dyDescent="0.2">
      <c r="AL12862" s="177"/>
    </row>
    <row r="12863" spans="38:38" x14ac:dyDescent="0.2">
      <c r="AL12863" s="177"/>
    </row>
    <row r="12864" spans="38:38" x14ac:dyDescent="0.2">
      <c r="AL12864" s="177"/>
    </row>
    <row r="12865" spans="38:38" x14ac:dyDescent="0.2">
      <c r="AL12865" s="177"/>
    </row>
    <row r="12866" spans="38:38" x14ac:dyDescent="0.2">
      <c r="AL12866" s="177"/>
    </row>
    <row r="12867" spans="38:38" x14ac:dyDescent="0.2">
      <c r="AL12867" s="177"/>
    </row>
    <row r="12868" spans="38:38" x14ac:dyDescent="0.2">
      <c r="AL12868" s="177"/>
    </row>
    <row r="12869" spans="38:38" x14ac:dyDescent="0.2">
      <c r="AL12869" s="177"/>
    </row>
    <row r="12870" spans="38:38" x14ac:dyDescent="0.2">
      <c r="AL12870" s="177"/>
    </row>
    <row r="12871" spans="38:38" x14ac:dyDescent="0.2">
      <c r="AL12871" s="177"/>
    </row>
    <row r="12872" spans="38:38" x14ac:dyDescent="0.2">
      <c r="AL12872" s="177"/>
    </row>
    <row r="12873" spans="38:38" x14ac:dyDescent="0.2">
      <c r="AL12873" s="177"/>
    </row>
    <row r="12874" spans="38:38" x14ac:dyDescent="0.2">
      <c r="AL12874" s="177"/>
    </row>
    <row r="12875" spans="38:38" x14ac:dyDescent="0.2">
      <c r="AL12875" s="177"/>
    </row>
    <row r="12876" spans="38:38" x14ac:dyDescent="0.2">
      <c r="AL12876" s="177"/>
    </row>
    <row r="12877" spans="38:38" x14ac:dyDescent="0.2">
      <c r="AL12877" s="177"/>
    </row>
    <row r="12878" spans="38:38" x14ac:dyDescent="0.2">
      <c r="AL12878" s="177"/>
    </row>
    <row r="12879" spans="38:38" x14ac:dyDescent="0.2">
      <c r="AL12879" s="177"/>
    </row>
    <row r="12880" spans="38:38" x14ac:dyDescent="0.2">
      <c r="AL12880" s="177"/>
    </row>
    <row r="12881" spans="38:38" x14ac:dyDescent="0.2">
      <c r="AL12881" s="177"/>
    </row>
    <row r="12882" spans="38:38" x14ac:dyDescent="0.2">
      <c r="AL12882" s="177"/>
    </row>
    <row r="12883" spans="38:38" x14ac:dyDescent="0.2">
      <c r="AL12883" s="177"/>
    </row>
    <row r="12884" spans="38:38" x14ac:dyDescent="0.2">
      <c r="AL12884" s="177"/>
    </row>
    <row r="12885" spans="38:38" x14ac:dyDescent="0.2">
      <c r="AL12885" s="177"/>
    </row>
    <row r="12886" spans="38:38" x14ac:dyDescent="0.2">
      <c r="AL12886" s="177"/>
    </row>
    <row r="12887" spans="38:38" x14ac:dyDescent="0.2">
      <c r="AL12887" s="177"/>
    </row>
    <row r="12888" spans="38:38" x14ac:dyDescent="0.2">
      <c r="AL12888" s="177"/>
    </row>
    <row r="12889" spans="38:38" x14ac:dyDescent="0.2">
      <c r="AL12889" s="177"/>
    </row>
    <row r="12890" spans="38:38" x14ac:dyDescent="0.2">
      <c r="AL12890" s="177"/>
    </row>
    <row r="12891" spans="38:38" x14ac:dyDescent="0.2">
      <c r="AL12891" s="177"/>
    </row>
    <row r="12892" spans="38:38" x14ac:dyDescent="0.2">
      <c r="AL12892" s="177"/>
    </row>
    <row r="12893" spans="38:38" x14ac:dyDescent="0.2">
      <c r="AL12893" s="177"/>
    </row>
    <row r="12894" spans="38:38" x14ac:dyDescent="0.2">
      <c r="AL12894" s="177"/>
    </row>
    <row r="12895" spans="38:38" x14ac:dyDescent="0.2">
      <c r="AL12895" s="177"/>
    </row>
    <row r="12896" spans="38:38" x14ac:dyDescent="0.2">
      <c r="AL12896" s="177"/>
    </row>
    <row r="12897" spans="38:38" x14ac:dyDescent="0.2">
      <c r="AL12897" s="177"/>
    </row>
    <row r="12898" spans="38:38" x14ac:dyDescent="0.2">
      <c r="AL12898" s="177"/>
    </row>
    <row r="12899" spans="38:38" x14ac:dyDescent="0.2">
      <c r="AL12899" s="177"/>
    </row>
    <row r="12900" spans="38:38" x14ac:dyDescent="0.2">
      <c r="AL12900" s="177"/>
    </row>
    <row r="12901" spans="38:38" x14ac:dyDescent="0.2">
      <c r="AL12901" s="177"/>
    </row>
    <row r="12902" spans="38:38" x14ac:dyDescent="0.2">
      <c r="AL12902" s="177"/>
    </row>
    <row r="12903" spans="38:38" x14ac:dyDescent="0.2">
      <c r="AL12903" s="177"/>
    </row>
    <row r="12904" spans="38:38" x14ac:dyDescent="0.2">
      <c r="AL12904" s="177"/>
    </row>
    <row r="12905" spans="38:38" x14ac:dyDescent="0.2">
      <c r="AL12905" s="177"/>
    </row>
    <row r="12906" spans="38:38" x14ac:dyDescent="0.2">
      <c r="AL12906" s="177"/>
    </row>
    <row r="12907" spans="38:38" x14ac:dyDescent="0.2">
      <c r="AL12907" s="177"/>
    </row>
    <row r="12908" spans="38:38" x14ac:dyDescent="0.2">
      <c r="AL12908" s="177"/>
    </row>
    <row r="12909" spans="38:38" x14ac:dyDescent="0.2">
      <c r="AL12909" s="177"/>
    </row>
    <row r="12910" spans="38:38" x14ac:dyDescent="0.2">
      <c r="AL12910" s="177"/>
    </row>
    <row r="12911" spans="38:38" x14ac:dyDescent="0.2">
      <c r="AL12911" s="177"/>
    </row>
    <row r="12912" spans="38:38" x14ac:dyDescent="0.2">
      <c r="AL12912" s="177"/>
    </row>
    <row r="12913" spans="38:38" x14ac:dyDescent="0.2">
      <c r="AL12913" s="177"/>
    </row>
    <row r="12914" spans="38:38" x14ac:dyDescent="0.2">
      <c r="AL12914" s="177"/>
    </row>
    <row r="12915" spans="38:38" x14ac:dyDescent="0.2">
      <c r="AL12915" s="177"/>
    </row>
    <row r="12916" spans="38:38" x14ac:dyDescent="0.2">
      <c r="AL12916" s="177"/>
    </row>
    <row r="12917" spans="38:38" x14ac:dyDescent="0.2">
      <c r="AL12917" s="177"/>
    </row>
    <row r="12918" spans="38:38" x14ac:dyDescent="0.2">
      <c r="AL12918" s="177"/>
    </row>
    <row r="12919" spans="38:38" x14ac:dyDescent="0.2">
      <c r="AL12919" s="177"/>
    </row>
    <row r="12920" spans="38:38" x14ac:dyDescent="0.2">
      <c r="AL12920" s="177"/>
    </row>
    <row r="12921" spans="38:38" x14ac:dyDescent="0.2">
      <c r="AL12921" s="177"/>
    </row>
    <row r="12922" spans="38:38" x14ac:dyDescent="0.2">
      <c r="AL12922" s="177"/>
    </row>
    <row r="12923" spans="38:38" x14ac:dyDescent="0.2">
      <c r="AL12923" s="177"/>
    </row>
    <row r="12924" spans="38:38" x14ac:dyDescent="0.2">
      <c r="AL12924" s="177"/>
    </row>
    <row r="12925" spans="38:38" x14ac:dyDescent="0.2">
      <c r="AL12925" s="177"/>
    </row>
    <row r="12926" spans="38:38" x14ac:dyDescent="0.2">
      <c r="AL12926" s="177"/>
    </row>
    <row r="12927" spans="38:38" x14ac:dyDescent="0.2">
      <c r="AL12927" s="177"/>
    </row>
    <row r="12928" spans="38:38" x14ac:dyDescent="0.2">
      <c r="AL12928" s="177"/>
    </row>
    <row r="12929" spans="38:38" x14ac:dyDescent="0.2">
      <c r="AL12929" s="177"/>
    </row>
    <row r="12930" spans="38:38" x14ac:dyDescent="0.2">
      <c r="AL12930" s="177"/>
    </row>
    <row r="12931" spans="38:38" x14ac:dyDescent="0.2">
      <c r="AL12931" s="177"/>
    </row>
    <row r="12932" spans="38:38" x14ac:dyDescent="0.2">
      <c r="AL12932" s="177"/>
    </row>
    <row r="12933" spans="38:38" x14ac:dyDescent="0.2">
      <c r="AL12933" s="177"/>
    </row>
    <row r="12934" spans="38:38" x14ac:dyDescent="0.2">
      <c r="AL12934" s="177"/>
    </row>
    <row r="12935" spans="38:38" x14ac:dyDescent="0.2">
      <c r="AL12935" s="177"/>
    </row>
    <row r="12936" spans="38:38" x14ac:dyDescent="0.2">
      <c r="AL12936" s="177"/>
    </row>
    <row r="12937" spans="38:38" x14ac:dyDescent="0.2">
      <c r="AL12937" s="177"/>
    </row>
    <row r="12938" spans="38:38" x14ac:dyDescent="0.2">
      <c r="AL12938" s="177"/>
    </row>
    <row r="12939" spans="38:38" x14ac:dyDescent="0.2">
      <c r="AL12939" s="177"/>
    </row>
    <row r="12940" spans="38:38" x14ac:dyDescent="0.2">
      <c r="AL12940" s="177"/>
    </row>
    <row r="12941" spans="38:38" x14ac:dyDescent="0.2">
      <c r="AL12941" s="177"/>
    </row>
    <row r="12942" spans="38:38" x14ac:dyDescent="0.2">
      <c r="AL12942" s="177"/>
    </row>
    <row r="12943" spans="38:38" x14ac:dyDescent="0.2">
      <c r="AL12943" s="177"/>
    </row>
    <row r="12944" spans="38:38" x14ac:dyDescent="0.2">
      <c r="AL12944" s="177"/>
    </row>
    <row r="12945" spans="38:38" x14ac:dyDescent="0.2">
      <c r="AL12945" s="177"/>
    </row>
    <row r="12946" spans="38:38" x14ac:dyDescent="0.2">
      <c r="AL12946" s="177"/>
    </row>
    <row r="12947" spans="38:38" x14ac:dyDescent="0.2">
      <c r="AL12947" s="177"/>
    </row>
    <row r="12948" spans="38:38" x14ac:dyDescent="0.2">
      <c r="AL12948" s="177"/>
    </row>
    <row r="12949" spans="38:38" x14ac:dyDescent="0.2">
      <c r="AL12949" s="177"/>
    </row>
    <row r="12950" spans="38:38" x14ac:dyDescent="0.2">
      <c r="AL12950" s="177"/>
    </row>
    <row r="12951" spans="38:38" x14ac:dyDescent="0.2">
      <c r="AL12951" s="177"/>
    </row>
    <row r="12952" spans="38:38" x14ac:dyDescent="0.2">
      <c r="AL12952" s="177"/>
    </row>
    <row r="12953" spans="38:38" x14ac:dyDescent="0.2">
      <c r="AL12953" s="177"/>
    </row>
    <row r="12954" spans="38:38" x14ac:dyDescent="0.2">
      <c r="AL12954" s="177"/>
    </row>
    <row r="12955" spans="38:38" x14ac:dyDescent="0.2">
      <c r="AL12955" s="177"/>
    </row>
    <row r="12956" spans="38:38" x14ac:dyDescent="0.2">
      <c r="AL12956" s="177"/>
    </row>
    <row r="12957" spans="38:38" x14ac:dyDescent="0.2">
      <c r="AL12957" s="177"/>
    </row>
    <row r="12958" spans="38:38" x14ac:dyDescent="0.2">
      <c r="AL12958" s="177"/>
    </row>
    <row r="12959" spans="38:38" x14ac:dyDescent="0.2">
      <c r="AL12959" s="177"/>
    </row>
    <row r="12960" spans="38:38" x14ac:dyDescent="0.2">
      <c r="AL12960" s="177"/>
    </row>
    <row r="12961" spans="38:38" x14ac:dyDescent="0.2">
      <c r="AL12961" s="177"/>
    </row>
    <row r="12962" spans="38:38" x14ac:dyDescent="0.2">
      <c r="AL12962" s="177"/>
    </row>
    <row r="12963" spans="38:38" x14ac:dyDescent="0.2">
      <c r="AL12963" s="177"/>
    </row>
    <row r="12964" spans="38:38" x14ac:dyDescent="0.2">
      <c r="AL12964" s="177"/>
    </row>
    <row r="12965" spans="38:38" x14ac:dyDescent="0.2">
      <c r="AL12965" s="177"/>
    </row>
    <row r="12966" spans="38:38" x14ac:dyDescent="0.2">
      <c r="AL12966" s="177"/>
    </row>
    <row r="12967" spans="38:38" x14ac:dyDescent="0.2">
      <c r="AL12967" s="177"/>
    </row>
    <row r="12968" spans="38:38" x14ac:dyDescent="0.2">
      <c r="AL12968" s="177"/>
    </row>
    <row r="12969" spans="38:38" x14ac:dyDescent="0.2">
      <c r="AL12969" s="177"/>
    </row>
    <row r="12970" spans="38:38" x14ac:dyDescent="0.2">
      <c r="AL12970" s="177"/>
    </row>
    <row r="12971" spans="38:38" x14ac:dyDescent="0.2">
      <c r="AL12971" s="177"/>
    </row>
    <row r="12972" spans="38:38" x14ac:dyDescent="0.2">
      <c r="AL12972" s="177"/>
    </row>
    <row r="12973" spans="38:38" x14ac:dyDescent="0.2">
      <c r="AL12973" s="177"/>
    </row>
    <row r="12974" spans="38:38" x14ac:dyDescent="0.2">
      <c r="AL12974" s="177"/>
    </row>
    <row r="12975" spans="38:38" x14ac:dyDescent="0.2">
      <c r="AL12975" s="177"/>
    </row>
    <row r="12976" spans="38:38" x14ac:dyDescent="0.2">
      <c r="AL12976" s="177"/>
    </row>
    <row r="12977" spans="38:38" x14ac:dyDescent="0.2">
      <c r="AL12977" s="177"/>
    </row>
    <row r="12978" spans="38:38" x14ac:dyDescent="0.2">
      <c r="AL12978" s="177"/>
    </row>
    <row r="12979" spans="38:38" x14ac:dyDescent="0.2">
      <c r="AL12979" s="177"/>
    </row>
    <row r="12980" spans="38:38" x14ac:dyDescent="0.2">
      <c r="AL12980" s="177"/>
    </row>
    <row r="12981" spans="38:38" x14ac:dyDescent="0.2">
      <c r="AL12981" s="177"/>
    </row>
    <row r="12982" spans="38:38" x14ac:dyDescent="0.2">
      <c r="AL12982" s="177"/>
    </row>
    <row r="12983" spans="38:38" x14ac:dyDescent="0.2">
      <c r="AL12983" s="177"/>
    </row>
    <row r="12984" spans="38:38" x14ac:dyDescent="0.2">
      <c r="AL12984" s="177"/>
    </row>
    <row r="12985" spans="38:38" x14ac:dyDescent="0.2">
      <c r="AL12985" s="177"/>
    </row>
    <row r="12986" spans="38:38" x14ac:dyDescent="0.2">
      <c r="AL12986" s="177"/>
    </row>
    <row r="12987" spans="38:38" x14ac:dyDescent="0.2">
      <c r="AL12987" s="177"/>
    </row>
    <row r="12988" spans="38:38" x14ac:dyDescent="0.2">
      <c r="AL12988" s="177"/>
    </row>
    <row r="12989" spans="38:38" x14ac:dyDescent="0.2">
      <c r="AL12989" s="177"/>
    </row>
    <row r="12990" spans="38:38" x14ac:dyDescent="0.2">
      <c r="AL12990" s="177"/>
    </row>
    <row r="12991" spans="38:38" x14ac:dyDescent="0.2">
      <c r="AL12991" s="177"/>
    </row>
    <row r="12992" spans="38:38" x14ac:dyDescent="0.2">
      <c r="AL12992" s="177"/>
    </row>
    <row r="12993" spans="38:38" x14ac:dyDescent="0.2">
      <c r="AL12993" s="177"/>
    </row>
    <row r="12994" spans="38:38" x14ac:dyDescent="0.2">
      <c r="AL12994" s="177"/>
    </row>
    <row r="12995" spans="38:38" x14ac:dyDescent="0.2">
      <c r="AL12995" s="177"/>
    </row>
    <row r="12996" spans="38:38" x14ac:dyDescent="0.2">
      <c r="AL12996" s="177"/>
    </row>
    <row r="12997" spans="38:38" x14ac:dyDescent="0.2">
      <c r="AL12997" s="177"/>
    </row>
    <row r="12998" spans="38:38" x14ac:dyDescent="0.2">
      <c r="AL12998" s="177"/>
    </row>
    <row r="12999" spans="38:38" x14ac:dyDescent="0.2">
      <c r="AL12999" s="177"/>
    </row>
    <row r="13000" spans="38:38" x14ac:dyDescent="0.2">
      <c r="AL13000" s="177"/>
    </row>
    <row r="13001" spans="38:38" x14ac:dyDescent="0.2">
      <c r="AL13001" s="177"/>
    </row>
    <row r="13002" spans="38:38" x14ac:dyDescent="0.2">
      <c r="AL13002" s="177"/>
    </row>
    <row r="13003" spans="38:38" x14ac:dyDescent="0.2">
      <c r="AL13003" s="177"/>
    </row>
    <row r="13004" spans="38:38" x14ac:dyDescent="0.2">
      <c r="AL13004" s="177"/>
    </row>
    <row r="13005" spans="38:38" x14ac:dyDescent="0.2">
      <c r="AL13005" s="177"/>
    </row>
    <row r="13006" spans="38:38" x14ac:dyDescent="0.2">
      <c r="AL13006" s="177"/>
    </row>
    <row r="13007" spans="38:38" x14ac:dyDescent="0.2">
      <c r="AL13007" s="177"/>
    </row>
    <row r="13008" spans="38:38" x14ac:dyDescent="0.2">
      <c r="AL13008" s="177"/>
    </row>
    <row r="13009" spans="38:38" x14ac:dyDescent="0.2">
      <c r="AL13009" s="177"/>
    </row>
    <row r="13010" spans="38:38" x14ac:dyDescent="0.2">
      <c r="AL13010" s="177"/>
    </row>
    <row r="13011" spans="38:38" x14ac:dyDescent="0.2">
      <c r="AL13011" s="177"/>
    </row>
    <row r="13012" spans="38:38" x14ac:dyDescent="0.2">
      <c r="AL13012" s="177"/>
    </row>
    <row r="13013" spans="38:38" x14ac:dyDescent="0.2">
      <c r="AL13013" s="177"/>
    </row>
    <row r="13014" spans="38:38" x14ac:dyDescent="0.2">
      <c r="AL13014" s="177"/>
    </row>
    <row r="13015" spans="38:38" x14ac:dyDescent="0.2">
      <c r="AL13015" s="177"/>
    </row>
    <row r="13016" spans="38:38" x14ac:dyDescent="0.2">
      <c r="AL13016" s="177"/>
    </row>
    <row r="13017" spans="38:38" x14ac:dyDescent="0.2">
      <c r="AL13017" s="177"/>
    </row>
    <row r="13018" spans="38:38" x14ac:dyDescent="0.2">
      <c r="AL13018" s="177"/>
    </row>
    <row r="13019" spans="38:38" x14ac:dyDescent="0.2">
      <c r="AL13019" s="177"/>
    </row>
    <row r="13020" spans="38:38" x14ac:dyDescent="0.2">
      <c r="AL13020" s="177"/>
    </row>
    <row r="13021" spans="38:38" x14ac:dyDescent="0.2">
      <c r="AL13021" s="177"/>
    </row>
    <row r="13022" spans="38:38" x14ac:dyDescent="0.2">
      <c r="AL13022" s="177"/>
    </row>
    <row r="13023" spans="38:38" x14ac:dyDescent="0.2">
      <c r="AL13023" s="177"/>
    </row>
    <row r="13024" spans="38:38" x14ac:dyDescent="0.2">
      <c r="AL13024" s="177"/>
    </row>
    <row r="13025" spans="38:38" x14ac:dyDescent="0.2">
      <c r="AL13025" s="177"/>
    </row>
    <row r="13026" spans="38:38" x14ac:dyDescent="0.2">
      <c r="AL13026" s="177"/>
    </row>
    <row r="13027" spans="38:38" x14ac:dyDescent="0.2">
      <c r="AL13027" s="177"/>
    </row>
    <row r="13028" spans="38:38" x14ac:dyDescent="0.2">
      <c r="AL13028" s="177"/>
    </row>
    <row r="13029" spans="38:38" x14ac:dyDescent="0.2">
      <c r="AL13029" s="177"/>
    </row>
    <row r="13030" spans="38:38" x14ac:dyDescent="0.2">
      <c r="AL13030" s="177"/>
    </row>
    <row r="13031" spans="38:38" x14ac:dyDescent="0.2">
      <c r="AL13031" s="177"/>
    </row>
    <row r="13032" spans="38:38" x14ac:dyDescent="0.2">
      <c r="AL13032" s="177"/>
    </row>
    <row r="13033" spans="38:38" x14ac:dyDescent="0.2">
      <c r="AL13033" s="177"/>
    </row>
    <row r="13034" spans="38:38" x14ac:dyDescent="0.2">
      <c r="AL13034" s="177"/>
    </row>
    <row r="13035" spans="38:38" x14ac:dyDescent="0.2">
      <c r="AL13035" s="177"/>
    </row>
    <row r="13036" spans="38:38" x14ac:dyDescent="0.2">
      <c r="AL13036" s="177"/>
    </row>
    <row r="13037" spans="38:38" x14ac:dyDescent="0.2">
      <c r="AL13037" s="177"/>
    </row>
    <row r="13038" spans="38:38" x14ac:dyDescent="0.2">
      <c r="AL13038" s="177"/>
    </row>
    <row r="13039" spans="38:38" x14ac:dyDescent="0.2">
      <c r="AL13039" s="177"/>
    </row>
    <row r="13040" spans="38:38" x14ac:dyDescent="0.2">
      <c r="AL13040" s="177"/>
    </row>
    <row r="13041" spans="38:38" x14ac:dyDescent="0.2">
      <c r="AL13041" s="177"/>
    </row>
    <row r="13042" spans="38:38" x14ac:dyDescent="0.2">
      <c r="AL13042" s="177"/>
    </row>
    <row r="13043" spans="38:38" x14ac:dyDescent="0.2">
      <c r="AL13043" s="177"/>
    </row>
    <row r="13044" spans="38:38" x14ac:dyDescent="0.2">
      <c r="AL13044" s="177"/>
    </row>
    <row r="13045" spans="38:38" x14ac:dyDescent="0.2">
      <c r="AL13045" s="177"/>
    </row>
    <row r="13046" spans="38:38" x14ac:dyDescent="0.2">
      <c r="AL13046" s="177"/>
    </row>
    <row r="13047" spans="38:38" x14ac:dyDescent="0.2">
      <c r="AL13047" s="177"/>
    </row>
    <row r="13048" spans="38:38" x14ac:dyDescent="0.2">
      <c r="AL13048" s="177"/>
    </row>
    <row r="13049" spans="38:38" x14ac:dyDescent="0.2">
      <c r="AL13049" s="177"/>
    </row>
    <row r="13050" spans="38:38" x14ac:dyDescent="0.2">
      <c r="AL13050" s="177"/>
    </row>
    <row r="13051" spans="38:38" x14ac:dyDescent="0.2">
      <c r="AL13051" s="177"/>
    </row>
    <row r="13052" spans="38:38" x14ac:dyDescent="0.2">
      <c r="AL13052" s="177"/>
    </row>
    <row r="13053" spans="38:38" x14ac:dyDescent="0.2">
      <c r="AL13053" s="177"/>
    </row>
    <row r="13054" spans="38:38" x14ac:dyDescent="0.2">
      <c r="AL13054" s="177"/>
    </row>
    <row r="13055" spans="38:38" x14ac:dyDescent="0.2">
      <c r="AL13055" s="177"/>
    </row>
    <row r="13056" spans="38:38" x14ac:dyDescent="0.2">
      <c r="AL13056" s="177"/>
    </row>
    <row r="13057" spans="38:38" x14ac:dyDescent="0.2">
      <c r="AL13057" s="177"/>
    </row>
    <row r="13058" spans="38:38" x14ac:dyDescent="0.2">
      <c r="AL13058" s="177"/>
    </row>
    <row r="13059" spans="38:38" x14ac:dyDescent="0.2">
      <c r="AL13059" s="177"/>
    </row>
    <row r="13060" spans="38:38" x14ac:dyDescent="0.2">
      <c r="AL13060" s="177"/>
    </row>
    <row r="13061" spans="38:38" x14ac:dyDescent="0.2">
      <c r="AL13061" s="177"/>
    </row>
    <row r="13062" spans="38:38" x14ac:dyDescent="0.2">
      <c r="AL13062" s="177"/>
    </row>
    <row r="13063" spans="38:38" x14ac:dyDescent="0.2">
      <c r="AL13063" s="177"/>
    </row>
    <row r="13064" spans="38:38" x14ac:dyDescent="0.2">
      <c r="AL13064" s="177"/>
    </row>
    <row r="13065" spans="38:38" x14ac:dyDescent="0.2">
      <c r="AL13065" s="177"/>
    </row>
    <row r="13066" spans="38:38" x14ac:dyDescent="0.2">
      <c r="AL13066" s="177"/>
    </row>
    <row r="13067" spans="38:38" x14ac:dyDescent="0.2">
      <c r="AL13067" s="177"/>
    </row>
    <row r="13068" spans="38:38" x14ac:dyDescent="0.2">
      <c r="AL13068" s="177"/>
    </row>
    <row r="13069" spans="38:38" x14ac:dyDescent="0.2">
      <c r="AL13069" s="177"/>
    </row>
    <row r="13070" spans="38:38" x14ac:dyDescent="0.2">
      <c r="AL13070" s="177"/>
    </row>
    <row r="13071" spans="38:38" x14ac:dyDescent="0.2">
      <c r="AL13071" s="177"/>
    </row>
    <row r="13072" spans="38:38" x14ac:dyDescent="0.2">
      <c r="AL13072" s="177"/>
    </row>
    <row r="13073" spans="38:38" x14ac:dyDescent="0.2">
      <c r="AL13073" s="177"/>
    </row>
    <row r="13074" spans="38:38" x14ac:dyDescent="0.2">
      <c r="AL13074" s="177"/>
    </row>
    <row r="13075" spans="38:38" x14ac:dyDescent="0.2">
      <c r="AL13075" s="177"/>
    </row>
    <row r="13076" spans="38:38" x14ac:dyDescent="0.2">
      <c r="AL13076" s="177"/>
    </row>
    <row r="13077" spans="38:38" x14ac:dyDescent="0.2">
      <c r="AL13077" s="177"/>
    </row>
    <row r="13078" spans="38:38" x14ac:dyDescent="0.2">
      <c r="AL13078" s="177"/>
    </row>
    <row r="13079" spans="38:38" x14ac:dyDescent="0.2">
      <c r="AL13079" s="177"/>
    </row>
    <row r="13080" spans="38:38" x14ac:dyDescent="0.2">
      <c r="AL13080" s="177"/>
    </row>
    <row r="13081" spans="38:38" x14ac:dyDescent="0.2">
      <c r="AL13081" s="177"/>
    </row>
    <row r="13082" spans="38:38" x14ac:dyDescent="0.2">
      <c r="AL13082" s="177"/>
    </row>
    <row r="13083" spans="38:38" x14ac:dyDescent="0.2">
      <c r="AL13083" s="177"/>
    </row>
    <row r="13084" spans="38:38" x14ac:dyDescent="0.2">
      <c r="AL13084" s="177"/>
    </row>
    <row r="13085" spans="38:38" x14ac:dyDescent="0.2">
      <c r="AL13085" s="177"/>
    </row>
    <row r="13086" spans="38:38" x14ac:dyDescent="0.2">
      <c r="AL13086" s="177"/>
    </row>
    <row r="13087" spans="38:38" x14ac:dyDescent="0.2">
      <c r="AL13087" s="177"/>
    </row>
    <row r="13088" spans="38:38" x14ac:dyDescent="0.2">
      <c r="AL13088" s="177"/>
    </row>
    <row r="13089" spans="38:38" x14ac:dyDescent="0.2">
      <c r="AL13089" s="177"/>
    </row>
    <row r="13090" spans="38:38" x14ac:dyDescent="0.2">
      <c r="AL13090" s="177"/>
    </row>
    <row r="13091" spans="38:38" x14ac:dyDescent="0.2">
      <c r="AL13091" s="177"/>
    </row>
    <row r="13092" spans="38:38" x14ac:dyDescent="0.2">
      <c r="AL13092" s="177"/>
    </row>
    <row r="13093" spans="38:38" x14ac:dyDescent="0.2">
      <c r="AL13093" s="177"/>
    </row>
    <row r="13094" spans="38:38" x14ac:dyDescent="0.2">
      <c r="AL13094" s="177"/>
    </row>
    <row r="13095" spans="38:38" x14ac:dyDescent="0.2">
      <c r="AL13095" s="177"/>
    </row>
    <row r="13096" spans="38:38" x14ac:dyDescent="0.2">
      <c r="AL13096" s="177"/>
    </row>
    <row r="13097" spans="38:38" x14ac:dyDescent="0.2">
      <c r="AL13097" s="177"/>
    </row>
    <row r="13098" spans="38:38" x14ac:dyDescent="0.2">
      <c r="AL13098" s="177"/>
    </row>
    <row r="13099" spans="38:38" x14ac:dyDescent="0.2">
      <c r="AL13099" s="177"/>
    </row>
    <row r="13100" spans="38:38" x14ac:dyDescent="0.2">
      <c r="AL13100" s="177"/>
    </row>
    <row r="13101" spans="38:38" x14ac:dyDescent="0.2">
      <c r="AL13101" s="177"/>
    </row>
    <row r="13102" spans="38:38" x14ac:dyDescent="0.2">
      <c r="AL13102" s="177"/>
    </row>
    <row r="13103" spans="38:38" x14ac:dyDescent="0.2">
      <c r="AL13103" s="177"/>
    </row>
    <row r="13104" spans="38:38" x14ac:dyDescent="0.2">
      <c r="AL13104" s="177"/>
    </row>
    <row r="13105" spans="38:38" x14ac:dyDescent="0.2">
      <c r="AL13105" s="177"/>
    </row>
    <row r="13106" spans="38:38" x14ac:dyDescent="0.2">
      <c r="AL13106" s="177"/>
    </row>
    <row r="13107" spans="38:38" x14ac:dyDescent="0.2">
      <c r="AL13107" s="177"/>
    </row>
    <row r="13108" spans="38:38" x14ac:dyDescent="0.2">
      <c r="AL13108" s="177"/>
    </row>
    <row r="13109" spans="38:38" x14ac:dyDescent="0.2">
      <c r="AL13109" s="177"/>
    </row>
    <row r="13110" spans="38:38" x14ac:dyDescent="0.2">
      <c r="AL13110" s="177"/>
    </row>
    <row r="13111" spans="38:38" x14ac:dyDescent="0.2">
      <c r="AL13111" s="177"/>
    </row>
    <row r="13112" spans="38:38" x14ac:dyDescent="0.2">
      <c r="AL13112" s="177"/>
    </row>
    <row r="13113" spans="38:38" x14ac:dyDescent="0.2">
      <c r="AL13113" s="177"/>
    </row>
    <row r="13114" spans="38:38" x14ac:dyDescent="0.2">
      <c r="AL13114" s="177"/>
    </row>
    <row r="13115" spans="38:38" x14ac:dyDescent="0.2">
      <c r="AL13115" s="177"/>
    </row>
    <row r="13116" spans="38:38" x14ac:dyDescent="0.2">
      <c r="AL13116" s="177"/>
    </row>
    <row r="13117" spans="38:38" x14ac:dyDescent="0.2">
      <c r="AL13117" s="177"/>
    </row>
    <row r="13118" spans="38:38" x14ac:dyDescent="0.2">
      <c r="AL13118" s="177"/>
    </row>
    <row r="13119" spans="38:38" x14ac:dyDescent="0.2">
      <c r="AL13119" s="177"/>
    </row>
    <row r="13120" spans="38:38" x14ac:dyDescent="0.2">
      <c r="AL13120" s="177"/>
    </row>
    <row r="13121" spans="38:38" x14ac:dyDescent="0.2">
      <c r="AL13121" s="177"/>
    </row>
    <row r="13122" spans="38:38" x14ac:dyDescent="0.2">
      <c r="AL13122" s="177"/>
    </row>
    <row r="13123" spans="38:38" x14ac:dyDescent="0.2">
      <c r="AL13123" s="177"/>
    </row>
    <row r="13124" spans="38:38" x14ac:dyDescent="0.2">
      <c r="AL13124" s="177"/>
    </row>
    <row r="13125" spans="38:38" x14ac:dyDescent="0.2">
      <c r="AL13125" s="177"/>
    </row>
    <row r="13126" spans="38:38" x14ac:dyDescent="0.2">
      <c r="AL13126" s="177"/>
    </row>
    <row r="13127" spans="38:38" x14ac:dyDescent="0.2">
      <c r="AL13127" s="177"/>
    </row>
    <row r="13128" spans="38:38" x14ac:dyDescent="0.2">
      <c r="AL13128" s="177"/>
    </row>
    <row r="13129" spans="38:38" x14ac:dyDescent="0.2">
      <c r="AL13129" s="177"/>
    </row>
    <row r="13130" spans="38:38" x14ac:dyDescent="0.2">
      <c r="AL13130" s="177"/>
    </row>
    <row r="13131" spans="38:38" x14ac:dyDescent="0.2">
      <c r="AL13131" s="177"/>
    </row>
    <row r="13132" spans="38:38" x14ac:dyDescent="0.2">
      <c r="AL13132" s="177"/>
    </row>
    <row r="13133" spans="38:38" x14ac:dyDescent="0.2">
      <c r="AL13133" s="177"/>
    </row>
    <row r="13134" spans="38:38" x14ac:dyDescent="0.2">
      <c r="AL13134" s="177"/>
    </row>
    <row r="13135" spans="38:38" x14ac:dyDescent="0.2">
      <c r="AL13135" s="177"/>
    </row>
    <row r="13136" spans="38:38" x14ac:dyDescent="0.2">
      <c r="AL13136" s="177"/>
    </row>
    <row r="13137" spans="38:38" x14ac:dyDescent="0.2">
      <c r="AL13137" s="177"/>
    </row>
    <row r="13138" spans="38:38" x14ac:dyDescent="0.2">
      <c r="AL13138" s="177"/>
    </row>
    <row r="13139" spans="38:38" x14ac:dyDescent="0.2">
      <c r="AL13139" s="177"/>
    </row>
    <row r="13140" spans="38:38" x14ac:dyDescent="0.2">
      <c r="AL13140" s="177"/>
    </row>
    <row r="13141" spans="38:38" x14ac:dyDescent="0.2">
      <c r="AL13141" s="177"/>
    </row>
    <row r="13142" spans="38:38" x14ac:dyDescent="0.2">
      <c r="AL13142" s="177"/>
    </row>
    <row r="13143" spans="38:38" x14ac:dyDescent="0.2">
      <c r="AL13143" s="177"/>
    </row>
    <row r="13144" spans="38:38" x14ac:dyDescent="0.2">
      <c r="AL13144" s="177"/>
    </row>
    <row r="13145" spans="38:38" x14ac:dyDescent="0.2">
      <c r="AL13145" s="177"/>
    </row>
    <row r="13146" spans="38:38" x14ac:dyDescent="0.2">
      <c r="AL13146" s="177"/>
    </row>
    <row r="13147" spans="38:38" x14ac:dyDescent="0.2">
      <c r="AL13147" s="177"/>
    </row>
    <row r="13148" spans="38:38" x14ac:dyDescent="0.2">
      <c r="AL13148" s="177"/>
    </row>
    <row r="13149" spans="38:38" x14ac:dyDescent="0.2">
      <c r="AL13149" s="177"/>
    </row>
    <row r="13150" spans="38:38" x14ac:dyDescent="0.2">
      <c r="AL13150" s="177"/>
    </row>
    <row r="13151" spans="38:38" x14ac:dyDescent="0.2">
      <c r="AL13151" s="177"/>
    </row>
    <row r="13152" spans="38:38" x14ac:dyDescent="0.2">
      <c r="AL13152" s="177"/>
    </row>
    <row r="13153" spans="38:38" x14ac:dyDescent="0.2">
      <c r="AL13153" s="177"/>
    </row>
    <row r="13154" spans="38:38" x14ac:dyDescent="0.2">
      <c r="AL13154" s="177"/>
    </row>
    <row r="13155" spans="38:38" x14ac:dyDescent="0.2">
      <c r="AL13155" s="177"/>
    </row>
    <row r="13156" spans="38:38" x14ac:dyDescent="0.2">
      <c r="AL13156" s="177"/>
    </row>
    <row r="13157" spans="38:38" x14ac:dyDescent="0.2">
      <c r="AL13157" s="177"/>
    </row>
    <row r="13158" spans="38:38" x14ac:dyDescent="0.2">
      <c r="AL13158" s="177"/>
    </row>
    <row r="13159" spans="38:38" x14ac:dyDescent="0.2">
      <c r="AL13159" s="177"/>
    </row>
    <row r="13160" spans="38:38" x14ac:dyDescent="0.2">
      <c r="AL13160" s="177"/>
    </row>
    <row r="13161" spans="38:38" x14ac:dyDescent="0.2">
      <c r="AL13161" s="177"/>
    </row>
    <row r="13162" spans="38:38" x14ac:dyDescent="0.2">
      <c r="AL13162" s="177"/>
    </row>
    <row r="13163" spans="38:38" x14ac:dyDescent="0.2">
      <c r="AL13163" s="177"/>
    </row>
    <row r="13164" spans="38:38" x14ac:dyDescent="0.2">
      <c r="AL13164" s="177"/>
    </row>
    <row r="13165" spans="38:38" x14ac:dyDescent="0.2">
      <c r="AL13165" s="177"/>
    </row>
    <row r="13166" spans="38:38" x14ac:dyDescent="0.2">
      <c r="AL13166" s="177"/>
    </row>
    <row r="13167" spans="38:38" x14ac:dyDescent="0.2">
      <c r="AL13167" s="177"/>
    </row>
    <row r="13168" spans="38:38" x14ac:dyDescent="0.2">
      <c r="AL13168" s="177"/>
    </row>
    <row r="13169" spans="38:38" x14ac:dyDescent="0.2">
      <c r="AL13169" s="177"/>
    </row>
    <row r="13170" spans="38:38" x14ac:dyDescent="0.2">
      <c r="AL13170" s="177"/>
    </row>
    <row r="13171" spans="38:38" x14ac:dyDescent="0.2">
      <c r="AL13171" s="177"/>
    </row>
    <row r="13172" spans="38:38" x14ac:dyDescent="0.2">
      <c r="AL13172" s="177"/>
    </row>
    <row r="13173" spans="38:38" x14ac:dyDescent="0.2">
      <c r="AL13173" s="177"/>
    </row>
    <row r="13174" spans="38:38" x14ac:dyDescent="0.2">
      <c r="AL13174" s="177"/>
    </row>
    <row r="13175" spans="38:38" x14ac:dyDescent="0.2">
      <c r="AL13175" s="177"/>
    </row>
    <row r="13176" spans="38:38" x14ac:dyDescent="0.2">
      <c r="AL13176" s="177"/>
    </row>
    <row r="13177" spans="38:38" x14ac:dyDescent="0.2">
      <c r="AL13177" s="177"/>
    </row>
    <row r="13178" spans="38:38" x14ac:dyDescent="0.2">
      <c r="AL13178" s="177"/>
    </row>
    <row r="13179" spans="38:38" x14ac:dyDescent="0.2">
      <c r="AL13179" s="177"/>
    </row>
    <row r="13180" spans="38:38" x14ac:dyDescent="0.2">
      <c r="AL13180" s="177"/>
    </row>
    <row r="13181" spans="38:38" x14ac:dyDescent="0.2">
      <c r="AL13181" s="177"/>
    </row>
    <row r="13182" spans="38:38" x14ac:dyDescent="0.2">
      <c r="AL13182" s="177"/>
    </row>
    <row r="13183" spans="38:38" x14ac:dyDescent="0.2">
      <c r="AL13183" s="177"/>
    </row>
    <row r="13184" spans="38:38" x14ac:dyDescent="0.2">
      <c r="AL13184" s="177"/>
    </row>
    <row r="13185" spans="38:38" x14ac:dyDescent="0.2">
      <c r="AL13185" s="177"/>
    </row>
    <row r="13186" spans="38:38" x14ac:dyDescent="0.2">
      <c r="AL13186" s="177"/>
    </row>
    <row r="13187" spans="38:38" x14ac:dyDescent="0.2">
      <c r="AL13187" s="177"/>
    </row>
    <row r="13188" spans="38:38" x14ac:dyDescent="0.2">
      <c r="AL13188" s="177"/>
    </row>
    <row r="13189" spans="38:38" x14ac:dyDescent="0.2">
      <c r="AL13189" s="177"/>
    </row>
    <row r="13190" spans="38:38" x14ac:dyDescent="0.2">
      <c r="AL13190" s="177"/>
    </row>
    <row r="13191" spans="38:38" x14ac:dyDescent="0.2">
      <c r="AL13191" s="177"/>
    </row>
    <row r="13192" spans="38:38" x14ac:dyDescent="0.2">
      <c r="AL13192" s="177"/>
    </row>
    <row r="13193" spans="38:38" x14ac:dyDescent="0.2">
      <c r="AL13193" s="177"/>
    </row>
    <row r="13194" spans="38:38" x14ac:dyDescent="0.2">
      <c r="AL13194" s="177"/>
    </row>
    <row r="13195" spans="38:38" x14ac:dyDescent="0.2">
      <c r="AL13195" s="177"/>
    </row>
    <row r="13196" spans="38:38" x14ac:dyDescent="0.2">
      <c r="AL13196" s="177"/>
    </row>
    <row r="13197" spans="38:38" x14ac:dyDescent="0.2">
      <c r="AL13197" s="177"/>
    </row>
    <row r="13198" spans="38:38" x14ac:dyDescent="0.2">
      <c r="AL13198" s="177"/>
    </row>
    <row r="13199" spans="38:38" x14ac:dyDescent="0.2">
      <c r="AL13199" s="177"/>
    </row>
    <row r="13200" spans="38:38" x14ac:dyDescent="0.2">
      <c r="AL13200" s="177"/>
    </row>
    <row r="13201" spans="38:38" x14ac:dyDescent="0.2">
      <c r="AL13201" s="177"/>
    </row>
    <row r="13202" spans="38:38" x14ac:dyDescent="0.2">
      <c r="AL13202" s="177"/>
    </row>
    <row r="13203" spans="38:38" x14ac:dyDescent="0.2">
      <c r="AL13203" s="177"/>
    </row>
    <row r="13204" spans="38:38" x14ac:dyDescent="0.2">
      <c r="AL13204" s="177"/>
    </row>
    <row r="13205" spans="38:38" x14ac:dyDescent="0.2">
      <c r="AL13205" s="177"/>
    </row>
    <row r="13206" spans="38:38" x14ac:dyDescent="0.2">
      <c r="AL13206" s="177"/>
    </row>
    <row r="13207" spans="38:38" x14ac:dyDescent="0.2">
      <c r="AL13207" s="177"/>
    </row>
    <row r="13208" spans="38:38" x14ac:dyDescent="0.2">
      <c r="AL13208" s="177"/>
    </row>
    <row r="13209" spans="38:38" x14ac:dyDescent="0.2">
      <c r="AL13209" s="177"/>
    </row>
    <row r="13210" spans="38:38" x14ac:dyDescent="0.2">
      <c r="AL13210" s="177"/>
    </row>
    <row r="13211" spans="38:38" x14ac:dyDescent="0.2">
      <c r="AL13211" s="177"/>
    </row>
    <row r="13212" spans="38:38" x14ac:dyDescent="0.2">
      <c r="AL13212" s="177"/>
    </row>
    <row r="13213" spans="38:38" x14ac:dyDescent="0.2">
      <c r="AL13213" s="177"/>
    </row>
    <row r="13214" spans="38:38" x14ac:dyDescent="0.2">
      <c r="AL13214" s="177"/>
    </row>
    <row r="13215" spans="38:38" x14ac:dyDescent="0.2">
      <c r="AL13215" s="177"/>
    </row>
    <row r="13216" spans="38:38" x14ac:dyDescent="0.2">
      <c r="AL13216" s="177"/>
    </row>
    <row r="13217" spans="38:38" x14ac:dyDescent="0.2">
      <c r="AL13217" s="177"/>
    </row>
    <row r="13218" spans="38:38" x14ac:dyDescent="0.2">
      <c r="AL13218" s="177"/>
    </row>
    <row r="13219" spans="38:38" x14ac:dyDescent="0.2">
      <c r="AL13219" s="177"/>
    </row>
    <row r="13220" spans="38:38" x14ac:dyDescent="0.2">
      <c r="AL13220" s="177"/>
    </row>
    <row r="13221" spans="38:38" x14ac:dyDescent="0.2">
      <c r="AL13221" s="177"/>
    </row>
    <row r="13222" spans="38:38" x14ac:dyDescent="0.2">
      <c r="AL13222" s="177"/>
    </row>
    <row r="13223" spans="38:38" x14ac:dyDescent="0.2">
      <c r="AL13223" s="177"/>
    </row>
    <row r="13224" spans="38:38" x14ac:dyDescent="0.2">
      <c r="AL13224" s="177"/>
    </row>
    <row r="13225" spans="38:38" x14ac:dyDescent="0.2">
      <c r="AL13225" s="177"/>
    </row>
    <row r="13226" spans="38:38" x14ac:dyDescent="0.2">
      <c r="AL13226" s="177"/>
    </row>
    <row r="13227" spans="38:38" x14ac:dyDescent="0.2">
      <c r="AL13227" s="177"/>
    </row>
    <row r="13228" spans="38:38" x14ac:dyDescent="0.2">
      <c r="AL13228" s="177"/>
    </row>
    <row r="13229" spans="38:38" x14ac:dyDescent="0.2">
      <c r="AL13229" s="177"/>
    </row>
    <row r="13230" spans="38:38" x14ac:dyDescent="0.2">
      <c r="AL13230" s="177"/>
    </row>
    <row r="13231" spans="38:38" x14ac:dyDescent="0.2">
      <c r="AL13231" s="177"/>
    </row>
    <row r="13232" spans="38:38" x14ac:dyDescent="0.2">
      <c r="AL13232" s="177"/>
    </row>
    <row r="13233" spans="38:38" x14ac:dyDescent="0.2">
      <c r="AL13233" s="177"/>
    </row>
    <row r="13234" spans="38:38" x14ac:dyDescent="0.2">
      <c r="AL13234" s="177"/>
    </row>
    <row r="13235" spans="38:38" x14ac:dyDescent="0.2">
      <c r="AL13235" s="177"/>
    </row>
    <row r="13236" spans="38:38" x14ac:dyDescent="0.2">
      <c r="AL13236" s="177"/>
    </row>
    <row r="13237" spans="38:38" x14ac:dyDescent="0.2">
      <c r="AL13237" s="177"/>
    </row>
    <row r="13238" spans="38:38" x14ac:dyDescent="0.2">
      <c r="AL13238" s="177"/>
    </row>
    <row r="13239" spans="38:38" x14ac:dyDescent="0.2">
      <c r="AL13239" s="177"/>
    </row>
    <row r="13240" spans="38:38" x14ac:dyDescent="0.2">
      <c r="AL13240" s="177"/>
    </row>
    <row r="13241" spans="38:38" x14ac:dyDescent="0.2">
      <c r="AL13241" s="177"/>
    </row>
    <row r="13242" spans="38:38" x14ac:dyDescent="0.2">
      <c r="AL13242" s="177"/>
    </row>
    <row r="13243" spans="38:38" x14ac:dyDescent="0.2">
      <c r="AL13243" s="177"/>
    </row>
    <row r="13244" spans="38:38" x14ac:dyDescent="0.2">
      <c r="AL13244" s="177"/>
    </row>
    <row r="13245" spans="38:38" x14ac:dyDescent="0.2">
      <c r="AL13245" s="177"/>
    </row>
    <row r="13246" spans="38:38" x14ac:dyDescent="0.2">
      <c r="AL13246" s="177"/>
    </row>
    <row r="13247" spans="38:38" x14ac:dyDescent="0.2">
      <c r="AL13247" s="177"/>
    </row>
    <row r="13248" spans="38:38" x14ac:dyDescent="0.2">
      <c r="AL13248" s="177"/>
    </row>
    <row r="13249" spans="38:38" x14ac:dyDescent="0.2">
      <c r="AL13249" s="177"/>
    </row>
    <row r="13250" spans="38:38" x14ac:dyDescent="0.2">
      <c r="AL13250" s="177"/>
    </row>
    <row r="13251" spans="38:38" x14ac:dyDescent="0.2">
      <c r="AL13251" s="177"/>
    </row>
    <row r="13252" spans="38:38" x14ac:dyDescent="0.2">
      <c r="AL13252" s="177"/>
    </row>
    <row r="13253" spans="38:38" x14ac:dyDescent="0.2">
      <c r="AL13253" s="177"/>
    </row>
    <row r="13254" spans="38:38" x14ac:dyDescent="0.2">
      <c r="AL13254" s="177"/>
    </row>
    <row r="13255" spans="38:38" x14ac:dyDescent="0.2">
      <c r="AL13255" s="177"/>
    </row>
    <row r="13256" spans="38:38" x14ac:dyDescent="0.2">
      <c r="AL13256" s="177"/>
    </row>
    <row r="13257" spans="38:38" x14ac:dyDescent="0.2">
      <c r="AL13257" s="177"/>
    </row>
    <row r="13258" spans="38:38" x14ac:dyDescent="0.2">
      <c r="AL13258" s="177"/>
    </row>
    <row r="13259" spans="38:38" x14ac:dyDescent="0.2">
      <c r="AL13259" s="177"/>
    </row>
    <row r="13260" spans="38:38" x14ac:dyDescent="0.2">
      <c r="AL13260" s="177"/>
    </row>
    <row r="13261" spans="38:38" x14ac:dyDescent="0.2">
      <c r="AL13261" s="177"/>
    </row>
    <row r="13262" spans="38:38" x14ac:dyDescent="0.2">
      <c r="AL13262" s="177"/>
    </row>
    <row r="13263" spans="38:38" x14ac:dyDescent="0.2">
      <c r="AL13263" s="177"/>
    </row>
    <row r="13264" spans="38:38" x14ac:dyDescent="0.2">
      <c r="AL13264" s="177"/>
    </row>
    <row r="13265" spans="38:38" x14ac:dyDescent="0.2">
      <c r="AL13265" s="177"/>
    </row>
    <row r="13266" spans="38:38" x14ac:dyDescent="0.2">
      <c r="AL13266" s="177"/>
    </row>
    <row r="13267" spans="38:38" x14ac:dyDescent="0.2">
      <c r="AL13267" s="177"/>
    </row>
    <row r="13268" spans="38:38" x14ac:dyDescent="0.2">
      <c r="AL13268" s="177"/>
    </row>
    <row r="13269" spans="38:38" x14ac:dyDescent="0.2">
      <c r="AL13269" s="177"/>
    </row>
    <row r="13270" spans="38:38" x14ac:dyDescent="0.2">
      <c r="AL13270" s="177"/>
    </row>
    <row r="13271" spans="38:38" x14ac:dyDescent="0.2">
      <c r="AL13271" s="177"/>
    </row>
    <row r="13272" spans="38:38" x14ac:dyDescent="0.2">
      <c r="AL13272" s="177"/>
    </row>
    <row r="13273" spans="38:38" x14ac:dyDescent="0.2">
      <c r="AL13273" s="177"/>
    </row>
    <row r="13274" spans="38:38" x14ac:dyDescent="0.2">
      <c r="AL13274" s="177"/>
    </row>
    <row r="13275" spans="38:38" x14ac:dyDescent="0.2">
      <c r="AL13275" s="177"/>
    </row>
    <row r="13276" spans="38:38" x14ac:dyDescent="0.2">
      <c r="AL13276" s="177"/>
    </row>
    <row r="13277" spans="38:38" x14ac:dyDescent="0.2">
      <c r="AL13277" s="177"/>
    </row>
    <row r="13278" spans="38:38" x14ac:dyDescent="0.2">
      <c r="AL13278" s="177"/>
    </row>
    <row r="13279" spans="38:38" x14ac:dyDescent="0.2">
      <c r="AL13279" s="177"/>
    </row>
    <row r="13280" spans="38:38" x14ac:dyDescent="0.2">
      <c r="AL13280" s="177"/>
    </row>
    <row r="13281" spans="38:38" x14ac:dyDescent="0.2">
      <c r="AL13281" s="177"/>
    </row>
    <row r="13282" spans="38:38" x14ac:dyDescent="0.2">
      <c r="AL13282" s="177"/>
    </row>
    <row r="13283" spans="38:38" x14ac:dyDescent="0.2">
      <c r="AL13283" s="177"/>
    </row>
    <row r="13284" spans="38:38" x14ac:dyDescent="0.2">
      <c r="AL13284" s="177"/>
    </row>
    <row r="13285" spans="38:38" x14ac:dyDescent="0.2">
      <c r="AL13285" s="177"/>
    </row>
    <row r="13286" spans="38:38" x14ac:dyDescent="0.2">
      <c r="AL13286" s="177"/>
    </row>
    <row r="13287" spans="38:38" x14ac:dyDescent="0.2">
      <c r="AL13287" s="177"/>
    </row>
    <row r="13288" spans="38:38" x14ac:dyDescent="0.2">
      <c r="AL13288" s="177"/>
    </row>
    <row r="13289" spans="38:38" x14ac:dyDescent="0.2">
      <c r="AL13289" s="177"/>
    </row>
    <row r="13290" spans="38:38" x14ac:dyDescent="0.2">
      <c r="AL13290" s="177"/>
    </row>
    <row r="13291" spans="38:38" x14ac:dyDescent="0.2">
      <c r="AL13291" s="177"/>
    </row>
    <row r="13292" spans="38:38" x14ac:dyDescent="0.2">
      <c r="AL13292" s="177"/>
    </row>
    <row r="13293" spans="38:38" x14ac:dyDescent="0.2">
      <c r="AL13293" s="177"/>
    </row>
    <row r="13294" spans="38:38" x14ac:dyDescent="0.2">
      <c r="AL13294" s="177"/>
    </row>
    <row r="13295" spans="38:38" x14ac:dyDescent="0.2">
      <c r="AL13295" s="177"/>
    </row>
    <row r="13296" spans="38:38" x14ac:dyDescent="0.2">
      <c r="AL13296" s="177"/>
    </row>
    <row r="13297" spans="38:38" x14ac:dyDescent="0.2">
      <c r="AL13297" s="177"/>
    </row>
    <row r="13298" spans="38:38" x14ac:dyDescent="0.2">
      <c r="AL13298" s="177"/>
    </row>
    <row r="13299" spans="38:38" x14ac:dyDescent="0.2">
      <c r="AL13299" s="177"/>
    </row>
    <row r="13300" spans="38:38" x14ac:dyDescent="0.2">
      <c r="AL13300" s="177"/>
    </row>
    <row r="13301" spans="38:38" x14ac:dyDescent="0.2">
      <c r="AL13301" s="177"/>
    </row>
    <row r="13302" spans="38:38" x14ac:dyDescent="0.2">
      <c r="AL13302" s="177"/>
    </row>
    <row r="13303" spans="38:38" x14ac:dyDescent="0.2">
      <c r="AL13303" s="177"/>
    </row>
    <row r="13304" spans="38:38" x14ac:dyDescent="0.2">
      <c r="AL13304" s="177"/>
    </row>
    <row r="13305" spans="38:38" x14ac:dyDescent="0.2">
      <c r="AL13305" s="177"/>
    </row>
    <row r="13306" spans="38:38" x14ac:dyDescent="0.2">
      <c r="AL13306" s="177"/>
    </row>
    <row r="13307" spans="38:38" x14ac:dyDescent="0.2">
      <c r="AL13307" s="177"/>
    </row>
    <row r="13308" spans="38:38" x14ac:dyDescent="0.2">
      <c r="AL13308" s="177"/>
    </row>
    <row r="13309" spans="38:38" x14ac:dyDescent="0.2">
      <c r="AL13309" s="177"/>
    </row>
    <row r="13310" spans="38:38" x14ac:dyDescent="0.2">
      <c r="AL13310" s="177"/>
    </row>
    <row r="13311" spans="38:38" x14ac:dyDescent="0.2">
      <c r="AL13311" s="177"/>
    </row>
    <row r="13312" spans="38:38" x14ac:dyDescent="0.2">
      <c r="AL13312" s="177"/>
    </row>
    <row r="13313" spans="38:38" x14ac:dyDescent="0.2">
      <c r="AL13313" s="177"/>
    </row>
    <row r="13314" spans="38:38" x14ac:dyDescent="0.2">
      <c r="AL13314" s="177"/>
    </row>
    <row r="13315" spans="38:38" x14ac:dyDescent="0.2">
      <c r="AL13315" s="177"/>
    </row>
    <row r="13316" spans="38:38" x14ac:dyDescent="0.2">
      <c r="AL13316" s="177"/>
    </row>
    <row r="13317" spans="38:38" x14ac:dyDescent="0.2">
      <c r="AL13317" s="177"/>
    </row>
    <row r="13318" spans="38:38" x14ac:dyDescent="0.2">
      <c r="AL13318" s="177"/>
    </row>
    <row r="13319" spans="38:38" x14ac:dyDescent="0.2">
      <c r="AL13319" s="177"/>
    </row>
    <row r="13320" spans="38:38" x14ac:dyDescent="0.2">
      <c r="AL13320" s="177"/>
    </row>
    <row r="13321" spans="38:38" x14ac:dyDescent="0.2">
      <c r="AL13321" s="177"/>
    </row>
    <row r="13322" spans="38:38" x14ac:dyDescent="0.2">
      <c r="AL13322" s="177"/>
    </row>
    <row r="13323" spans="38:38" x14ac:dyDescent="0.2">
      <c r="AL13323" s="177"/>
    </row>
    <row r="13324" spans="38:38" x14ac:dyDescent="0.2">
      <c r="AL13324" s="177"/>
    </row>
    <row r="13325" spans="38:38" x14ac:dyDescent="0.2">
      <c r="AL13325" s="177"/>
    </row>
    <row r="13326" spans="38:38" x14ac:dyDescent="0.2">
      <c r="AL13326" s="177"/>
    </row>
    <row r="13327" spans="38:38" x14ac:dyDescent="0.2">
      <c r="AL13327" s="177"/>
    </row>
    <row r="13328" spans="38:38" x14ac:dyDescent="0.2">
      <c r="AL13328" s="177"/>
    </row>
    <row r="13329" spans="38:38" x14ac:dyDescent="0.2">
      <c r="AL13329" s="177"/>
    </row>
    <row r="13330" spans="38:38" x14ac:dyDescent="0.2">
      <c r="AL13330" s="177"/>
    </row>
    <row r="13331" spans="38:38" x14ac:dyDescent="0.2">
      <c r="AL13331" s="177"/>
    </row>
    <row r="13332" spans="38:38" x14ac:dyDescent="0.2">
      <c r="AL13332" s="177"/>
    </row>
    <row r="13333" spans="38:38" x14ac:dyDescent="0.2">
      <c r="AL13333" s="177"/>
    </row>
    <row r="13334" spans="38:38" x14ac:dyDescent="0.2">
      <c r="AL13334" s="177"/>
    </row>
    <row r="13335" spans="38:38" x14ac:dyDescent="0.2">
      <c r="AL13335" s="177"/>
    </row>
    <row r="13336" spans="38:38" x14ac:dyDescent="0.2">
      <c r="AL13336" s="177"/>
    </row>
    <row r="13337" spans="38:38" x14ac:dyDescent="0.2">
      <c r="AL13337" s="177"/>
    </row>
    <row r="13338" spans="38:38" x14ac:dyDescent="0.2">
      <c r="AL13338" s="177"/>
    </row>
    <row r="13339" spans="38:38" x14ac:dyDescent="0.2">
      <c r="AL13339" s="177"/>
    </row>
    <row r="13340" spans="38:38" x14ac:dyDescent="0.2">
      <c r="AL13340" s="177"/>
    </row>
    <row r="13341" spans="38:38" x14ac:dyDescent="0.2">
      <c r="AL13341" s="177"/>
    </row>
    <row r="13342" spans="38:38" x14ac:dyDescent="0.2">
      <c r="AL13342" s="177"/>
    </row>
    <row r="13343" spans="38:38" x14ac:dyDescent="0.2">
      <c r="AL13343" s="177"/>
    </row>
    <row r="13344" spans="38:38" x14ac:dyDescent="0.2">
      <c r="AL13344" s="177"/>
    </row>
    <row r="13345" spans="38:38" x14ac:dyDescent="0.2">
      <c r="AL13345" s="177"/>
    </row>
    <row r="13346" spans="38:38" x14ac:dyDescent="0.2">
      <c r="AL13346" s="177"/>
    </row>
    <row r="13347" spans="38:38" x14ac:dyDescent="0.2">
      <c r="AL13347" s="177"/>
    </row>
    <row r="13348" spans="38:38" x14ac:dyDescent="0.2">
      <c r="AL13348" s="177"/>
    </row>
    <row r="13349" spans="38:38" x14ac:dyDescent="0.2">
      <c r="AL13349" s="177"/>
    </row>
    <row r="13350" spans="38:38" x14ac:dyDescent="0.2">
      <c r="AL13350" s="177"/>
    </row>
    <row r="13351" spans="38:38" x14ac:dyDescent="0.2">
      <c r="AL13351" s="177"/>
    </row>
    <row r="13352" spans="38:38" x14ac:dyDescent="0.2">
      <c r="AL13352" s="177"/>
    </row>
    <row r="13353" spans="38:38" x14ac:dyDescent="0.2">
      <c r="AL13353" s="177"/>
    </row>
    <row r="13354" spans="38:38" x14ac:dyDescent="0.2">
      <c r="AL13354" s="177"/>
    </row>
    <row r="13355" spans="38:38" x14ac:dyDescent="0.2">
      <c r="AL13355" s="177"/>
    </row>
    <row r="13356" spans="38:38" x14ac:dyDescent="0.2">
      <c r="AL13356" s="177"/>
    </row>
    <row r="13357" spans="38:38" x14ac:dyDescent="0.2">
      <c r="AL13357" s="177"/>
    </row>
    <row r="13358" spans="38:38" x14ac:dyDescent="0.2">
      <c r="AL13358" s="177"/>
    </row>
    <row r="13359" spans="38:38" x14ac:dyDescent="0.2">
      <c r="AL13359" s="177"/>
    </row>
    <row r="13360" spans="38:38" x14ac:dyDescent="0.2">
      <c r="AL13360" s="177"/>
    </row>
    <row r="13361" spans="38:38" x14ac:dyDescent="0.2">
      <c r="AL13361" s="177"/>
    </row>
    <row r="13362" spans="38:38" x14ac:dyDescent="0.2">
      <c r="AL13362" s="177"/>
    </row>
    <row r="13363" spans="38:38" x14ac:dyDescent="0.2">
      <c r="AL13363" s="177"/>
    </row>
    <row r="13364" spans="38:38" x14ac:dyDescent="0.2">
      <c r="AL13364" s="177"/>
    </row>
    <row r="13365" spans="38:38" x14ac:dyDescent="0.2">
      <c r="AL13365" s="177"/>
    </row>
    <row r="13366" spans="38:38" x14ac:dyDescent="0.2">
      <c r="AL13366" s="177"/>
    </row>
    <row r="13367" spans="38:38" x14ac:dyDescent="0.2">
      <c r="AL13367" s="177"/>
    </row>
    <row r="13368" spans="38:38" x14ac:dyDescent="0.2">
      <c r="AL13368" s="177"/>
    </row>
    <row r="13369" spans="38:38" x14ac:dyDescent="0.2">
      <c r="AL13369" s="177"/>
    </row>
    <row r="13370" spans="38:38" x14ac:dyDescent="0.2">
      <c r="AL13370" s="177"/>
    </row>
    <row r="13371" spans="38:38" x14ac:dyDescent="0.2">
      <c r="AL13371" s="177"/>
    </row>
    <row r="13372" spans="38:38" x14ac:dyDescent="0.2">
      <c r="AL13372" s="177"/>
    </row>
    <row r="13373" spans="38:38" x14ac:dyDescent="0.2">
      <c r="AL13373" s="177"/>
    </row>
    <row r="13374" spans="38:38" x14ac:dyDescent="0.2">
      <c r="AL13374" s="177"/>
    </row>
    <row r="13375" spans="38:38" x14ac:dyDescent="0.2">
      <c r="AL13375" s="177"/>
    </row>
    <row r="13376" spans="38:38" x14ac:dyDescent="0.2">
      <c r="AL13376" s="177"/>
    </row>
    <row r="13377" spans="38:38" x14ac:dyDescent="0.2">
      <c r="AL13377" s="177"/>
    </row>
    <row r="13378" spans="38:38" x14ac:dyDescent="0.2">
      <c r="AL13378" s="177"/>
    </row>
    <row r="13379" spans="38:38" x14ac:dyDescent="0.2">
      <c r="AL13379" s="177"/>
    </row>
    <row r="13380" spans="38:38" x14ac:dyDescent="0.2">
      <c r="AL13380" s="177"/>
    </row>
    <row r="13381" spans="38:38" x14ac:dyDescent="0.2">
      <c r="AL13381" s="177"/>
    </row>
    <row r="13382" spans="38:38" x14ac:dyDescent="0.2">
      <c r="AL13382" s="177"/>
    </row>
    <row r="13383" spans="38:38" x14ac:dyDescent="0.2">
      <c r="AL13383" s="177"/>
    </row>
    <row r="13384" spans="38:38" x14ac:dyDescent="0.2">
      <c r="AL13384" s="177"/>
    </row>
    <row r="13385" spans="38:38" x14ac:dyDescent="0.2">
      <c r="AL13385" s="177"/>
    </row>
    <row r="13386" spans="38:38" x14ac:dyDescent="0.2">
      <c r="AL13386" s="177"/>
    </row>
    <row r="13387" spans="38:38" x14ac:dyDescent="0.2">
      <c r="AL13387" s="177"/>
    </row>
    <row r="13388" spans="38:38" x14ac:dyDescent="0.2">
      <c r="AL13388" s="177"/>
    </row>
    <row r="13389" spans="38:38" x14ac:dyDescent="0.2">
      <c r="AL13389" s="177"/>
    </row>
    <row r="13390" spans="38:38" x14ac:dyDescent="0.2">
      <c r="AL13390" s="177"/>
    </row>
    <row r="13391" spans="38:38" x14ac:dyDescent="0.2">
      <c r="AL13391" s="177"/>
    </row>
    <row r="13392" spans="38:38" x14ac:dyDescent="0.2">
      <c r="AL13392" s="177"/>
    </row>
    <row r="13393" spans="38:38" x14ac:dyDescent="0.2">
      <c r="AL13393" s="177"/>
    </row>
    <row r="13394" spans="38:38" x14ac:dyDescent="0.2">
      <c r="AL13394" s="177"/>
    </row>
    <row r="13395" spans="38:38" x14ac:dyDescent="0.2">
      <c r="AL13395" s="177"/>
    </row>
    <row r="13396" spans="38:38" x14ac:dyDescent="0.2">
      <c r="AL13396" s="177"/>
    </row>
    <row r="13397" spans="38:38" x14ac:dyDescent="0.2">
      <c r="AL13397" s="177"/>
    </row>
    <row r="13398" spans="38:38" x14ac:dyDescent="0.2">
      <c r="AL13398" s="177"/>
    </row>
    <row r="13399" spans="38:38" x14ac:dyDescent="0.2">
      <c r="AL13399" s="177"/>
    </row>
    <row r="13400" spans="38:38" x14ac:dyDescent="0.2">
      <c r="AL13400" s="177"/>
    </row>
    <row r="13401" spans="38:38" x14ac:dyDescent="0.2">
      <c r="AL13401" s="177"/>
    </row>
    <row r="13402" spans="38:38" x14ac:dyDescent="0.2">
      <c r="AL13402" s="177"/>
    </row>
    <row r="13403" spans="38:38" x14ac:dyDescent="0.2">
      <c r="AL13403" s="177"/>
    </row>
    <row r="13404" spans="38:38" x14ac:dyDescent="0.2">
      <c r="AL13404" s="177"/>
    </row>
    <row r="13405" spans="38:38" x14ac:dyDescent="0.2">
      <c r="AL13405" s="177"/>
    </row>
    <row r="13406" spans="38:38" x14ac:dyDescent="0.2">
      <c r="AL13406" s="177"/>
    </row>
    <row r="13407" spans="38:38" x14ac:dyDescent="0.2">
      <c r="AL13407" s="177"/>
    </row>
    <row r="13408" spans="38:38" x14ac:dyDescent="0.2">
      <c r="AL13408" s="177"/>
    </row>
    <row r="13409" spans="38:38" x14ac:dyDescent="0.2">
      <c r="AL13409" s="177"/>
    </row>
    <row r="13410" spans="38:38" x14ac:dyDescent="0.2">
      <c r="AL13410" s="177"/>
    </row>
    <row r="13411" spans="38:38" x14ac:dyDescent="0.2">
      <c r="AL13411" s="177"/>
    </row>
    <row r="13412" spans="38:38" x14ac:dyDescent="0.2">
      <c r="AL13412" s="177"/>
    </row>
    <row r="13413" spans="38:38" x14ac:dyDescent="0.2">
      <c r="AL13413" s="177"/>
    </row>
    <row r="13414" spans="38:38" x14ac:dyDescent="0.2">
      <c r="AL13414" s="177"/>
    </row>
    <row r="13415" spans="38:38" x14ac:dyDescent="0.2">
      <c r="AL13415" s="177"/>
    </row>
    <row r="13416" spans="38:38" x14ac:dyDescent="0.2">
      <c r="AL13416" s="177"/>
    </row>
    <row r="13417" spans="38:38" x14ac:dyDescent="0.2">
      <c r="AL13417" s="177"/>
    </row>
    <row r="13418" spans="38:38" x14ac:dyDescent="0.2">
      <c r="AL13418" s="177"/>
    </row>
    <row r="13419" spans="38:38" x14ac:dyDescent="0.2">
      <c r="AL13419" s="177"/>
    </row>
    <row r="13420" spans="38:38" x14ac:dyDescent="0.2">
      <c r="AL13420" s="177"/>
    </row>
    <row r="13421" spans="38:38" x14ac:dyDescent="0.2">
      <c r="AL13421" s="177"/>
    </row>
    <row r="13422" spans="38:38" x14ac:dyDescent="0.2">
      <c r="AL13422" s="177"/>
    </row>
    <row r="13423" spans="38:38" x14ac:dyDescent="0.2">
      <c r="AL13423" s="177"/>
    </row>
    <row r="13424" spans="38:38" x14ac:dyDescent="0.2">
      <c r="AL13424" s="177"/>
    </row>
    <row r="13425" spans="38:38" x14ac:dyDescent="0.2">
      <c r="AL13425" s="177"/>
    </row>
    <row r="13426" spans="38:38" x14ac:dyDescent="0.2">
      <c r="AL13426" s="177"/>
    </row>
    <row r="13427" spans="38:38" x14ac:dyDescent="0.2">
      <c r="AL13427" s="177"/>
    </row>
    <row r="13428" spans="38:38" x14ac:dyDescent="0.2">
      <c r="AL13428" s="177"/>
    </row>
    <row r="13429" spans="38:38" x14ac:dyDescent="0.2">
      <c r="AL13429" s="177"/>
    </row>
    <row r="13430" spans="38:38" x14ac:dyDescent="0.2">
      <c r="AL13430" s="177"/>
    </row>
    <row r="13431" spans="38:38" x14ac:dyDescent="0.2">
      <c r="AL13431" s="177"/>
    </row>
    <row r="13432" spans="38:38" x14ac:dyDescent="0.2">
      <c r="AL13432" s="177"/>
    </row>
    <row r="13433" spans="38:38" x14ac:dyDescent="0.2">
      <c r="AL13433" s="177"/>
    </row>
    <row r="13434" spans="38:38" x14ac:dyDescent="0.2">
      <c r="AL13434" s="177"/>
    </row>
    <row r="13435" spans="38:38" x14ac:dyDescent="0.2">
      <c r="AL13435" s="177"/>
    </row>
    <row r="13436" spans="38:38" x14ac:dyDescent="0.2">
      <c r="AL13436" s="177"/>
    </row>
    <row r="13437" spans="38:38" x14ac:dyDescent="0.2">
      <c r="AL13437" s="177"/>
    </row>
    <row r="13438" spans="38:38" x14ac:dyDescent="0.2">
      <c r="AL13438" s="177"/>
    </row>
    <row r="13439" spans="38:38" x14ac:dyDescent="0.2">
      <c r="AL13439" s="177"/>
    </row>
    <row r="13440" spans="38:38" x14ac:dyDescent="0.2">
      <c r="AL13440" s="177"/>
    </row>
    <row r="13441" spans="38:38" x14ac:dyDescent="0.2">
      <c r="AL13441" s="177"/>
    </row>
    <row r="13442" spans="38:38" x14ac:dyDescent="0.2">
      <c r="AL13442" s="177"/>
    </row>
    <row r="13443" spans="38:38" x14ac:dyDescent="0.2">
      <c r="AL13443" s="177"/>
    </row>
    <row r="13444" spans="38:38" x14ac:dyDescent="0.2">
      <c r="AL13444" s="177"/>
    </row>
    <row r="13445" spans="38:38" x14ac:dyDescent="0.2">
      <c r="AL13445" s="177"/>
    </row>
    <row r="13446" spans="38:38" x14ac:dyDescent="0.2">
      <c r="AL13446" s="177"/>
    </row>
    <row r="13447" spans="38:38" x14ac:dyDescent="0.2">
      <c r="AL13447" s="177"/>
    </row>
    <row r="13448" spans="38:38" x14ac:dyDescent="0.2">
      <c r="AL13448" s="177"/>
    </row>
    <row r="13449" spans="38:38" x14ac:dyDescent="0.2">
      <c r="AL13449" s="177"/>
    </row>
    <row r="13450" spans="38:38" x14ac:dyDescent="0.2">
      <c r="AL13450" s="177"/>
    </row>
    <row r="13451" spans="38:38" x14ac:dyDescent="0.2">
      <c r="AL13451" s="177"/>
    </row>
    <row r="13452" spans="38:38" x14ac:dyDescent="0.2">
      <c r="AL13452" s="177"/>
    </row>
    <row r="13453" spans="38:38" x14ac:dyDescent="0.2">
      <c r="AL13453" s="177"/>
    </row>
    <row r="13454" spans="38:38" x14ac:dyDescent="0.2">
      <c r="AL13454" s="177"/>
    </row>
    <row r="13455" spans="38:38" x14ac:dyDescent="0.2">
      <c r="AL13455" s="177"/>
    </row>
    <row r="13456" spans="38:38" x14ac:dyDescent="0.2">
      <c r="AL13456" s="177"/>
    </row>
    <row r="13457" spans="38:38" x14ac:dyDescent="0.2">
      <c r="AL13457" s="177"/>
    </row>
    <row r="13458" spans="38:38" x14ac:dyDescent="0.2">
      <c r="AL13458" s="177"/>
    </row>
    <row r="13459" spans="38:38" x14ac:dyDescent="0.2">
      <c r="AL13459" s="177"/>
    </row>
    <row r="13460" spans="38:38" x14ac:dyDescent="0.2">
      <c r="AL13460" s="177"/>
    </row>
    <row r="13461" spans="38:38" x14ac:dyDescent="0.2">
      <c r="AL13461" s="177"/>
    </row>
    <row r="13462" spans="38:38" x14ac:dyDescent="0.2">
      <c r="AL13462" s="177"/>
    </row>
    <row r="13463" spans="38:38" x14ac:dyDescent="0.2">
      <c r="AL13463" s="177"/>
    </row>
    <row r="13464" spans="38:38" x14ac:dyDescent="0.2">
      <c r="AL13464" s="177"/>
    </row>
    <row r="13465" spans="38:38" x14ac:dyDescent="0.2">
      <c r="AL13465" s="177"/>
    </row>
    <row r="13466" spans="38:38" x14ac:dyDescent="0.2">
      <c r="AL13466" s="177"/>
    </row>
    <row r="13467" spans="38:38" x14ac:dyDescent="0.2">
      <c r="AL13467" s="177"/>
    </row>
    <row r="13468" spans="38:38" x14ac:dyDescent="0.2">
      <c r="AL13468" s="177"/>
    </row>
    <row r="13469" spans="38:38" x14ac:dyDescent="0.2">
      <c r="AL13469" s="177"/>
    </row>
    <row r="13470" spans="38:38" x14ac:dyDescent="0.2">
      <c r="AL13470" s="177"/>
    </row>
    <row r="13471" spans="38:38" x14ac:dyDescent="0.2">
      <c r="AL13471" s="177"/>
    </row>
    <row r="13472" spans="38:38" x14ac:dyDescent="0.2">
      <c r="AL13472" s="177"/>
    </row>
    <row r="13473" spans="38:38" x14ac:dyDescent="0.2">
      <c r="AL13473" s="177"/>
    </row>
    <row r="13474" spans="38:38" x14ac:dyDescent="0.2">
      <c r="AL13474" s="177"/>
    </row>
    <row r="13475" spans="38:38" x14ac:dyDescent="0.2">
      <c r="AL13475" s="177"/>
    </row>
    <row r="13476" spans="38:38" x14ac:dyDescent="0.2">
      <c r="AL13476" s="177"/>
    </row>
    <row r="13477" spans="38:38" x14ac:dyDescent="0.2">
      <c r="AL13477" s="177"/>
    </row>
    <row r="13478" spans="38:38" x14ac:dyDescent="0.2">
      <c r="AL13478" s="177"/>
    </row>
    <row r="13479" spans="38:38" x14ac:dyDescent="0.2">
      <c r="AL13479" s="177"/>
    </row>
    <row r="13480" spans="38:38" x14ac:dyDescent="0.2">
      <c r="AL13480" s="177"/>
    </row>
    <row r="13481" spans="38:38" x14ac:dyDescent="0.2">
      <c r="AL13481" s="177"/>
    </row>
    <row r="13482" spans="38:38" x14ac:dyDescent="0.2">
      <c r="AL13482" s="177"/>
    </row>
    <row r="13483" spans="38:38" x14ac:dyDescent="0.2">
      <c r="AL13483" s="177"/>
    </row>
    <row r="13484" spans="38:38" x14ac:dyDescent="0.2">
      <c r="AL13484" s="177"/>
    </row>
    <row r="13485" spans="38:38" x14ac:dyDescent="0.2">
      <c r="AL13485" s="177"/>
    </row>
    <row r="13486" spans="38:38" x14ac:dyDescent="0.2">
      <c r="AL13486" s="177"/>
    </row>
    <row r="13487" spans="38:38" x14ac:dyDescent="0.2">
      <c r="AL13487" s="177"/>
    </row>
    <row r="13488" spans="38:38" x14ac:dyDescent="0.2">
      <c r="AL13488" s="177"/>
    </row>
    <row r="13489" spans="38:38" x14ac:dyDescent="0.2">
      <c r="AL13489" s="177"/>
    </row>
    <row r="13490" spans="38:38" x14ac:dyDescent="0.2">
      <c r="AL13490" s="177"/>
    </row>
    <row r="13491" spans="38:38" x14ac:dyDescent="0.2">
      <c r="AL13491" s="177"/>
    </row>
    <row r="13492" spans="38:38" x14ac:dyDescent="0.2">
      <c r="AL13492" s="177"/>
    </row>
    <row r="13493" spans="38:38" x14ac:dyDescent="0.2">
      <c r="AL13493" s="177"/>
    </row>
    <row r="13494" spans="38:38" x14ac:dyDescent="0.2">
      <c r="AL13494" s="177"/>
    </row>
    <row r="13495" spans="38:38" x14ac:dyDescent="0.2">
      <c r="AL13495" s="177"/>
    </row>
    <row r="13496" spans="38:38" x14ac:dyDescent="0.2">
      <c r="AL13496" s="177"/>
    </row>
    <row r="13497" spans="38:38" x14ac:dyDescent="0.2">
      <c r="AL13497" s="177"/>
    </row>
    <row r="13498" spans="38:38" x14ac:dyDescent="0.2">
      <c r="AL13498" s="177"/>
    </row>
    <row r="13499" spans="38:38" x14ac:dyDescent="0.2">
      <c r="AL13499" s="177"/>
    </row>
    <row r="13500" spans="38:38" x14ac:dyDescent="0.2">
      <c r="AL13500" s="177"/>
    </row>
    <row r="13501" spans="38:38" x14ac:dyDescent="0.2">
      <c r="AL13501" s="177"/>
    </row>
    <row r="13502" spans="38:38" x14ac:dyDescent="0.2">
      <c r="AL13502" s="177"/>
    </row>
    <row r="13503" spans="38:38" x14ac:dyDescent="0.2">
      <c r="AL13503" s="177"/>
    </row>
    <row r="13504" spans="38:38" x14ac:dyDescent="0.2">
      <c r="AL13504" s="177"/>
    </row>
    <row r="13505" spans="38:38" x14ac:dyDescent="0.2">
      <c r="AL13505" s="177"/>
    </row>
    <row r="13506" spans="38:38" x14ac:dyDescent="0.2">
      <c r="AL13506" s="177"/>
    </row>
    <row r="13507" spans="38:38" x14ac:dyDescent="0.2">
      <c r="AL13507" s="177"/>
    </row>
    <row r="13508" spans="38:38" x14ac:dyDescent="0.2">
      <c r="AL13508" s="177"/>
    </row>
    <row r="13509" spans="38:38" x14ac:dyDescent="0.2">
      <c r="AL13509" s="177"/>
    </row>
    <row r="13510" spans="38:38" x14ac:dyDescent="0.2">
      <c r="AL13510" s="177"/>
    </row>
    <row r="13511" spans="38:38" x14ac:dyDescent="0.2">
      <c r="AL13511" s="177"/>
    </row>
    <row r="13512" spans="38:38" x14ac:dyDescent="0.2">
      <c r="AL13512" s="177"/>
    </row>
    <row r="13513" spans="38:38" x14ac:dyDescent="0.2">
      <c r="AL13513" s="177"/>
    </row>
    <row r="13514" spans="38:38" x14ac:dyDescent="0.2">
      <c r="AL13514" s="177"/>
    </row>
    <row r="13515" spans="38:38" x14ac:dyDescent="0.2">
      <c r="AL13515" s="177"/>
    </row>
    <row r="13516" spans="38:38" x14ac:dyDescent="0.2">
      <c r="AL13516" s="177"/>
    </row>
    <row r="13517" spans="38:38" x14ac:dyDescent="0.2">
      <c r="AL13517" s="177"/>
    </row>
    <row r="13518" spans="38:38" x14ac:dyDescent="0.2">
      <c r="AL13518" s="177"/>
    </row>
    <row r="13519" spans="38:38" x14ac:dyDescent="0.2">
      <c r="AL13519" s="177"/>
    </row>
    <row r="13520" spans="38:38" x14ac:dyDescent="0.2">
      <c r="AL13520" s="177"/>
    </row>
    <row r="13521" spans="38:38" x14ac:dyDescent="0.2">
      <c r="AL13521" s="177"/>
    </row>
    <row r="13522" spans="38:38" x14ac:dyDescent="0.2">
      <c r="AL13522" s="177"/>
    </row>
    <row r="13523" spans="38:38" x14ac:dyDescent="0.2">
      <c r="AL13523" s="177"/>
    </row>
    <row r="13524" spans="38:38" x14ac:dyDescent="0.2">
      <c r="AL13524" s="177"/>
    </row>
    <row r="13525" spans="38:38" x14ac:dyDescent="0.2">
      <c r="AL13525" s="177"/>
    </row>
    <row r="13526" spans="38:38" x14ac:dyDescent="0.2">
      <c r="AL13526" s="177"/>
    </row>
    <row r="13527" spans="38:38" x14ac:dyDescent="0.2">
      <c r="AL13527" s="177"/>
    </row>
    <row r="13528" spans="38:38" x14ac:dyDescent="0.2">
      <c r="AL13528" s="177"/>
    </row>
    <row r="13529" spans="38:38" x14ac:dyDescent="0.2">
      <c r="AL13529" s="177"/>
    </row>
    <row r="13530" spans="38:38" x14ac:dyDescent="0.2">
      <c r="AL13530" s="177"/>
    </row>
    <row r="13531" spans="38:38" x14ac:dyDescent="0.2">
      <c r="AL13531" s="177"/>
    </row>
    <row r="13532" spans="38:38" x14ac:dyDescent="0.2">
      <c r="AL13532" s="177"/>
    </row>
    <row r="13533" spans="38:38" x14ac:dyDescent="0.2">
      <c r="AL13533" s="177"/>
    </row>
    <row r="13534" spans="38:38" x14ac:dyDescent="0.2">
      <c r="AL13534" s="177"/>
    </row>
    <row r="13535" spans="38:38" x14ac:dyDescent="0.2">
      <c r="AL13535" s="177"/>
    </row>
    <row r="13536" spans="38:38" x14ac:dyDescent="0.2">
      <c r="AL13536" s="177"/>
    </row>
    <row r="13537" spans="38:38" x14ac:dyDescent="0.2">
      <c r="AL13537" s="177"/>
    </row>
    <row r="13538" spans="38:38" x14ac:dyDescent="0.2">
      <c r="AL13538" s="177"/>
    </row>
    <row r="13539" spans="38:38" x14ac:dyDescent="0.2">
      <c r="AL13539" s="177"/>
    </row>
    <row r="13540" spans="38:38" x14ac:dyDescent="0.2">
      <c r="AL13540" s="177"/>
    </row>
    <row r="13541" spans="38:38" x14ac:dyDescent="0.2">
      <c r="AL13541" s="177"/>
    </row>
    <row r="13542" spans="38:38" x14ac:dyDescent="0.2">
      <c r="AL13542" s="177"/>
    </row>
    <row r="13543" spans="38:38" x14ac:dyDescent="0.2">
      <c r="AL13543" s="177"/>
    </row>
    <row r="13544" spans="38:38" x14ac:dyDescent="0.2">
      <c r="AL13544" s="177"/>
    </row>
    <row r="13545" spans="38:38" x14ac:dyDescent="0.2">
      <c r="AL13545" s="177"/>
    </row>
    <row r="13546" spans="38:38" x14ac:dyDescent="0.2">
      <c r="AL13546" s="177"/>
    </row>
    <row r="13547" spans="38:38" x14ac:dyDescent="0.2">
      <c r="AL13547" s="177"/>
    </row>
    <row r="13548" spans="38:38" x14ac:dyDescent="0.2">
      <c r="AL13548" s="177"/>
    </row>
    <row r="13549" spans="38:38" x14ac:dyDescent="0.2">
      <c r="AL13549" s="177"/>
    </row>
    <row r="13550" spans="38:38" x14ac:dyDescent="0.2">
      <c r="AL13550" s="177"/>
    </row>
    <row r="13551" spans="38:38" x14ac:dyDescent="0.2">
      <c r="AL13551" s="177"/>
    </row>
    <row r="13552" spans="38:38" x14ac:dyDescent="0.2">
      <c r="AL13552" s="177"/>
    </row>
    <row r="13553" spans="38:38" x14ac:dyDescent="0.2">
      <c r="AL13553" s="177"/>
    </row>
    <row r="13554" spans="38:38" x14ac:dyDescent="0.2">
      <c r="AL13554" s="177"/>
    </row>
    <row r="13555" spans="38:38" x14ac:dyDescent="0.2">
      <c r="AL13555" s="177"/>
    </row>
    <row r="13556" spans="38:38" x14ac:dyDescent="0.2">
      <c r="AL13556" s="177"/>
    </row>
    <row r="13557" spans="38:38" x14ac:dyDescent="0.2">
      <c r="AL13557" s="177"/>
    </row>
    <row r="13558" spans="38:38" x14ac:dyDescent="0.2">
      <c r="AL13558" s="177"/>
    </row>
    <row r="13559" spans="38:38" x14ac:dyDescent="0.2">
      <c r="AL13559" s="177"/>
    </row>
    <row r="13560" spans="38:38" x14ac:dyDescent="0.2">
      <c r="AL13560" s="177"/>
    </row>
    <row r="13561" spans="38:38" x14ac:dyDescent="0.2">
      <c r="AL13561" s="177"/>
    </row>
    <row r="13562" spans="38:38" x14ac:dyDescent="0.2">
      <c r="AL13562" s="177"/>
    </row>
    <row r="13563" spans="38:38" x14ac:dyDescent="0.2">
      <c r="AL13563" s="177"/>
    </row>
    <row r="13564" spans="38:38" x14ac:dyDescent="0.2">
      <c r="AL13564" s="177"/>
    </row>
    <row r="13565" spans="38:38" x14ac:dyDescent="0.2">
      <c r="AL13565" s="177"/>
    </row>
    <row r="13566" spans="38:38" x14ac:dyDescent="0.2">
      <c r="AL13566" s="177"/>
    </row>
    <row r="13567" spans="38:38" x14ac:dyDescent="0.2">
      <c r="AL13567" s="177"/>
    </row>
    <row r="13568" spans="38:38" x14ac:dyDescent="0.2">
      <c r="AL13568" s="177"/>
    </row>
    <row r="13569" spans="38:38" x14ac:dyDescent="0.2">
      <c r="AL13569" s="177"/>
    </row>
    <row r="13570" spans="38:38" x14ac:dyDescent="0.2">
      <c r="AL13570" s="177"/>
    </row>
    <row r="13571" spans="38:38" x14ac:dyDescent="0.2">
      <c r="AL13571" s="177"/>
    </row>
    <row r="13572" spans="38:38" x14ac:dyDescent="0.2">
      <c r="AL13572" s="177"/>
    </row>
    <row r="13573" spans="38:38" x14ac:dyDescent="0.2">
      <c r="AL13573" s="177"/>
    </row>
    <row r="13574" spans="38:38" x14ac:dyDescent="0.2">
      <c r="AL13574" s="177"/>
    </row>
    <row r="13575" spans="38:38" x14ac:dyDescent="0.2">
      <c r="AL13575" s="177"/>
    </row>
    <row r="13576" spans="38:38" x14ac:dyDescent="0.2">
      <c r="AL13576" s="177"/>
    </row>
    <row r="13577" spans="38:38" x14ac:dyDescent="0.2">
      <c r="AL13577" s="177"/>
    </row>
    <row r="13578" spans="38:38" x14ac:dyDescent="0.2">
      <c r="AL13578" s="177"/>
    </row>
    <row r="13579" spans="38:38" x14ac:dyDescent="0.2">
      <c r="AL13579" s="177"/>
    </row>
    <row r="13580" spans="38:38" x14ac:dyDescent="0.2">
      <c r="AL13580" s="177"/>
    </row>
    <row r="13581" spans="38:38" x14ac:dyDescent="0.2">
      <c r="AL13581" s="177"/>
    </row>
    <row r="13582" spans="38:38" x14ac:dyDescent="0.2">
      <c r="AL13582" s="177"/>
    </row>
    <row r="13583" spans="38:38" x14ac:dyDescent="0.2">
      <c r="AL13583" s="177"/>
    </row>
    <row r="13584" spans="38:38" x14ac:dyDescent="0.2">
      <c r="AL13584" s="177"/>
    </row>
    <row r="13585" spans="38:38" x14ac:dyDescent="0.2">
      <c r="AL13585" s="177"/>
    </row>
    <row r="13586" spans="38:38" x14ac:dyDescent="0.2">
      <c r="AL13586" s="177"/>
    </row>
    <row r="13587" spans="38:38" x14ac:dyDescent="0.2">
      <c r="AL13587" s="177"/>
    </row>
    <row r="13588" spans="38:38" x14ac:dyDescent="0.2">
      <c r="AL13588" s="177"/>
    </row>
    <row r="13589" spans="38:38" x14ac:dyDescent="0.2">
      <c r="AL13589" s="177"/>
    </row>
    <row r="13590" spans="38:38" x14ac:dyDescent="0.2">
      <c r="AL13590" s="177"/>
    </row>
    <row r="13591" spans="38:38" x14ac:dyDescent="0.2">
      <c r="AL13591" s="177"/>
    </row>
    <row r="13592" spans="38:38" x14ac:dyDescent="0.2">
      <c r="AL13592" s="177"/>
    </row>
    <row r="13593" spans="38:38" x14ac:dyDescent="0.2">
      <c r="AL13593" s="177"/>
    </row>
    <row r="13594" spans="38:38" x14ac:dyDescent="0.2">
      <c r="AL13594" s="177"/>
    </row>
    <row r="13595" spans="38:38" x14ac:dyDescent="0.2">
      <c r="AL13595" s="177"/>
    </row>
    <row r="13596" spans="38:38" x14ac:dyDescent="0.2">
      <c r="AL13596" s="177"/>
    </row>
    <row r="13597" spans="38:38" x14ac:dyDescent="0.2">
      <c r="AL13597" s="177"/>
    </row>
    <row r="13598" spans="38:38" x14ac:dyDescent="0.2">
      <c r="AL13598" s="177"/>
    </row>
    <row r="13599" spans="38:38" x14ac:dyDescent="0.2">
      <c r="AL13599" s="177"/>
    </row>
    <row r="13600" spans="38:38" x14ac:dyDescent="0.2">
      <c r="AL13600" s="177"/>
    </row>
    <row r="13601" spans="38:38" x14ac:dyDescent="0.2">
      <c r="AL13601" s="177"/>
    </row>
    <row r="13602" spans="38:38" x14ac:dyDescent="0.2">
      <c r="AL13602" s="177"/>
    </row>
    <row r="13603" spans="38:38" x14ac:dyDescent="0.2">
      <c r="AL13603" s="177"/>
    </row>
    <row r="13604" spans="38:38" x14ac:dyDescent="0.2">
      <c r="AL13604" s="177"/>
    </row>
    <row r="13605" spans="38:38" x14ac:dyDescent="0.2">
      <c r="AL13605" s="177"/>
    </row>
    <row r="13606" spans="38:38" x14ac:dyDescent="0.2">
      <c r="AL13606" s="177"/>
    </row>
    <row r="13607" spans="38:38" x14ac:dyDescent="0.2">
      <c r="AL13607" s="177"/>
    </row>
    <row r="13608" spans="38:38" x14ac:dyDescent="0.2">
      <c r="AL13608" s="177"/>
    </row>
    <row r="13609" spans="38:38" x14ac:dyDescent="0.2">
      <c r="AL13609" s="177"/>
    </row>
    <row r="13610" spans="38:38" x14ac:dyDescent="0.2">
      <c r="AL13610" s="177"/>
    </row>
    <row r="13611" spans="38:38" x14ac:dyDescent="0.2">
      <c r="AL13611" s="177"/>
    </row>
    <row r="13612" spans="38:38" x14ac:dyDescent="0.2">
      <c r="AL13612" s="177"/>
    </row>
    <row r="13613" spans="38:38" x14ac:dyDescent="0.2">
      <c r="AL13613" s="177"/>
    </row>
    <row r="13614" spans="38:38" x14ac:dyDescent="0.2">
      <c r="AL13614" s="177"/>
    </row>
    <row r="13615" spans="38:38" x14ac:dyDescent="0.2">
      <c r="AL13615" s="177"/>
    </row>
    <row r="13616" spans="38:38" x14ac:dyDescent="0.2">
      <c r="AL13616" s="177"/>
    </row>
    <row r="13617" spans="38:38" x14ac:dyDescent="0.2">
      <c r="AL13617" s="177"/>
    </row>
    <row r="13618" spans="38:38" x14ac:dyDescent="0.2">
      <c r="AL13618" s="177"/>
    </row>
    <row r="13619" spans="38:38" x14ac:dyDescent="0.2">
      <c r="AL13619" s="177"/>
    </row>
    <row r="13620" spans="38:38" x14ac:dyDescent="0.2">
      <c r="AL13620" s="177"/>
    </row>
    <row r="13621" spans="38:38" x14ac:dyDescent="0.2">
      <c r="AL13621" s="177"/>
    </row>
    <row r="13622" spans="38:38" x14ac:dyDescent="0.2">
      <c r="AL13622" s="177"/>
    </row>
    <row r="13623" spans="38:38" x14ac:dyDescent="0.2">
      <c r="AL13623" s="177"/>
    </row>
    <row r="13624" spans="38:38" x14ac:dyDescent="0.2">
      <c r="AL13624" s="177"/>
    </row>
    <row r="13625" spans="38:38" x14ac:dyDescent="0.2">
      <c r="AL13625" s="177"/>
    </row>
    <row r="13626" spans="38:38" x14ac:dyDescent="0.2">
      <c r="AL13626" s="177"/>
    </row>
    <row r="13627" spans="38:38" x14ac:dyDescent="0.2">
      <c r="AL13627" s="177"/>
    </row>
    <row r="13628" spans="38:38" x14ac:dyDescent="0.2">
      <c r="AL13628" s="177"/>
    </row>
    <row r="13629" spans="38:38" x14ac:dyDescent="0.2">
      <c r="AL13629" s="177"/>
    </row>
    <row r="13630" spans="38:38" x14ac:dyDescent="0.2">
      <c r="AL13630" s="177"/>
    </row>
    <row r="13631" spans="38:38" x14ac:dyDescent="0.2">
      <c r="AL13631" s="177"/>
    </row>
    <row r="13632" spans="38:38" x14ac:dyDescent="0.2">
      <c r="AL13632" s="177"/>
    </row>
    <row r="13633" spans="38:38" x14ac:dyDescent="0.2">
      <c r="AL13633" s="177"/>
    </row>
    <row r="13634" spans="38:38" x14ac:dyDescent="0.2">
      <c r="AL13634" s="177"/>
    </row>
    <row r="13635" spans="38:38" x14ac:dyDescent="0.2">
      <c r="AL13635" s="177"/>
    </row>
    <row r="13636" spans="38:38" x14ac:dyDescent="0.2">
      <c r="AL13636" s="177"/>
    </row>
    <row r="13637" spans="38:38" x14ac:dyDescent="0.2">
      <c r="AL13637" s="177"/>
    </row>
    <row r="13638" spans="38:38" x14ac:dyDescent="0.2">
      <c r="AL13638" s="177"/>
    </row>
    <row r="13639" spans="38:38" x14ac:dyDescent="0.2">
      <c r="AL13639" s="177"/>
    </row>
    <row r="13640" spans="38:38" x14ac:dyDescent="0.2">
      <c r="AL13640" s="177"/>
    </row>
    <row r="13641" spans="38:38" x14ac:dyDescent="0.2">
      <c r="AL13641" s="177"/>
    </row>
    <row r="13642" spans="38:38" x14ac:dyDescent="0.2">
      <c r="AL13642" s="177"/>
    </row>
    <row r="13643" spans="38:38" x14ac:dyDescent="0.2">
      <c r="AL13643" s="177"/>
    </row>
    <row r="13644" spans="38:38" x14ac:dyDescent="0.2">
      <c r="AL13644" s="177"/>
    </row>
    <row r="13645" spans="38:38" x14ac:dyDescent="0.2">
      <c r="AL13645" s="177"/>
    </row>
    <row r="13646" spans="38:38" x14ac:dyDescent="0.2">
      <c r="AL13646" s="177"/>
    </row>
    <row r="13647" spans="38:38" x14ac:dyDescent="0.2">
      <c r="AL13647" s="177"/>
    </row>
    <row r="13648" spans="38:38" x14ac:dyDescent="0.2">
      <c r="AL13648" s="177"/>
    </row>
    <row r="13649" spans="38:38" x14ac:dyDescent="0.2">
      <c r="AL13649" s="177"/>
    </row>
    <row r="13650" spans="38:38" x14ac:dyDescent="0.2">
      <c r="AL13650" s="177"/>
    </row>
    <row r="13651" spans="38:38" x14ac:dyDescent="0.2">
      <c r="AL13651" s="177"/>
    </row>
    <row r="13652" spans="38:38" x14ac:dyDescent="0.2">
      <c r="AL13652" s="177"/>
    </row>
    <row r="13653" spans="38:38" x14ac:dyDescent="0.2">
      <c r="AL13653" s="177"/>
    </row>
    <row r="13654" spans="38:38" x14ac:dyDescent="0.2">
      <c r="AL13654" s="177"/>
    </row>
    <row r="13655" spans="38:38" x14ac:dyDescent="0.2">
      <c r="AL13655" s="177"/>
    </row>
    <row r="13656" spans="38:38" x14ac:dyDescent="0.2">
      <c r="AL13656" s="177"/>
    </row>
    <row r="13657" spans="38:38" x14ac:dyDescent="0.2">
      <c r="AL13657" s="177"/>
    </row>
    <row r="13658" spans="38:38" x14ac:dyDescent="0.2">
      <c r="AL13658" s="177"/>
    </row>
    <row r="13659" spans="38:38" x14ac:dyDescent="0.2">
      <c r="AL13659" s="177"/>
    </row>
    <row r="13660" spans="38:38" x14ac:dyDescent="0.2">
      <c r="AL13660" s="177"/>
    </row>
    <row r="13661" spans="38:38" x14ac:dyDescent="0.2">
      <c r="AL13661" s="177"/>
    </row>
    <row r="13662" spans="38:38" x14ac:dyDescent="0.2">
      <c r="AL13662" s="177"/>
    </row>
    <row r="13663" spans="38:38" x14ac:dyDescent="0.2">
      <c r="AL13663" s="177"/>
    </row>
    <row r="13664" spans="38:38" x14ac:dyDescent="0.2">
      <c r="AL13664" s="177"/>
    </row>
    <row r="13665" spans="38:38" x14ac:dyDescent="0.2">
      <c r="AL13665" s="177"/>
    </row>
    <row r="13666" spans="38:38" x14ac:dyDescent="0.2">
      <c r="AL13666" s="177"/>
    </row>
    <row r="13667" spans="38:38" x14ac:dyDescent="0.2">
      <c r="AL13667" s="177"/>
    </row>
    <row r="13668" spans="38:38" x14ac:dyDescent="0.2">
      <c r="AL13668" s="177"/>
    </row>
    <row r="13669" spans="38:38" x14ac:dyDescent="0.2">
      <c r="AL13669" s="177"/>
    </row>
    <row r="13670" spans="38:38" x14ac:dyDescent="0.2">
      <c r="AL13670" s="177"/>
    </row>
    <row r="13671" spans="38:38" x14ac:dyDescent="0.2">
      <c r="AL13671" s="177"/>
    </row>
    <row r="13672" spans="38:38" x14ac:dyDescent="0.2">
      <c r="AL13672" s="177"/>
    </row>
    <row r="13673" spans="38:38" x14ac:dyDescent="0.2">
      <c r="AL13673" s="177"/>
    </row>
    <row r="13674" spans="38:38" x14ac:dyDescent="0.2">
      <c r="AL13674" s="177"/>
    </row>
    <row r="13675" spans="38:38" x14ac:dyDescent="0.2">
      <c r="AL13675" s="177"/>
    </row>
    <row r="13676" spans="38:38" x14ac:dyDescent="0.2">
      <c r="AL13676" s="177"/>
    </row>
    <row r="13677" spans="38:38" x14ac:dyDescent="0.2">
      <c r="AL13677" s="177"/>
    </row>
    <row r="13678" spans="38:38" x14ac:dyDescent="0.2">
      <c r="AL13678" s="177"/>
    </row>
    <row r="13679" spans="38:38" x14ac:dyDescent="0.2">
      <c r="AL13679" s="177"/>
    </row>
    <row r="13680" spans="38:38" x14ac:dyDescent="0.2">
      <c r="AL13680" s="177"/>
    </row>
    <row r="13681" spans="38:38" x14ac:dyDescent="0.2">
      <c r="AL13681" s="177"/>
    </row>
    <row r="13682" spans="38:38" x14ac:dyDescent="0.2">
      <c r="AL13682" s="177"/>
    </row>
    <row r="13683" spans="38:38" x14ac:dyDescent="0.2">
      <c r="AL13683" s="177"/>
    </row>
    <row r="13684" spans="38:38" x14ac:dyDescent="0.2">
      <c r="AL13684" s="177"/>
    </row>
    <row r="13685" spans="38:38" x14ac:dyDescent="0.2">
      <c r="AL13685" s="177"/>
    </row>
    <row r="13686" spans="38:38" x14ac:dyDescent="0.2">
      <c r="AL13686" s="177"/>
    </row>
    <row r="13687" spans="38:38" x14ac:dyDescent="0.2">
      <c r="AL13687" s="177"/>
    </row>
    <row r="13688" spans="38:38" x14ac:dyDescent="0.2">
      <c r="AL13688" s="177"/>
    </row>
    <row r="13689" spans="38:38" x14ac:dyDescent="0.2">
      <c r="AL13689" s="177"/>
    </row>
    <row r="13690" spans="38:38" x14ac:dyDescent="0.2">
      <c r="AL13690" s="177"/>
    </row>
    <row r="13691" spans="38:38" x14ac:dyDescent="0.2">
      <c r="AL13691" s="177"/>
    </row>
    <row r="13692" spans="38:38" x14ac:dyDescent="0.2">
      <c r="AL13692" s="177"/>
    </row>
    <row r="13693" spans="38:38" x14ac:dyDescent="0.2">
      <c r="AL13693" s="177"/>
    </row>
    <row r="13694" spans="38:38" x14ac:dyDescent="0.2">
      <c r="AL13694" s="177"/>
    </row>
    <row r="13695" spans="38:38" x14ac:dyDescent="0.2">
      <c r="AL13695" s="177"/>
    </row>
    <row r="13696" spans="38:38" x14ac:dyDescent="0.2">
      <c r="AL13696" s="177"/>
    </row>
    <row r="13697" spans="38:38" x14ac:dyDescent="0.2">
      <c r="AL13697" s="177"/>
    </row>
    <row r="13698" spans="38:38" x14ac:dyDescent="0.2">
      <c r="AL13698" s="177"/>
    </row>
    <row r="13699" spans="38:38" x14ac:dyDescent="0.2">
      <c r="AL13699" s="177"/>
    </row>
    <row r="13700" spans="38:38" x14ac:dyDescent="0.2">
      <c r="AL13700" s="177"/>
    </row>
    <row r="13701" spans="38:38" x14ac:dyDescent="0.2">
      <c r="AL13701" s="177"/>
    </row>
    <row r="13702" spans="38:38" x14ac:dyDescent="0.2">
      <c r="AL13702" s="177"/>
    </row>
    <row r="13703" spans="38:38" x14ac:dyDescent="0.2">
      <c r="AL13703" s="177"/>
    </row>
    <row r="13704" spans="38:38" x14ac:dyDescent="0.2">
      <c r="AL13704" s="177"/>
    </row>
    <row r="13705" spans="38:38" x14ac:dyDescent="0.2">
      <c r="AL13705" s="177"/>
    </row>
    <row r="13706" spans="38:38" x14ac:dyDescent="0.2">
      <c r="AL13706" s="177"/>
    </row>
    <row r="13707" spans="38:38" x14ac:dyDescent="0.2">
      <c r="AL13707" s="177"/>
    </row>
    <row r="13708" spans="38:38" x14ac:dyDescent="0.2">
      <c r="AL13708" s="177"/>
    </row>
    <row r="13709" spans="38:38" x14ac:dyDescent="0.2">
      <c r="AL13709" s="177"/>
    </row>
    <row r="13710" spans="38:38" x14ac:dyDescent="0.2">
      <c r="AL13710" s="177"/>
    </row>
    <row r="13711" spans="38:38" x14ac:dyDescent="0.2">
      <c r="AL13711" s="177"/>
    </row>
    <row r="13712" spans="38:38" x14ac:dyDescent="0.2">
      <c r="AL13712" s="177"/>
    </row>
    <row r="13713" spans="38:38" x14ac:dyDescent="0.2">
      <c r="AL13713" s="177"/>
    </row>
    <row r="13714" spans="38:38" x14ac:dyDescent="0.2">
      <c r="AL13714" s="177"/>
    </row>
    <row r="13715" spans="38:38" x14ac:dyDescent="0.2">
      <c r="AL13715" s="177"/>
    </row>
    <row r="13716" spans="38:38" x14ac:dyDescent="0.2">
      <c r="AL13716" s="177"/>
    </row>
    <row r="13717" spans="38:38" x14ac:dyDescent="0.2">
      <c r="AL13717" s="177"/>
    </row>
    <row r="13718" spans="38:38" x14ac:dyDescent="0.2">
      <c r="AL13718" s="177"/>
    </row>
    <row r="13719" spans="38:38" x14ac:dyDescent="0.2">
      <c r="AL13719" s="177"/>
    </row>
    <row r="13720" spans="38:38" x14ac:dyDescent="0.2">
      <c r="AL13720" s="177"/>
    </row>
    <row r="13721" spans="38:38" x14ac:dyDescent="0.2">
      <c r="AL13721" s="177"/>
    </row>
    <row r="13722" spans="38:38" x14ac:dyDescent="0.2">
      <c r="AL13722" s="177"/>
    </row>
    <row r="13723" spans="38:38" x14ac:dyDescent="0.2">
      <c r="AL13723" s="177"/>
    </row>
    <row r="13724" spans="38:38" x14ac:dyDescent="0.2">
      <c r="AL13724" s="177"/>
    </row>
    <row r="13725" spans="38:38" x14ac:dyDescent="0.2">
      <c r="AL13725" s="177"/>
    </row>
    <row r="13726" spans="38:38" x14ac:dyDescent="0.2">
      <c r="AL13726" s="177"/>
    </row>
    <row r="13727" spans="38:38" x14ac:dyDescent="0.2">
      <c r="AL13727" s="177"/>
    </row>
    <row r="13728" spans="38:38" x14ac:dyDescent="0.2">
      <c r="AL13728" s="177"/>
    </row>
    <row r="13729" spans="38:38" x14ac:dyDescent="0.2">
      <c r="AL13729" s="177"/>
    </row>
    <row r="13730" spans="38:38" x14ac:dyDescent="0.2">
      <c r="AL13730" s="177"/>
    </row>
    <row r="13731" spans="38:38" x14ac:dyDescent="0.2">
      <c r="AL13731" s="177"/>
    </row>
    <row r="13732" spans="38:38" x14ac:dyDescent="0.2">
      <c r="AL13732" s="177"/>
    </row>
    <row r="13733" spans="38:38" x14ac:dyDescent="0.2">
      <c r="AL13733" s="177"/>
    </row>
    <row r="13734" spans="38:38" x14ac:dyDescent="0.2">
      <c r="AL13734" s="177"/>
    </row>
    <row r="13735" spans="38:38" x14ac:dyDescent="0.2">
      <c r="AL13735" s="177"/>
    </row>
    <row r="13736" spans="38:38" x14ac:dyDescent="0.2">
      <c r="AL13736" s="177"/>
    </row>
    <row r="13737" spans="38:38" x14ac:dyDescent="0.2">
      <c r="AL13737" s="177"/>
    </row>
    <row r="13738" spans="38:38" x14ac:dyDescent="0.2">
      <c r="AL13738" s="177"/>
    </row>
    <row r="13739" spans="38:38" x14ac:dyDescent="0.2">
      <c r="AL13739" s="177"/>
    </row>
    <row r="13740" spans="38:38" x14ac:dyDescent="0.2">
      <c r="AL13740" s="177"/>
    </row>
    <row r="13741" spans="38:38" x14ac:dyDescent="0.2">
      <c r="AL13741" s="177"/>
    </row>
    <row r="13742" spans="38:38" x14ac:dyDescent="0.2">
      <c r="AL13742" s="177"/>
    </row>
    <row r="13743" spans="38:38" x14ac:dyDescent="0.2">
      <c r="AL13743" s="177"/>
    </row>
    <row r="13744" spans="38:38" x14ac:dyDescent="0.2">
      <c r="AL13744" s="177"/>
    </row>
    <row r="13745" spans="38:38" x14ac:dyDescent="0.2">
      <c r="AL13745" s="177"/>
    </row>
    <row r="13746" spans="38:38" x14ac:dyDescent="0.2">
      <c r="AL13746" s="177"/>
    </row>
    <row r="13747" spans="38:38" x14ac:dyDescent="0.2">
      <c r="AL13747" s="177"/>
    </row>
    <row r="13748" spans="38:38" x14ac:dyDescent="0.2">
      <c r="AL13748" s="177"/>
    </row>
    <row r="13749" spans="38:38" x14ac:dyDescent="0.2">
      <c r="AL13749" s="177"/>
    </row>
    <row r="13750" spans="38:38" x14ac:dyDescent="0.2">
      <c r="AL13750" s="177"/>
    </row>
    <row r="13751" spans="38:38" x14ac:dyDescent="0.2">
      <c r="AL13751" s="177"/>
    </row>
    <row r="13752" spans="38:38" x14ac:dyDescent="0.2">
      <c r="AL13752" s="177"/>
    </row>
    <row r="13753" spans="38:38" x14ac:dyDescent="0.2">
      <c r="AL13753" s="177"/>
    </row>
    <row r="13754" spans="38:38" x14ac:dyDescent="0.2">
      <c r="AL13754" s="177"/>
    </row>
    <row r="13755" spans="38:38" x14ac:dyDescent="0.2">
      <c r="AL13755" s="177"/>
    </row>
    <row r="13756" spans="38:38" x14ac:dyDescent="0.2">
      <c r="AL13756" s="177"/>
    </row>
    <row r="13757" spans="38:38" x14ac:dyDescent="0.2">
      <c r="AL13757" s="177"/>
    </row>
    <row r="13758" spans="38:38" x14ac:dyDescent="0.2">
      <c r="AL13758" s="177"/>
    </row>
    <row r="13759" spans="38:38" x14ac:dyDescent="0.2">
      <c r="AL13759" s="177"/>
    </row>
    <row r="13760" spans="38:38" x14ac:dyDescent="0.2">
      <c r="AL13760" s="177"/>
    </row>
    <row r="13761" spans="38:38" x14ac:dyDescent="0.2">
      <c r="AL13761" s="177"/>
    </row>
    <row r="13762" spans="38:38" x14ac:dyDescent="0.2">
      <c r="AL13762" s="177"/>
    </row>
    <row r="13763" spans="38:38" x14ac:dyDescent="0.2">
      <c r="AL13763" s="177"/>
    </row>
    <row r="13764" spans="38:38" x14ac:dyDescent="0.2">
      <c r="AL13764" s="177"/>
    </row>
    <row r="13765" spans="38:38" x14ac:dyDescent="0.2">
      <c r="AL13765" s="177"/>
    </row>
    <row r="13766" spans="38:38" x14ac:dyDescent="0.2">
      <c r="AL13766" s="177"/>
    </row>
    <row r="13767" spans="38:38" x14ac:dyDescent="0.2">
      <c r="AL13767" s="177"/>
    </row>
    <row r="13768" spans="38:38" x14ac:dyDescent="0.2">
      <c r="AL13768" s="177"/>
    </row>
    <row r="13769" spans="38:38" x14ac:dyDescent="0.2">
      <c r="AL13769" s="177"/>
    </row>
    <row r="13770" spans="38:38" x14ac:dyDescent="0.2">
      <c r="AL13770" s="177"/>
    </row>
    <row r="13771" spans="38:38" x14ac:dyDescent="0.2">
      <c r="AL13771" s="177"/>
    </row>
    <row r="13772" spans="38:38" x14ac:dyDescent="0.2">
      <c r="AL13772" s="177"/>
    </row>
    <row r="13773" spans="38:38" x14ac:dyDescent="0.2">
      <c r="AL13773" s="177"/>
    </row>
    <row r="13774" spans="38:38" x14ac:dyDescent="0.2">
      <c r="AL13774" s="177"/>
    </row>
    <row r="13775" spans="38:38" x14ac:dyDescent="0.2">
      <c r="AL13775" s="177"/>
    </row>
    <row r="13776" spans="38:38" x14ac:dyDescent="0.2">
      <c r="AL13776" s="177"/>
    </row>
    <row r="13777" spans="38:38" x14ac:dyDescent="0.2">
      <c r="AL13777" s="177"/>
    </row>
    <row r="13778" spans="38:38" x14ac:dyDescent="0.2">
      <c r="AL13778" s="177"/>
    </row>
    <row r="13779" spans="38:38" x14ac:dyDescent="0.2">
      <c r="AL13779" s="177"/>
    </row>
    <row r="13780" spans="38:38" x14ac:dyDescent="0.2">
      <c r="AL13780" s="177"/>
    </row>
    <row r="13781" spans="38:38" x14ac:dyDescent="0.2">
      <c r="AL13781" s="177"/>
    </row>
    <row r="13782" spans="38:38" x14ac:dyDescent="0.2">
      <c r="AL13782" s="177"/>
    </row>
    <row r="13783" spans="38:38" x14ac:dyDescent="0.2">
      <c r="AL13783" s="177"/>
    </row>
    <row r="13784" spans="38:38" x14ac:dyDescent="0.2">
      <c r="AL13784" s="177"/>
    </row>
    <row r="13785" spans="38:38" x14ac:dyDescent="0.2">
      <c r="AL13785" s="177"/>
    </row>
    <row r="13786" spans="38:38" x14ac:dyDescent="0.2">
      <c r="AL13786" s="177"/>
    </row>
    <row r="13787" spans="38:38" x14ac:dyDescent="0.2">
      <c r="AL13787" s="177"/>
    </row>
    <row r="13788" spans="38:38" x14ac:dyDescent="0.2">
      <c r="AL13788" s="177"/>
    </row>
    <row r="13789" spans="38:38" x14ac:dyDescent="0.2">
      <c r="AL13789" s="177"/>
    </row>
    <row r="13790" spans="38:38" x14ac:dyDescent="0.2">
      <c r="AL13790" s="177"/>
    </row>
    <row r="13791" spans="38:38" x14ac:dyDescent="0.2">
      <c r="AL13791" s="177"/>
    </row>
    <row r="13792" spans="38:38" x14ac:dyDescent="0.2">
      <c r="AL13792" s="177"/>
    </row>
    <row r="13793" spans="38:38" x14ac:dyDescent="0.2">
      <c r="AL13793" s="177"/>
    </row>
    <row r="13794" spans="38:38" x14ac:dyDescent="0.2">
      <c r="AL13794" s="177"/>
    </row>
    <row r="13795" spans="38:38" x14ac:dyDescent="0.2">
      <c r="AL13795" s="177"/>
    </row>
    <row r="13796" spans="38:38" x14ac:dyDescent="0.2">
      <c r="AL13796" s="177"/>
    </row>
    <row r="13797" spans="38:38" x14ac:dyDescent="0.2">
      <c r="AL13797" s="177"/>
    </row>
    <row r="13798" spans="38:38" x14ac:dyDescent="0.2">
      <c r="AL13798" s="177"/>
    </row>
    <row r="13799" spans="38:38" x14ac:dyDescent="0.2">
      <c r="AL13799" s="177"/>
    </row>
    <row r="13800" spans="38:38" x14ac:dyDescent="0.2">
      <c r="AL13800" s="177"/>
    </row>
    <row r="13801" spans="38:38" x14ac:dyDescent="0.2">
      <c r="AL13801" s="177"/>
    </row>
    <row r="13802" spans="38:38" x14ac:dyDescent="0.2">
      <c r="AL13802" s="177"/>
    </row>
    <row r="13803" spans="38:38" x14ac:dyDescent="0.2">
      <c r="AL13803" s="177"/>
    </row>
    <row r="13804" spans="38:38" x14ac:dyDescent="0.2">
      <c r="AL13804" s="177"/>
    </row>
    <row r="13805" spans="38:38" x14ac:dyDescent="0.2">
      <c r="AL13805" s="177"/>
    </row>
    <row r="13806" spans="38:38" x14ac:dyDescent="0.2">
      <c r="AL13806" s="177"/>
    </row>
    <row r="13807" spans="38:38" x14ac:dyDescent="0.2">
      <c r="AL13807" s="177"/>
    </row>
    <row r="13808" spans="38:38" x14ac:dyDescent="0.2">
      <c r="AL13808" s="177"/>
    </row>
    <row r="13809" spans="38:38" x14ac:dyDescent="0.2">
      <c r="AL13809" s="177"/>
    </row>
    <row r="13810" spans="38:38" x14ac:dyDescent="0.2">
      <c r="AL13810" s="177"/>
    </row>
    <row r="13811" spans="38:38" x14ac:dyDescent="0.2">
      <c r="AL13811" s="177"/>
    </row>
    <row r="13812" spans="38:38" x14ac:dyDescent="0.2">
      <c r="AL13812" s="177"/>
    </row>
    <row r="13813" spans="38:38" x14ac:dyDescent="0.2">
      <c r="AL13813" s="177"/>
    </row>
    <row r="13814" spans="38:38" x14ac:dyDescent="0.2">
      <c r="AL13814" s="177"/>
    </row>
    <row r="13815" spans="38:38" x14ac:dyDescent="0.2">
      <c r="AL13815" s="177"/>
    </row>
    <row r="13816" spans="38:38" x14ac:dyDescent="0.2">
      <c r="AL13816" s="177"/>
    </row>
    <row r="13817" spans="38:38" x14ac:dyDescent="0.2">
      <c r="AL13817" s="177"/>
    </row>
    <row r="13818" spans="38:38" x14ac:dyDescent="0.2">
      <c r="AL13818" s="177"/>
    </row>
    <row r="13819" spans="38:38" x14ac:dyDescent="0.2">
      <c r="AL13819" s="177"/>
    </row>
    <row r="13820" spans="38:38" x14ac:dyDescent="0.2">
      <c r="AL13820" s="177"/>
    </row>
    <row r="13821" spans="38:38" x14ac:dyDescent="0.2">
      <c r="AL13821" s="177"/>
    </row>
    <row r="13822" spans="38:38" x14ac:dyDescent="0.2">
      <c r="AL13822" s="177"/>
    </row>
    <row r="13823" spans="38:38" x14ac:dyDescent="0.2">
      <c r="AL13823" s="177"/>
    </row>
    <row r="13824" spans="38:38" x14ac:dyDescent="0.2">
      <c r="AL13824" s="177"/>
    </row>
    <row r="13825" spans="38:38" x14ac:dyDescent="0.2">
      <c r="AL13825" s="177"/>
    </row>
    <row r="13826" spans="38:38" x14ac:dyDescent="0.2">
      <c r="AL13826" s="177"/>
    </row>
    <row r="13827" spans="38:38" x14ac:dyDescent="0.2">
      <c r="AL13827" s="177"/>
    </row>
    <row r="13828" spans="38:38" x14ac:dyDescent="0.2">
      <c r="AL13828" s="177"/>
    </row>
    <row r="13829" spans="38:38" x14ac:dyDescent="0.2">
      <c r="AL13829" s="177"/>
    </row>
    <row r="13830" spans="38:38" x14ac:dyDescent="0.2">
      <c r="AL13830" s="177"/>
    </row>
    <row r="13831" spans="38:38" x14ac:dyDescent="0.2">
      <c r="AL13831" s="177"/>
    </row>
    <row r="13832" spans="38:38" x14ac:dyDescent="0.2">
      <c r="AL13832" s="177"/>
    </row>
    <row r="13833" spans="38:38" x14ac:dyDescent="0.2">
      <c r="AL13833" s="177"/>
    </row>
    <row r="13834" spans="38:38" x14ac:dyDescent="0.2">
      <c r="AL13834" s="177"/>
    </row>
    <row r="13835" spans="38:38" x14ac:dyDescent="0.2">
      <c r="AL13835" s="177"/>
    </row>
    <row r="13836" spans="38:38" x14ac:dyDescent="0.2">
      <c r="AL13836" s="177"/>
    </row>
    <row r="13837" spans="38:38" x14ac:dyDescent="0.2">
      <c r="AL13837" s="177"/>
    </row>
    <row r="13838" spans="38:38" x14ac:dyDescent="0.2">
      <c r="AL13838" s="177"/>
    </row>
    <row r="13839" spans="38:38" x14ac:dyDescent="0.2">
      <c r="AL13839" s="177"/>
    </row>
    <row r="13840" spans="38:38" x14ac:dyDescent="0.2">
      <c r="AL13840" s="177"/>
    </row>
    <row r="13841" spans="38:38" x14ac:dyDescent="0.2">
      <c r="AL13841" s="177"/>
    </row>
    <row r="13842" spans="38:38" x14ac:dyDescent="0.2">
      <c r="AL13842" s="177"/>
    </row>
    <row r="13843" spans="38:38" x14ac:dyDescent="0.2">
      <c r="AL13843" s="177"/>
    </row>
    <row r="13844" spans="38:38" x14ac:dyDescent="0.2">
      <c r="AL13844" s="177"/>
    </row>
    <row r="13845" spans="38:38" x14ac:dyDescent="0.2">
      <c r="AL13845" s="177"/>
    </row>
    <row r="13846" spans="38:38" x14ac:dyDescent="0.2">
      <c r="AL13846" s="177"/>
    </row>
    <row r="13847" spans="38:38" x14ac:dyDescent="0.2">
      <c r="AL13847" s="177"/>
    </row>
    <row r="13848" spans="38:38" x14ac:dyDescent="0.2">
      <c r="AL13848" s="177"/>
    </row>
    <row r="13849" spans="38:38" x14ac:dyDescent="0.2">
      <c r="AL13849" s="177"/>
    </row>
    <row r="13850" spans="38:38" x14ac:dyDescent="0.2">
      <c r="AL13850" s="177"/>
    </row>
    <row r="13851" spans="38:38" x14ac:dyDescent="0.2">
      <c r="AL13851" s="177"/>
    </row>
    <row r="13852" spans="38:38" x14ac:dyDescent="0.2">
      <c r="AL13852" s="177"/>
    </row>
    <row r="13853" spans="38:38" x14ac:dyDescent="0.2">
      <c r="AL13853" s="177"/>
    </row>
    <row r="13854" spans="38:38" x14ac:dyDescent="0.2">
      <c r="AL13854" s="177"/>
    </row>
    <row r="13855" spans="38:38" x14ac:dyDescent="0.2">
      <c r="AL13855" s="177"/>
    </row>
    <row r="13856" spans="38:38" x14ac:dyDescent="0.2">
      <c r="AL13856" s="177"/>
    </row>
    <row r="13857" spans="38:38" x14ac:dyDescent="0.2">
      <c r="AL13857" s="177"/>
    </row>
    <row r="13858" spans="38:38" x14ac:dyDescent="0.2">
      <c r="AL13858" s="177"/>
    </row>
    <row r="13859" spans="38:38" x14ac:dyDescent="0.2">
      <c r="AL13859" s="177"/>
    </row>
    <row r="13860" spans="38:38" x14ac:dyDescent="0.2">
      <c r="AL13860" s="177"/>
    </row>
    <row r="13861" spans="38:38" x14ac:dyDescent="0.2">
      <c r="AL13861" s="177"/>
    </row>
    <row r="13862" spans="38:38" x14ac:dyDescent="0.2">
      <c r="AL13862" s="177"/>
    </row>
    <row r="13863" spans="38:38" x14ac:dyDescent="0.2">
      <c r="AL13863" s="177"/>
    </row>
    <row r="13864" spans="38:38" x14ac:dyDescent="0.2">
      <c r="AL13864" s="177"/>
    </row>
    <row r="13865" spans="38:38" x14ac:dyDescent="0.2">
      <c r="AL13865" s="177"/>
    </row>
    <row r="13866" spans="38:38" x14ac:dyDescent="0.2">
      <c r="AL13866" s="177"/>
    </row>
    <row r="13867" spans="38:38" x14ac:dyDescent="0.2">
      <c r="AL13867" s="177"/>
    </row>
    <row r="13868" spans="38:38" x14ac:dyDescent="0.2">
      <c r="AL13868" s="177"/>
    </row>
    <row r="13869" spans="38:38" x14ac:dyDescent="0.2">
      <c r="AL13869" s="177"/>
    </row>
    <row r="13870" spans="38:38" x14ac:dyDescent="0.2">
      <c r="AL13870" s="177"/>
    </row>
    <row r="13871" spans="38:38" x14ac:dyDescent="0.2">
      <c r="AL13871" s="177"/>
    </row>
    <row r="13872" spans="38:38" x14ac:dyDescent="0.2">
      <c r="AL13872" s="177"/>
    </row>
    <row r="13873" spans="38:38" x14ac:dyDescent="0.2">
      <c r="AL13873" s="177"/>
    </row>
    <row r="13874" spans="38:38" x14ac:dyDescent="0.2">
      <c r="AL13874" s="177"/>
    </row>
    <row r="13875" spans="38:38" x14ac:dyDescent="0.2">
      <c r="AL13875" s="177"/>
    </row>
    <row r="13876" spans="38:38" x14ac:dyDescent="0.2">
      <c r="AL13876" s="177"/>
    </row>
    <row r="13877" spans="38:38" x14ac:dyDescent="0.2">
      <c r="AL13877" s="177"/>
    </row>
    <row r="13878" spans="38:38" x14ac:dyDescent="0.2">
      <c r="AL13878" s="177"/>
    </row>
    <row r="13879" spans="38:38" x14ac:dyDescent="0.2">
      <c r="AL13879" s="177"/>
    </row>
    <row r="13880" spans="38:38" x14ac:dyDescent="0.2">
      <c r="AL13880" s="177"/>
    </row>
    <row r="13881" spans="38:38" x14ac:dyDescent="0.2">
      <c r="AL13881" s="177"/>
    </row>
    <row r="13882" spans="38:38" x14ac:dyDescent="0.2">
      <c r="AL13882" s="177"/>
    </row>
    <row r="13883" spans="38:38" x14ac:dyDescent="0.2">
      <c r="AL13883" s="177"/>
    </row>
    <row r="13884" spans="38:38" x14ac:dyDescent="0.2">
      <c r="AL13884" s="177"/>
    </row>
    <row r="13885" spans="38:38" x14ac:dyDescent="0.2">
      <c r="AL13885" s="177"/>
    </row>
    <row r="13886" spans="38:38" x14ac:dyDescent="0.2">
      <c r="AL13886" s="177"/>
    </row>
    <row r="13887" spans="38:38" x14ac:dyDescent="0.2">
      <c r="AL13887" s="177"/>
    </row>
    <row r="13888" spans="38:38" x14ac:dyDescent="0.2">
      <c r="AL13888" s="177"/>
    </row>
    <row r="13889" spans="38:38" x14ac:dyDescent="0.2">
      <c r="AL13889" s="177"/>
    </row>
    <row r="13890" spans="38:38" x14ac:dyDescent="0.2">
      <c r="AL13890" s="177"/>
    </row>
    <row r="13891" spans="38:38" x14ac:dyDescent="0.2">
      <c r="AL13891" s="177"/>
    </row>
    <row r="13892" spans="38:38" x14ac:dyDescent="0.2">
      <c r="AL13892" s="177"/>
    </row>
    <row r="13893" spans="38:38" x14ac:dyDescent="0.2">
      <c r="AL13893" s="177"/>
    </row>
    <row r="13894" spans="38:38" x14ac:dyDescent="0.2">
      <c r="AL13894" s="177"/>
    </row>
    <row r="13895" spans="38:38" x14ac:dyDescent="0.2">
      <c r="AL13895" s="177"/>
    </row>
    <row r="13896" spans="38:38" x14ac:dyDescent="0.2">
      <c r="AL13896" s="177"/>
    </row>
    <row r="13897" spans="38:38" x14ac:dyDescent="0.2">
      <c r="AL13897" s="177"/>
    </row>
    <row r="13898" spans="38:38" x14ac:dyDescent="0.2">
      <c r="AL13898" s="177"/>
    </row>
    <row r="13899" spans="38:38" x14ac:dyDescent="0.2">
      <c r="AL13899" s="177"/>
    </row>
    <row r="13900" spans="38:38" x14ac:dyDescent="0.2">
      <c r="AL13900" s="177"/>
    </row>
    <row r="13901" spans="38:38" x14ac:dyDescent="0.2">
      <c r="AL13901" s="177"/>
    </row>
    <row r="13902" spans="38:38" x14ac:dyDescent="0.2">
      <c r="AL13902" s="177"/>
    </row>
    <row r="13903" spans="38:38" x14ac:dyDescent="0.2">
      <c r="AL13903" s="177"/>
    </row>
    <row r="13904" spans="38:38" x14ac:dyDescent="0.2">
      <c r="AL13904" s="177"/>
    </row>
    <row r="13905" spans="38:38" x14ac:dyDescent="0.2">
      <c r="AL13905" s="177"/>
    </row>
    <row r="13906" spans="38:38" x14ac:dyDescent="0.2">
      <c r="AL13906" s="177"/>
    </row>
    <row r="13907" spans="38:38" x14ac:dyDescent="0.2">
      <c r="AL13907" s="177"/>
    </row>
    <row r="13908" spans="38:38" x14ac:dyDescent="0.2">
      <c r="AL13908" s="177"/>
    </row>
    <row r="13909" spans="38:38" x14ac:dyDescent="0.2">
      <c r="AL13909" s="177"/>
    </row>
    <row r="13910" spans="38:38" x14ac:dyDescent="0.2">
      <c r="AL13910" s="177"/>
    </row>
    <row r="13911" spans="38:38" x14ac:dyDescent="0.2">
      <c r="AL13911" s="177"/>
    </row>
    <row r="13912" spans="38:38" x14ac:dyDescent="0.2">
      <c r="AL13912" s="177"/>
    </row>
    <row r="13913" spans="38:38" x14ac:dyDescent="0.2">
      <c r="AL13913" s="177"/>
    </row>
    <row r="13914" spans="38:38" x14ac:dyDescent="0.2">
      <c r="AL13914" s="177"/>
    </row>
    <row r="13915" spans="38:38" x14ac:dyDescent="0.2">
      <c r="AL13915" s="177"/>
    </row>
    <row r="13916" spans="38:38" x14ac:dyDescent="0.2">
      <c r="AL13916" s="177"/>
    </row>
    <row r="13917" spans="38:38" x14ac:dyDescent="0.2">
      <c r="AL13917" s="177"/>
    </row>
    <row r="13918" spans="38:38" x14ac:dyDescent="0.2">
      <c r="AL13918" s="177"/>
    </row>
    <row r="13919" spans="38:38" x14ac:dyDescent="0.2">
      <c r="AL13919" s="177"/>
    </row>
    <row r="13920" spans="38:38" x14ac:dyDescent="0.2">
      <c r="AL13920" s="177"/>
    </row>
    <row r="13921" spans="38:38" x14ac:dyDescent="0.2">
      <c r="AL13921" s="177"/>
    </row>
    <row r="13922" spans="38:38" x14ac:dyDescent="0.2">
      <c r="AL13922" s="177"/>
    </row>
    <row r="13923" spans="38:38" x14ac:dyDescent="0.2">
      <c r="AL13923" s="177"/>
    </row>
    <row r="13924" spans="38:38" x14ac:dyDescent="0.2">
      <c r="AL13924" s="177"/>
    </row>
    <row r="13925" spans="38:38" x14ac:dyDescent="0.2">
      <c r="AL13925" s="177"/>
    </row>
    <row r="13926" spans="38:38" x14ac:dyDescent="0.2">
      <c r="AL13926" s="177"/>
    </row>
    <row r="13927" spans="38:38" x14ac:dyDescent="0.2">
      <c r="AL13927" s="177"/>
    </row>
    <row r="13928" spans="38:38" x14ac:dyDescent="0.2">
      <c r="AL13928" s="177"/>
    </row>
    <row r="13929" spans="38:38" x14ac:dyDescent="0.2">
      <c r="AL13929" s="177"/>
    </row>
    <row r="13930" spans="38:38" x14ac:dyDescent="0.2">
      <c r="AL13930" s="177"/>
    </row>
    <row r="13931" spans="38:38" x14ac:dyDescent="0.2">
      <c r="AL13931" s="177"/>
    </row>
    <row r="13932" spans="38:38" x14ac:dyDescent="0.2">
      <c r="AL13932" s="177"/>
    </row>
    <row r="13933" spans="38:38" x14ac:dyDescent="0.2">
      <c r="AL13933" s="177"/>
    </row>
    <row r="13934" spans="38:38" x14ac:dyDescent="0.2">
      <c r="AL13934" s="177"/>
    </row>
    <row r="13935" spans="38:38" x14ac:dyDescent="0.2">
      <c r="AL13935" s="177"/>
    </row>
    <row r="13936" spans="38:38" x14ac:dyDescent="0.2">
      <c r="AL13936" s="177"/>
    </row>
    <row r="13937" spans="38:38" x14ac:dyDescent="0.2">
      <c r="AL13937" s="177"/>
    </row>
    <row r="13938" spans="38:38" x14ac:dyDescent="0.2">
      <c r="AL13938" s="177"/>
    </row>
    <row r="13939" spans="38:38" x14ac:dyDescent="0.2">
      <c r="AL13939" s="177"/>
    </row>
    <row r="13940" spans="38:38" x14ac:dyDescent="0.2">
      <c r="AL13940" s="177"/>
    </row>
    <row r="13941" spans="38:38" x14ac:dyDescent="0.2">
      <c r="AL13941" s="177"/>
    </row>
    <row r="13942" spans="38:38" x14ac:dyDescent="0.2">
      <c r="AL13942" s="177"/>
    </row>
    <row r="13943" spans="38:38" x14ac:dyDescent="0.2">
      <c r="AL13943" s="177"/>
    </row>
    <row r="13944" spans="38:38" x14ac:dyDescent="0.2">
      <c r="AL13944" s="177"/>
    </row>
    <row r="13945" spans="38:38" x14ac:dyDescent="0.2">
      <c r="AL13945" s="177"/>
    </row>
    <row r="13946" spans="38:38" x14ac:dyDescent="0.2">
      <c r="AL13946" s="177"/>
    </row>
    <row r="13947" spans="38:38" x14ac:dyDescent="0.2">
      <c r="AL13947" s="177"/>
    </row>
    <row r="13948" spans="38:38" x14ac:dyDescent="0.2">
      <c r="AL13948" s="177"/>
    </row>
    <row r="13949" spans="38:38" x14ac:dyDescent="0.2">
      <c r="AL13949" s="177"/>
    </row>
    <row r="13950" spans="38:38" x14ac:dyDescent="0.2">
      <c r="AL13950" s="177"/>
    </row>
    <row r="13951" spans="38:38" x14ac:dyDescent="0.2">
      <c r="AL13951" s="177"/>
    </row>
    <row r="13952" spans="38:38" x14ac:dyDescent="0.2">
      <c r="AL13952" s="177"/>
    </row>
    <row r="13953" spans="38:38" x14ac:dyDescent="0.2">
      <c r="AL13953" s="177"/>
    </row>
    <row r="13954" spans="38:38" x14ac:dyDescent="0.2">
      <c r="AL13954" s="177"/>
    </row>
    <row r="13955" spans="38:38" x14ac:dyDescent="0.2">
      <c r="AL13955" s="177"/>
    </row>
    <row r="13956" spans="38:38" x14ac:dyDescent="0.2">
      <c r="AL13956" s="177"/>
    </row>
    <row r="13957" spans="38:38" x14ac:dyDescent="0.2">
      <c r="AL13957" s="177"/>
    </row>
    <row r="13958" spans="38:38" x14ac:dyDescent="0.2">
      <c r="AL13958" s="177"/>
    </row>
    <row r="13959" spans="38:38" x14ac:dyDescent="0.2">
      <c r="AL13959" s="177"/>
    </row>
    <row r="13960" spans="38:38" x14ac:dyDescent="0.2">
      <c r="AL13960" s="177"/>
    </row>
    <row r="13961" spans="38:38" x14ac:dyDescent="0.2">
      <c r="AL13961" s="177"/>
    </row>
    <row r="13962" spans="38:38" x14ac:dyDescent="0.2">
      <c r="AL13962" s="177"/>
    </row>
    <row r="13963" spans="38:38" x14ac:dyDescent="0.2">
      <c r="AL13963" s="177"/>
    </row>
    <row r="13964" spans="38:38" x14ac:dyDescent="0.2">
      <c r="AL13964" s="177"/>
    </row>
    <row r="13965" spans="38:38" x14ac:dyDescent="0.2">
      <c r="AL13965" s="177"/>
    </row>
    <row r="13966" spans="38:38" x14ac:dyDescent="0.2">
      <c r="AL13966" s="177"/>
    </row>
    <row r="13967" spans="38:38" x14ac:dyDescent="0.2">
      <c r="AL13967" s="177"/>
    </row>
    <row r="13968" spans="38:38" x14ac:dyDescent="0.2">
      <c r="AL13968" s="177"/>
    </row>
    <row r="13969" spans="38:38" x14ac:dyDescent="0.2">
      <c r="AL13969" s="177"/>
    </row>
    <row r="13970" spans="38:38" x14ac:dyDescent="0.2">
      <c r="AL13970" s="177"/>
    </row>
    <row r="13971" spans="38:38" x14ac:dyDescent="0.2">
      <c r="AL13971" s="177"/>
    </row>
    <row r="13972" spans="38:38" x14ac:dyDescent="0.2">
      <c r="AL13972" s="177"/>
    </row>
    <row r="13973" spans="38:38" x14ac:dyDescent="0.2">
      <c r="AL13973" s="177"/>
    </row>
    <row r="13974" spans="38:38" x14ac:dyDescent="0.2">
      <c r="AL13974" s="177"/>
    </row>
    <row r="13975" spans="38:38" x14ac:dyDescent="0.2">
      <c r="AL13975" s="177"/>
    </row>
    <row r="13976" spans="38:38" x14ac:dyDescent="0.2">
      <c r="AL13976" s="177"/>
    </row>
    <row r="13977" spans="38:38" x14ac:dyDescent="0.2">
      <c r="AL13977" s="177"/>
    </row>
    <row r="13978" spans="38:38" x14ac:dyDescent="0.2">
      <c r="AL13978" s="177"/>
    </row>
    <row r="13979" spans="38:38" x14ac:dyDescent="0.2">
      <c r="AL13979" s="177"/>
    </row>
    <row r="13980" spans="38:38" x14ac:dyDescent="0.2">
      <c r="AL13980" s="177"/>
    </row>
    <row r="13981" spans="38:38" x14ac:dyDescent="0.2">
      <c r="AL13981" s="177"/>
    </row>
    <row r="13982" spans="38:38" x14ac:dyDescent="0.2">
      <c r="AL13982" s="177"/>
    </row>
    <row r="13983" spans="38:38" x14ac:dyDescent="0.2">
      <c r="AL13983" s="177"/>
    </row>
    <row r="13984" spans="38:38" x14ac:dyDescent="0.2">
      <c r="AL13984" s="177"/>
    </row>
    <row r="13985" spans="38:38" x14ac:dyDescent="0.2">
      <c r="AL13985" s="177"/>
    </row>
    <row r="13986" spans="38:38" x14ac:dyDescent="0.2">
      <c r="AL13986" s="177"/>
    </row>
    <row r="13987" spans="38:38" x14ac:dyDescent="0.2">
      <c r="AL13987" s="177"/>
    </row>
    <row r="13988" spans="38:38" x14ac:dyDescent="0.2">
      <c r="AL13988" s="177"/>
    </row>
    <row r="13989" spans="38:38" x14ac:dyDescent="0.2">
      <c r="AL13989" s="177"/>
    </row>
    <row r="13990" spans="38:38" x14ac:dyDescent="0.2">
      <c r="AL13990" s="177"/>
    </row>
    <row r="13991" spans="38:38" x14ac:dyDescent="0.2">
      <c r="AL13991" s="177"/>
    </row>
    <row r="13992" spans="38:38" x14ac:dyDescent="0.2">
      <c r="AL13992" s="177"/>
    </row>
    <row r="13993" spans="38:38" x14ac:dyDescent="0.2">
      <c r="AL13993" s="177"/>
    </row>
    <row r="13994" spans="38:38" x14ac:dyDescent="0.2">
      <c r="AL13994" s="177"/>
    </row>
    <row r="13995" spans="38:38" x14ac:dyDescent="0.2">
      <c r="AL13995" s="177"/>
    </row>
    <row r="13996" spans="38:38" x14ac:dyDescent="0.2">
      <c r="AL13996" s="177"/>
    </row>
    <row r="13997" spans="38:38" x14ac:dyDescent="0.2">
      <c r="AL13997" s="177"/>
    </row>
    <row r="13998" spans="38:38" x14ac:dyDescent="0.2">
      <c r="AL13998" s="177"/>
    </row>
    <row r="13999" spans="38:38" x14ac:dyDescent="0.2">
      <c r="AL13999" s="177"/>
    </row>
    <row r="14000" spans="38:38" x14ac:dyDescent="0.2">
      <c r="AL14000" s="177"/>
    </row>
    <row r="14001" spans="38:38" x14ac:dyDescent="0.2">
      <c r="AL14001" s="177"/>
    </row>
    <row r="14002" spans="38:38" x14ac:dyDescent="0.2">
      <c r="AL14002" s="177"/>
    </row>
    <row r="14003" spans="38:38" x14ac:dyDescent="0.2">
      <c r="AL14003" s="177"/>
    </row>
    <row r="14004" spans="38:38" x14ac:dyDescent="0.2">
      <c r="AL14004" s="177"/>
    </row>
    <row r="14005" spans="38:38" x14ac:dyDescent="0.2">
      <c r="AL14005" s="177"/>
    </row>
    <row r="14006" spans="38:38" x14ac:dyDescent="0.2">
      <c r="AL14006" s="177"/>
    </row>
    <row r="14007" spans="38:38" x14ac:dyDescent="0.2">
      <c r="AL14007" s="177"/>
    </row>
    <row r="14008" spans="38:38" x14ac:dyDescent="0.2">
      <c r="AL14008" s="177"/>
    </row>
    <row r="14009" spans="38:38" x14ac:dyDescent="0.2">
      <c r="AL14009" s="177"/>
    </row>
    <row r="14010" spans="38:38" x14ac:dyDescent="0.2">
      <c r="AL14010" s="177"/>
    </row>
    <row r="14011" spans="38:38" x14ac:dyDescent="0.2">
      <c r="AL14011" s="177"/>
    </row>
    <row r="14012" spans="38:38" x14ac:dyDescent="0.2">
      <c r="AL14012" s="177"/>
    </row>
    <row r="14013" spans="38:38" x14ac:dyDescent="0.2">
      <c r="AL14013" s="177"/>
    </row>
    <row r="14014" spans="38:38" x14ac:dyDescent="0.2">
      <c r="AL14014" s="177"/>
    </row>
    <row r="14015" spans="38:38" x14ac:dyDescent="0.2">
      <c r="AL14015" s="177"/>
    </row>
    <row r="14016" spans="38:38" x14ac:dyDescent="0.2">
      <c r="AL14016" s="177"/>
    </row>
    <row r="14017" spans="38:38" x14ac:dyDescent="0.2">
      <c r="AL14017" s="177"/>
    </row>
    <row r="14018" spans="38:38" x14ac:dyDescent="0.2">
      <c r="AL14018" s="177"/>
    </row>
    <row r="14019" spans="38:38" x14ac:dyDescent="0.2">
      <c r="AL14019" s="177"/>
    </row>
    <row r="14020" spans="38:38" x14ac:dyDescent="0.2">
      <c r="AL14020" s="177"/>
    </row>
    <row r="14021" spans="38:38" x14ac:dyDescent="0.2">
      <c r="AL14021" s="177"/>
    </row>
    <row r="14022" spans="38:38" x14ac:dyDescent="0.2">
      <c r="AL14022" s="177"/>
    </row>
    <row r="14023" spans="38:38" x14ac:dyDescent="0.2">
      <c r="AL14023" s="177"/>
    </row>
    <row r="14024" spans="38:38" x14ac:dyDescent="0.2">
      <c r="AL14024" s="177"/>
    </row>
    <row r="14025" spans="38:38" x14ac:dyDescent="0.2">
      <c r="AL14025" s="177"/>
    </row>
    <row r="14026" spans="38:38" x14ac:dyDescent="0.2">
      <c r="AL14026" s="177"/>
    </row>
    <row r="14027" spans="38:38" x14ac:dyDescent="0.2">
      <c r="AL14027" s="177"/>
    </row>
    <row r="14028" spans="38:38" x14ac:dyDescent="0.2">
      <c r="AL14028" s="177"/>
    </row>
    <row r="14029" spans="38:38" x14ac:dyDescent="0.2">
      <c r="AL14029" s="177"/>
    </row>
    <row r="14030" spans="38:38" x14ac:dyDescent="0.2">
      <c r="AL14030" s="177"/>
    </row>
    <row r="14031" spans="38:38" x14ac:dyDescent="0.2">
      <c r="AL14031" s="177"/>
    </row>
    <row r="14032" spans="38:38" x14ac:dyDescent="0.2">
      <c r="AL14032" s="177"/>
    </row>
    <row r="14033" spans="38:38" x14ac:dyDescent="0.2">
      <c r="AL14033" s="177"/>
    </row>
    <row r="14034" spans="38:38" x14ac:dyDescent="0.2">
      <c r="AL14034" s="177"/>
    </row>
    <row r="14035" spans="38:38" x14ac:dyDescent="0.2">
      <c r="AL14035" s="177"/>
    </row>
    <row r="14036" spans="38:38" x14ac:dyDescent="0.2">
      <c r="AL14036" s="177"/>
    </row>
    <row r="14037" spans="38:38" x14ac:dyDescent="0.2">
      <c r="AL14037" s="177"/>
    </row>
    <row r="14038" spans="38:38" x14ac:dyDescent="0.2">
      <c r="AL14038" s="177"/>
    </row>
    <row r="14039" spans="38:38" x14ac:dyDescent="0.2">
      <c r="AL14039" s="177"/>
    </row>
    <row r="14040" spans="38:38" x14ac:dyDescent="0.2">
      <c r="AL14040" s="177"/>
    </row>
    <row r="14041" spans="38:38" x14ac:dyDescent="0.2">
      <c r="AL14041" s="177"/>
    </row>
    <row r="14042" spans="38:38" x14ac:dyDescent="0.2">
      <c r="AL14042" s="177"/>
    </row>
    <row r="14043" spans="38:38" x14ac:dyDescent="0.2">
      <c r="AL14043" s="177"/>
    </row>
    <row r="14044" spans="38:38" x14ac:dyDescent="0.2">
      <c r="AL14044" s="177"/>
    </row>
    <row r="14045" spans="38:38" x14ac:dyDescent="0.2">
      <c r="AL14045" s="177"/>
    </row>
    <row r="14046" spans="38:38" x14ac:dyDescent="0.2">
      <c r="AL14046" s="177"/>
    </row>
    <row r="14047" spans="38:38" x14ac:dyDescent="0.2">
      <c r="AL14047" s="177"/>
    </row>
    <row r="14048" spans="38:38" x14ac:dyDescent="0.2">
      <c r="AL14048" s="177"/>
    </row>
    <row r="14049" spans="38:38" x14ac:dyDescent="0.2">
      <c r="AL14049" s="177"/>
    </row>
    <row r="14050" spans="38:38" x14ac:dyDescent="0.2">
      <c r="AL14050" s="177"/>
    </row>
    <row r="14051" spans="38:38" x14ac:dyDescent="0.2">
      <c r="AL14051" s="177"/>
    </row>
    <row r="14052" spans="38:38" x14ac:dyDescent="0.2">
      <c r="AL14052" s="177"/>
    </row>
    <row r="14053" spans="38:38" x14ac:dyDescent="0.2">
      <c r="AL14053" s="177"/>
    </row>
    <row r="14054" spans="38:38" x14ac:dyDescent="0.2">
      <c r="AL14054" s="177"/>
    </row>
    <row r="14055" spans="38:38" x14ac:dyDescent="0.2">
      <c r="AL14055" s="177"/>
    </row>
    <row r="14056" spans="38:38" x14ac:dyDescent="0.2">
      <c r="AL14056" s="177"/>
    </row>
    <row r="14057" spans="38:38" x14ac:dyDescent="0.2">
      <c r="AL14057" s="177"/>
    </row>
    <row r="14058" spans="38:38" x14ac:dyDescent="0.2">
      <c r="AL14058" s="177"/>
    </row>
    <row r="14059" spans="38:38" x14ac:dyDescent="0.2">
      <c r="AL14059" s="177"/>
    </row>
    <row r="14060" spans="38:38" x14ac:dyDescent="0.2">
      <c r="AL14060" s="177"/>
    </row>
    <row r="14061" spans="38:38" x14ac:dyDescent="0.2">
      <c r="AL14061" s="177"/>
    </row>
    <row r="14062" spans="38:38" x14ac:dyDescent="0.2">
      <c r="AL14062" s="177"/>
    </row>
    <row r="14063" spans="38:38" x14ac:dyDescent="0.2">
      <c r="AL14063" s="177"/>
    </row>
    <row r="14064" spans="38:38" x14ac:dyDescent="0.2">
      <c r="AL14064" s="177"/>
    </row>
    <row r="14065" spans="38:38" x14ac:dyDescent="0.2">
      <c r="AL14065" s="177"/>
    </row>
    <row r="14066" spans="38:38" x14ac:dyDescent="0.2">
      <c r="AL14066" s="177"/>
    </row>
    <row r="14067" spans="38:38" x14ac:dyDescent="0.2">
      <c r="AL14067" s="177"/>
    </row>
    <row r="14068" spans="38:38" x14ac:dyDescent="0.2">
      <c r="AL14068" s="177"/>
    </row>
    <row r="14069" spans="38:38" x14ac:dyDescent="0.2">
      <c r="AL14069" s="177"/>
    </row>
    <row r="14070" spans="38:38" x14ac:dyDescent="0.2">
      <c r="AL14070" s="177"/>
    </row>
    <row r="14071" spans="38:38" x14ac:dyDescent="0.2">
      <c r="AL14071" s="177"/>
    </row>
    <row r="14072" spans="38:38" x14ac:dyDescent="0.2">
      <c r="AL14072" s="177"/>
    </row>
    <row r="14073" spans="38:38" x14ac:dyDescent="0.2">
      <c r="AL14073" s="177"/>
    </row>
    <row r="14074" spans="38:38" x14ac:dyDescent="0.2">
      <c r="AL14074" s="177"/>
    </row>
    <row r="14075" spans="38:38" x14ac:dyDescent="0.2">
      <c r="AL14075" s="177"/>
    </row>
    <row r="14076" spans="38:38" x14ac:dyDescent="0.2">
      <c r="AL14076" s="177"/>
    </row>
    <row r="14077" spans="38:38" x14ac:dyDescent="0.2">
      <c r="AL14077" s="177"/>
    </row>
    <row r="14078" spans="38:38" x14ac:dyDescent="0.2">
      <c r="AL14078" s="177"/>
    </row>
    <row r="14079" spans="38:38" x14ac:dyDescent="0.2">
      <c r="AL14079" s="177"/>
    </row>
    <row r="14080" spans="38:38" x14ac:dyDescent="0.2">
      <c r="AL14080" s="177"/>
    </row>
    <row r="14081" spans="38:38" x14ac:dyDescent="0.2">
      <c r="AL14081" s="177"/>
    </row>
    <row r="14082" spans="38:38" x14ac:dyDescent="0.2">
      <c r="AL14082" s="177"/>
    </row>
    <row r="14083" spans="38:38" x14ac:dyDescent="0.2">
      <c r="AL14083" s="177"/>
    </row>
    <row r="14084" spans="38:38" x14ac:dyDescent="0.2">
      <c r="AL14084" s="177"/>
    </row>
    <row r="14085" spans="38:38" x14ac:dyDescent="0.2">
      <c r="AL14085" s="177"/>
    </row>
    <row r="14086" spans="38:38" x14ac:dyDescent="0.2">
      <c r="AL14086" s="177"/>
    </row>
    <row r="14087" spans="38:38" x14ac:dyDescent="0.2">
      <c r="AL14087" s="177"/>
    </row>
    <row r="14088" spans="38:38" x14ac:dyDescent="0.2">
      <c r="AL14088" s="177"/>
    </row>
    <row r="14089" spans="38:38" x14ac:dyDescent="0.2">
      <c r="AL14089" s="177"/>
    </row>
    <row r="14090" spans="38:38" x14ac:dyDescent="0.2">
      <c r="AL14090" s="177"/>
    </row>
    <row r="14091" spans="38:38" x14ac:dyDescent="0.2">
      <c r="AL14091" s="177"/>
    </row>
    <row r="14092" spans="38:38" x14ac:dyDescent="0.2">
      <c r="AL14092" s="177"/>
    </row>
    <row r="14093" spans="38:38" x14ac:dyDescent="0.2">
      <c r="AL14093" s="177"/>
    </row>
    <row r="14094" spans="38:38" x14ac:dyDescent="0.2">
      <c r="AL14094" s="177"/>
    </row>
    <row r="14095" spans="38:38" x14ac:dyDescent="0.2">
      <c r="AL14095" s="177"/>
    </row>
    <row r="14096" spans="38:38" x14ac:dyDescent="0.2">
      <c r="AL14096" s="177"/>
    </row>
    <row r="14097" spans="38:38" x14ac:dyDescent="0.2">
      <c r="AL14097" s="177"/>
    </row>
    <row r="14098" spans="38:38" x14ac:dyDescent="0.2">
      <c r="AL14098" s="177"/>
    </row>
    <row r="14099" spans="38:38" x14ac:dyDescent="0.2">
      <c r="AL14099" s="177"/>
    </row>
    <row r="14100" spans="38:38" x14ac:dyDescent="0.2">
      <c r="AL14100" s="177"/>
    </row>
    <row r="14101" spans="38:38" x14ac:dyDescent="0.2">
      <c r="AL14101" s="177"/>
    </row>
    <row r="14102" spans="38:38" x14ac:dyDescent="0.2">
      <c r="AL14102" s="177"/>
    </row>
    <row r="14103" spans="38:38" x14ac:dyDescent="0.2">
      <c r="AL14103" s="177"/>
    </row>
    <row r="14104" spans="38:38" x14ac:dyDescent="0.2">
      <c r="AL14104" s="177"/>
    </row>
    <row r="14105" spans="38:38" x14ac:dyDescent="0.2">
      <c r="AL14105" s="177"/>
    </row>
    <row r="14106" spans="38:38" x14ac:dyDescent="0.2">
      <c r="AL14106" s="177"/>
    </row>
    <row r="14107" spans="38:38" x14ac:dyDescent="0.2">
      <c r="AL14107" s="177"/>
    </row>
    <row r="14108" spans="38:38" x14ac:dyDescent="0.2">
      <c r="AL14108" s="177"/>
    </row>
    <row r="14109" spans="38:38" x14ac:dyDescent="0.2">
      <c r="AL14109" s="177"/>
    </row>
    <row r="14110" spans="38:38" x14ac:dyDescent="0.2">
      <c r="AL14110" s="177"/>
    </row>
    <row r="14111" spans="38:38" x14ac:dyDescent="0.2">
      <c r="AL14111" s="177"/>
    </row>
    <row r="14112" spans="38:38" x14ac:dyDescent="0.2">
      <c r="AL14112" s="177"/>
    </row>
    <row r="14113" spans="38:38" x14ac:dyDescent="0.2">
      <c r="AL14113" s="177"/>
    </row>
    <row r="14114" spans="38:38" x14ac:dyDescent="0.2">
      <c r="AL14114" s="177"/>
    </row>
    <row r="14115" spans="38:38" x14ac:dyDescent="0.2">
      <c r="AL14115" s="177"/>
    </row>
    <row r="14116" spans="38:38" x14ac:dyDescent="0.2">
      <c r="AL14116" s="177"/>
    </row>
    <row r="14117" spans="38:38" x14ac:dyDescent="0.2">
      <c r="AL14117" s="177"/>
    </row>
    <row r="14118" spans="38:38" x14ac:dyDescent="0.2">
      <c r="AL14118" s="177"/>
    </row>
    <row r="14119" spans="38:38" x14ac:dyDescent="0.2">
      <c r="AL14119" s="177"/>
    </row>
    <row r="14120" spans="38:38" x14ac:dyDescent="0.2">
      <c r="AL14120" s="177"/>
    </row>
    <row r="14121" spans="38:38" x14ac:dyDescent="0.2">
      <c r="AL14121" s="177"/>
    </row>
    <row r="14122" spans="38:38" x14ac:dyDescent="0.2">
      <c r="AL14122" s="177"/>
    </row>
    <row r="14123" spans="38:38" x14ac:dyDescent="0.2">
      <c r="AL14123" s="177"/>
    </row>
    <row r="14124" spans="38:38" x14ac:dyDescent="0.2">
      <c r="AL14124" s="177"/>
    </row>
    <row r="14125" spans="38:38" x14ac:dyDescent="0.2">
      <c r="AL14125" s="177"/>
    </row>
    <row r="14126" spans="38:38" x14ac:dyDescent="0.2">
      <c r="AL14126" s="177"/>
    </row>
    <row r="14127" spans="38:38" x14ac:dyDescent="0.2">
      <c r="AL14127" s="177"/>
    </row>
    <row r="14128" spans="38:38" x14ac:dyDescent="0.2">
      <c r="AL14128" s="177"/>
    </row>
    <row r="14129" spans="38:38" x14ac:dyDescent="0.2">
      <c r="AL14129" s="177"/>
    </row>
    <row r="14130" spans="38:38" x14ac:dyDescent="0.2">
      <c r="AL14130" s="177"/>
    </row>
    <row r="14131" spans="38:38" x14ac:dyDescent="0.2">
      <c r="AL14131" s="177"/>
    </row>
    <row r="14132" spans="38:38" x14ac:dyDescent="0.2">
      <c r="AL14132" s="177"/>
    </row>
    <row r="14133" spans="38:38" x14ac:dyDescent="0.2">
      <c r="AL14133" s="177"/>
    </row>
    <row r="14134" spans="38:38" x14ac:dyDescent="0.2">
      <c r="AL14134" s="177"/>
    </row>
    <row r="14135" spans="38:38" x14ac:dyDescent="0.2">
      <c r="AL14135" s="177"/>
    </row>
    <row r="14136" spans="38:38" x14ac:dyDescent="0.2">
      <c r="AL14136" s="177"/>
    </row>
    <row r="14137" spans="38:38" x14ac:dyDescent="0.2">
      <c r="AL14137" s="177"/>
    </row>
    <row r="14138" spans="38:38" x14ac:dyDescent="0.2">
      <c r="AL14138" s="177"/>
    </row>
    <row r="14139" spans="38:38" x14ac:dyDescent="0.2">
      <c r="AL14139" s="177"/>
    </row>
    <row r="14140" spans="38:38" x14ac:dyDescent="0.2">
      <c r="AL14140" s="177"/>
    </row>
    <row r="14141" spans="38:38" x14ac:dyDescent="0.2">
      <c r="AL14141" s="177"/>
    </row>
    <row r="14142" spans="38:38" x14ac:dyDescent="0.2">
      <c r="AL14142" s="177"/>
    </row>
    <row r="14143" spans="38:38" x14ac:dyDescent="0.2">
      <c r="AL14143" s="177"/>
    </row>
    <row r="14144" spans="38:38" x14ac:dyDescent="0.2">
      <c r="AL14144" s="177"/>
    </row>
    <row r="14145" spans="38:38" x14ac:dyDescent="0.2">
      <c r="AL14145" s="177"/>
    </row>
    <row r="14146" spans="38:38" x14ac:dyDescent="0.2">
      <c r="AL14146" s="177"/>
    </row>
    <row r="14147" spans="38:38" x14ac:dyDescent="0.2">
      <c r="AL14147" s="177"/>
    </row>
    <row r="14148" spans="38:38" x14ac:dyDescent="0.2">
      <c r="AL14148" s="177"/>
    </row>
    <row r="14149" spans="38:38" x14ac:dyDescent="0.2">
      <c r="AL14149" s="177"/>
    </row>
    <row r="14150" spans="38:38" x14ac:dyDescent="0.2">
      <c r="AL14150" s="177"/>
    </row>
    <row r="14151" spans="38:38" x14ac:dyDescent="0.2">
      <c r="AL14151" s="177"/>
    </row>
    <row r="14152" spans="38:38" x14ac:dyDescent="0.2">
      <c r="AL14152" s="177"/>
    </row>
    <row r="14153" spans="38:38" x14ac:dyDescent="0.2">
      <c r="AL14153" s="177"/>
    </row>
    <row r="14154" spans="38:38" x14ac:dyDescent="0.2">
      <c r="AL14154" s="177"/>
    </row>
    <row r="14155" spans="38:38" x14ac:dyDescent="0.2">
      <c r="AL14155" s="177"/>
    </row>
    <row r="14156" spans="38:38" x14ac:dyDescent="0.2">
      <c r="AL14156" s="177"/>
    </row>
    <row r="14157" spans="38:38" x14ac:dyDescent="0.2">
      <c r="AL14157" s="177"/>
    </row>
    <row r="14158" spans="38:38" x14ac:dyDescent="0.2">
      <c r="AL14158" s="177"/>
    </row>
    <row r="14159" spans="38:38" x14ac:dyDescent="0.2">
      <c r="AL14159" s="177"/>
    </row>
    <row r="14160" spans="38:38" x14ac:dyDescent="0.2">
      <c r="AL14160" s="177"/>
    </row>
    <row r="14161" spans="38:38" x14ac:dyDescent="0.2">
      <c r="AL14161" s="177"/>
    </row>
    <row r="14162" spans="38:38" x14ac:dyDescent="0.2">
      <c r="AL14162" s="177"/>
    </row>
    <row r="14163" spans="38:38" x14ac:dyDescent="0.2">
      <c r="AL14163" s="177"/>
    </row>
    <row r="14164" spans="38:38" x14ac:dyDescent="0.2">
      <c r="AL14164" s="177"/>
    </row>
    <row r="14165" spans="38:38" x14ac:dyDescent="0.2">
      <c r="AL14165" s="177"/>
    </row>
    <row r="14166" spans="38:38" x14ac:dyDescent="0.2">
      <c r="AL14166" s="177"/>
    </row>
    <row r="14167" spans="38:38" x14ac:dyDescent="0.2">
      <c r="AL14167" s="177"/>
    </row>
    <row r="14168" spans="38:38" x14ac:dyDescent="0.2">
      <c r="AL14168" s="177"/>
    </row>
    <row r="14169" spans="38:38" x14ac:dyDescent="0.2">
      <c r="AL14169" s="177"/>
    </row>
    <row r="14170" spans="38:38" x14ac:dyDescent="0.2">
      <c r="AL14170" s="177"/>
    </row>
    <row r="14171" spans="38:38" x14ac:dyDescent="0.2">
      <c r="AL14171" s="177"/>
    </row>
    <row r="14172" spans="38:38" x14ac:dyDescent="0.2">
      <c r="AL14172" s="177"/>
    </row>
    <row r="14173" spans="38:38" x14ac:dyDescent="0.2">
      <c r="AL14173" s="177"/>
    </row>
    <row r="14174" spans="38:38" x14ac:dyDescent="0.2">
      <c r="AL14174" s="177"/>
    </row>
    <row r="14175" spans="38:38" x14ac:dyDescent="0.2">
      <c r="AL14175" s="177"/>
    </row>
    <row r="14176" spans="38:38" x14ac:dyDescent="0.2">
      <c r="AL14176" s="177"/>
    </row>
    <row r="14177" spans="38:38" x14ac:dyDescent="0.2">
      <c r="AL14177" s="177"/>
    </row>
    <row r="14178" spans="38:38" x14ac:dyDescent="0.2">
      <c r="AL14178" s="177"/>
    </row>
    <row r="14179" spans="38:38" x14ac:dyDescent="0.2">
      <c r="AL14179" s="177"/>
    </row>
    <row r="14180" spans="38:38" x14ac:dyDescent="0.2">
      <c r="AL14180" s="177"/>
    </row>
    <row r="14181" spans="38:38" x14ac:dyDescent="0.2">
      <c r="AL14181" s="177"/>
    </row>
    <row r="14182" spans="38:38" x14ac:dyDescent="0.2">
      <c r="AL14182" s="177"/>
    </row>
    <row r="14183" spans="38:38" x14ac:dyDescent="0.2">
      <c r="AL14183" s="177"/>
    </row>
    <row r="14184" spans="38:38" x14ac:dyDescent="0.2">
      <c r="AL14184" s="177"/>
    </row>
    <row r="14185" spans="38:38" x14ac:dyDescent="0.2">
      <c r="AL14185" s="177"/>
    </row>
    <row r="14186" spans="38:38" x14ac:dyDescent="0.2">
      <c r="AL14186" s="177"/>
    </row>
    <row r="14187" spans="38:38" x14ac:dyDescent="0.2">
      <c r="AL14187" s="177"/>
    </row>
    <row r="14188" spans="38:38" x14ac:dyDescent="0.2">
      <c r="AL14188" s="177"/>
    </row>
    <row r="14189" spans="38:38" x14ac:dyDescent="0.2">
      <c r="AL14189" s="177"/>
    </row>
    <row r="14190" spans="38:38" x14ac:dyDescent="0.2">
      <c r="AL14190" s="177"/>
    </row>
    <row r="14191" spans="38:38" x14ac:dyDescent="0.2">
      <c r="AL14191" s="177"/>
    </row>
    <row r="14192" spans="38:38" x14ac:dyDescent="0.2">
      <c r="AL14192" s="177"/>
    </row>
    <row r="14193" spans="38:38" x14ac:dyDescent="0.2">
      <c r="AL14193" s="177"/>
    </row>
    <row r="14194" spans="38:38" x14ac:dyDescent="0.2">
      <c r="AL14194" s="177"/>
    </row>
    <row r="14195" spans="38:38" x14ac:dyDescent="0.2">
      <c r="AL14195" s="177"/>
    </row>
    <row r="14196" spans="38:38" x14ac:dyDescent="0.2">
      <c r="AL14196" s="177"/>
    </row>
    <row r="14197" spans="38:38" x14ac:dyDescent="0.2">
      <c r="AL14197" s="177"/>
    </row>
    <row r="14198" spans="38:38" x14ac:dyDescent="0.2">
      <c r="AL14198" s="177"/>
    </row>
    <row r="14199" spans="38:38" x14ac:dyDescent="0.2">
      <c r="AL14199" s="177"/>
    </row>
    <row r="14200" spans="38:38" x14ac:dyDescent="0.2">
      <c r="AL14200" s="177"/>
    </row>
    <row r="14201" spans="38:38" x14ac:dyDescent="0.2">
      <c r="AL14201" s="177"/>
    </row>
    <row r="14202" spans="38:38" x14ac:dyDescent="0.2">
      <c r="AL14202" s="177"/>
    </row>
    <row r="14203" spans="38:38" x14ac:dyDescent="0.2">
      <c r="AL14203" s="177"/>
    </row>
    <row r="14204" spans="38:38" x14ac:dyDescent="0.2">
      <c r="AL14204" s="177"/>
    </row>
    <row r="14205" spans="38:38" x14ac:dyDescent="0.2">
      <c r="AL14205" s="177"/>
    </row>
    <row r="14206" spans="38:38" x14ac:dyDescent="0.2">
      <c r="AL14206" s="177"/>
    </row>
    <row r="14207" spans="38:38" x14ac:dyDescent="0.2">
      <c r="AL14207" s="177"/>
    </row>
    <row r="14208" spans="38:38" x14ac:dyDescent="0.2">
      <c r="AL14208" s="177"/>
    </row>
    <row r="14209" spans="38:38" x14ac:dyDescent="0.2">
      <c r="AL14209" s="177"/>
    </row>
    <row r="14210" spans="38:38" x14ac:dyDescent="0.2">
      <c r="AL14210" s="177"/>
    </row>
    <row r="14211" spans="38:38" x14ac:dyDescent="0.2">
      <c r="AL14211" s="177"/>
    </row>
    <row r="14212" spans="38:38" x14ac:dyDescent="0.2">
      <c r="AL14212" s="177"/>
    </row>
    <row r="14213" spans="38:38" x14ac:dyDescent="0.2">
      <c r="AL14213" s="177"/>
    </row>
    <row r="14214" spans="38:38" x14ac:dyDescent="0.2">
      <c r="AL14214" s="177"/>
    </row>
    <row r="14215" spans="38:38" x14ac:dyDescent="0.2">
      <c r="AL14215" s="177"/>
    </row>
    <row r="14216" spans="38:38" x14ac:dyDescent="0.2">
      <c r="AL14216" s="177"/>
    </row>
    <row r="14217" spans="38:38" x14ac:dyDescent="0.2">
      <c r="AL14217" s="177"/>
    </row>
    <row r="14218" spans="38:38" x14ac:dyDescent="0.2">
      <c r="AL14218" s="177"/>
    </row>
    <row r="14219" spans="38:38" x14ac:dyDescent="0.2">
      <c r="AL14219" s="177"/>
    </row>
    <row r="14220" spans="38:38" x14ac:dyDescent="0.2">
      <c r="AL14220" s="177"/>
    </row>
    <row r="14221" spans="38:38" x14ac:dyDescent="0.2">
      <c r="AL14221" s="177"/>
    </row>
    <row r="14222" spans="38:38" x14ac:dyDescent="0.2">
      <c r="AL14222" s="177"/>
    </row>
    <row r="14223" spans="38:38" x14ac:dyDescent="0.2">
      <c r="AL14223" s="177"/>
    </row>
    <row r="14224" spans="38:38" x14ac:dyDescent="0.2">
      <c r="AL14224" s="177"/>
    </row>
    <row r="14225" spans="38:38" x14ac:dyDescent="0.2">
      <c r="AL14225" s="177"/>
    </row>
    <row r="14226" spans="38:38" x14ac:dyDescent="0.2">
      <c r="AL14226" s="177"/>
    </row>
    <row r="14227" spans="38:38" x14ac:dyDescent="0.2">
      <c r="AL14227" s="177"/>
    </row>
    <row r="14228" spans="38:38" x14ac:dyDescent="0.2">
      <c r="AL14228" s="177"/>
    </row>
    <row r="14229" spans="38:38" x14ac:dyDescent="0.2">
      <c r="AL14229" s="177"/>
    </row>
    <row r="14230" spans="38:38" x14ac:dyDescent="0.2">
      <c r="AL14230" s="177"/>
    </row>
    <row r="14231" spans="38:38" x14ac:dyDescent="0.2">
      <c r="AL14231" s="177"/>
    </row>
    <row r="14232" spans="38:38" x14ac:dyDescent="0.2">
      <c r="AL14232" s="177"/>
    </row>
    <row r="14233" spans="38:38" x14ac:dyDescent="0.2">
      <c r="AL14233" s="177"/>
    </row>
    <row r="14234" spans="38:38" x14ac:dyDescent="0.2">
      <c r="AL14234" s="177"/>
    </row>
    <row r="14235" spans="38:38" x14ac:dyDescent="0.2">
      <c r="AL14235" s="177"/>
    </row>
    <row r="14236" spans="38:38" x14ac:dyDescent="0.2">
      <c r="AL14236" s="177"/>
    </row>
    <row r="14237" spans="38:38" x14ac:dyDescent="0.2">
      <c r="AL14237" s="177"/>
    </row>
    <row r="14238" spans="38:38" x14ac:dyDescent="0.2">
      <c r="AL14238" s="177"/>
    </row>
    <row r="14239" spans="38:38" x14ac:dyDescent="0.2">
      <c r="AL14239" s="177"/>
    </row>
    <row r="14240" spans="38:38" x14ac:dyDescent="0.2">
      <c r="AL14240" s="177"/>
    </row>
    <row r="14241" spans="38:38" x14ac:dyDescent="0.2">
      <c r="AL14241" s="177"/>
    </row>
    <row r="14242" spans="38:38" x14ac:dyDescent="0.2">
      <c r="AL14242" s="177"/>
    </row>
    <row r="14243" spans="38:38" x14ac:dyDescent="0.2">
      <c r="AL14243" s="177"/>
    </row>
    <row r="14244" spans="38:38" x14ac:dyDescent="0.2">
      <c r="AL14244" s="177"/>
    </row>
    <row r="14245" spans="38:38" x14ac:dyDescent="0.2">
      <c r="AL14245" s="177"/>
    </row>
    <row r="14246" spans="38:38" x14ac:dyDescent="0.2">
      <c r="AL14246" s="177"/>
    </row>
    <row r="14247" spans="38:38" x14ac:dyDescent="0.2">
      <c r="AL14247" s="177"/>
    </row>
    <row r="14248" spans="38:38" x14ac:dyDescent="0.2">
      <c r="AL14248" s="177"/>
    </row>
    <row r="14249" spans="38:38" x14ac:dyDescent="0.2">
      <c r="AL14249" s="177"/>
    </row>
    <row r="14250" spans="38:38" x14ac:dyDescent="0.2">
      <c r="AL14250" s="177"/>
    </row>
    <row r="14251" spans="38:38" x14ac:dyDescent="0.2">
      <c r="AL14251" s="177"/>
    </row>
    <row r="14252" spans="38:38" x14ac:dyDescent="0.2">
      <c r="AL14252" s="177"/>
    </row>
    <row r="14253" spans="38:38" x14ac:dyDescent="0.2">
      <c r="AL14253" s="177"/>
    </row>
    <row r="14254" spans="38:38" x14ac:dyDescent="0.2">
      <c r="AL14254" s="177"/>
    </row>
    <row r="14255" spans="38:38" x14ac:dyDescent="0.2">
      <c r="AL14255" s="177"/>
    </row>
    <row r="14256" spans="38:38" x14ac:dyDescent="0.2">
      <c r="AL14256" s="177"/>
    </row>
    <row r="14257" spans="38:38" x14ac:dyDescent="0.2">
      <c r="AL14257" s="177"/>
    </row>
    <row r="14258" spans="38:38" x14ac:dyDescent="0.2">
      <c r="AL14258" s="177"/>
    </row>
    <row r="14259" spans="38:38" x14ac:dyDescent="0.2">
      <c r="AL14259" s="177"/>
    </row>
    <row r="14260" spans="38:38" x14ac:dyDescent="0.2">
      <c r="AL14260" s="177"/>
    </row>
    <row r="14261" spans="38:38" x14ac:dyDescent="0.2">
      <c r="AL14261" s="177"/>
    </row>
    <row r="14262" spans="38:38" x14ac:dyDescent="0.2">
      <c r="AL14262" s="177"/>
    </row>
    <row r="14263" spans="38:38" x14ac:dyDescent="0.2">
      <c r="AL14263" s="177"/>
    </row>
    <row r="14264" spans="38:38" x14ac:dyDescent="0.2">
      <c r="AL14264" s="177"/>
    </row>
    <row r="14265" spans="38:38" x14ac:dyDescent="0.2">
      <c r="AL14265" s="177"/>
    </row>
    <row r="14266" spans="38:38" x14ac:dyDescent="0.2">
      <c r="AL14266" s="177"/>
    </row>
    <row r="14267" spans="38:38" x14ac:dyDescent="0.2">
      <c r="AL14267" s="177"/>
    </row>
    <row r="14268" spans="38:38" x14ac:dyDescent="0.2">
      <c r="AL14268" s="177"/>
    </row>
    <row r="14269" spans="38:38" x14ac:dyDescent="0.2">
      <c r="AL14269" s="177"/>
    </row>
    <row r="14270" spans="38:38" x14ac:dyDescent="0.2">
      <c r="AL14270" s="177"/>
    </row>
    <row r="14271" spans="38:38" x14ac:dyDescent="0.2">
      <c r="AL14271" s="177"/>
    </row>
    <row r="14272" spans="38:38" x14ac:dyDescent="0.2">
      <c r="AL14272" s="177"/>
    </row>
    <row r="14273" spans="38:38" x14ac:dyDescent="0.2">
      <c r="AL14273" s="177"/>
    </row>
    <row r="14274" spans="38:38" x14ac:dyDescent="0.2">
      <c r="AL14274" s="177"/>
    </row>
    <row r="14275" spans="38:38" x14ac:dyDescent="0.2">
      <c r="AL14275" s="177"/>
    </row>
    <row r="14276" spans="38:38" x14ac:dyDescent="0.2">
      <c r="AL14276" s="177"/>
    </row>
    <row r="14277" spans="38:38" x14ac:dyDescent="0.2">
      <c r="AL14277" s="177"/>
    </row>
    <row r="14278" spans="38:38" x14ac:dyDescent="0.2">
      <c r="AL14278" s="177"/>
    </row>
    <row r="14279" spans="38:38" x14ac:dyDescent="0.2">
      <c r="AL14279" s="177"/>
    </row>
    <row r="14280" spans="38:38" x14ac:dyDescent="0.2">
      <c r="AL14280" s="177"/>
    </row>
    <row r="14281" spans="38:38" x14ac:dyDescent="0.2">
      <c r="AL14281" s="177"/>
    </row>
    <row r="14282" spans="38:38" x14ac:dyDescent="0.2">
      <c r="AL14282" s="177"/>
    </row>
    <row r="14283" spans="38:38" x14ac:dyDescent="0.2">
      <c r="AL14283" s="177"/>
    </row>
    <row r="14284" spans="38:38" x14ac:dyDescent="0.2">
      <c r="AL14284" s="177"/>
    </row>
    <row r="14285" spans="38:38" x14ac:dyDescent="0.2">
      <c r="AL14285" s="177"/>
    </row>
    <row r="14286" spans="38:38" x14ac:dyDescent="0.2">
      <c r="AL14286" s="177"/>
    </row>
    <row r="14287" spans="38:38" x14ac:dyDescent="0.2">
      <c r="AL14287" s="177"/>
    </row>
    <row r="14288" spans="38:38" x14ac:dyDescent="0.2">
      <c r="AL14288" s="177"/>
    </row>
    <row r="14289" spans="38:38" x14ac:dyDescent="0.2">
      <c r="AL14289" s="177"/>
    </row>
    <row r="14290" spans="38:38" x14ac:dyDescent="0.2">
      <c r="AL14290" s="177"/>
    </row>
    <row r="14291" spans="38:38" x14ac:dyDescent="0.2">
      <c r="AL14291" s="177"/>
    </row>
    <row r="14292" spans="38:38" x14ac:dyDescent="0.2">
      <c r="AL14292" s="177"/>
    </row>
    <row r="14293" spans="38:38" x14ac:dyDescent="0.2">
      <c r="AL14293" s="177"/>
    </row>
    <row r="14294" spans="38:38" x14ac:dyDescent="0.2">
      <c r="AL14294" s="177"/>
    </row>
    <row r="14295" spans="38:38" x14ac:dyDescent="0.2">
      <c r="AL14295" s="177"/>
    </row>
    <row r="14296" spans="38:38" x14ac:dyDescent="0.2">
      <c r="AL14296" s="177"/>
    </row>
    <row r="14297" spans="38:38" x14ac:dyDescent="0.2">
      <c r="AL14297" s="177"/>
    </row>
    <row r="14298" spans="38:38" x14ac:dyDescent="0.2">
      <c r="AL14298" s="177"/>
    </row>
    <row r="14299" spans="38:38" x14ac:dyDescent="0.2">
      <c r="AL14299" s="177"/>
    </row>
    <row r="14300" spans="38:38" x14ac:dyDescent="0.2">
      <c r="AL14300" s="177"/>
    </row>
    <row r="14301" spans="38:38" x14ac:dyDescent="0.2">
      <c r="AL14301" s="177"/>
    </row>
    <row r="14302" spans="38:38" x14ac:dyDescent="0.2">
      <c r="AL14302" s="177"/>
    </row>
    <row r="14303" spans="38:38" x14ac:dyDescent="0.2">
      <c r="AL14303" s="177"/>
    </row>
    <row r="14304" spans="38:38" x14ac:dyDescent="0.2">
      <c r="AL14304" s="177"/>
    </row>
    <row r="14305" spans="38:38" x14ac:dyDescent="0.2">
      <c r="AL14305" s="177"/>
    </row>
    <row r="14306" spans="38:38" x14ac:dyDescent="0.2">
      <c r="AL14306" s="177"/>
    </row>
    <row r="14307" spans="38:38" x14ac:dyDescent="0.2">
      <c r="AL14307" s="177"/>
    </row>
    <row r="14308" spans="38:38" x14ac:dyDescent="0.2">
      <c r="AL14308" s="177"/>
    </row>
    <row r="14309" spans="38:38" x14ac:dyDescent="0.2">
      <c r="AL14309" s="177"/>
    </row>
    <row r="14310" spans="38:38" x14ac:dyDescent="0.2">
      <c r="AL14310" s="177"/>
    </row>
    <row r="14311" spans="38:38" x14ac:dyDescent="0.2">
      <c r="AL14311" s="177"/>
    </row>
    <row r="14312" spans="38:38" x14ac:dyDescent="0.2">
      <c r="AL14312" s="177"/>
    </row>
    <row r="14313" spans="38:38" x14ac:dyDescent="0.2">
      <c r="AL14313" s="177"/>
    </row>
    <row r="14314" spans="38:38" x14ac:dyDescent="0.2">
      <c r="AL14314" s="177"/>
    </row>
    <row r="14315" spans="38:38" x14ac:dyDescent="0.2">
      <c r="AL14315" s="177"/>
    </row>
    <row r="14316" spans="38:38" x14ac:dyDescent="0.2">
      <c r="AL14316" s="177"/>
    </row>
    <row r="14317" spans="38:38" x14ac:dyDescent="0.2">
      <c r="AL14317" s="177"/>
    </row>
    <row r="14318" spans="38:38" x14ac:dyDescent="0.2">
      <c r="AL14318" s="177"/>
    </row>
    <row r="14319" spans="38:38" x14ac:dyDescent="0.2">
      <c r="AL14319" s="177"/>
    </row>
    <row r="14320" spans="38:38" x14ac:dyDescent="0.2">
      <c r="AL14320" s="177"/>
    </row>
    <row r="14321" spans="38:38" x14ac:dyDescent="0.2">
      <c r="AL14321" s="177"/>
    </row>
    <row r="14322" spans="38:38" x14ac:dyDescent="0.2">
      <c r="AL14322" s="177"/>
    </row>
    <row r="14323" spans="38:38" x14ac:dyDescent="0.2">
      <c r="AL14323" s="177"/>
    </row>
    <row r="14324" spans="38:38" x14ac:dyDescent="0.2">
      <c r="AL14324" s="177"/>
    </row>
    <row r="14325" spans="38:38" x14ac:dyDescent="0.2">
      <c r="AL14325" s="177"/>
    </row>
    <row r="14326" spans="38:38" x14ac:dyDescent="0.2">
      <c r="AL14326" s="177"/>
    </row>
    <row r="14327" spans="38:38" x14ac:dyDescent="0.2">
      <c r="AL14327" s="177"/>
    </row>
    <row r="14328" spans="38:38" x14ac:dyDescent="0.2">
      <c r="AL14328" s="177"/>
    </row>
    <row r="14329" spans="38:38" x14ac:dyDescent="0.2">
      <c r="AL14329" s="177"/>
    </row>
    <row r="14330" spans="38:38" x14ac:dyDescent="0.2">
      <c r="AL14330" s="177"/>
    </row>
    <row r="14331" spans="38:38" x14ac:dyDescent="0.2">
      <c r="AL14331" s="177"/>
    </row>
    <row r="14332" spans="38:38" x14ac:dyDescent="0.2">
      <c r="AL14332" s="177"/>
    </row>
    <row r="14333" spans="38:38" x14ac:dyDescent="0.2">
      <c r="AL14333" s="177"/>
    </row>
    <row r="14334" spans="38:38" x14ac:dyDescent="0.2">
      <c r="AL14334" s="177"/>
    </row>
    <row r="14335" spans="38:38" x14ac:dyDescent="0.2">
      <c r="AL14335" s="177"/>
    </row>
    <row r="14336" spans="38:38" x14ac:dyDescent="0.2">
      <c r="AL14336" s="177"/>
    </row>
    <row r="14337" spans="38:38" x14ac:dyDescent="0.2">
      <c r="AL14337" s="177"/>
    </row>
    <row r="14338" spans="38:38" x14ac:dyDescent="0.2">
      <c r="AL14338" s="177"/>
    </row>
    <row r="14339" spans="38:38" x14ac:dyDescent="0.2">
      <c r="AL14339" s="177"/>
    </row>
    <row r="14340" spans="38:38" x14ac:dyDescent="0.2">
      <c r="AL14340" s="177"/>
    </row>
    <row r="14341" spans="38:38" x14ac:dyDescent="0.2">
      <c r="AL14341" s="177"/>
    </row>
    <row r="14342" spans="38:38" x14ac:dyDescent="0.2">
      <c r="AL14342" s="177"/>
    </row>
    <row r="14343" spans="38:38" x14ac:dyDescent="0.2">
      <c r="AL14343" s="177"/>
    </row>
    <row r="14344" spans="38:38" x14ac:dyDescent="0.2">
      <c r="AL14344" s="177"/>
    </row>
    <row r="14345" spans="38:38" x14ac:dyDescent="0.2">
      <c r="AL14345" s="177"/>
    </row>
    <row r="14346" spans="38:38" x14ac:dyDescent="0.2">
      <c r="AL14346" s="177"/>
    </row>
    <row r="14347" spans="38:38" x14ac:dyDescent="0.2">
      <c r="AL14347" s="177"/>
    </row>
    <row r="14348" spans="38:38" x14ac:dyDescent="0.2">
      <c r="AL14348" s="177"/>
    </row>
    <row r="14349" spans="38:38" x14ac:dyDescent="0.2">
      <c r="AL14349" s="177"/>
    </row>
    <row r="14350" spans="38:38" x14ac:dyDescent="0.2">
      <c r="AL14350" s="177"/>
    </row>
    <row r="14351" spans="38:38" x14ac:dyDescent="0.2">
      <c r="AL14351" s="177"/>
    </row>
    <row r="14352" spans="38:38" x14ac:dyDescent="0.2">
      <c r="AL14352" s="177"/>
    </row>
    <row r="14353" spans="38:38" x14ac:dyDescent="0.2">
      <c r="AL14353" s="177"/>
    </row>
    <row r="14354" spans="38:38" x14ac:dyDescent="0.2">
      <c r="AL14354" s="177"/>
    </row>
    <row r="14355" spans="38:38" x14ac:dyDescent="0.2">
      <c r="AL14355" s="177"/>
    </row>
    <row r="14356" spans="38:38" x14ac:dyDescent="0.2">
      <c r="AL14356" s="177"/>
    </row>
    <row r="14357" spans="38:38" x14ac:dyDescent="0.2">
      <c r="AL14357" s="177"/>
    </row>
    <row r="14358" spans="38:38" x14ac:dyDescent="0.2">
      <c r="AL14358" s="177"/>
    </row>
    <row r="14359" spans="38:38" x14ac:dyDescent="0.2">
      <c r="AL14359" s="177"/>
    </row>
    <row r="14360" spans="38:38" x14ac:dyDescent="0.2">
      <c r="AL14360" s="177"/>
    </row>
    <row r="14361" spans="38:38" x14ac:dyDescent="0.2">
      <c r="AL14361" s="177"/>
    </row>
    <row r="14362" spans="38:38" x14ac:dyDescent="0.2">
      <c r="AL14362" s="177"/>
    </row>
    <row r="14363" spans="38:38" x14ac:dyDescent="0.2">
      <c r="AL14363" s="177"/>
    </row>
    <row r="14364" spans="38:38" x14ac:dyDescent="0.2">
      <c r="AL14364" s="177"/>
    </row>
    <row r="14365" spans="38:38" x14ac:dyDescent="0.2">
      <c r="AL14365" s="177"/>
    </row>
    <row r="14366" spans="38:38" x14ac:dyDescent="0.2">
      <c r="AL14366" s="177"/>
    </row>
    <row r="14367" spans="38:38" x14ac:dyDescent="0.2">
      <c r="AL14367" s="177"/>
    </row>
    <row r="14368" spans="38:38" x14ac:dyDescent="0.2">
      <c r="AL14368" s="177"/>
    </row>
    <row r="14369" spans="38:38" x14ac:dyDescent="0.2">
      <c r="AL14369" s="177"/>
    </row>
    <row r="14370" spans="38:38" x14ac:dyDescent="0.2">
      <c r="AL14370" s="177"/>
    </row>
    <row r="14371" spans="38:38" x14ac:dyDescent="0.2">
      <c r="AL14371" s="177"/>
    </row>
    <row r="14372" spans="38:38" x14ac:dyDescent="0.2">
      <c r="AL14372" s="177"/>
    </row>
    <row r="14373" spans="38:38" x14ac:dyDescent="0.2">
      <c r="AL14373" s="177"/>
    </row>
    <row r="14374" spans="38:38" x14ac:dyDescent="0.2">
      <c r="AL14374" s="177"/>
    </row>
    <row r="14375" spans="38:38" x14ac:dyDescent="0.2">
      <c r="AL14375" s="177"/>
    </row>
    <row r="14376" spans="38:38" x14ac:dyDescent="0.2">
      <c r="AL14376" s="177"/>
    </row>
    <row r="14377" spans="38:38" x14ac:dyDescent="0.2">
      <c r="AL14377" s="177"/>
    </row>
    <row r="14378" spans="38:38" x14ac:dyDescent="0.2">
      <c r="AL14378" s="177"/>
    </row>
    <row r="14379" spans="38:38" x14ac:dyDescent="0.2">
      <c r="AL14379" s="177"/>
    </row>
    <row r="14380" spans="38:38" x14ac:dyDescent="0.2">
      <c r="AL14380" s="177"/>
    </row>
    <row r="14381" spans="38:38" x14ac:dyDescent="0.2">
      <c r="AL14381" s="177"/>
    </row>
    <row r="14382" spans="38:38" x14ac:dyDescent="0.2">
      <c r="AL14382" s="177"/>
    </row>
    <row r="14383" spans="38:38" x14ac:dyDescent="0.2">
      <c r="AL14383" s="177"/>
    </row>
    <row r="14384" spans="38:38" x14ac:dyDescent="0.2">
      <c r="AL14384" s="177"/>
    </row>
    <row r="14385" spans="38:38" x14ac:dyDescent="0.2">
      <c r="AL14385" s="177"/>
    </row>
    <row r="14386" spans="38:38" x14ac:dyDescent="0.2">
      <c r="AL14386" s="177"/>
    </row>
    <row r="14387" spans="38:38" x14ac:dyDescent="0.2">
      <c r="AL14387" s="177"/>
    </row>
    <row r="14388" spans="38:38" x14ac:dyDescent="0.2">
      <c r="AL14388" s="177"/>
    </row>
    <row r="14389" spans="38:38" x14ac:dyDescent="0.2">
      <c r="AL14389" s="177"/>
    </row>
    <row r="14390" spans="38:38" x14ac:dyDescent="0.2">
      <c r="AL14390" s="177"/>
    </row>
    <row r="14391" spans="38:38" x14ac:dyDescent="0.2">
      <c r="AL14391" s="177"/>
    </row>
    <row r="14392" spans="38:38" x14ac:dyDescent="0.2">
      <c r="AL14392" s="177"/>
    </row>
    <row r="14393" spans="38:38" x14ac:dyDescent="0.2">
      <c r="AL14393" s="177"/>
    </row>
    <row r="14394" spans="38:38" x14ac:dyDescent="0.2">
      <c r="AL14394" s="177"/>
    </row>
    <row r="14395" spans="38:38" x14ac:dyDescent="0.2">
      <c r="AL14395" s="177"/>
    </row>
    <row r="14396" spans="38:38" x14ac:dyDescent="0.2">
      <c r="AL14396" s="177"/>
    </row>
    <row r="14397" spans="38:38" x14ac:dyDescent="0.2">
      <c r="AL14397" s="177"/>
    </row>
    <row r="14398" spans="38:38" x14ac:dyDescent="0.2">
      <c r="AL14398" s="177"/>
    </row>
    <row r="14399" spans="38:38" x14ac:dyDescent="0.2">
      <c r="AL14399" s="177"/>
    </row>
    <row r="14400" spans="38:38" x14ac:dyDescent="0.2">
      <c r="AL14400" s="177"/>
    </row>
    <row r="14401" spans="38:38" x14ac:dyDescent="0.2">
      <c r="AL14401" s="177"/>
    </row>
    <row r="14402" spans="38:38" x14ac:dyDescent="0.2">
      <c r="AL14402" s="177"/>
    </row>
    <row r="14403" spans="38:38" x14ac:dyDescent="0.2">
      <c r="AL14403" s="177"/>
    </row>
    <row r="14404" spans="38:38" x14ac:dyDescent="0.2">
      <c r="AL14404" s="177"/>
    </row>
    <row r="14405" spans="38:38" x14ac:dyDescent="0.2">
      <c r="AL14405" s="177"/>
    </row>
    <row r="14406" spans="38:38" x14ac:dyDescent="0.2">
      <c r="AL14406" s="177"/>
    </row>
    <row r="14407" spans="38:38" x14ac:dyDescent="0.2">
      <c r="AL14407" s="177"/>
    </row>
    <row r="14408" spans="38:38" x14ac:dyDescent="0.2">
      <c r="AL14408" s="177"/>
    </row>
    <row r="14409" spans="38:38" x14ac:dyDescent="0.2">
      <c r="AL14409" s="177"/>
    </row>
    <row r="14410" spans="38:38" x14ac:dyDescent="0.2">
      <c r="AL14410" s="177"/>
    </row>
    <row r="14411" spans="38:38" x14ac:dyDescent="0.2">
      <c r="AL14411" s="177"/>
    </row>
    <row r="14412" spans="38:38" x14ac:dyDescent="0.2">
      <c r="AL14412" s="177"/>
    </row>
    <row r="14413" spans="38:38" x14ac:dyDescent="0.2">
      <c r="AL14413" s="177"/>
    </row>
    <row r="14414" spans="38:38" x14ac:dyDescent="0.2">
      <c r="AL14414" s="177"/>
    </row>
    <row r="14415" spans="38:38" x14ac:dyDescent="0.2">
      <c r="AL14415" s="177"/>
    </row>
    <row r="14416" spans="38:38" x14ac:dyDescent="0.2">
      <c r="AL14416" s="177"/>
    </row>
    <row r="14417" spans="38:38" x14ac:dyDescent="0.2">
      <c r="AL14417" s="177"/>
    </row>
    <row r="14418" spans="38:38" x14ac:dyDescent="0.2">
      <c r="AL14418" s="177"/>
    </row>
    <row r="14419" spans="38:38" x14ac:dyDescent="0.2">
      <c r="AL14419" s="177"/>
    </row>
    <row r="14420" spans="38:38" x14ac:dyDescent="0.2">
      <c r="AL14420" s="177"/>
    </row>
    <row r="14421" spans="38:38" x14ac:dyDescent="0.2">
      <c r="AL14421" s="177"/>
    </row>
    <row r="14422" spans="38:38" x14ac:dyDescent="0.2">
      <c r="AL14422" s="177"/>
    </row>
    <row r="14423" spans="38:38" x14ac:dyDescent="0.2">
      <c r="AL14423" s="177"/>
    </row>
    <row r="14424" spans="38:38" x14ac:dyDescent="0.2">
      <c r="AL14424" s="177"/>
    </row>
    <row r="14425" spans="38:38" x14ac:dyDescent="0.2">
      <c r="AL14425" s="177"/>
    </row>
    <row r="14426" spans="38:38" x14ac:dyDescent="0.2">
      <c r="AL14426" s="177"/>
    </row>
    <row r="14427" spans="38:38" x14ac:dyDescent="0.2">
      <c r="AL14427" s="177"/>
    </row>
    <row r="14428" spans="38:38" x14ac:dyDescent="0.2">
      <c r="AL14428" s="177"/>
    </row>
    <row r="14429" spans="38:38" x14ac:dyDescent="0.2">
      <c r="AL14429" s="177"/>
    </row>
    <row r="14430" spans="38:38" x14ac:dyDescent="0.2">
      <c r="AL14430" s="177"/>
    </row>
    <row r="14431" spans="38:38" x14ac:dyDescent="0.2">
      <c r="AL14431" s="177"/>
    </row>
    <row r="14432" spans="38:38" x14ac:dyDescent="0.2">
      <c r="AL14432" s="177"/>
    </row>
    <row r="14433" spans="38:38" x14ac:dyDescent="0.2">
      <c r="AL14433" s="177"/>
    </row>
    <row r="14434" spans="38:38" x14ac:dyDescent="0.2">
      <c r="AL14434" s="177"/>
    </row>
    <row r="14435" spans="38:38" x14ac:dyDescent="0.2">
      <c r="AL14435" s="177"/>
    </row>
    <row r="14436" spans="38:38" x14ac:dyDescent="0.2">
      <c r="AL14436" s="177"/>
    </row>
    <row r="14437" spans="38:38" x14ac:dyDescent="0.2">
      <c r="AL14437" s="177"/>
    </row>
    <row r="14438" spans="38:38" x14ac:dyDescent="0.2">
      <c r="AL14438" s="177"/>
    </row>
    <row r="14439" spans="38:38" x14ac:dyDescent="0.2">
      <c r="AL14439" s="177"/>
    </row>
    <row r="14440" spans="38:38" x14ac:dyDescent="0.2">
      <c r="AL14440" s="177"/>
    </row>
    <row r="14441" spans="38:38" x14ac:dyDescent="0.2">
      <c r="AL14441" s="177"/>
    </row>
    <row r="14442" spans="38:38" x14ac:dyDescent="0.2">
      <c r="AL14442" s="177"/>
    </row>
    <row r="14443" spans="38:38" x14ac:dyDescent="0.2">
      <c r="AL14443" s="177"/>
    </row>
    <row r="14444" spans="38:38" x14ac:dyDescent="0.2">
      <c r="AL14444" s="177"/>
    </row>
    <row r="14445" spans="38:38" x14ac:dyDescent="0.2">
      <c r="AL14445" s="177"/>
    </row>
    <row r="14446" spans="38:38" x14ac:dyDescent="0.2">
      <c r="AL14446" s="177"/>
    </row>
    <row r="14447" spans="38:38" x14ac:dyDescent="0.2">
      <c r="AL14447" s="177"/>
    </row>
    <row r="14448" spans="38:38" x14ac:dyDescent="0.2">
      <c r="AL14448" s="177"/>
    </row>
    <row r="14449" spans="38:38" x14ac:dyDescent="0.2">
      <c r="AL14449" s="177"/>
    </row>
    <row r="14450" spans="38:38" x14ac:dyDescent="0.2">
      <c r="AL14450" s="177"/>
    </row>
    <row r="14451" spans="38:38" x14ac:dyDescent="0.2">
      <c r="AL14451" s="177"/>
    </row>
    <row r="14452" spans="38:38" x14ac:dyDescent="0.2">
      <c r="AL14452" s="177"/>
    </row>
    <row r="14453" spans="38:38" x14ac:dyDescent="0.2">
      <c r="AL14453" s="177"/>
    </row>
    <row r="14454" spans="38:38" x14ac:dyDescent="0.2">
      <c r="AL14454" s="177"/>
    </row>
    <row r="14455" spans="38:38" x14ac:dyDescent="0.2">
      <c r="AL14455" s="177"/>
    </row>
    <row r="14456" spans="38:38" x14ac:dyDescent="0.2">
      <c r="AL14456" s="177"/>
    </row>
    <row r="14457" spans="38:38" x14ac:dyDescent="0.2">
      <c r="AL14457" s="177"/>
    </row>
    <row r="14458" spans="38:38" x14ac:dyDescent="0.2">
      <c r="AL14458" s="177"/>
    </row>
    <row r="14459" spans="38:38" x14ac:dyDescent="0.2">
      <c r="AL14459" s="177"/>
    </row>
    <row r="14460" spans="38:38" x14ac:dyDescent="0.2">
      <c r="AL14460" s="177"/>
    </row>
    <row r="14461" spans="38:38" x14ac:dyDescent="0.2">
      <c r="AL14461" s="177"/>
    </row>
    <row r="14462" spans="38:38" x14ac:dyDescent="0.2">
      <c r="AL14462" s="177"/>
    </row>
    <row r="14463" spans="38:38" x14ac:dyDescent="0.2">
      <c r="AL14463" s="177"/>
    </row>
    <row r="14464" spans="38:38" x14ac:dyDescent="0.2">
      <c r="AL14464" s="177"/>
    </row>
    <row r="14465" spans="38:38" x14ac:dyDescent="0.2">
      <c r="AL14465" s="177"/>
    </row>
    <row r="14466" spans="38:38" x14ac:dyDescent="0.2">
      <c r="AL14466" s="177"/>
    </row>
    <row r="14467" spans="38:38" x14ac:dyDescent="0.2">
      <c r="AL14467" s="177"/>
    </row>
    <row r="14468" spans="38:38" x14ac:dyDescent="0.2">
      <c r="AL14468" s="177"/>
    </row>
    <row r="14469" spans="38:38" x14ac:dyDescent="0.2">
      <c r="AL14469" s="177"/>
    </row>
    <row r="14470" spans="38:38" x14ac:dyDescent="0.2">
      <c r="AL14470" s="177"/>
    </row>
    <row r="14471" spans="38:38" x14ac:dyDescent="0.2">
      <c r="AL14471" s="177"/>
    </row>
    <row r="14472" spans="38:38" x14ac:dyDescent="0.2">
      <c r="AL14472" s="177"/>
    </row>
    <row r="14473" spans="38:38" x14ac:dyDescent="0.2">
      <c r="AL14473" s="177"/>
    </row>
    <row r="14474" spans="38:38" x14ac:dyDescent="0.2">
      <c r="AL14474" s="177"/>
    </row>
    <row r="14475" spans="38:38" x14ac:dyDescent="0.2">
      <c r="AL14475" s="177"/>
    </row>
    <row r="14476" spans="38:38" x14ac:dyDescent="0.2">
      <c r="AL14476" s="177"/>
    </row>
    <row r="14477" spans="38:38" x14ac:dyDescent="0.2">
      <c r="AL14477" s="177"/>
    </row>
    <row r="14478" spans="38:38" x14ac:dyDescent="0.2">
      <c r="AL14478" s="177"/>
    </row>
    <row r="14479" spans="38:38" x14ac:dyDescent="0.2">
      <c r="AL14479" s="177"/>
    </row>
    <row r="14480" spans="38:38" x14ac:dyDescent="0.2">
      <c r="AL14480" s="177"/>
    </row>
    <row r="14481" spans="38:38" x14ac:dyDescent="0.2">
      <c r="AL14481" s="177"/>
    </row>
    <row r="14482" spans="38:38" x14ac:dyDescent="0.2">
      <c r="AL14482" s="177"/>
    </row>
    <row r="14483" spans="38:38" x14ac:dyDescent="0.2">
      <c r="AL14483" s="177"/>
    </row>
    <row r="14484" spans="38:38" x14ac:dyDescent="0.2">
      <c r="AL14484" s="177"/>
    </row>
    <row r="14485" spans="38:38" x14ac:dyDescent="0.2">
      <c r="AL14485" s="177"/>
    </row>
    <row r="14486" spans="38:38" x14ac:dyDescent="0.2">
      <c r="AL14486" s="177"/>
    </row>
    <row r="14487" spans="38:38" x14ac:dyDescent="0.2">
      <c r="AL14487" s="177"/>
    </row>
    <row r="14488" spans="38:38" x14ac:dyDescent="0.2">
      <c r="AL14488" s="177"/>
    </row>
    <row r="14489" spans="38:38" x14ac:dyDescent="0.2">
      <c r="AL14489" s="177"/>
    </row>
    <row r="14490" spans="38:38" x14ac:dyDescent="0.2">
      <c r="AL14490" s="177"/>
    </row>
    <row r="14491" spans="38:38" x14ac:dyDescent="0.2">
      <c r="AL14491" s="177"/>
    </row>
    <row r="14492" spans="38:38" x14ac:dyDescent="0.2">
      <c r="AL14492" s="177"/>
    </row>
    <row r="14493" spans="38:38" x14ac:dyDescent="0.2">
      <c r="AL14493" s="177"/>
    </row>
    <row r="14494" spans="38:38" x14ac:dyDescent="0.2">
      <c r="AL14494" s="177"/>
    </row>
    <row r="14495" spans="38:38" x14ac:dyDescent="0.2">
      <c r="AL14495" s="177"/>
    </row>
    <row r="14496" spans="38:38" x14ac:dyDescent="0.2">
      <c r="AL14496" s="177"/>
    </row>
    <row r="14497" spans="38:38" x14ac:dyDescent="0.2">
      <c r="AL14497" s="177"/>
    </row>
    <row r="14498" spans="38:38" x14ac:dyDescent="0.2">
      <c r="AL14498" s="177"/>
    </row>
    <row r="14499" spans="38:38" x14ac:dyDescent="0.2">
      <c r="AL14499" s="177"/>
    </row>
    <row r="14500" spans="38:38" x14ac:dyDescent="0.2">
      <c r="AL14500" s="177"/>
    </row>
    <row r="14501" spans="38:38" x14ac:dyDescent="0.2">
      <c r="AL14501" s="177"/>
    </row>
    <row r="14502" spans="38:38" x14ac:dyDescent="0.2">
      <c r="AL14502" s="177"/>
    </row>
    <row r="14503" spans="38:38" x14ac:dyDescent="0.2">
      <c r="AL14503" s="177"/>
    </row>
    <row r="14504" spans="38:38" x14ac:dyDescent="0.2">
      <c r="AL14504" s="177"/>
    </row>
    <row r="14505" spans="38:38" x14ac:dyDescent="0.2">
      <c r="AL14505" s="177"/>
    </row>
    <row r="14506" spans="38:38" x14ac:dyDescent="0.2">
      <c r="AL14506" s="177"/>
    </row>
    <row r="14507" spans="38:38" x14ac:dyDescent="0.2">
      <c r="AL14507" s="177"/>
    </row>
    <row r="14508" spans="38:38" x14ac:dyDescent="0.2">
      <c r="AL14508" s="177"/>
    </row>
    <row r="14509" spans="38:38" x14ac:dyDescent="0.2">
      <c r="AL14509" s="177"/>
    </row>
    <row r="14510" spans="38:38" x14ac:dyDescent="0.2">
      <c r="AL14510" s="177"/>
    </row>
    <row r="14511" spans="38:38" x14ac:dyDescent="0.2">
      <c r="AL14511" s="177"/>
    </row>
    <row r="14512" spans="38:38" x14ac:dyDescent="0.2">
      <c r="AL14512" s="177"/>
    </row>
    <row r="14513" spans="38:38" x14ac:dyDescent="0.2">
      <c r="AL14513" s="177"/>
    </row>
    <row r="14514" spans="38:38" x14ac:dyDescent="0.2">
      <c r="AL14514" s="177"/>
    </row>
    <row r="14515" spans="38:38" x14ac:dyDescent="0.2">
      <c r="AL14515" s="177"/>
    </row>
    <row r="14516" spans="38:38" x14ac:dyDescent="0.2">
      <c r="AL14516" s="177"/>
    </row>
    <row r="14517" spans="38:38" x14ac:dyDescent="0.2">
      <c r="AL14517" s="177"/>
    </row>
    <row r="14518" spans="38:38" x14ac:dyDescent="0.2">
      <c r="AL14518" s="177"/>
    </row>
    <row r="14519" spans="38:38" x14ac:dyDescent="0.2">
      <c r="AL14519" s="177"/>
    </row>
    <row r="14520" spans="38:38" x14ac:dyDescent="0.2">
      <c r="AL14520" s="177"/>
    </row>
    <row r="14521" spans="38:38" x14ac:dyDescent="0.2">
      <c r="AL14521" s="177"/>
    </row>
    <row r="14522" spans="38:38" x14ac:dyDescent="0.2">
      <c r="AL14522" s="177"/>
    </row>
    <row r="14523" spans="38:38" x14ac:dyDescent="0.2">
      <c r="AL14523" s="177"/>
    </row>
    <row r="14524" spans="38:38" x14ac:dyDescent="0.2">
      <c r="AL14524" s="177"/>
    </row>
    <row r="14525" spans="38:38" x14ac:dyDescent="0.2">
      <c r="AL14525" s="177"/>
    </row>
    <row r="14526" spans="38:38" x14ac:dyDescent="0.2">
      <c r="AL14526" s="177"/>
    </row>
    <row r="14527" spans="38:38" x14ac:dyDescent="0.2">
      <c r="AL14527" s="177"/>
    </row>
    <row r="14528" spans="38:38" x14ac:dyDescent="0.2">
      <c r="AL14528" s="177"/>
    </row>
    <row r="14529" spans="38:38" x14ac:dyDescent="0.2">
      <c r="AL14529" s="177"/>
    </row>
    <row r="14530" spans="38:38" x14ac:dyDescent="0.2">
      <c r="AL14530" s="177"/>
    </row>
    <row r="14531" spans="38:38" x14ac:dyDescent="0.2">
      <c r="AL14531" s="177"/>
    </row>
    <row r="14532" spans="38:38" x14ac:dyDescent="0.2">
      <c r="AL14532" s="177"/>
    </row>
    <row r="14533" spans="38:38" x14ac:dyDescent="0.2">
      <c r="AL14533" s="177"/>
    </row>
    <row r="14534" spans="38:38" x14ac:dyDescent="0.2">
      <c r="AL14534" s="177"/>
    </row>
    <row r="14535" spans="38:38" x14ac:dyDescent="0.2">
      <c r="AL14535" s="177"/>
    </row>
    <row r="14536" spans="38:38" x14ac:dyDescent="0.2">
      <c r="AL14536" s="177"/>
    </row>
    <row r="14537" spans="38:38" x14ac:dyDescent="0.2">
      <c r="AL14537" s="177"/>
    </row>
    <row r="14538" spans="38:38" x14ac:dyDescent="0.2">
      <c r="AL14538" s="177"/>
    </row>
    <row r="14539" spans="38:38" x14ac:dyDescent="0.2">
      <c r="AL14539" s="177"/>
    </row>
    <row r="14540" spans="38:38" x14ac:dyDescent="0.2">
      <c r="AL14540" s="177"/>
    </row>
    <row r="14541" spans="38:38" x14ac:dyDescent="0.2">
      <c r="AL14541" s="177"/>
    </row>
    <row r="14542" spans="38:38" x14ac:dyDescent="0.2">
      <c r="AL14542" s="177"/>
    </row>
    <row r="14543" spans="38:38" x14ac:dyDescent="0.2">
      <c r="AL14543" s="177"/>
    </row>
    <row r="14544" spans="38:38" x14ac:dyDescent="0.2">
      <c r="AL14544" s="177"/>
    </row>
    <row r="14545" spans="38:38" x14ac:dyDescent="0.2">
      <c r="AL14545" s="177"/>
    </row>
    <row r="14546" spans="38:38" x14ac:dyDescent="0.2">
      <c r="AL14546" s="177"/>
    </row>
    <row r="14547" spans="38:38" x14ac:dyDescent="0.2">
      <c r="AL14547" s="177"/>
    </row>
    <row r="14548" spans="38:38" x14ac:dyDescent="0.2">
      <c r="AL14548" s="177"/>
    </row>
    <row r="14549" spans="38:38" x14ac:dyDescent="0.2">
      <c r="AL14549" s="177"/>
    </row>
    <row r="14550" spans="38:38" x14ac:dyDescent="0.2">
      <c r="AL14550" s="177"/>
    </row>
    <row r="14551" spans="38:38" x14ac:dyDescent="0.2">
      <c r="AL14551" s="177"/>
    </row>
    <row r="14552" spans="38:38" x14ac:dyDescent="0.2">
      <c r="AL14552" s="177"/>
    </row>
    <row r="14553" spans="38:38" x14ac:dyDescent="0.2">
      <c r="AL14553" s="177"/>
    </row>
    <row r="14554" spans="38:38" x14ac:dyDescent="0.2">
      <c r="AL14554" s="177"/>
    </row>
    <row r="14555" spans="38:38" x14ac:dyDescent="0.2">
      <c r="AL14555" s="177"/>
    </row>
    <row r="14556" spans="38:38" x14ac:dyDescent="0.2">
      <c r="AL14556" s="177"/>
    </row>
    <row r="14557" spans="38:38" x14ac:dyDescent="0.2">
      <c r="AL14557" s="177"/>
    </row>
    <row r="14558" spans="38:38" x14ac:dyDescent="0.2">
      <c r="AL14558" s="177"/>
    </row>
    <row r="14559" spans="38:38" x14ac:dyDescent="0.2">
      <c r="AL14559" s="177"/>
    </row>
    <row r="14560" spans="38:38" x14ac:dyDescent="0.2">
      <c r="AL14560" s="177"/>
    </row>
    <row r="14561" spans="38:38" x14ac:dyDescent="0.2">
      <c r="AL14561" s="177"/>
    </row>
    <row r="14562" spans="38:38" x14ac:dyDescent="0.2">
      <c r="AL14562" s="177"/>
    </row>
    <row r="14563" spans="38:38" x14ac:dyDescent="0.2">
      <c r="AL14563" s="177"/>
    </row>
    <row r="14564" spans="38:38" x14ac:dyDescent="0.2">
      <c r="AL14564" s="177"/>
    </row>
    <row r="14565" spans="38:38" x14ac:dyDescent="0.2">
      <c r="AL14565" s="177"/>
    </row>
    <row r="14566" spans="38:38" x14ac:dyDescent="0.2">
      <c r="AL14566" s="177"/>
    </row>
    <row r="14567" spans="38:38" x14ac:dyDescent="0.2">
      <c r="AL14567" s="177"/>
    </row>
    <row r="14568" spans="38:38" x14ac:dyDescent="0.2">
      <c r="AL14568" s="177"/>
    </row>
    <row r="14569" spans="38:38" x14ac:dyDescent="0.2">
      <c r="AL14569" s="177"/>
    </row>
    <row r="14570" spans="38:38" x14ac:dyDescent="0.2">
      <c r="AL14570" s="177"/>
    </row>
    <row r="14571" spans="38:38" x14ac:dyDescent="0.2">
      <c r="AL14571" s="177"/>
    </row>
    <row r="14572" spans="38:38" x14ac:dyDescent="0.2">
      <c r="AL14572" s="177"/>
    </row>
    <row r="14573" spans="38:38" x14ac:dyDescent="0.2">
      <c r="AL14573" s="177"/>
    </row>
    <row r="14574" spans="38:38" x14ac:dyDescent="0.2">
      <c r="AL14574" s="177"/>
    </row>
    <row r="14575" spans="38:38" x14ac:dyDescent="0.2">
      <c r="AL14575" s="177"/>
    </row>
    <row r="14576" spans="38:38" x14ac:dyDescent="0.2">
      <c r="AL14576" s="177"/>
    </row>
    <row r="14577" spans="38:38" x14ac:dyDescent="0.2">
      <c r="AL14577" s="177"/>
    </row>
    <row r="14578" spans="38:38" x14ac:dyDescent="0.2">
      <c r="AL14578" s="177"/>
    </row>
    <row r="14579" spans="38:38" x14ac:dyDescent="0.2">
      <c r="AL14579" s="177"/>
    </row>
    <row r="14580" spans="38:38" x14ac:dyDescent="0.2">
      <c r="AL14580" s="177"/>
    </row>
    <row r="14581" spans="38:38" x14ac:dyDescent="0.2">
      <c r="AL14581" s="177"/>
    </row>
    <row r="14582" spans="38:38" x14ac:dyDescent="0.2">
      <c r="AL14582" s="177"/>
    </row>
    <row r="14583" spans="38:38" x14ac:dyDescent="0.2">
      <c r="AL14583" s="177"/>
    </row>
    <row r="14584" spans="38:38" x14ac:dyDescent="0.2">
      <c r="AL14584" s="177"/>
    </row>
    <row r="14585" spans="38:38" x14ac:dyDescent="0.2">
      <c r="AL14585" s="177"/>
    </row>
    <row r="14586" spans="38:38" x14ac:dyDescent="0.2">
      <c r="AL14586" s="177"/>
    </row>
    <row r="14587" spans="38:38" x14ac:dyDescent="0.2">
      <c r="AL14587" s="177"/>
    </row>
    <row r="14588" spans="38:38" x14ac:dyDescent="0.2">
      <c r="AL14588" s="177"/>
    </row>
    <row r="14589" spans="38:38" x14ac:dyDescent="0.2">
      <c r="AL14589" s="177"/>
    </row>
    <row r="14590" spans="38:38" x14ac:dyDescent="0.2">
      <c r="AL14590" s="177"/>
    </row>
    <row r="14591" spans="38:38" x14ac:dyDescent="0.2">
      <c r="AL14591" s="177"/>
    </row>
    <row r="14592" spans="38:38" x14ac:dyDescent="0.2">
      <c r="AL14592" s="177"/>
    </row>
    <row r="14593" spans="38:38" x14ac:dyDescent="0.2">
      <c r="AL14593" s="177"/>
    </row>
    <row r="14594" spans="38:38" x14ac:dyDescent="0.2">
      <c r="AL14594" s="177"/>
    </row>
    <row r="14595" spans="38:38" x14ac:dyDescent="0.2">
      <c r="AL14595" s="177"/>
    </row>
    <row r="14596" spans="38:38" x14ac:dyDescent="0.2">
      <c r="AL14596" s="177"/>
    </row>
    <row r="14597" spans="38:38" x14ac:dyDescent="0.2">
      <c r="AL14597" s="177"/>
    </row>
    <row r="14598" spans="38:38" x14ac:dyDescent="0.2">
      <c r="AL14598" s="177"/>
    </row>
    <row r="14599" spans="38:38" x14ac:dyDescent="0.2">
      <c r="AL14599" s="177"/>
    </row>
    <row r="14600" spans="38:38" x14ac:dyDescent="0.2">
      <c r="AL14600" s="177"/>
    </row>
    <row r="14601" spans="38:38" x14ac:dyDescent="0.2">
      <c r="AL14601" s="177"/>
    </row>
    <row r="14602" spans="38:38" x14ac:dyDescent="0.2">
      <c r="AL14602" s="177"/>
    </row>
    <row r="14603" spans="38:38" x14ac:dyDescent="0.2">
      <c r="AL14603" s="177"/>
    </row>
    <row r="14604" spans="38:38" x14ac:dyDescent="0.2">
      <c r="AL14604" s="177"/>
    </row>
    <row r="14605" spans="38:38" x14ac:dyDescent="0.2">
      <c r="AL14605" s="177"/>
    </row>
    <row r="14606" spans="38:38" x14ac:dyDescent="0.2">
      <c r="AL14606" s="177"/>
    </row>
    <row r="14607" spans="38:38" x14ac:dyDescent="0.2">
      <c r="AL14607" s="177"/>
    </row>
    <row r="14608" spans="38:38" x14ac:dyDescent="0.2">
      <c r="AL14608" s="177"/>
    </row>
    <row r="14609" spans="38:38" x14ac:dyDescent="0.2">
      <c r="AL14609" s="177"/>
    </row>
    <row r="14610" spans="38:38" x14ac:dyDescent="0.2">
      <c r="AL14610" s="177"/>
    </row>
    <row r="14611" spans="38:38" x14ac:dyDescent="0.2">
      <c r="AL14611" s="177"/>
    </row>
    <row r="14612" spans="38:38" x14ac:dyDescent="0.2">
      <c r="AL14612" s="177"/>
    </row>
    <row r="14613" spans="38:38" x14ac:dyDescent="0.2">
      <c r="AL14613" s="177"/>
    </row>
    <row r="14614" spans="38:38" x14ac:dyDescent="0.2">
      <c r="AL14614" s="177"/>
    </row>
    <row r="14615" spans="38:38" x14ac:dyDescent="0.2">
      <c r="AL14615" s="177"/>
    </row>
    <row r="14616" spans="38:38" x14ac:dyDescent="0.2">
      <c r="AL14616" s="177"/>
    </row>
    <row r="14617" spans="38:38" x14ac:dyDescent="0.2">
      <c r="AL14617" s="177"/>
    </row>
    <row r="14618" spans="38:38" x14ac:dyDescent="0.2">
      <c r="AL14618" s="177"/>
    </row>
    <row r="14619" spans="38:38" x14ac:dyDescent="0.2">
      <c r="AL14619" s="177"/>
    </row>
    <row r="14620" spans="38:38" x14ac:dyDescent="0.2">
      <c r="AL14620" s="177"/>
    </row>
    <row r="14621" spans="38:38" x14ac:dyDescent="0.2">
      <c r="AL14621" s="177"/>
    </row>
    <row r="14622" spans="38:38" x14ac:dyDescent="0.2">
      <c r="AL14622" s="177"/>
    </row>
    <row r="14623" spans="38:38" x14ac:dyDescent="0.2">
      <c r="AL14623" s="177"/>
    </row>
    <row r="14624" spans="38:38" x14ac:dyDescent="0.2">
      <c r="AL14624" s="177"/>
    </row>
    <row r="14625" spans="38:38" x14ac:dyDescent="0.2">
      <c r="AL14625" s="177"/>
    </row>
    <row r="14626" spans="38:38" x14ac:dyDescent="0.2">
      <c r="AL14626" s="177"/>
    </row>
    <row r="14627" spans="38:38" x14ac:dyDescent="0.2">
      <c r="AL14627" s="177"/>
    </row>
    <row r="14628" spans="38:38" x14ac:dyDescent="0.2">
      <c r="AL14628" s="177"/>
    </row>
    <row r="14629" spans="38:38" x14ac:dyDescent="0.2">
      <c r="AL14629" s="177"/>
    </row>
    <row r="14630" spans="38:38" x14ac:dyDescent="0.2">
      <c r="AL14630" s="177"/>
    </row>
    <row r="14631" spans="38:38" x14ac:dyDescent="0.2">
      <c r="AL14631" s="177"/>
    </row>
    <row r="14632" spans="38:38" x14ac:dyDescent="0.2">
      <c r="AL14632" s="177"/>
    </row>
    <row r="14633" spans="38:38" x14ac:dyDescent="0.2">
      <c r="AL14633" s="177"/>
    </row>
    <row r="14634" spans="38:38" x14ac:dyDescent="0.2">
      <c r="AL14634" s="177"/>
    </row>
    <row r="14635" spans="38:38" x14ac:dyDescent="0.2">
      <c r="AL14635" s="177"/>
    </row>
    <row r="14636" spans="38:38" x14ac:dyDescent="0.2">
      <c r="AL14636" s="177"/>
    </row>
    <row r="14637" spans="38:38" x14ac:dyDescent="0.2">
      <c r="AL14637" s="177"/>
    </row>
    <row r="14638" spans="38:38" x14ac:dyDescent="0.2">
      <c r="AL14638" s="177"/>
    </row>
    <row r="14639" spans="38:38" x14ac:dyDescent="0.2">
      <c r="AL14639" s="177"/>
    </row>
    <row r="14640" spans="38:38" x14ac:dyDescent="0.2">
      <c r="AL14640" s="177"/>
    </row>
    <row r="14641" spans="38:38" x14ac:dyDescent="0.2">
      <c r="AL14641" s="177"/>
    </row>
    <row r="14642" spans="38:38" x14ac:dyDescent="0.2">
      <c r="AL14642" s="177"/>
    </row>
    <row r="14643" spans="38:38" x14ac:dyDescent="0.2">
      <c r="AL14643" s="177"/>
    </row>
    <row r="14644" spans="38:38" x14ac:dyDescent="0.2">
      <c r="AL14644" s="177"/>
    </row>
    <row r="14645" spans="38:38" x14ac:dyDescent="0.2">
      <c r="AL14645" s="177"/>
    </row>
    <row r="14646" spans="38:38" x14ac:dyDescent="0.2">
      <c r="AL14646" s="177"/>
    </row>
    <row r="14647" spans="38:38" x14ac:dyDescent="0.2">
      <c r="AL14647" s="177"/>
    </row>
    <row r="14648" spans="38:38" x14ac:dyDescent="0.2">
      <c r="AL14648" s="177"/>
    </row>
    <row r="14649" spans="38:38" x14ac:dyDescent="0.2">
      <c r="AL14649" s="177"/>
    </row>
    <row r="14650" spans="38:38" x14ac:dyDescent="0.2">
      <c r="AL14650" s="177"/>
    </row>
    <row r="14651" spans="38:38" x14ac:dyDescent="0.2">
      <c r="AL14651" s="177"/>
    </row>
    <row r="14652" spans="38:38" x14ac:dyDescent="0.2">
      <c r="AL14652" s="177"/>
    </row>
    <row r="14653" spans="38:38" x14ac:dyDescent="0.2">
      <c r="AL14653" s="177"/>
    </row>
    <row r="14654" spans="38:38" x14ac:dyDescent="0.2">
      <c r="AL14654" s="177"/>
    </row>
    <row r="14655" spans="38:38" x14ac:dyDescent="0.2">
      <c r="AL14655" s="177"/>
    </row>
    <row r="14656" spans="38:38" x14ac:dyDescent="0.2">
      <c r="AL14656" s="177"/>
    </row>
    <row r="14657" spans="38:38" x14ac:dyDescent="0.2">
      <c r="AL14657" s="177"/>
    </row>
    <row r="14658" spans="38:38" x14ac:dyDescent="0.2">
      <c r="AL14658" s="177"/>
    </row>
    <row r="14659" spans="38:38" x14ac:dyDescent="0.2">
      <c r="AL14659" s="177"/>
    </row>
    <row r="14660" spans="38:38" x14ac:dyDescent="0.2">
      <c r="AL14660" s="177"/>
    </row>
    <row r="14661" spans="38:38" x14ac:dyDescent="0.2">
      <c r="AL14661" s="177"/>
    </row>
    <row r="14662" spans="38:38" x14ac:dyDescent="0.2">
      <c r="AL14662" s="177"/>
    </row>
    <row r="14663" spans="38:38" x14ac:dyDescent="0.2">
      <c r="AL14663" s="177"/>
    </row>
    <row r="14664" spans="38:38" x14ac:dyDescent="0.2">
      <c r="AL14664" s="177"/>
    </row>
    <row r="14665" spans="38:38" x14ac:dyDescent="0.2">
      <c r="AL14665" s="177"/>
    </row>
    <row r="14666" spans="38:38" x14ac:dyDescent="0.2">
      <c r="AL14666" s="177"/>
    </row>
    <row r="14667" spans="38:38" x14ac:dyDescent="0.2">
      <c r="AL14667" s="177"/>
    </row>
    <row r="14668" spans="38:38" x14ac:dyDescent="0.2">
      <c r="AL14668" s="177"/>
    </row>
    <row r="14669" spans="38:38" x14ac:dyDescent="0.2">
      <c r="AL14669" s="177"/>
    </row>
    <row r="14670" spans="38:38" x14ac:dyDescent="0.2">
      <c r="AL14670" s="177"/>
    </row>
    <row r="14671" spans="38:38" x14ac:dyDescent="0.2">
      <c r="AL14671" s="177"/>
    </row>
    <row r="14672" spans="38:38" x14ac:dyDescent="0.2">
      <c r="AL14672" s="177"/>
    </row>
    <row r="14673" spans="38:38" x14ac:dyDescent="0.2">
      <c r="AL14673" s="177"/>
    </row>
    <row r="14674" spans="38:38" x14ac:dyDescent="0.2">
      <c r="AL14674" s="177"/>
    </row>
    <row r="14675" spans="38:38" x14ac:dyDescent="0.2">
      <c r="AL14675" s="177"/>
    </row>
    <row r="14676" spans="38:38" x14ac:dyDescent="0.2">
      <c r="AL14676" s="177"/>
    </row>
    <row r="14677" spans="38:38" x14ac:dyDescent="0.2">
      <c r="AL14677" s="177"/>
    </row>
    <row r="14678" spans="38:38" x14ac:dyDescent="0.2">
      <c r="AL14678" s="177"/>
    </row>
    <row r="14679" spans="38:38" x14ac:dyDescent="0.2">
      <c r="AL14679" s="177"/>
    </row>
    <row r="14680" spans="38:38" x14ac:dyDescent="0.2">
      <c r="AL14680" s="177"/>
    </row>
    <row r="14681" spans="38:38" x14ac:dyDescent="0.2">
      <c r="AL14681" s="177"/>
    </row>
    <row r="14682" spans="38:38" x14ac:dyDescent="0.2">
      <c r="AL14682" s="177"/>
    </row>
    <row r="14683" spans="38:38" x14ac:dyDescent="0.2">
      <c r="AL14683" s="177"/>
    </row>
    <row r="14684" spans="38:38" x14ac:dyDescent="0.2">
      <c r="AL14684" s="177"/>
    </row>
    <row r="14685" spans="38:38" x14ac:dyDescent="0.2">
      <c r="AL14685" s="177"/>
    </row>
    <row r="14686" spans="38:38" x14ac:dyDescent="0.2">
      <c r="AL14686" s="177"/>
    </row>
    <row r="14687" spans="38:38" x14ac:dyDescent="0.2">
      <c r="AL14687" s="177"/>
    </row>
    <row r="14688" spans="38:38" x14ac:dyDescent="0.2">
      <c r="AL14688" s="177"/>
    </row>
    <row r="14689" spans="38:38" x14ac:dyDescent="0.2">
      <c r="AL14689" s="177"/>
    </row>
    <row r="14690" spans="38:38" x14ac:dyDescent="0.2">
      <c r="AL14690" s="177"/>
    </row>
    <row r="14691" spans="38:38" x14ac:dyDescent="0.2">
      <c r="AL14691" s="177"/>
    </row>
    <row r="14692" spans="38:38" x14ac:dyDescent="0.2">
      <c r="AL14692" s="177"/>
    </row>
    <row r="14693" spans="38:38" x14ac:dyDescent="0.2">
      <c r="AL14693" s="177"/>
    </row>
    <row r="14694" spans="38:38" x14ac:dyDescent="0.2">
      <c r="AL14694" s="177"/>
    </row>
    <row r="14695" spans="38:38" x14ac:dyDescent="0.2">
      <c r="AL14695" s="177"/>
    </row>
    <row r="14696" spans="38:38" x14ac:dyDescent="0.2">
      <c r="AL14696" s="177"/>
    </row>
    <row r="14697" spans="38:38" x14ac:dyDescent="0.2">
      <c r="AL14697" s="177"/>
    </row>
    <row r="14698" spans="38:38" x14ac:dyDescent="0.2">
      <c r="AL14698" s="177"/>
    </row>
    <row r="14699" spans="38:38" x14ac:dyDescent="0.2">
      <c r="AL14699" s="177"/>
    </row>
    <row r="14700" spans="38:38" x14ac:dyDescent="0.2">
      <c r="AL14700" s="177"/>
    </row>
    <row r="14701" spans="38:38" x14ac:dyDescent="0.2">
      <c r="AL14701" s="177"/>
    </row>
    <row r="14702" spans="38:38" x14ac:dyDescent="0.2">
      <c r="AL14702" s="177"/>
    </row>
    <row r="14703" spans="38:38" x14ac:dyDescent="0.2">
      <c r="AL14703" s="177"/>
    </row>
    <row r="14704" spans="38:38" x14ac:dyDescent="0.2">
      <c r="AL14704" s="177"/>
    </row>
    <row r="14705" spans="38:38" x14ac:dyDescent="0.2">
      <c r="AL14705" s="177"/>
    </row>
    <row r="14706" spans="38:38" x14ac:dyDescent="0.2">
      <c r="AL14706" s="177"/>
    </row>
    <row r="14707" spans="38:38" x14ac:dyDescent="0.2">
      <c r="AL14707" s="177"/>
    </row>
    <row r="14708" spans="38:38" x14ac:dyDescent="0.2">
      <c r="AL14708" s="177"/>
    </row>
    <row r="14709" spans="38:38" x14ac:dyDescent="0.2">
      <c r="AL14709" s="177"/>
    </row>
    <row r="14710" spans="38:38" x14ac:dyDescent="0.2">
      <c r="AL14710" s="177"/>
    </row>
    <row r="14711" spans="38:38" x14ac:dyDescent="0.2">
      <c r="AL14711" s="177"/>
    </row>
    <row r="14712" spans="38:38" x14ac:dyDescent="0.2">
      <c r="AL14712" s="177"/>
    </row>
    <row r="14713" spans="38:38" x14ac:dyDescent="0.2">
      <c r="AL14713" s="177"/>
    </row>
    <row r="14714" spans="38:38" x14ac:dyDescent="0.2">
      <c r="AL14714" s="177"/>
    </row>
    <row r="14715" spans="38:38" x14ac:dyDescent="0.2">
      <c r="AL14715" s="177"/>
    </row>
    <row r="14716" spans="38:38" x14ac:dyDescent="0.2">
      <c r="AL14716" s="177"/>
    </row>
    <row r="14717" spans="38:38" x14ac:dyDescent="0.2">
      <c r="AL14717" s="177"/>
    </row>
    <row r="14718" spans="38:38" x14ac:dyDescent="0.2">
      <c r="AL14718" s="177"/>
    </row>
    <row r="14719" spans="38:38" x14ac:dyDescent="0.2">
      <c r="AL14719" s="177"/>
    </row>
    <row r="14720" spans="38:38" x14ac:dyDescent="0.2">
      <c r="AL14720" s="177"/>
    </row>
    <row r="14721" spans="38:38" x14ac:dyDescent="0.2">
      <c r="AL14721" s="177"/>
    </row>
    <row r="14722" spans="38:38" x14ac:dyDescent="0.2">
      <c r="AL14722" s="177"/>
    </row>
    <row r="14723" spans="38:38" x14ac:dyDescent="0.2">
      <c r="AL14723" s="177"/>
    </row>
    <row r="14724" spans="38:38" x14ac:dyDescent="0.2">
      <c r="AL14724" s="177"/>
    </row>
    <row r="14725" spans="38:38" x14ac:dyDescent="0.2">
      <c r="AL14725" s="177"/>
    </row>
    <row r="14726" spans="38:38" x14ac:dyDescent="0.2">
      <c r="AL14726" s="177"/>
    </row>
    <row r="14727" spans="38:38" x14ac:dyDescent="0.2">
      <c r="AL14727" s="177"/>
    </row>
    <row r="14728" spans="38:38" x14ac:dyDescent="0.2">
      <c r="AL14728" s="177"/>
    </row>
    <row r="14729" spans="38:38" x14ac:dyDescent="0.2">
      <c r="AL14729" s="177"/>
    </row>
    <row r="14730" spans="38:38" x14ac:dyDescent="0.2">
      <c r="AL14730" s="177"/>
    </row>
    <row r="14731" spans="38:38" x14ac:dyDescent="0.2">
      <c r="AL14731" s="177"/>
    </row>
    <row r="14732" spans="38:38" x14ac:dyDescent="0.2">
      <c r="AL14732" s="177"/>
    </row>
    <row r="14733" spans="38:38" x14ac:dyDescent="0.2">
      <c r="AL14733" s="177"/>
    </row>
    <row r="14734" spans="38:38" x14ac:dyDescent="0.2">
      <c r="AL14734" s="177"/>
    </row>
    <row r="14735" spans="38:38" x14ac:dyDescent="0.2">
      <c r="AL14735" s="177"/>
    </row>
    <row r="14736" spans="38:38" x14ac:dyDescent="0.2">
      <c r="AL14736" s="177"/>
    </row>
    <row r="14737" spans="38:38" x14ac:dyDescent="0.2">
      <c r="AL14737" s="177"/>
    </row>
    <row r="14738" spans="38:38" x14ac:dyDescent="0.2">
      <c r="AL14738" s="177"/>
    </row>
    <row r="14739" spans="38:38" x14ac:dyDescent="0.2">
      <c r="AL14739" s="177"/>
    </row>
    <row r="14740" spans="38:38" x14ac:dyDescent="0.2">
      <c r="AL14740" s="177"/>
    </row>
    <row r="14741" spans="38:38" x14ac:dyDescent="0.2">
      <c r="AL14741" s="177"/>
    </row>
    <row r="14742" spans="38:38" x14ac:dyDescent="0.2">
      <c r="AL14742" s="177"/>
    </row>
    <row r="14743" spans="38:38" x14ac:dyDescent="0.2">
      <c r="AL14743" s="177"/>
    </row>
    <row r="14744" spans="38:38" x14ac:dyDescent="0.2">
      <c r="AL14744" s="177"/>
    </row>
    <row r="14745" spans="38:38" x14ac:dyDescent="0.2">
      <c r="AL14745" s="177"/>
    </row>
    <row r="14746" spans="38:38" x14ac:dyDescent="0.2">
      <c r="AL14746" s="177"/>
    </row>
    <row r="14747" spans="38:38" x14ac:dyDescent="0.2">
      <c r="AL14747" s="177"/>
    </row>
    <row r="14748" spans="38:38" x14ac:dyDescent="0.2">
      <c r="AL14748" s="177"/>
    </row>
    <row r="14749" spans="38:38" x14ac:dyDescent="0.2">
      <c r="AL14749" s="177"/>
    </row>
    <row r="14750" spans="38:38" x14ac:dyDescent="0.2">
      <c r="AL14750" s="177"/>
    </row>
    <row r="14751" spans="38:38" x14ac:dyDescent="0.2">
      <c r="AL14751" s="177"/>
    </row>
    <row r="14752" spans="38:38" x14ac:dyDescent="0.2">
      <c r="AL14752" s="177"/>
    </row>
    <row r="14753" spans="38:38" x14ac:dyDescent="0.2">
      <c r="AL14753" s="177"/>
    </row>
    <row r="14754" spans="38:38" x14ac:dyDescent="0.2">
      <c r="AL14754" s="177"/>
    </row>
    <row r="14755" spans="38:38" x14ac:dyDescent="0.2">
      <c r="AL14755" s="177"/>
    </row>
    <row r="14756" spans="38:38" x14ac:dyDescent="0.2">
      <c r="AL14756" s="177"/>
    </row>
    <row r="14757" spans="38:38" x14ac:dyDescent="0.2">
      <c r="AL14757" s="177"/>
    </row>
    <row r="14758" spans="38:38" x14ac:dyDescent="0.2">
      <c r="AL14758" s="177"/>
    </row>
    <row r="14759" spans="38:38" x14ac:dyDescent="0.2">
      <c r="AL14759" s="177"/>
    </row>
    <row r="14760" spans="38:38" x14ac:dyDescent="0.2">
      <c r="AL14760" s="177"/>
    </row>
    <row r="14761" spans="38:38" x14ac:dyDescent="0.2">
      <c r="AL14761" s="177"/>
    </row>
    <row r="14762" spans="38:38" x14ac:dyDescent="0.2">
      <c r="AL14762" s="177"/>
    </row>
    <row r="14763" spans="38:38" x14ac:dyDescent="0.2">
      <c r="AL14763" s="177"/>
    </row>
    <row r="14764" spans="38:38" x14ac:dyDescent="0.2">
      <c r="AL14764" s="177"/>
    </row>
    <row r="14765" spans="38:38" x14ac:dyDescent="0.2">
      <c r="AL14765" s="177"/>
    </row>
    <row r="14766" spans="38:38" x14ac:dyDescent="0.2">
      <c r="AL14766" s="177"/>
    </row>
    <row r="14767" spans="38:38" x14ac:dyDescent="0.2">
      <c r="AL14767" s="177"/>
    </row>
    <row r="14768" spans="38:38" x14ac:dyDescent="0.2">
      <c r="AL14768" s="177"/>
    </row>
    <row r="14769" spans="38:38" x14ac:dyDescent="0.2">
      <c r="AL14769" s="177"/>
    </row>
    <row r="14770" spans="38:38" x14ac:dyDescent="0.2">
      <c r="AL14770" s="177"/>
    </row>
    <row r="14771" spans="38:38" x14ac:dyDescent="0.2">
      <c r="AL14771" s="177"/>
    </row>
    <row r="14772" spans="38:38" x14ac:dyDescent="0.2">
      <c r="AL14772" s="177"/>
    </row>
    <row r="14773" spans="38:38" x14ac:dyDescent="0.2">
      <c r="AL14773" s="177"/>
    </row>
    <row r="14774" spans="38:38" x14ac:dyDescent="0.2">
      <c r="AL14774" s="177"/>
    </row>
    <row r="14775" spans="38:38" x14ac:dyDescent="0.2">
      <c r="AL14775" s="177"/>
    </row>
    <row r="14776" spans="38:38" x14ac:dyDescent="0.2">
      <c r="AL14776" s="177"/>
    </row>
    <row r="14777" spans="38:38" x14ac:dyDescent="0.2">
      <c r="AL14777" s="177"/>
    </row>
    <row r="14778" spans="38:38" x14ac:dyDescent="0.2">
      <c r="AL14778" s="177"/>
    </row>
    <row r="14779" spans="38:38" x14ac:dyDescent="0.2">
      <c r="AL14779" s="177"/>
    </row>
    <row r="14780" spans="38:38" x14ac:dyDescent="0.2">
      <c r="AL14780" s="177"/>
    </row>
    <row r="14781" spans="38:38" x14ac:dyDescent="0.2">
      <c r="AL14781" s="177"/>
    </row>
    <row r="14782" spans="38:38" x14ac:dyDescent="0.2">
      <c r="AL14782" s="177"/>
    </row>
    <row r="14783" spans="38:38" x14ac:dyDescent="0.2">
      <c r="AL14783" s="177"/>
    </row>
    <row r="14784" spans="38:38" x14ac:dyDescent="0.2">
      <c r="AL14784" s="177"/>
    </row>
    <row r="14785" spans="38:38" x14ac:dyDescent="0.2">
      <c r="AL14785" s="177"/>
    </row>
    <row r="14786" spans="38:38" x14ac:dyDescent="0.2">
      <c r="AL14786" s="177"/>
    </row>
    <row r="14787" spans="38:38" x14ac:dyDescent="0.2">
      <c r="AL14787" s="177"/>
    </row>
    <row r="14788" spans="38:38" x14ac:dyDescent="0.2">
      <c r="AL14788" s="177"/>
    </row>
    <row r="14789" spans="38:38" x14ac:dyDescent="0.2">
      <c r="AL14789" s="177"/>
    </row>
    <row r="14790" spans="38:38" x14ac:dyDescent="0.2">
      <c r="AL14790" s="177"/>
    </row>
    <row r="14791" spans="38:38" x14ac:dyDescent="0.2">
      <c r="AL14791" s="177"/>
    </row>
    <row r="14792" spans="38:38" x14ac:dyDescent="0.2">
      <c r="AL14792" s="177"/>
    </row>
    <row r="14793" spans="38:38" x14ac:dyDescent="0.2">
      <c r="AL14793" s="177"/>
    </row>
    <row r="14794" spans="38:38" x14ac:dyDescent="0.2">
      <c r="AL14794" s="177"/>
    </row>
    <row r="14795" spans="38:38" x14ac:dyDescent="0.2">
      <c r="AL14795" s="177"/>
    </row>
    <row r="14796" spans="38:38" x14ac:dyDescent="0.2">
      <c r="AL14796" s="177"/>
    </row>
    <row r="14797" spans="38:38" x14ac:dyDescent="0.2">
      <c r="AL14797" s="177"/>
    </row>
    <row r="14798" spans="38:38" x14ac:dyDescent="0.2">
      <c r="AL14798" s="177"/>
    </row>
    <row r="14799" spans="38:38" x14ac:dyDescent="0.2">
      <c r="AL14799" s="177"/>
    </row>
    <row r="14800" spans="38:38" x14ac:dyDescent="0.2">
      <c r="AL14800" s="177"/>
    </row>
    <row r="14801" spans="38:38" x14ac:dyDescent="0.2">
      <c r="AL14801" s="177"/>
    </row>
    <row r="14802" spans="38:38" x14ac:dyDescent="0.2">
      <c r="AL14802" s="177"/>
    </row>
    <row r="14803" spans="38:38" x14ac:dyDescent="0.2">
      <c r="AL14803" s="177"/>
    </row>
    <row r="14804" spans="38:38" x14ac:dyDescent="0.2">
      <c r="AL14804" s="177"/>
    </row>
    <row r="14805" spans="38:38" x14ac:dyDescent="0.2">
      <c r="AL14805" s="177"/>
    </row>
    <row r="14806" spans="38:38" x14ac:dyDescent="0.2">
      <c r="AL14806" s="177"/>
    </row>
    <row r="14807" spans="38:38" x14ac:dyDescent="0.2">
      <c r="AL14807" s="177"/>
    </row>
    <row r="14808" spans="38:38" x14ac:dyDescent="0.2">
      <c r="AL14808" s="177"/>
    </row>
    <row r="14809" spans="38:38" x14ac:dyDescent="0.2">
      <c r="AL14809" s="177"/>
    </row>
    <row r="14810" spans="38:38" x14ac:dyDescent="0.2">
      <c r="AL14810" s="177"/>
    </row>
    <row r="14811" spans="38:38" x14ac:dyDescent="0.2">
      <c r="AL14811" s="177"/>
    </row>
    <row r="14812" spans="38:38" x14ac:dyDescent="0.2">
      <c r="AL14812" s="177"/>
    </row>
    <row r="14813" spans="38:38" x14ac:dyDescent="0.2">
      <c r="AL14813" s="177"/>
    </row>
    <row r="14814" spans="38:38" x14ac:dyDescent="0.2">
      <c r="AL14814" s="177"/>
    </row>
    <row r="14815" spans="38:38" x14ac:dyDescent="0.2">
      <c r="AL14815" s="177"/>
    </row>
    <row r="14816" spans="38:38" x14ac:dyDescent="0.2">
      <c r="AL14816" s="177"/>
    </row>
    <row r="14817" spans="38:38" x14ac:dyDescent="0.2">
      <c r="AL14817" s="177"/>
    </row>
    <row r="14818" spans="38:38" x14ac:dyDescent="0.2">
      <c r="AL14818" s="177"/>
    </row>
    <row r="14819" spans="38:38" x14ac:dyDescent="0.2">
      <c r="AL14819" s="177"/>
    </row>
    <row r="14820" spans="38:38" x14ac:dyDescent="0.2">
      <c r="AL14820" s="177"/>
    </row>
    <row r="14821" spans="38:38" x14ac:dyDescent="0.2">
      <c r="AL14821" s="177"/>
    </row>
    <row r="14822" spans="38:38" x14ac:dyDescent="0.2">
      <c r="AL14822" s="177"/>
    </row>
    <row r="14823" spans="38:38" x14ac:dyDescent="0.2">
      <c r="AL14823" s="177"/>
    </row>
    <row r="14824" spans="38:38" x14ac:dyDescent="0.2">
      <c r="AL14824" s="177"/>
    </row>
    <row r="14825" spans="38:38" x14ac:dyDescent="0.2">
      <c r="AL14825" s="177"/>
    </row>
    <row r="14826" spans="38:38" x14ac:dyDescent="0.2">
      <c r="AL14826" s="177"/>
    </row>
    <row r="14827" spans="38:38" x14ac:dyDescent="0.2">
      <c r="AL14827" s="177"/>
    </row>
    <row r="14828" spans="38:38" x14ac:dyDescent="0.2">
      <c r="AL14828" s="177"/>
    </row>
    <row r="14829" spans="38:38" x14ac:dyDescent="0.2">
      <c r="AL14829" s="177"/>
    </row>
    <row r="14830" spans="38:38" x14ac:dyDescent="0.2">
      <c r="AL14830" s="177"/>
    </row>
    <row r="14831" spans="38:38" x14ac:dyDescent="0.2">
      <c r="AL14831" s="177"/>
    </row>
    <row r="14832" spans="38:38" x14ac:dyDescent="0.2">
      <c r="AL14832" s="177"/>
    </row>
    <row r="14833" spans="38:38" x14ac:dyDescent="0.2">
      <c r="AL14833" s="177"/>
    </row>
    <row r="14834" spans="38:38" x14ac:dyDescent="0.2">
      <c r="AL14834" s="177"/>
    </row>
    <row r="14835" spans="38:38" x14ac:dyDescent="0.2">
      <c r="AL14835" s="177"/>
    </row>
    <row r="14836" spans="38:38" x14ac:dyDescent="0.2">
      <c r="AL14836" s="177"/>
    </row>
    <row r="14837" spans="38:38" x14ac:dyDescent="0.2">
      <c r="AL14837" s="177"/>
    </row>
    <row r="14838" spans="38:38" x14ac:dyDescent="0.2">
      <c r="AL14838" s="177"/>
    </row>
    <row r="14839" spans="38:38" x14ac:dyDescent="0.2">
      <c r="AL14839" s="177"/>
    </row>
    <row r="14840" spans="38:38" x14ac:dyDescent="0.2">
      <c r="AL14840" s="177"/>
    </row>
    <row r="14841" spans="38:38" x14ac:dyDescent="0.2">
      <c r="AL14841" s="177"/>
    </row>
    <row r="14842" spans="38:38" x14ac:dyDescent="0.2">
      <c r="AL14842" s="177"/>
    </row>
    <row r="14843" spans="38:38" x14ac:dyDescent="0.2">
      <c r="AL14843" s="177"/>
    </row>
    <row r="14844" spans="38:38" x14ac:dyDescent="0.2">
      <c r="AL14844" s="177"/>
    </row>
    <row r="14845" spans="38:38" x14ac:dyDescent="0.2">
      <c r="AL14845" s="177"/>
    </row>
    <row r="14846" spans="38:38" x14ac:dyDescent="0.2">
      <c r="AL14846" s="177"/>
    </row>
    <row r="14847" spans="38:38" x14ac:dyDescent="0.2">
      <c r="AL14847" s="177"/>
    </row>
    <row r="14848" spans="38:38" x14ac:dyDescent="0.2">
      <c r="AL14848" s="177"/>
    </row>
    <row r="14849" spans="38:38" x14ac:dyDescent="0.2">
      <c r="AL14849" s="177"/>
    </row>
    <row r="14850" spans="38:38" x14ac:dyDescent="0.2">
      <c r="AL14850" s="177"/>
    </row>
    <row r="14851" spans="38:38" x14ac:dyDescent="0.2">
      <c r="AL14851" s="177"/>
    </row>
    <row r="14852" spans="38:38" x14ac:dyDescent="0.2">
      <c r="AL14852" s="177"/>
    </row>
    <row r="14853" spans="38:38" x14ac:dyDescent="0.2">
      <c r="AL14853" s="177"/>
    </row>
    <row r="14854" spans="38:38" x14ac:dyDescent="0.2">
      <c r="AL14854" s="177"/>
    </row>
    <row r="14855" spans="38:38" x14ac:dyDescent="0.2">
      <c r="AL14855" s="177"/>
    </row>
    <row r="14856" spans="38:38" x14ac:dyDescent="0.2">
      <c r="AL14856" s="177"/>
    </row>
    <row r="14857" spans="38:38" x14ac:dyDescent="0.2">
      <c r="AL14857" s="177"/>
    </row>
    <row r="14858" spans="38:38" x14ac:dyDescent="0.2">
      <c r="AL14858" s="177"/>
    </row>
    <row r="14859" spans="38:38" x14ac:dyDescent="0.2">
      <c r="AL14859" s="177"/>
    </row>
    <row r="14860" spans="38:38" x14ac:dyDescent="0.2">
      <c r="AL14860" s="177"/>
    </row>
    <row r="14861" spans="38:38" x14ac:dyDescent="0.2">
      <c r="AL14861" s="177"/>
    </row>
    <row r="14862" spans="38:38" x14ac:dyDescent="0.2">
      <c r="AL14862" s="177"/>
    </row>
    <row r="14863" spans="38:38" x14ac:dyDescent="0.2">
      <c r="AL14863" s="177"/>
    </row>
    <row r="14864" spans="38:38" x14ac:dyDescent="0.2">
      <c r="AL14864" s="177"/>
    </row>
    <row r="14865" spans="38:38" x14ac:dyDescent="0.2">
      <c r="AL14865" s="177"/>
    </row>
    <row r="14866" spans="38:38" x14ac:dyDescent="0.2">
      <c r="AL14866" s="177"/>
    </row>
    <row r="14867" spans="38:38" x14ac:dyDescent="0.2">
      <c r="AL14867" s="177"/>
    </row>
    <row r="14868" spans="38:38" x14ac:dyDescent="0.2">
      <c r="AL14868" s="177"/>
    </row>
    <row r="14869" spans="38:38" x14ac:dyDescent="0.2">
      <c r="AL14869" s="177"/>
    </row>
    <row r="14870" spans="38:38" x14ac:dyDescent="0.2">
      <c r="AL14870" s="177"/>
    </row>
    <row r="14871" spans="38:38" x14ac:dyDescent="0.2">
      <c r="AL14871" s="177"/>
    </row>
    <row r="14872" spans="38:38" x14ac:dyDescent="0.2">
      <c r="AL14872" s="177"/>
    </row>
    <row r="14873" spans="38:38" x14ac:dyDescent="0.2">
      <c r="AL14873" s="177"/>
    </row>
    <row r="14874" spans="38:38" x14ac:dyDescent="0.2">
      <c r="AL14874" s="177"/>
    </row>
    <row r="14875" spans="38:38" x14ac:dyDescent="0.2">
      <c r="AL14875" s="177"/>
    </row>
    <row r="14876" spans="38:38" x14ac:dyDescent="0.2">
      <c r="AL14876" s="177"/>
    </row>
    <row r="14877" spans="38:38" x14ac:dyDescent="0.2">
      <c r="AL14877" s="177"/>
    </row>
    <row r="14878" spans="38:38" x14ac:dyDescent="0.2">
      <c r="AL14878" s="177"/>
    </row>
    <row r="14879" spans="38:38" x14ac:dyDescent="0.2">
      <c r="AL14879" s="177"/>
    </row>
    <row r="14880" spans="38:38" x14ac:dyDescent="0.2">
      <c r="AL14880" s="177"/>
    </row>
    <row r="14881" spans="38:38" x14ac:dyDescent="0.2">
      <c r="AL14881" s="177"/>
    </row>
    <row r="14882" spans="38:38" x14ac:dyDescent="0.2">
      <c r="AL14882" s="177"/>
    </row>
    <row r="14883" spans="38:38" x14ac:dyDescent="0.2">
      <c r="AL14883" s="177"/>
    </row>
    <row r="14884" spans="38:38" x14ac:dyDescent="0.2">
      <c r="AL14884" s="177"/>
    </row>
    <row r="14885" spans="38:38" x14ac:dyDescent="0.2">
      <c r="AL14885" s="177"/>
    </row>
    <row r="14886" spans="38:38" x14ac:dyDescent="0.2">
      <c r="AL14886" s="177"/>
    </row>
    <row r="14887" spans="38:38" x14ac:dyDescent="0.2">
      <c r="AL14887" s="177"/>
    </row>
    <row r="14888" spans="38:38" x14ac:dyDescent="0.2">
      <c r="AL14888" s="177"/>
    </row>
    <row r="14889" spans="38:38" x14ac:dyDescent="0.2">
      <c r="AL14889" s="177"/>
    </row>
    <row r="14890" spans="38:38" x14ac:dyDescent="0.2">
      <c r="AL14890" s="177"/>
    </row>
    <row r="14891" spans="38:38" x14ac:dyDescent="0.2">
      <c r="AL14891" s="177"/>
    </row>
    <row r="14892" spans="38:38" x14ac:dyDescent="0.2">
      <c r="AL14892" s="177"/>
    </row>
    <row r="14893" spans="38:38" x14ac:dyDescent="0.2">
      <c r="AL14893" s="177"/>
    </row>
    <row r="14894" spans="38:38" x14ac:dyDescent="0.2">
      <c r="AL14894" s="177"/>
    </row>
    <row r="14895" spans="38:38" x14ac:dyDescent="0.2">
      <c r="AL14895" s="177"/>
    </row>
    <row r="14896" spans="38:38" x14ac:dyDescent="0.2">
      <c r="AL14896" s="177"/>
    </row>
    <row r="14897" spans="38:38" x14ac:dyDescent="0.2">
      <c r="AL14897" s="177"/>
    </row>
    <row r="14898" spans="38:38" x14ac:dyDescent="0.2">
      <c r="AL14898" s="177"/>
    </row>
    <row r="14899" spans="38:38" x14ac:dyDescent="0.2">
      <c r="AL14899" s="177"/>
    </row>
    <row r="14900" spans="38:38" x14ac:dyDescent="0.2">
      <c r="AL14900" s="177"/>
    </row>
    <row r="14901" spans="38:38" x14ac:dyDescent="0.2">
      <c r="AL14901" s="177"/>
    </row>
    <row r="14902" spans="38:38" x14ac:dyDescent="0.2">
      <c r="AL14902" s="177"/>
    </row>
    <row r="14903" spans="38:38" x14ac:dyDescent="0.2">
      <c r="AL14903" s="177"/>
    </row>
    <row r="14904" spans="38:38" x14ac:dyDescent="0.2">
      <c r="AL14904" s="177"/>
    </row>
    <row r="14905" spans="38:38" x14ac:dyDescent="0.2">
      <c r="AL14905" s="177"/>
    </row>
    <row r="14906" spans="38:38" x14ac:dyDescent="0.2">
      <c r="AL14906" s="177"/>
    </row>
    <row r="14907" spans="38:38" x14ac:dyDescent="0.2">
      <c r="AL14907" s="177"/>
    </row>
    <row r="14908" spans="38:38" x14ac:dyDescent="0.2">
      <c r="AL14908" s="177"/>
    </row>
    <row r="14909" spans="38:38" x14ac:dyDescent="0.2">
      <c r="AL14909" s="177"/>
    </row>
    <row r="14910" spans="38:38" x14ac:dyDescent="0.2">
      <c r="AL14910" s="177"/>
    </row>
    <row r="14911" spans="38:38" x14ac:dyDescent="0.2">
      <c r="AL14911" s="177"/>
    </row>
    <row r="14912" spans="38:38" x14ac:dyDescent="0.2">
      <c r="AL14912" s="177"/>
    </row>
    <row r="14913" spans="38:38" x14ac:dyDescent="0.2">
      <c r="AL14913" s="177"/>
    </row>
    <row r="14914" spans="38:38" x14ac:dyDescent="0.2">
      <c r="AL14914" s="177"/>
    </row>
    <row r="14915" spans="38:38" x14ac:dyDescent="0.2">
      <c r="AL14915" s="177"/>
    </row>
    <row r="14916" spans="38:38" x14ac:dyDescent="0.2">
      <c r="AL14916" s="177"/>
    </row>
    <row r="14917" spans="38:38" x14ac:dyDescent="0.2">
      <c r="AL14917" s="177"/>
    </row>
    <row r="14918" spans="38:38" x14ac:dyDescent="0.2">
      <c r="AL14918" s="177"/>
    </row>
    <row r="14919" spans="38:38" x14ac:dyDescent="0.2">
      <c r="AL14919" s="177"/>
    </row>
    <row r="14920" spans="38:38" x14ac:dyDescent="0.2">
      <c r="AL14920" s="177"/>
    </row>
    <row r="14921" spans="38:38" x14ac:dyDescent="0.2">
      <c r="AL14921" s="177"/>
    </row>
    <row r="14922" spans="38:38" x14ac:dyDescent="0.2">
      <c r="AL14922" s="177"/>
    </row>
    <row r="14923" spans="38:38" x14ac:dyDescent="0.2">
      <c r="AL14923" s="177"/>
    </row>
    <row r="14924" spans="38:38" x14ac:dyDescent="0.2">
      <c r="AL14924" s="177"/>
    </row>
    <row r="14925" spans="38:38" x14ac:dyDescent="0.2">
      <c r="AL14925" s="177"/>
    </row>
    <row r="14926" spans="38:38" x14ac:dyDescent="0.2">
      <c r="AL14926" s="177"/>
    </row>
    <row r="14927" spans="38:38" x14ac:dyDescent="0.2">
      <c r="AL14927" s="177"/>
    </row>
    <row r="14928" spans="38:38" x14ac:dyDescent="0.2">
      <c r="AL14928" s="177"/>
    </row>
    <row r="14929" spans="38:38" x14ac:dyDescent="0.2">
      <c r="AL14929" s="177"/>
    </row>
    <row r="14930" spans="38:38" x14ac:dyDescent="0.2">
      <c r="AL14930" s="177"/>
    </row>
    <row r="14931" spans="38:38" x14ac:dyDescent="0.2">
      <c r="AL14931" s="177"/>
    </row>
    <row r="14932" spans="38:38" x14ac:dyDescent="0.2">
      <c r="AL14932" s="177"/>
    </row>
    <row r="14933" spans="38:38" x14ac:dyDescent="0.2">
      <c r="AL14933" s="177"/>
    </row>
    <row r="14934" spans="38:38" x14ac:dyDescent="0.2">
      <c r="AL14934" s="177"/>
    </row>
    <row r="14935" spans="38:38" x14ac:dyDescent="0.2">
      <c r="AL14935" s="177"/>
    </row>
    <row r="14936" spans="38:38" x14ac:dyDescent="0.2">
      <c r="AL14936" s="177"/>
    </row>
    <row r="14937" spans="38:38" x14ac:dyDescent="0.2">
      <c r="AL14937" s="177"/>
    </row>
    <row r="14938" spans="38:38" x14ac:dyDescent="0.2">
      <c r="AL14938" s="177"/>
    </row>
    <row r="14939" spans="38:38" x14ac:dyDescent="0.2">
      <c r="AL14939" s="177"/>
    </row>
    <row r="14940" spans="38:38" x14ac:dyDescent="0.2">
      <c r="AL14940" s="177"/>
    </row>
    <row r="14941" spans="38:38" x14ac:dyDescent="0.2">
      <c r="AL14941" s="177"/>
    </row>
    <row r="14942" spans="38:38" x14ac:dyDescent="0.2">
      <c r="AL14942" s="177"/>
    </row>
    <row r="14943" spans="38:38" x14ac:dyDescent="0.2">
      <c r="AL14943" s="177"/>
    </row>
    <row r="14944" spans="38:38" x14ac:dyDescent="0.2">
      <c r="AL14944" s="177"/>
    </row>
    <row r="14945" spans="38:38" x14ac:dyDescent="0.2">
      <c r="AL14945" s="177"/>
    </row>
    <row r="14946" spans="38:38" x14ac:dyDescent="0.2">
      <c r="AL14946" s="177"/>
    </row>
    <row r="14947" spans="38:38" x14ac:dyDescent="0.2">
      <c r="AL14947" s="177"/>
    </row>
    <row r="14948" spans="38:38" x14ac:dyDescent="0.2">
      <c r="AL14948" s="177"/>
    </row>
    <row r="14949" spans="38:38" x14ac:dyDescent="0.2">
      <c r="AL14949" s="177"/>
    </row>
    <row r="14950" spans="38:38" x14ac:dyDescent="0.2">
      <c r="AL14950" s="177"/>
    </row>
    <row r="14951" spans="38:38" x14ac:dyDescent="0.2">
      <c r="AL14951" s="177"/>
    </row>
    <row r="14952" spans="38:38" x14ac:dyDescent="0.2">
      <c r="AL14952" s="177"/>
    </row>
    <row r="14953" spans="38:38" x14ac:dyDescent="0.2">
      <c r="AL14953" s="177"/>
    </row>
    <row r="14954" spans="38:38" x14ac:dyDescent="0.2">
      <c r="AL14954" s="177"/>
    </row>
    <row r="14955" spans="38:38" x14ac:dyDescent="0.2">
      <c r="AL14955" s="177"/>
    </row>
    <row r="14956" spans="38:38" x14ac:dyDescent="0.2">
      <c r="AL14956" s="177"/>
    </row>
    <row r="14957" spans="38:38" x14ac:dyDescent="0.2">
      <c r="AL14957" s="177"/>
    </row>
    <row r="14958" spans="38:38" x14ac:dyDescent="0.2">
      <c r="AL14958" s="177"/>
    </row>
    <row r="14959" spans="38:38" x14ac:dyDescent="0.2">
      <c r="AL14959" s="177"/>
    </row>
    <row r="14960" spans="38:38" x14ac:dyDescent="0.2">
      <c r="AL14960" s="177"/>
    </row>
    <row r="14961" spans="38:38" x14ac:dyDescent="0.2">
      <c r="AL14961" s="177"/>
    </row>
    <row r="14962" spans="38:38" x14ac:dyDescent="0.2">
      <c r="AL14962" s="177"/>
    </row>
    <row r="14963" spans="38:38" x14ac:dyDescent="0.2">
      <c r="AL14963" s="177"/>
    </row>
    <row r="14964" spans="38:38" x14ac:dyDescent="0.2">
      <c r="AL14964" s="177"/>
    </row>
    <row r="14965" spans="38:38" x14ac:dyDescent="0.2">
      <c r="AL14965" s="177"/>
    </row>
    <row r="14966" spans="38:38" x14ac:dyDescent="0.2">
      <c r="AL14966" s="177"/>
    </row>
    <row r="14967" spans="38:38" x14ac:dyDescent="0.2">
      <c r="AL14967" s="177"/>
    </row>
    <row r="14968" spans="38:38" x14ac:dyDescent="0.2">
      <c r="AL14968" s="177"/>
    </row>
    <row r="14969" spans="38:38" x14ac:dyDescent="0.2">
      <c r="AL14969" s="177"/>
    </row>
    <row r="14970" spans="38:38" x14ac:dyDescent="0.2">
      <c r="AL14970" s="177"/>
    </row>
    <row r="14971" spans="38:38" x14ac:dyDescent="0.2">
      <c r="AL14971" s="177"/>
    </row>
    <row r="14972" spans="38:38" x14ac:dyDescent="0.2">
      <c r="AL14972" s="177"/>
    </row>
    <row r="14973" spans="38:38" x14ac:dyDescent="0.2">
      <c r="AL14973" s="177"/>
    </row>
    <row r="14974" spans="38:38" x14ac:dyDescent="0.2">
      <c r="AL14974" s="177"/>
    </row>
    <row r="14975" spans="38:38" x14ac:dyDescent="0.2">
      <c r="AL14975" s="177"/>
    </row>
    <row r="14976" spans="38:38" x14ac:dyDescent="0.2">
      <c r="AL14976" s="177"/>
    </row>
    <row r="14977" spans="38:38" x14ac:dyDescent="0.2">
      <c r="AL14977" s="177"/>
    </row>
    <row r="14978" spans="38:38" x14ac:dyDescent="0.2">
      <c r="AL14978" s="177"/>
    </row>
    <row r="14979" spans="38:38" x14ac:dyDescent="0.2">
      <c r="AL14979" s="177"/>
    </row>
    <row r="14980" spans="38:38" x14ac:dyDescent="0.2">
      <c r="AL14980" s="177"/>
    </row>
    <row r="14981" spans="38:38" x14ac:dyDescent="0.2">
      <c r="AL14981" s="177"/>
    </row>
    <row r="14982" spans="38:38" x14ac:dyDescent="0.2">
      <c r="AL14982" s="177"/>
    </row>
    <row r="14983" spans="38:38" x14ac:dyDescent="0.2">
      <c r="AL14983" s="177"/>
    </row>
    <row r="14984" spans="38:38" x14ac:dyDescent="0.2">
      <c r="AL14984" s="177"/>
    </row>
    <row r="14985" spans="38:38" x14ac:dyDescent="0.2">
      <c r="AL14985" s="177"/>
    </row>
    <row r="14986" spans="38:38" x14ac:dyDescent="0.2">
      <c r="AL14986" s="177"/>
    </row>
    <row r="14987" spans="38:38" x14ac:dyDescent="0.2">
      <c r="AL14987" s="177"/>
    </row>
    <row r="14988" spans="38:38" x14ac:dyDescent="0.2">
      <c r="AL14988" s="177"/>
    </row>
    <row r="14989" spans="38:38" x14ac:dyDescent="0.2">
      <c r="AL14989" s="177"/>
    </row>
    <row r="14990" spans="38:38" x14ac:dyDescent="0.2">
      <c r="AL14990" s="177"/>
    </row>
    <row r="14991" spans="38:38" x14ac:dyDescent="0.2">
      <c r="AL14991" s="177"/>
    </row>
    <row r="14992" spans="38:38" x14ac:dyDescent="0.2">
      <c r="AL14992" s="177"/>
    </row>
    <row r="14993" spans="38:38" x14ac:dyDescent="0.2">
      <c r="AL14993" s="177"/>
    </row>
    <row r="14994" spans="38:38" x14ac:dyDescent="0.2">
      <c r="AL14994" s="177"/>
    </row>
    <row r="14995" spans="38:38" x14ac:dyDescent="0.2">
      <c r="AL14995" s="177"/>
    </row>
    <row r="14996" spans="38:38" x14ac:dyDescent="0.2">
      <c r="AL14996" s="177"/>
    </row>
    <row r="14997" spans="38:38" x14ac:dyDescent="0.2">
      <c r="AL14997" s="177"/>
    </row>
    <row r="14998" spans="38:38" x14ac:dyDescent="0.2">
      <c r="AL14998" s="177"/>
    </row>
    <row r="14999" spans="38:38" x14ac:dyDescent="0.2">
      <c r="AL14999" s="177"/>
    </row>
    <row r="15000" spans="38:38" x14ac:dyDescent="0.2">
      <c r="AL15000" s="177"/>
    </row>
    <row r="15001" spans="38:38" x14ac:dyDescent="0.2">
      <c r="AL15001" s="177"/>
    </row>
    <row r="15002" spans="38:38" x14ac:dyDescent="0.2">
      <c r="AL15002" s="177"/>
    </row>
    <row r="15003" spans="38:38" x14ac:dyDescent="0.2">
      <c r="AL15003" s="177"/>
    </row>
    <row r="15004" spans="38:38" x14ac:dyDescent="0.2">
      <c r="AL15004" s="177"/>
    </row>
    <row r="15005" spans="38:38" x14ac:dyDescent="0.2">
      <c r="AL15005" s="177"/>
    </row>
    <row r="15006" spans="38:38" x14ac:dyDescent="0.2">
      <c r="AL15006" s="177"/>
    </row>
    <row r="15007" spans="38:38" x14ac:dyDescent="0.2">
      <c r="AL15007" s="177"/>
    </row>
    <row r="15008" spans="38:38" x14ac:dyDescent="0.2">
      <c r="AL15008" s="177"/>
    </row>
    <row r="15009" spans="38:38" x14ac:dyDescent="0.2">
      <c r="AL15009" s="177"/>
    </row>
    <row r="15010" spans="38:38" x14ac:dyDescent="0.2">
      <c r="AL15010" s="177"/>
    </row>
    <row r="15011" spans="38:38" x14ac:dyDescent="0.2">
      <c r="AL15011" s="177"/>
    </row>
    <row r="15012" spans="38:38" x14ac:dyDescent="0.2">
      <c r="AL15012" s="177"/>
    </row>
    <row r="15013" spans="38:38" x14ac:dyDescent="0.2">
      <c r="AL15013" s="177"/>
    </row>
    <row r="15014" spans="38:38" x14ac:dyDescent="0.2">
      <c r="AL15014" s="177"/>
    </row>
    <row r="15015" spans="38:38" x14ac:dyDescent="0.2">
      <c r="AL15015" s="177"/>
    </row>
    <row r="15016" spans="38:38" x14ac:dyDescent="0.2">
      <c r="AL15016" s="177"/>
    </row>
    <row r="15017" spans="38:38" x14ac:dyDescent="0.2">
      <c r="AL15017" s="177"/>
    </row>
    <row r="15018" spans="38:38" x14ac:dyDescent="0.2">
      <c r="AL15018" s="177"/>
    </row>
    <row r="15019" spans="38:38" x14ac:dyDescent="0.2">
      <c r="AL15019" s="177"/>
    </row>
    <row r="15020" spans="38:38" x14ac:dyDescent="0.2">
      <c r="AL15020" s="177"/>
    </row>
    <row r="15021" spans="38:38" x14ac:dyDescent="0.2">
      <c r="AL15021" s="177"/>
    </row>
    <row r="15022" spans="38:38" x14ac:dyDescent="0.2">
      <c r="AL15022" s="177"/>
    </row>
    <row r="15023" spans="38:38" x14ac:dyDescent="0.2">
      <c r="AL15023" s="177"/>
    </row>
    <row r="15024" spans="38:38" x14ac:dyDescent="0.2">
      <c r="AL15024" s="177"/>
    </row>
    <row r="15025" spans="38:38" x14ac:dyDescent="0.2">
      <c r="AL15025" s="177"/>
    </row>
    <row r="15026" spans="38:38" x14ac:dyDescent="0.2">
      <c r="AL15026" s="177"/>
    </row>
    <row r="15027" spans="38:38" x14ac:dyDescent="0.2">
      <c r="AL15027" s="177"/>
    </row>
    <row r="15028" spans="38:38" x14ac:dyDescent="0.2">
      <c r="AL15028" s="177"/>
    </row>
    <row r="15029" spans="38:38" x14ac:dyDescent="0.2">
      <c r="AL15029" s="177"/>
    </row>
    <row r="15030" spans="38:38" x14ac:dyDescent="0.2">
      <c r="AL15030" s="177"/>
    </row>
    <row r="15031" spans="38:38" x14ac:dyDescent="0.2">
      <c r="AL15031" s="177"/>
    </row>
    <row r="15032" spans="38:38" x14ac:dyDescent="0.2">
      <c r="AL15032" s="177"/>
    </row>
    <row r="15033" spans="38:38" x14ac:dyDescent="0.2">
      <c r="AL15033" s="177"/>
    </row>
    <row r="15034" spans="38:38" x14ac:dyDescent="0.2">
      <c r="AL15034" s="177"/>
    </row>
    <row r="15035" spans="38:38" x14ac:dyDescent="0.2">
      <c r="AL15035" s="177"/>
    </row>
    <row r="15036" spans="38:38" x14ac:dyDescent="0.2">
      <c r="AL15036" s="177"/>
    </row>
    <row r="15037" spans="38:38" x14ac:dyDescent="0.2">
      <c r="AL15037" s="177"/>
    </row>
    <row r="15038" spans="38:38" x14ac:dyDescent="0.2">
      <c r="AL15038" s="177"/>
    </row>
    <row r="15039" spans="38:38" x14ac:dyDescent="0.2">
      <c r="AL15039" s="177"/>
    </row>
    <row r="15040" spans="38:38" x14ac:dyDescent="0.2">
      <c r="AL15040" s="177"/>
    </row>
    <row r="15041" spans="38:38" x14ac:dyDescent="0.2">
      <c r="AL15041" s="177"/>
    </row>
    <row r="15042" spans="38:38" x14ac:dyDescent="0.2">
      <c r="AL15042" s="177"/>
    </row>
    <row r="15043" spans="38:38" x14ac:dyDescent="0.2">
      <c r="AL15043" s="177"/>
    </row>
    <row r="15044" spans="38:38" x14ac:dyDescent="0.2">
      <c r="AL15044" s="177"/>
    </row>
    <row r="15045" spans="38:38" x14ac:dyDescent="0.2">
      <c r="AL15045" s="177"/>
    </row>
    <row r="15046" spans="38:38" x14ac:dyDescent="0.2">
      <c r="AL15046" s="177"/>
    </row>
    <row r="15047" spans="38:38" x14ac:dyDescent="0.2">
      <c r="AL15047" s="177"/>
    </row>
    <row r="15048" spans="38:38" x14ac:dyDescent="0.2">
      <c r="AL15048" s="177"/>
    </row>
    <row r="15049" spans="38:38" x14ac:dyDescent="0.2">
      <c r="AL15049" s="177"/>
    </row>
    <row r="15050" spans="38:38" x14ac:dyDescent="0.2">
      <c r="AL15050" s="177"/>
    </row>
    <row r="15051" spans="38:38" x14ac:dyDescent="0.2">
      <c r="AL15051" s="177"/>
    </row>
    <row r="15052" spans="38:38" x14ac:dyDescent="0.2">
      <c r="AL15052" s="177"/>
    </row>
    <row r="15053" spans="38:38" x14ac:dyDescent="0.2">
      <c r="AL15053" s="177"/>
    </row>
    <row r="15054" spans="38:38" x14ac:dyDescent="0.2">
      <c r="AL15054" s="177"/>
    </row>
    <row r="15055" spans="38:38" x14ac:dyDescent="0.2">
      <c r="AL15055" s="177"/>
    </row>
    <row r="15056" spans="38:38" x14ac:dyDescent="0.2">
      <c r="AL15056" s="177"/>
    </row>
    <row r="15057" spans="38:38" x14ac:dyDescent="0.2">
      <c r="AL15057" s="177"/>
    </row>
    <row r="15058" spans="38:38" x14ac:dyDescent="0.2">
      <c r="AL15058" s="177"/>
    </row>
    <row r="15059" spans="38:38" x14ac:dyDescent="0.2">
      <c r="AL15059" s="177"/>
    </row>
    <row r="15060" spans="38:38" x14ac:dyDescent="0.2">
      <c r="AL15060" s="177"/>
    </row>
    <row r="15061" spans="38:38" x14ac:dyDescent="0.2">
      <c r="AL15061" s="177"/>
    </row>
    <row r="15062" spans="38:38" x14ac:dyDescent="0.2">
      <c r="AL15062" s="177"/>
    </row>
    <row r="15063" spans="38:38" x14ac:dyDescent="0.2">
      <c r="AL15063" s="177"/>
    </row>
    <row r="15064" spans="38:38" x14ac:dyDescent="0.2">
      <c r="AL15064" s="177"/>
    </row>
    <row r="15065" spans="38:38" x14ac:dyDescent="0.2">
      <c r="AL15065" s="177"/>
    </row>
    <row r="15066" spans="38:38" x14ac:dyDescent="0.2">
      <c r="AL15066" s="177"/>
    </row>
    <row r="15067" spans="38:38" x14ac:dyDescent="0.2">
      <c r="AL15067" s="177"/>
    </row>
    <row r="15068" spans="38:38" x14ac:dyDescent="0.2">
      <c r="AL15068" s="177"/>
    </row>
    <row r="15069" spans="38:38" x14ac:dyDescent="0.2">
      <c r="AL15069" s="177"/>
    </row>
    <row r="15070" spans="38:38" x14ac:dyDescent="0.2">
      <c r="AL15070" s="177"/>
    </row>
    <row r="15071" spans="38:38" x14ac:dyDescent="0.2">
      <c r="AL15071" s="177"/>
    </row>
    <row r="15072" spans="38:38" x14ac:dyDescent="0.2">
      <c r="AL15072" s="177"/>
    </row>
    <row r="15073" spans="38:38" x14ac:dyDescent="0.2">
      <c r="AL15073" s="177"/>
    </row>
    <row r="15074" spans="38:38" x14ac:dyDescent="0.2">
      <c r="AL15074" s="177"/>
    </row>
    <row r="15075" spans="38:38" x14ac:dyDescent="0.2">
      <c r="AL15075" s="177"/>
    </row>
    <row r="15076" spans="38:38" x14ac:dyDescent="0.2">
      <c r="AL15076" s="177"/>
    </row>
    <row r="15077" spans="38:38" x14ac:dyDescent="0.2">
      <c r="AL15077" s="177"/>
    </row>
    <row r="15078" spans="38:38" x14ac:dyDescent="0.2">
      <c r="AL15078" s="177"/>
    </row>
    <row r="15079" spans="38:38" x14ac:dyDescent="0.2">
      <c r="AL15079" s="177"/>
    </row>
    <row r="15080" spans="38:38" x14ac:dyDescent="0.2">
      <c r="AL15080" s="177"/>
    </row>
    <row r="15081" spans="38:38" x14ac:dyDescent="0.2">
      <c r="AL15081" s="177"/>
    </row>
    <row r="15082" spans="38:38" x14ac:dyDescent="0.2">
      <c r="AL15082" s="177"/>
    </row>
    <row r="15083" spans="38:38" x14ac:dyDescent="0.2">
      <c r="AL15083" s="177"/>
    </row>
    <row r="15084" spans="38:38" x14ac:dyDescent="0.2">
      <c r="AL15084" s="177"/>
    </row>
    <row r="15085" spans="38:38" x14ac:dyDescent="0.2">
      <c r="AL15085" s="177"/>
    </row>
    <row r="15086" spans="38:38" x14ac:dyDescent="0.2">
      <c r="AL15086" s="177"/>
    </row>
    <row r="15087" spans="38:38" x14ac:dyDescent="0.2">
      <c r="AL15087" s="177"/>
    </row>
    <row r="15088" spans="38:38" x14ac:dyDescent="0.2">
      <c r="AL15088" s="177"/>
    </row>
    <row r="15089" spans="38:38" x14ac:dyDescent="0.2">
      <c r="AL15089" s="177"/>
    </row>
    <row r="15090" spans="38:38" x14ac:dyDescent="0.2">
      <c r="AL15090" s="177"/>
    </row>
    <row r="15091" spans="38:38" x14ac:dyDescent="0.2">
      <c r="AL15091" s="177"/>
    </row>
    <row r="15092" spans="38:38" x14ac:dyDescent="0.2">
      <c r="AL15092" s="177"/>
    </row>
    <row r="15093" spans="38:38" x14ac:dyDescent="0.2">
      <c r="AL15093" s="177"/>
    </row>
    <row r="15094" spans="38:38" x14ac:dyDescent="0.2">
      <c r="AL15094" s="177"/>
    </row>
    <row r="15095" spans="38:38" x14ac:dyDescent="0.2">
      <c r="AL15095" s="177"/>
    </row>
    <row r="15096" spans="38:38" x14ac:dyDescent="0.2">
      <c r="AL15096" s="177"/>
    </row>
    <row r="15097" spans="38:38" x14ac:dyDescent="0.2">
      <c r="AL15097" s="177"/>
    </row>
    <row r="15098" spans="38:38" x14ac:dyDescent="0.2">
      <c r="AL15098" s="177"/>
    </row>
    <row r="15099" spans="38:38" x14ac:dyDescent="0.2">
      <c r="AL15099" s="177"/>
    </row>
    <row r="15100" spans="38:38" x14ac:dyDescent="0.2">
      <c r="AL15100" s="177"/>
    </row>
    <row r="15101" spans="38:38" x14ac:dyDescent="0.2">
      <c r="AL15101" s="177"/>
    </row>
    <row r="15102" spans="38:38" x14ac:dyDescent="0.2">
      <c r="AL15102" s="177"/>
    </row>
    <row r="15103" spans="38:38" x14ac:dyDescent="0.2">
      <c r="AL15103" s="177"/>
    </row>
    <row r="15104" spans="38:38" x14ac:dyDescent="0.2">
      <c r="AL15104" s="177"/>
    </row>
    <row r="15105" spans="38:38" x14ac:dyDescent="0.2">
      <c r="AL15105" s="177"/>
    </row>
    <row r="15106" spans="38:38" x14ac:dyDescent="0.2">
      <c r="AL15106" s="177"/>
    </row>
    <row r="15107" spans="38:38" x14ac:dyDescent="0.2">
      <c r="AL15107" s="177"/>
    </row>
    <row r="15108" spans="38:38" x14ac:dyDescent="0.2">
      <c r="AL15108" s="177"/>
    </row>
    <row r="15109" spans="38:38" x14ac:dyDescent="0.2">
      <c r="AL15109" s="177"/>
    </row>
    <row r="15110" spans="38:38" x14ac:dyDescent="0.2">
      <c r="AL15110" s="177"/>
    </row>
    <row r="15111" spans="38:38" x14ac:dyDescent="0.2">
      <c r="AL15111" s="177"/>
    </row>
    <row r="15112" spans="38:38" x14ac:dyDescent="0.2">
      <c r="AL15112" s="177"/>
    </row>
    <row r="15113" spans="38:38" x14ac:dyDescent="0.2">
      <c r="AL15113" s="177"/>
    </row>
    <row r="15114" spans="38:38" x14ac:dyDescent="0.2">
      <c r="AL15114" s="177"/>
    </row>
    <row r="15115" spans="38:38" x14ac:dyDescent="0.2">
      <c r="AL15115" s="177"/>
    </row>
    <row r="15116" spans="38:38" x14ac:dyDescent="0.2">
      <c r="AL15116" s="177"/>
    </row>
    <row r="15117" spans="38:38" x14ac:dyDescent="0.2">
      <c r="AL15117" s="177"/>
    </row>
    <row r="15118" spans="38:38" x14ac:dyDescent="0.2">
      <c r="AL15118" s="177"/>
    </row>
    <row r="15119" spans="38:38" x14ac:dyDescent="0.2">
      <c r="AL15119" s="177"/>
    </row>
    <row r="15120" spans="38:38" x14ac:dyDescent="0.2">
      <c r="AL15120" s="177"/>
    </row>
    <row r="15121" spans="38:38" x14ac:dyDescent="0.2">
      <c r="AL15121" s="177"/>
    </row>
    <row r="15122" spans="38:38" x14ac:dyDescent="0.2">
      <c r="AL15122" s="177"/>
    </row>
    <row r="15123" spans="38:38" x14ac:dyDescent="0.2">
      <c r="AL15123" s="177"/>
    </row>
    <row r="15124" spans="38:38" x14ac:dyDescent="0.2">
      <c r="AL15124" s="177"/>
    </row>
    <row r="15125" spans="38:38" x14ac:dyDescent="0.2">
      <c r="AL15125" s="177"/>
    </row>
    <row r="15126" spans="38:38" x14ac:dyDescent="0.2">
      <c r="AL15126" s="177"/>
    </row>
    <row r="15127" spans="38:38" x14ac:dyDescent="0.2">
      <c r="AL15127" s="177"/>
    </row>
    <row r="15128" spans="38:38" x14ac:dyDescent="0.2">
      <c r="AL15128" s="177"/>
    </row>
    <row r="15129" spans="38:38" x14ac:dyDescent="0.2">
      <c r="AL15129" s="177"/>
    </row>
    <row r="15130" spans="38:38" x14ac:dyDescent="0.2">
      <c r="AL15130" s="177"/>
    </row>
    <row r="15131" spans="38:38" x14ac:dyDescent="0.2">
      <c r="AL15131" s="177"/>
    </row>
    <row r="15132" spans="38:38" x14ac:dyDescent="0.2">
      <c r="AL15132" s="177"/>
    </row>
    <row r="15133" spans="38:38" x14ac:dyDescent="0.2">
      <c r="AL15133" s="177"/>
    </row>
    <row r="15134" spans="38:38" x14ac:dyDescent="0.2">
      <c r="AL15134" s="177"/>
    </row>
    <row r="15135" spans="38:38" x14ac:dyDescent="0.2">
      <c r="AL15135" s="177"/>
    </row>
    <row r="15136" spans="38:38" x14ac:dyDescent="0.2">
      <c r="AL15136" s="177"/>
    </row>
    <row r="15137" spans="38:38" x14ac:dyDescent="0.2">
      <c r="AL15137" s="177"/>
    </row>
    <row r="15138" spans="38:38" x14ac:dyDescent="0.2">
      <c r="AL15138" s="177"/>
    </row>
    <row r="15139" spans="38:38" x14ac:dyDescent="0.2">
      <c r="AL15139" s="177"/>
    </row>
    <row r="15140" spans="38:38" x14ac:dyDescent="0.2">
      <c r="AL15140" s="177"/>
    </row>
    <row r="15141" spans="38:38" x14ac:dyDescent="0.2">
      <c r="AL15141" s="177"/>
    </row>
    <row r="15142" spans="38:38" x14ac:dyDescent="0.2">
      <c r="AL15142" s="177"/>
    </row>
    <row r="15143" spans="38:38" x14ac:dyDescent="0.2">
      <c r="AL15143" s="177"/>
    </row>
    <row r="15144" spans="38:38" x14ac:dyDescent="0.2">
      <c r="AL15144" s="177"/>
    </row>
    <row r="15145" spans="38:38" x14ac:dyDescent="0.2">
      <c r="AL15145" s="177"/>
    </row>
    <row r="15146" spans="38:38" x14ac:dyDescent="0.2">
      <c r="AL15146" s="177"/>
    </row>
    <row r="15147" spans="38:38" x14ac:dyDescent="0.2">
      <c r="AL15147" s="177"/>
    </row>
    <row r="15148" spans="38:38" x14ac:dyDescent="0.2">
      <c r="AL15148" s="177"/>
    </row>
    <row r="15149" spans="38:38" x14ac:dyDescent="0.2">
      <c r="AL15149" s="177"/>
    </row>
    <row r="15150" spans="38:38" x14ac:dyDescent="0.2">
      <c r="AL15150" s="177"/>
    </row>
    <row r="15151" spans="38:38" x14ac:dyDescent="0.2">
      <c r="AL15151" s="177"/>
    </row>
    <row r="15152" spans="38:38" x14ac:dyDescent="0.2">
      <c r="AL15152" s="177"/>
    </row>
    <row r="15153" spans="38:38" x14ac:dyDescent="0.2">
      <c r="AL15153" s="177"/>
    </row>
    <row r="15154" spans="38:38" x14ac:dyDescent="0.2">
      <c r="AL15154" s="177"/>
    </row>
    <row r="15155" spans="38:38" x14ac:dyDescent="0.2">
      <c r="AL15155" s="177"/>
    </row>
    <row r="15156" spans="38:38" x14ac:dyDescent="0.2">
      <c r="AL15156" s="177"/>
    </row>
    <row r="15157" spans="38:38" x14ac:dyDescent="0.2">
      <c r="AL15157" s="177"/>
    </row>
    <row r="15158" spans="38:38" x14ac:dyDescent="0.2">
      <c r="AL15158" s="177"/>
    </row>
    <row r="15159" spans="38:38" x14ac:dyDescent="0.2">
      <c r="AL15159" s="177"/>
    </row>
    <row r="15160" spans="38:38" x14ac:dyDescent="0.2">
      <c r="AL15160" s="177"/>
    </row>
    <row r="15161" spans="38:38" x14ac:dyDescent="0.2">
      <c r="AL15161" s="177"/>
    </row>
    <row r="15162" spans="38:38" x14ac:dyDescent="0.2">
      <c r="AL15162" s="177"/>
    </row>
    <row r="15163" spans="38:38" x14ac:dyDescent="0.2">
      <c r="AL15163" s="177"/>
    </row>
    <row r="15164" spans="38:38" x14ac:dyDescent="0.2">
      <c r="AL15164" s="177"/>
    </row>
    <row r="15165" spans="38:38" x14ac:dyDescent="0.2">
      <c r="AL15165" s="177"/>
    </row>
    <row r="15166" spans="38:38" x14ac:dyDescent="0.2">
      <c r="AL15166" s="177"/>
    </row>
    <row r="15167" spans="38:38" x14ac:dyDescent="0.2">
      <c r="AL15167" s="177"/>
    </row>
    <row r="15168" spans="38:38" x14ac:dyDescent="0.2">
      <c r="AL15168" s="177"/>
    </row>
    <row r="15169" spans="38:38" x14ac:dyDescent="0.2">
      <c r="AL15169" s="177"/>
    </row>
    <row r="15170" spans="38:38" x14ac:dyDescent="0.2">
      <c r="AL15170" s="177"/>
    </row>
    <row r="15171" spans="38:38" x14ac:dyDescent="0.2">
      <c r="AL15171" s="177"/>
    </row>
    <row r="15172" spans="38:38" x14ac:dyDescent="0.2">
      <c r="AL15172" s="177"/>
    </row>
    <row r="15173" spans="38:38" x14ac:dyDescent="0.2">
      <c r="AL15173" s="177"/>
    </row>
    <row r="15174" spans="38:38" x14ac:dyDescent="0.2">
      <c r="AL15174" s="177"/>
    </row>
    <row r="15175" spans="38:38" x14ac:dyDescent="0.2">
      <c r="AL15175" s="177"/>
    </row>
    <row r="15176" spans="38:38" x14ac:dyDescent="0.2">
      <c r="AL15176" s="177"/>
    </row>
    <row r="15177" spans="38:38" x14ac:dyDescent="0.2">
      <c r="AL15177" s="177"/>
    </row>
    <row r="15178" spans="38:38" x14ac:dyDescent="0.2">
      <c r="AL15178" s="177"/>
    </row>
    <row r="15179" spans="38:38" x14ac:dyDescent="0.2">
      <c r="AL15179" s="177"/>
    </row>
    <row r="15180" spans="38:38" x14ac:dyDescent="0.2">
      <c r="AL15180" s="177"/>
    </row>
    <row r="15181" spans="38:38" x14ac:dyDescent="0.2">
      <c r="AL15181" s="177"/>
    </row>
    <row r="15182" spans="38:38" x14ac:dyDescent="0.2">
      <c r="AL15182" s="177"/>
    </row>
    <row r="15183" spans="38:38" x14ac:dyDescent="0.2">
      <c r="AL15183" s="177"/>
    </row>
    <row r="15184" spans="38:38" x14ac:dyDescent="0.2">
      <c r="AL15184" s="177"/>
    </row>
    <row r="15185" spans="38:38" x14ac:dyDescent="0.2">
      <c r="AL15185" s="177"/>
    </row>
    <row r="15186" spans="38:38" x14ac:dyDescent="0.2">
      <c r="AL15186" s="177"/>
    </row>
    <row r="15187" spans="38:38" x14ac:dyDescent="0.2">
      <c r="AL15187" s="177"/>
    </row>
    <row r="15188" spans="38:38" x14ac:dyDescent="0.2">
      <c r="AL15188" s="177"/>
    </row>
    <row r="15189" spans="38:38" x14ac:dyDescent="0.2">
      <c r="AL15189" s="177"/>
    </row>
    <row r="15190" spans="38:38" x14ac:dyDescent="0.2">
      <c r="AL15190" s="177"/>
    </row>
    <row r="15191" spans="38:38" x14ac:dyDescent="0.2">
      <c r="AL15191" s="177"/>
    </row>
    <row r="15192" spans="38:38" x14ac:dyDescent="0.2">
      <c r="AL15192" s="177"/>
    </row>
    <row r="15193" spans="38:38" x14ac:dyDescent="0.2">
      <c r="AL15193" s="177"/>
    </row>
    <row r="15194" spans="38:38" x14ac:dyDescent="0.2">
      <c r="AL15194" s="177"/>
    </row>
    <row r="15195" spans="38:38" x14ac:dyDescent="0.2">
      <c r="AL15195" s="177"/>
    </row>
    <row r="15196" spans="38:38" x14ac:dyDescent="0.2">
      <c r="AL15196" s="177"/>
    </row>
    <row r="15197" spans="38:38" x14ac:dyDescent="0.2">
      <c r="AL15197" s="177"/>
    </row>
    <row r="15198" spans="38:38" x14ac:dyDescent="0.2">
      <c r="AL15198" s="177"/>
    </row>
    <row r="15199" spans="38:38" x14ac:dyDescent="0.2">
      <c r="AL15199" s="177"/>
    </row>
    <row r="15200" spans="38:38" x14ac:dyDescent="0.2">
      <c r="AL15200" s="177"/>
    </row>
    <row r="15201" spans="38:38" x14ac:dyDescent="0.2">
      <c r="AL15201" s="177"/>
    </row>
    <row r="15202" spans="38:38" x14ac:dyDescent="0.2">
      <c r="AL15202" s="177"/>
    </row>
    <row r="15203" spans="38:38" x14ac:dyDescent="0.2">
      <c r="AL15203" s="177"/>
    </row>
    <row r="15204" spans="38:38" x14ac:dyDescent="0.2">
      <c r="AL15204" s="177"/>
    </row>
    <row r="15205" spans="38:38" x14ac:dyDescent="0.2">
      <c r="AL15205" s="177"/>
    </row>
    <row r="15206" spans="38:38" x14ac:dyDescent="0.2">
      <c r="AL15206" s="177"/>
    </row>
    <row r="15207" spans="38:38" x14ac:dyDescent="0.2">
      <c r="AL15207" s="177"/>
    </row>
    <row r="15208" spans="38:38" x14ac:dyDescent="0.2">
      <c r="AL15208" s="177"/>
    </row>
    <row r="15209" spans="38:38" x14ac:dyDescent="0.2">
      <c r="AL15209" s="177"/>
    </row>
    <row r="15210" spans="38:38" x14ac:dyDescent="0.2">
      <c r="AL15210" s="177"/>
    </row>
    <row r="15211" spans="38:38" x14ac:dyDescent="0.2">
      <c r="AL15211" s="177"/>
    </row>
    <row r="15212" spans="38:38" x14ac:dyDescent="0.2">
      <c r="AL15212" s="177"/>
    </row>
    <row r="15213" spans="38:38" x14ac:dyDescent="0.2">
      <c r="AL15213" s="177"/>
    </row>
    <row r="15214" spans="38:38" x14ac:dyDescent="0.2">
      <c r="AL15214" s="177"/>
    </row>
    <row r="15215" spans="38:38" x14ac:dyDescent="0.2">
      <c r="AL15215" s="177"/>
    </row>
    <row r="15216" spans="38:38" x14ac:dyDescent="0.2">
      <c r="AL15216" s="177"/>
    </row>
    <row r="15217" spans="38:38" x14ac:dyDescent="0.2">
      <c r="AL15217" s="177"/>
    </row>
    <row r="15218" spans="38:38" x14ac:dyDescent="0.2">
      <c r="AL15218" s="177"/>
    </row>
    <row r="15219" spans="38:38" x14ac:dyDescent="0.2">
      <c r="AL15219" s="177"/>
    </row>
    <row r="15220" spans="38:38" x14ac:dyDescent="0.2">
      <c r="AL15220" s="177"/>
    </row>
    <row r="15221" spans="38:38" x14ac:dyDescent="0.2">
      <c r="AL15221" s="177"/>
    </row>
    <row r="15222" spans="38:38" x14ac:dyDescent="0.2">
      <c r="AL15222" s="177"/>
    </row>
    <row r="15223" spans="38:38" x14ac:dyDescent="0.2">
      <c r="AL15223" s="177"/>
    </row>
    <row r="15224" spans="38:38" x14ac:dyDescent="0.2">
      <c r="AL15224" s="177"/>
    </row>
    <row r="15225" spans="38:38" x14ac:dyDescent="0.2">
      <c r="AL15225" s="177"/>
    </row>
    <row r="15226" spans="38:38" x14ac:dyDescent="0.2">
      <c r="AL15226" s="177"/>
    </row>
    <row r="15227" spans="38:38" x14ac:dyDescent="0.2">
      <c r="AL15227" s="177"/>
    </row>
    <row r="15228" spans="38:38" x14ac:dyDescent="0.2">
      <c r="AL15228" s="177"/>
    </row>
    <row r="15229" spans="38:38" x14ac:dyDescent="0.2">
      <c r="AL15229" s="177"/>
    </row>
    <row r="15230" spans="38:38" x14ac:dyDescent="0.2">
      <c r="AL15230" s="177"/>
    </row>
    <row r="15231" spans="38:38" x14ac:dyDescent="0.2">
      <c r="AL15231" s="177"/>
    </row>
    <row r="15232" spans="38:38" x14ac:dyDescent="0.2">
      <c r="AL15232" s="177"/>
    </row>
    <row r="15233" spans="38:38" x14ac:dyDescent="0.2">
      <c r="AL15233" s="177"/>
    </row>
    <row r="15234" spans="38:38" x14ac:dyDescent="0.2">
      <c r="AL15234" s="177"/>
    </row>
    <row r="15235" spans="38:38" x14ac:dyDescent="0.2">
      <c r="AL15235" s="177"/>
    </row>
    <row r="15236" spans="38:38" x14ac:dyDescent="0.2">
      <c r="AL15236" s="177"/>
    </row>
    <row r="15237" spans="38:38" x14ac:dyDescent="0.2">
      <c r="AL15237" s="177"/>
    </row>
    <row r="15238" spans="38:38" x14ac:dyDescent="0.2">
      <c r="AL15238" s="177"/>
    </row>
    <row r="15239" spans="38:38" x14ac:dyDescent="0.2">
      <c r="AL15239" s="177"/>
    </row>
    <row r="15240" spans="38:38" x14ac:dyDescent="0.2">
      <c r="AL15240" s="177"/>
    </row>
    <row r="15241" spans="38:38" x14ac:dyDescent="0.2">
      <c r="AL15241" s="177"/>
    </row>
    <row r="15242" spans="38:38" x14ac:dyDescent="0.2">
      <c r="AL15242" s="177"/>
    </row>
    <row r="15243" spans="38:38" x14ac:dyDescent="0.2">
      <c r="AL15243" s="177"/>
    </row>
    <row r="15244" spans="38:38" x14ac:dyDescent="0.2">
      <c r="AL15244" s="177"/>
    </row>
    <row r="15245" spans="38:38" x14ac:dyDescent="0.2">
      <c r="AL15245" s="177"/>
    </row>
    <row r="15246" spans="38:38" x14ac:dyDescent="0.2">
      <c r="AL15246" s="177"/>
    </row>
    <row r="15247" spans="38:38" x14ac:dyDescent="0.2">
      <c r="AL15247" s="177"/>
    </row>
    <row r="15248" spans="38:38" x14ac:dyDescent="0.2">
      <c r="AL15248" s="177"/>
    </row>
    <row r="15249" spans="38:38" x14ac:dyDescent="0.2">
      <c r="AL15249" s="177"/>
    </row>
    <row r="15250" spans="38:38" x14ac:dyDescent="0.2">
      <c r="AL15250" s="177"/>
    </row>
    <row r="15251" spans="38:38" x14ac:dyDescent="0.2">
      <c r="AL15251" s="177"/>
    </row>
    <row r="15252" spans="38:38" x14ac:dyDescent="0.2">
      <c r="AL15252" s="177"/>
    </row>
    <row r="15253" spans="38:38" x14ac:dyDescent="0.2">
      <c r="AL15253" s="177"/>
    </row>
    <row r="15254" spans="38:38" x14ac:dyDescent="0.2">
      <c r="AL15254" s="177"/>
    </row>
    <row r="15255" spans="38:38" x14ac:dyDescent="0.2">
      <c r="AL15255" s="177"/>
    </row>
    <row r="15256" spans="38:38" x14ac:dyDescent="0.2">
      <c r="AL15256" s="177"/>
    </row>
    <row r="15257" spans="38:38" x14ac:dyDescent="0.2">
      <c r="AL15257" s="177"/>
    </row>
    <row r="15258" spans="38:38" x14ac:dyDescent="0.2">
      <c r="AL15258" s="177"/>
    </row>
    <row r="15259" spans="38:38" x14ac:dyDescent="0.2">
      <c r="AL15259" s="177"/>
    </row>
    <row r="15260" spans="38:38" x14ac:dyDescent="0.2">
      <c r="AL15260" s="177"/>
    </row>
    <row r="15261" spans="38:38" x14ac:dyDescent="0.2">
      <c r="AL15261" s="177"/>
    </row>
    <row r="15262" spans="38:38" x14ac:dyDescent="0.2">
      <c r="AL15262" s="177"/>
    </row>
    <row r="15263" spans="38:38" x14ac:dyDescent="0.2">
      <c r="AL15263" s="177"/>
    </row>
    <row r="15264" spans="38:38" x14ac:dyDescent="0.2">
      <c r="AL15264" s="177"/>
    </row>
    <row r="15265" spans="38:38" x14ac:dyDescent="0.2">
      <c r="AL15265" s="177"/>
    </row>
    <row r="15266" spans="38:38" x14ac:dyDescent="0.2">
      <c r="AL15266" s="177"/>
    </row>
    <row r="15267" spans="38:38" x14ac:dyDescent="0.2">
      <c r="AL15267" s="177"/>
    </row>
    <row r="15268" spans="38:38" x14ac:dyDescent="0.2">
      <c r="AL15268" s="177"/>
    </row>
    <row r="15269" spans="38:38" x14ac:dyDescent="0.2">
      <c r="AL15269" s="177"/>
    </row>
    <row r="15270" spans="38:38" x14ac:dyDescent="0.2">
      <c r="AL15270" s="177"/>
    </row>
    <row r="15271" spans="38:38" x14ac:dyDescent="0.2">
      <c r="AL15271" s="177"/>
    </row>
    <row r="15272" spans="38:38" x14ac:dyDescent="0.2">
      <c r="AL15272" s="177"/>
    </row>
    <row r="15273" spans="38:38" x14ac:dyDescent="0.2">
      <c r="AL15273" s="177"/>
    </row>
    <row r="15274" spans="38:38" x14ac:dyDescent="0.2">
      <c r="AL15274" s="177"/>
    </row>
    <row r="15275" spans="38:38" x14ac:dyDescent="0.2">
      <c r="AL15275" s="177"/>
    </row>
    <row r="15276" spans="38:38" x14ac:dyDescent="0.2">
      <c r="AL15276" s="177"/>
    </row>
    <row r="15277" spans="38:38" x14ac:dyDescent="0.2">
      <c r="AL15277" s="177"/>
    </row>
    <row r="15278" spans="38:38" x14ac:dyDescent="0.2">
      <c r="AL15278" s="177"/>
    </row>
    <row r="15279" spans="38:38" x14ac:dyDescent="0.2">
      <c r="AL15279" s="177"/>
    </row>
    <row r="15280" spans="38:38" x14ac:dyDescent="0.2">
      <c r="AL15280" s="177"/>
    </row>
    <row r="15281" spans="38:38" x14ac:dyDescent="0.2">
      <c r="AL15281" s="177"/>
    </row>
    <row r="15282" spans="38:38" x14ac:dyDescent="0.2">
      <c r="AL15282" s="177"/>
    </row>
    <row r="15283" spans="38:38" x14ac:dyDescent="0.2">
      <c r="AL15283" s="177"/>
    </row>
    <row r="15284" spans="38:38" x14ac:dyDescent="0.2">
      <c r="AL15284" s="177"/>
    </row>
    <row r="15285" spans="38:38" x14ac:dyDescent="0.2">
      <c r="AL15285" s="177"/>
    </row>
    <row r="15286" spans="38:38" x14ac:dyDescent="0.2">
      <c r="AL15286" s="177"/>
    </row>
    <row r="15287" spans="38:38" x14ac:dyDescent="0.2">
      <c r="AL15287" s="177"/>
    </row>
    <row r="15288" spans="38:38" x14ac:dyDescent="0.2">
      <c r="AL15288" s="177"/>
    </row>
    <row r="15289" spans="38:38" x14ac:dyDescent="0.2">
      <c r="AL15289" s="177"/>
    </row>
    <row r="15290" spans="38:38" x14ac:dyDescent="0.2">
      <c r="AL15290" s="177"/>
    </row>
    <row r="15291" spans="38:38" x14ac:dyDescent="0.2">
      <c r="AL15291" s="177"/>
    </row>
    <row r="15292" spans="38:38" x14ac:dyDescent="0.2">
      <c r="AL15292" s="177"/>
    </row>
    <row r="15293" spans="38:38" x14ac:dyDescent="0.2">
      <c r="AL15293" s="177"/>
    </row>
    <row r="15294" spans="38:38" x14ac:dyDescent="0.2">
      <c r="AL15294" s="177"/>
    </row>
    <row r="15295" spans="38:38" x14ac:dyDescent="0.2">
      <c r="AL15295" s="177"/>
    </row>
    <row r="15296" spans="38:38" x14ac:dyDescent="0.2">
      <c r="AL15296" s="177"/>
    </row>
    <row r="15297" spans="38:38" x14ac:dyDescent="0.2">
      <c r="AL15297" s="177"/>
    </row>
    <row r="15298" spans="38:38" x14ac:dyDescent="0.2">
      <c r="AL15298" s="177"/>
    </row>
    <row r="15299" spans="38:38" x14ac:dyDescent="0.2">
      <c r="AL15299" s="177"/>
    </row>
    <row r="15300" spans="38:38" x14ac:dyDescent="0.2">
      <c r="AL15300" s="177"/>
    </row>
    <row r="15301" spans="38:38" x14ac:dyDescent="0.2">
      <c r="AL15301" s="177"/>
    </row>
    <row r="15302" spans="38:38" x14ac:dyDescent="0.2">
      <c r="AL15302" s="177"/>
    </row>
    <row r="15303" spans="38:38" x14ac:dyDescent="0.2">
      <c r="AL15303" s="177"/>
    </row>
    <row r="15304" spans="38:38" x14ac:dyDescent="0.2">
      <c r="AL15304" s="177"/>
    </row>
    <row r="15305" spans="38:38" x14ac:dyDescent="0.2">
      <c r="AL15305" s="177"/>
    </row>
    <row r="15306" spans="38:38" x14ac:dyDescent="0.2">
      <c r="AL15306" s="177"/>
    </row>
    <row r="15307" spans="38:38" x14ac:dyDescent="0.2">
      <c r="AL15307" s="177"/>
    </row>
    <row r="15308" spans="38:38" x14ac:dyDescent="0.2">
      <c r="AL15308" s="177"/>
    </row>
    <row r="15309" spans="38:38" x14ac:dyDescent="0.2">
      <c r="AL15309" s="177"/>
    </row>
    <row r="15310" spans="38:38" x14ac:dyDescent="0.2">
      <c r="AL15310" s="177"/>
    </row>
    <row r="15311" spans="38:38" x14ac:dyDescent="0.2">
      <c r="AL15311" s="177"/>
    </row>
    <row r="15312" spans="38:38" x14ac:dyDescent="0.2">
      <c r="AL15312" s="177"/>
    </row>
    <row r="15313" spans="38:38" x14ac:dyDescent="0.2">
      <c r="AL15313" s="177"/>
    </row>
    <row r="15314" spans="38:38" x14ac:dyDescent="0.2">
      <c r="AL15314" s="177"/>
    </row>
    <row r="15315" spans="38:38" x14ac:dyDescent="0.2">
      <c r="AL15315" s="177"/>
    </row>
    <row r="15316" spans="38:38" x14ac:dyDescent="0.2">
      <c r="AL15316" s="177"/>
    </row>
    <row r="15317" spans="38:38" x14ac:dyDescent="0.2">
      <c r="AL15317" s="177"/>
    </row>
    <row r="15318" spans="38:38" x14ac:dyDescent="0.2">
      <c r="AL15318" s="177"/>
    </row>
    <row r="15319" spans="38:38" x14ac:dyDescent="0.2">
      <c r="AL15319" s="177"/>
    </row>
    <row r="15320" spans="38:38" x14ac:dyDescent="0.2">
      <c r="AL15320" s="177"/>
    </row>
    <row r="15321" spans="38:38" x14ac:dyDescent="0.2">
      <c r="AL15321" s="177"/>
    </row>
    <row r="15322" spans="38:38" x14ac:dyDescent="0.2">
      <c r="AL15322" s="177"/>
    </row>
    <row r="15323" spans="38:38" x14ac:dyDescent="0.2">
      <c r="AL15323" s="177"/>
    </row>
    <row r="15324" spans="38:38" x14ac:dyDescent="0.2">
      <c r="AL15324" s="177"/>
    </row>
    <row r="15325" spans="38:38" x14ac:dyDescent="0.2">
      <c r="AL15325" s="177"/>
    </row>
    <row r="15326" spans="38:38" x14ac:dyDescent="0.2">
      <c r="AL15326" s="177"/>
    </row>
    <row r="15327" spans="38:38" x14ac:dyDescent="0.2">
      <c r="AL15327" s="177"/>
    </row>
    <row r="15328" spans="38:38" x14ac:dyDescent="0.2">
      <c r="AL15328" s="177"/>
    </row>
    <row r="15329" spans="38:38" x14ac:dyDescent="0.2">
      <c r="AL15329" s="177"/>
    </row>
    <row r="15330" spans="38:38" x14ac:dyDescent="0.2">
      <c r="AL15330" s="177"/>
    </row>
    <row r="15331" spans="38:38" x14ac:dyDescent="0.2">
      <c r="AL15331" s="177"/>
    </row>
    <row r="15332" spans="38:38" x14ac:dyDescent="0.2">
      <c r="AL15332" s="177"/>
    </row>
    <row r="15333" spans="38:38" x14ac:dyDescent="0.2">
      <c r="AL15333" s="177"/>
    </row>
    <row r="15334" spans="38:38" x14ac:dyDescent="0.2">
      <c r="AL15334" s="177"/>
    </row>
    <row r="15335" spans="38:38" x14ac:dyDescent="0.2">
      <c r="AL15335" s="177"/>
    </row>
    <row r="15336" spans="38:38" x14ac:dyDescent="0.2">
      <c r="AL15336" s="177"/>
    </row>
    <row r="15337" spans="38:38" x14ac:dyDescent="0.2">
      <c r="AL15337" s="177"/>
    </row>
    <row r="15338" spans="38:38" x14ac:dyDescent="0.2">
      <c r="AL15338" s="177"/>
    </row>
    <row r="15339" spans="38:38" x14ac:dyDescent="0.2">
      <c r="AL15339" s="177"/>
    </row>
    <row r="15340" spans="38:38" x14ac:dyDescent="0.2">
      <c r="AL15340" s="177"/>
    </row>
    <row r="15341" spans="38:38" x14ac:dyDescent="0.2">
      <c r="AL15341" s="177"/>
    </row>
    <row r="15342" spans="38:38" x14ac:dyDescent="0.2">
      <c r="AL15342" s="177"/>
    </row>
    <row r="15343" spans="38:38" x14ac:dyDescent="0.2">
      <c r="AL15343" s="177"/>
    </row>
    <row r="15344" spans="38:38" x14ac:dyDescent="0.2">
      <c r="AL15344" s="177"/>
    </row>
    <row r="15345" spans="38:38" x14ac:dyDescent="0.2">
      <c r="AL15345" s="177"/>
    </row>
    <row r="15346" spans="38:38" x14ac:dyDescent="0.2">
      <c r="AL15346" s="177"/>
    </row>
    <row r="15347" spans="38:38" x14ac:dyDescent="0.2">
      <c r="AL15347" s="177"/>
    </row>
    <row r="15348" spans="38:38" x14ac:dyDescent="0.2">
      <c r="AL15348" s="177"/>
    </row>
    <row r="15349" spans="38:38" x14ac:dyDescent="0.2">
      <c r="AL15349" s="177"/>
    </row>
    <row r="15350" spans="38:38" x14ac:dyDescent="0.2">
      <c r="AL15350" s="177"/>
    </row>
    <row r="15351" spans="38:38" x14ac:dyDescent="0.2">
      <c r="AL15351" s="177"/>
    </row>
    <row r="15352" spans="38:38" x14ac:dyDescent="0.2">
      <c r="AL15352" s="177"/>
    </row>
    <row r="15353" spans="38:38" x14ac:dyDescent="0.2">
      <c r="AL15353" s="177"/>
    </row>
    <row r="15354" spans="38:38" x14ac:dyDescent="0.2">
      <c r="AL15354" s="177"/>
    </row>
    <row r="15355" spans="38:38" x14ac:dyDescent="0.2">
      <c r="AL15355" s="177"/>
    </row>
    <row r="15356" spans="38:38" x14ac:dyDescent="0.2">
      <c r="AL15356" s="177"/>
    </row>
    <row r="15357" spans="38:38" x14ac:dyDescent="0.2">
      <c r="AL15357" s="177"/>
    </row>
    <row r="15358" spans="38:38" x14ac:dyDescent="0.2">
      <c r="AL15358" s="177"/>
    </row>
    <row r="15359" spans="38:38" x14ac:dyDescent="0.2">
      <c r="AL15359" s="177"/>
    </row>
    <row r="15360" spans="38:38" x14ac:dyDescent="0.2">
      <c r="AL15360" s="177"/>
    </row>
    <row r="15361" spans="38:38" x14ac:dyDescent="0.2">
      <c r="AL15361" s="177"/>
    </row>
    <row r="15362" spans="38:38" x14ac:dyDescent="0.2">
      <c r="AL15362" s="177"/>
    </row>
    <row r="15363" spans="38:38" x14ac:dyDescent="0.2">
      <c r="AL15363" s="177"/>
    </row>
    <row r="15364" spans="38:38" x14ac:dyDescent="0.2">
      <c r="AL15364" s="177"/>
    </row>
    <row r="15365" spans="38:38" x14ac:dyDescent="0.2">
      <c r="AL15365" s="177"/>
    </row>
    <row r="15366" spans="38:38" x14ac:dyDescent="0.2">
      <c r="AL15366" s="177"/>
    </row>
    <row r="15367" spans="38:38" x14ac:dyDescent="0.2">
      <c r="AL15367" s="177"/>
    </row>
    <row r="15368" spans="38:38" x14ac:dyDescent="0.2">
      <c r="AL15368" s="177"/>
    </row>
    <row r="15369" spans="38:38" x14ac:dyDescent="0.2">
      <c r="AL15369" s="177"/>
    </row>
    <row r="15370" spans="38:38" x14ac:dyDescent="0.2">
      <c r="AL15370" s="177"/>
    </row>
    <row r="15371" spans="38:38" x14ac:dyDescent="0.2">
      <c r="AL15371" s="177"/>
    </row>
    <row r="15372" spans="38:38" x14ac:dyDescent="0.2">
      <c r="AL15372" s="177"/>
    </row>
    <row r="15373" spans="38:38" x14ac:dyDescent="0.2">
      <c r="AL15373" s="177"/>
    </row>
    <row r="15374" spans="38:38" x14ac:dyDescent="0.2">
      <c r="AL15374" s="177"/>
    </row>
    <row r="15375" spans="38:38" x14ac:dyDescent="0.2">
      <c r="AL15375" s="177"/>
    </row>
    <row r="15376" spans="38:38" x14ac:dyDescent="0.2">
      <c r="AL15376" s="177"/>
    </row>
    <row r="15377" spans="38:38" x14ac:dyDescent="0.2">
      <c r="AL15377" s="177"/>
    </row>
    <row r="15378" spans="38:38" x14ac:dyDescent="0.2">
      <c r="AL15378" s="177"/>
    </row>
    <row r="15379" spans="38:38" x14ac:dyDescent="0.2">
      <c r="AL15379" s="177"/>
    </row>
    <row r="15380" spans="38:38" x14ac:dyDescent="0.2">
      <c r="AL15380" s="177"/>
    </row>
    <row r="15381" spans="38:38" x14ac:dyDescent="0.2">
      <c r="AL15381" s="177"/>
    </row>
    <row r="15382" spans="38:38" x14ac:dyDescent="0.2">
      <c r="AL15382" s="177"/>
    </row>
    <row r="15383" spans="38:38" x14ac:dyDescent="0.2">
      <c r="AL15383" s="177"/>
    </row>
    <row r="15384" spans="38:38" x14ac:dyDescent="0.2">
      <c r="AL15384" s="177"/>
    </row>
    <row r="15385" spans="38:38" x14ac:dyDescent="0.2">
      <c r="AL15385" s="177"/>
    </row>
    <row r="15386" spans="38:38" x14ac:dyDescent="0.2">
      <c r="AL15386" s="177"/>
    </row>
    <row r="15387" spans="38:38" x14ac:dyDescent="0.2">
      <c r="AL15387" s="177"/>
    </row>
    <row r="15388" spans="38:38" x14ac:dyDescent="0.2">
      <c r="AL15388" s="177"/>
    </row>
    <row r="15389" spans="38:38" x14ac:dyDescent="0.2">
      <c r="AL15389" s="177"/>
    </row>
    <row r="15390" spans="38:38" x14ac:dyDescent="0.2">
      <c r="AL15390" s="177"/>
    </row>
    <row r="15391" spans="38:38" x14ac:dyDescent="0.2">
      <c r="AL15391" s="177"/>
    </row>
    <row r="15392" spans="38:38" x14ac:dyDescent="0.2">
      <c r="AL15392" s="177"/>
    </row>
    <row r="15393" spans="38:38" x14ac:dyDescent="0.2">
      <c r="AL15393" s="177"/>
    </row>
    <row r="15394" spans="38:38" x14ac:dyDescent="0.2">
      <c r="AL15394" s="177"/>
    </row>
    <row r="15395" spans="38:38" x14ac:dyDescent="0.2">
      <c r="AL15395" s="177"/>
    </row>
    <row r="15396" spans="38:38" x14ac:dyDescent="0.2">
      <c r="AL15396" s="177"/>
    </row>
    <row r="15397" spans="38:38" x14ac:dyDescent="0.2">
      <c r="AL15397" s="177"/>
    </row>
    <row r="15398" spans="38:38" x14ac:dyDescent="0.2">
      <c r="AL15398" s="177"/>
    </row>
    <row r="15399" spans="38:38" x14ac:dyDescent="0.2">
      <c r="AL15399" s="177"/>
    </row>
    <row r="15400" spans="38:38" x14ac:dyDescent="0.2">
      <c r="AL15400" s="177"/>
    </row>
    <row r="15401" spans="38:38" x14ac:dyDescent="0.2">
      <c r="AL15401" s="177"/>
    </row>
    <row r="15402" spans="38:38" x14ac:dyDescent="0.2">
      <c r="AL15402" s="177"/>
    </row>
    <row r="15403" spans="38:38" x14ac:dyDescent="0.2">
      <c r="AL15403" s="177"/>
    </row>
    <row r="15404" spans="38:38" x14ac:dyDescent="0.2">
      <c r="AL15404" s="177"/>
    </row>
    <row r="15405" spans="38:38" x14ac:dyDescent="0.2">
      <c r="AL15405" s="177"/>
    </row>
    <row r="15406" spans="38:38" x14ac:dyDescent="0.2">
      <c r="AL15406" s="177"/>
    </row>
    <row r="15407" spans="38:38" x14ac:dyDescent="0.2">
      <c r="AL15407" s="177"/>
    </row>
    <row r="15408" spans="38:38" x14ac:dyDescent="0.2">
      <c r="AL15408" s="177"/>
    </row>
    <row r="15409" spans="38:38" x14ac:dyDescent="0.2">
      <c r="AL15409" s="177"/>
    </row>
    <row r="15410" spans="38:38" x14ac:dyDescent="0.2">
      <c r="AL15410" s="177"/>
    </row>
    <row r="15411" spans="38:38" x14ac:dyDescent="0.2">
      <c r="AL15411" s="177"/>
    </row>
    <row r="15412" spans="38:38" x14ac:dyDescent="0.2">
      <c r="AL15412" s="177"/>
    </row>
    <row r="15413" spans="38:38" x14ac:dyDescent="0.2">
      <c r="AL15413" s="177"/>
    </row>
    <row r="15414" spans="38:38" x14ac:dyDescent="0.2">
      <c r="AL15414" s="177"/>
    </row>
    <row r="15415" spans="38:38" x14ac:dyDescent="0.2">
      <c r="AL15415" s="177"/>
    </row>
    <row r="15416" spans="38:38" x14ac:dyDescent="0.2">
      <c r="AL15416" s="177"/>
    </row>
    <row r="15417" spans="38:38" x14ac:dyDescent="0.2">
      <c r="AL15417" s="177"/>
    </row>
    <row r="15418" spans="38:38" x14ac:dyDescent="0.2">
      <c r="AL15418" s="177"/>
    </row>
    <row r="15419" spans="38:38" x14ac:dyDescent="0.2">
      <c r="AL15419" s="177"/>
    </row>
    <row r="15420" spans="38:38" x14ac:dyDescent="0.2">
      <c r="AL15420" s="177"/>
    </row>
    <row r="15421" spans="38:38" x14ac:dyDescent="0.2">
      <c r="AL15421" s="177"/>
    </row>
    <row r="15422" spans="38:38" x14ac:dyDescent="0.2">
      <c r="AL15422" s="177"/>
    </row>
    <row r="15423" spans="38:38" x14ac:dyDescent="0.2">
      <c r="AL15423" s="177"/>
    </row>
    <row r="15424" spans="38:38" x14ac:dyDescent="0.2">
      <c r="AL15424" s="177"/>
    </row>
    <row r="15425" spans="38:38" x14ac:dyDescent="0.2">
      <c r="AL15425" s="177"/>
    </row>
    <row r="15426" spans="38:38" x14ac:dyDescent="0.2">
      <c r="AL15426" s="177"/>
    </row>
    <row r="15427" spans="38:38" x14ac:dyDescent="0.2">
      <c r="AL15427" s="177"/>
    </row>
    <row r="15428" spans="38:38" x14ac:dyDescent="0.2">
      <c r="AL15428" s="177"/>
    </row>
    <row r="15429" spans="38:38" x14ac:dyDescent="0.2">
      <c r="AL15429" s="177"/>
    </row>
    <row r="15430" spans="38:38" x14ac:dyDescent="0.2">
      <c r="AL15430" s="177"/>
    </row>
    <row r="15431" spans="38:38" x14ac:dyDescent="0.2">
      <c r="AL15431" s="177"/>
    </row>
    <row r="15432" spans="38:38" x14ac:dyDescent="0.2">
      <c r="AL15432" s="177"/>
    </row>
    <row r="15433" spans="38:38" x14ac:dyDescent="0.2">
      <c r="AL15433" s="177"/>
    </row>
    <row r="15434" spans="38:38" x14ac:dyDescent="0.2">
      <c r="AL15434" s="177"/>
    </row>
    <row r="15435" spans="38:38" x14ac:dyDescent="0.2">
      <c r="AL15435" s="177"/>
    </row>
    <row r="15436" spans="38:38" x14ac:dyDescent="0.2">
      <c r="AL15436" s="177"/>
    </row>
    <row r="15437" spans="38:38" x14ac:dyDescent="0.2">
      <c r="AL15437" s="177"/>
    </row>
    <row r="15438" spans="38:38" x14ac:dyDescent="0.2">
      <c r="AL15438" s="177"/>
    </row>
    <row r="15439" spans="38:38" x14ac:dyDescent="0.2">
      <c r="AL15439" s="177"/>
    </row>
    <row r="15440" spans="38:38" x14ac:dyDescent="0.2">
      <c r="AL15440" s="177"/>
    </row>
    <row r="15441" spans="38:38" x14ac:dyDescent="0.2">
      <c r="AL15441" s="177"/>
    </row>
    <row r="15442" spans="38:38" x14ac:dyDescent="0.2">
      <c r="AL15442" s="177"/>
    </row>
    <row r="15443" spans="38:38" x14ac:dyDescent="0.2">
      <c r="AL15443" s="177"/>
    </row>
    <row r="15444" spans="38:38" x14ac:dyDescent="0.2">
      <c r="AL15444" s="177"/>
    </row>
    <row r="15445" spans="38:38" x14ac:dyDescent="0.2">
      <c r="AL15445" s="177"/>
    </row>
    <row r="15446" spans="38:38" x14ac:dyDescent="0.2">
      <c r="AL15446" s="177"/>
    </row>
    <row r="15447" spans="38:38" x14ac:dyDescent="0.2">
      <c r="AL15447" s="177"/>
    </row>
    <row r="15448" spans="38:38" x14ac:dyDescent="0.2">
      <c r="AL15448" s="177"/>
    </row>
    <row r="15449" spans="38:38" x14ac:dyDescent="0.2">
      <c r="AL15449" s="177"/>
    </row>
    <row r="15450" spans="38:38" x14ac:dyDescent="0.2">
      <c r="AL15450" s="177"/>
    </row>
    <row r="15451" spans="38:38" x14ac:dyDescent="0.2">
      <c r="AL15451" s="177"/>
    </row>
    <row r="15452" spans="38:38" x14ac:dyDescent="0.2">
      <c r="AL15452" s="177"/>
    </row>
    <row r="15453" spans="38:38" x14ac:dyDescent="0.2">
      <c r="AL15453" s="177"/>
    </row>
    <row r="15454" spans="38:38" x14ac:dyDescent="0.2">
      <c r="AL15454" s="177"/>
    </row>
    <row r="15455" spans="38:38" x14ac:dyDescent="0.2">
      <c r="AL15455" s="177"/>
    </row>
    <row r="15456" spans="38:38" x14ac:dyDescent="0.2">
      <c r="AL15456" s="177"/>
    </row>
    <row r="15457" spans="38:38" x14ac:dyDescent="0.2">
      <c r="AL15457" s="177"/>
    </row>
    <row r="15458" spans="38:38" x14ac:dyDescent="0.2">
      <c r="AL15458" s="177"/>
    </row>
    <row r="15459" spans="38:38" x14ac:dyDescent="0.2">
      <c r="AL15459" s="177"/>
    </row>
    <row r="15460" spans="38:38" x14ac:dyDescent="0.2">
      <c r="AL15460" s="177"/>
    </row>
    <row r="15461" spans="38:38" x14ac:dyDescent="0.2">
      <c r="AL15461" s="177"/>
    </row>
    <row r="15462" spans="38:38" x14ac:dyDescent="0.2">
      <c r="AL15462" s="177"/>
    </row>
    <row r="15463" spans="38:38" x14ac:dyDescent="0.2">
      <c r="AL15463" s="177"/>
    </row>
    <row r="15464" spans="38:38" x14ac:dyDescent="0.2">
      <c r="AL15464" s="177"/>
    </row>
    <row r="15465" spans="38:38" x14ac:dyDescent="0.2">
      <c r="AL15465" s="177"/>
    </row>
    <row r="15466" spans="38:38" x14ac:dyDescent="0.2">
      <c r="AL15466" s="177"/>
    </row>
    <row r="15467" spans="38:38" x14ac:dyDescent="0.2">
      <c r="AL15467" s="177"/>
    </row>
    <row r="15468" spans="38:38" x14ac:dyDescent="0.2">
      <c r="AL15468" s="177"/>
    </row>
    <row r="15469" spans="38:38" x14ac:dyDescent="0.2">
      <c r="AL15469" s="177"/>
    </row>
    <row r="15470" spans="38:38" x14ac:dyDescent="0.2">
      <c r="AL15470" s="177"/>
    </row>
    <row r="15471" spans="38:38" x14ac:dyDescent="0.2">
      <c r="AL15471" s="177"/>
    </row>
    <row r="15472" spans="38:38" x14ac:dyDescent="0.2">
      <c r="AL15472" s="177"/>
    </row>
    <row r="15473" spans="38:38" x14ac:dyDescent="0.2">
      <c r="AL15473" s="177"/>
    </row>
    <row r="15474" spans="38:38" x14ac:dyDescent="0.2">
      <c r="AL15474" s="177"/>
    </row>
    <row r="15475" spans="38:38" x14ac:dyDescent="0.2">
      <c r="AL15475" s="177"/>
    </row>
    <row r="15476" spans="38:38" x14ac:dyDescent="0.2">
      <c r="AL15476" s="177"/>
    </row>
    <row r="15477" spans="38:38" x14ac:dyDescent="0.2">
      <c r="AL15477" s="177"/>
    </row>
    <row r="15478" spans="38:38" x14ac:dyDescent="0.2">
      <c r="AL15478" s="177"/>
    </row>
    <row r="15479" spans="38:38" x14ac:dyDescent="0.2">
      <c r="AL15479" s="177"/>
    </row>
    <row r="15480" spans="38:38" x14ac:dyDescent="0.2">
      <c r="AL15480" s="177"/>
    </row>
    <row r="15481" spans="38:38" x14ac:dyDescent="0.2">
      <c r="AL15481" s="177"/>
    </row>
    <row r="15482" spans="38:38" x14ac:dyDescent="0.2">
      <c r="AL15482" s="177"/>
    </row>
    <row r="15483" spans="38:38" x14ac:dyDescent="0.2">
      <c r="AL15483" s="177"/>
    </row>
    <row r="15484" spans="38:38" x14ac:dyDescent="0.2">
      <c r="AL15484" s="177"/>
    </row>
    <row r="15485" spans="38:38" x14ac:dyDescent="0.2">
      <c r="AL15485" s="177"/>
    </row>
    <row r="15486" spans="38:38" x14ac:dyDescent="0.2">
      <c r="AL15486" s="177"/>
    </row>
    <row r="15487" spans="38:38" x14ac:dyDescent="0.2">
      <c r="AL15487" s="177"/>
    </row>
    <row r="15488" spans="38:38" x14ac:dyDescent="0.2">
      <c r="AL15488" s="177"/>
    </row>
    <row r="15489" spans="38:38" x14ac:dyDescent="0.2">
      <c r="AL15489" s="177"/>
    </row>
    <row r="15490" spans="38:38" x14ac:dyDescent="0.2">
      <c r="AL15490" s="177"/>
    </row>
    <row r="15491" spans="38:38" x14ac:dyDescent="0.2">
      <c r="AL15491" s="177"/>
    </row>
    <row r="15492" spans="38:38" x14ac:dyDescent="0.2">
      <c r="AL15492" s="177"/>
    </row>
    <row r="15493" spans="38:38" x14ac:dyDescent="0.2">
      <c r="AL15493" s="177"/>
    </row>
    <row r="15494" spans="38:38" x14ac:dyDescent="0.2">
      <c r="AL15494" s="177"/>
    </row>
    <row r="15495" spans="38:38" x14ac:dyDescent="0.2">
      <c r="AL15495" s="177"/>
    </row>
    <row r="15496" spans="38:38" x14ac:dyDescent="0.2">
      <c r="AL15496" s="177"/>
    </row>
    <row r="15497" spans="38:38" x14ac:dyDescent="0.2">
      <c r="AL15497" s="177"/>
    </row>
    <row r="15498" spans="38:38" x14ac:dyDescent="0.2">
      <c r="AL15498" s="177"/>
    </row>
    <row r="15499" spans="38:38" x14ac:dyDescent="0.2">
      <c r="AL15499" s="177"/>
    </row>
    <row r="15500" spans="38:38" x14ac:dyDescent="0.2">
      <c r="AL15500" s="177"/>
    </row>
    <row r="15501" spans="38:38" x14ac:dyDescent="0.2">
      <c r="AL15501" s="177"/>
    </row>
    <row r="15502" spans="38:38" x14ac:dyDescent="0.2">
      <c r="AL15502" s="177"/>
    </row>
    <row r="15503" spans="38:38" x14ac:dyDescent="0.2">
      <c r="AL15503" s="177"/>
    </row>
    <row r="15504" spans="38:38" x14ac:dyDescent="0.2">
      <c r="AL15504" s="177"/>
    </row>
    <row r="15505" spans="38:38" x14ac:dyDescent="0.2">
      <c r="AL15505" s="177"/>
    </row>
    <row r="15506" spans="38:38" x14ac:dyDescent="0.2">
      <c r="AL15506" s="177"/>
    </row>
    <row r="15507" spans="38:38" x14ac:dyDescent="0.2">
      <c r="AL15507" s="177"/>
    </row>
    <row r="15508" spans="38:38" x14ac:dyDescent="0.2">
      <c r="AL15508" s="177"/>
    </row>
    <row r="15509" spans="38:38" x14ac:dyDescent="0.2">
      <c r="AL15509" s="177"/>
    </row>
    <row r="15510" spans="38:38" x14ac:dyDescent="0.2">
      <c r="AL15510" s="177"/>
    </row>
    <row r="15511" spans="38:38" x14ac:dyDescent="0.2">
      <c r="AL15511" s="177"/>
    </row>
    <row r="15512" spans="38:38" x14ac:dyDescent="0.2">
      <c r="AL15512" s="177"/>
    </row>
    <row r="15513" spans="38:38" x14ac:dyDescent="0.2">
      <c r="AL15513" s="177"/>
    </row>
    <row r="15514" spans="38:38" x14ac:dyDescent="0.2">
      <c r="AL15514" s="177"/>
    </row>
    <row r="15515" spans="38:38" x14ac:dyDescent="0.2">
      <c r="AL15515" s="177"/>
    </row>
    <row r="15516" spans="38:38" x14ac:dyDescent="0.2">
      <c r="AL15516" s="177"/>
    </row>
    <row r="15517" spans="38:38" x14ac:dyDescent="0.2">
      <c r="AL15517" s="177"/>
    </row>
    <row r="15518" spans="38:38" x14ac:dyDescent="0.2">
      <c r="AL15518" s="177"/>
    </row>
    <row r="15519" spans="38:38" x14ac:dyDescent="0.2">
      <c r="AL15519" s="177"/>
    </row>
    <row r="15520" spans="38:38" x14ac:dyDescent="0.2">
      <c r="AL15520" s="177"/>
    </row>
    <row r="15521" spans="38:38" x14ac:dyDescent="0.2">
      <c r="AL15521" s="177"/>
    </row>
    <row r="15522" spans="38:38" x14ac:dyDescent="0.2">
      <c r="AL15522" s="177"/>
    </row>
    <row r="15523" spans="38:38" x14ac:dyDescent="0.2">
      <c r="AL15523" s="177"/>
    </row>
    <row r="15524" spans="38:38" x14ac:dyDescent="0.2">
      <c r="AL15524" s="177"/>
    </row>
    <row r="15525" spans="38:38" x14ac:dyDescent="0.2">
      <c r="AL15525" s="177"/>
    </row>
    <row r="15526" spans="38:38" x14ac:dyDescent="0.2">
      <c r="AL15526" s="177"/>
    </row>
    <row r="15527" spans="38:38" x14ac:dyDescent="0.2">
      <c r="AL15527" s="177"/>
    </row>
    <row r="15528" spans="38:38" x14ac:dyDescent="0.2">
      <c r="AL15528" s="177"/>
    </row>
    <row r="15529" spans="38:38" x14ac:dyDescent="0.2">
      <c r="AL15529" s="177"/>
    </row>
    <row r="15530" spans="38:38" x14ac:dyDescent="0.2">
      <c r="AL15530" s="177"/>
    </row>
    <row r="15531" spans="38:38" x14ac:dyDescent="0.2">
      <c r="AL15531" s="177"/>
    </row>
    <row r="15532" spans="38:38" x14ac:dyDescent="0.2">
      <c r="AL15532" s="177"/>
    </row>
    <row r="15533" spans="38:38" x14ac:dyDescent="0.2">
      <c r="AL15533" s="177"/>
    </row>
    <row r="15534" spans="38:38" x14ac:dyDescent="0.2">
      <c r="AL15534" s="177"/>
    </row>
    <row r="15535" spans="38:38" x14ac:dyDescent="0.2">
      <c r="AL15535" s="177"/>
    </row>
    <row r="15536" spans="38:38" x14ac:dyDescent="0.2">
      <c r="AL15536" s="177"/>
    </row>
    <row r="15537" spans="38:38" x14ac:dyDescent="0.2">
      <c r="AL15537" s="177"/>
    </row>
    <row r="15538" spans="38:38" x14ac:dyDescent="0.2">
      <c r="AL15538" s="177"/>
    </row>
    <row r="15539" spans="38:38" x14ac:dyDescent="0.2">
      <c r="AL15539" s="177"/>
    </row>
    <row r="15540" spans="38:38" x14ac:dyDescent="0.2">
      <c r="AL15540" s="177"/>
    </row>
    <row r="15541" spans="38:38" x14ac:dyDescent="0.2">
      <c r="AL15541" s="177"/>
    </row>
    <row r="15542" spans="38:38" x14ac:dyDescent="0.2">
      <c r="AL15542" s="177"/>
    </row>
    <row r="15543" spans="38:38" x14ac:dyDescent="0.2">
      <c r="AL15543" s="177"/>
    </row>
    <row r="15544" spans="38:38" x14ac:dyDescent="0.2">
      <c r="AL15544" s="177"/>
    </row>
    <row r="15545" spans="38:38" x14ac:dyDescent="0.2">
      <c r="AL15545" s="177"/>
    </row>
    <row r="15546" spans="38:38" x14ac:dyDescent="0.2">
      <c r="AL15546" s="177"/>
    </row>
    <row r="15547" spans="38:38" x14ac:dyDescent="0.2">
      <c r="AL15547" s="177"/>
    </row>
    <row r="15548" spans="38:38" x14ac:dyDescent="0.2">
      <c r="AL15548" s="177"/>
    </row>
    <row r="15549" spans="38:38" x14ac:dyDescent="0.2">
      <c r="AL15549" s="177"/>
    </row>
    <row r="15550" spans="38:38" x14ac:dyDescent="0.2">
      <c r="AL15550" s="177"/>
    </row>
    <row r="15551" spans="38:38" x14ac:dyDescent="0.2">
      <c r="AL15551" s="177"/>
    </row>
    <row r="15552" spans="38:38" x14ac:dyDescent="0.2">
      <c r="AL15552" s="177"/>
    </row>
    <row r="15553" spans="38:38" x14ac:dyDescent="0.2">
      <c r="AL15553" s="177"/>
    </row>
    <row r="15554" spans="38:38" x14ac:dyDescent="0.2">
      <c r="AL15554" s="177"/>
    </row>
    <row r="15555" spans="38:38" x14ac:dyDescent="0.2">
      <c r="AL15555" s="177"/>
    </row>
    <row r="15556" spans="38:38" x14ac:dyDescent="0.2">
      <c r="AL15556" s="177"/>
    </row>
    <row r="15557" spans="38:38" x14ac:dyDescent="0.2">
      <c r="AL15557" s="177"/>
    </row>
    <row r="15558" spans="38:38" x14ac:dyDescent="0.2">
      <c r="AL15558" s="177"/>
    </row>
    <row r="15559" spans="38:38" x14ac:dyDescent="0.2">
      <c r="AL15559" s="177"/>
    </row>
    <row r="15560" spans="38:38" x14ac:dyDescent="0.2">
      <c r="AL15560" s="177"/>
    </row>
    <row r="15561" spans="38:38" x14ac:dyDescent="0.2">
      <c r="AL15561" s="177"/>
    </row>
    <row r="15562" spans="38:38" x14ac:dyDescent="0.2">
      <c r="AL15562" s="177"/>
    </row>
    <row r="15563" spans="38:38" x14ac:dyDescent="0.2">
      <c r="AL15563" s="177"/>
    </row>
    <row r="15564" spans="38:38" x14ac:dyDescent="0.2">
      <c r="AL15564" s="177"/>
    </row>
    <row r="15565" spans="38:38" x14ac:dyDescent="0.2">
      <c r="AL15565" s="177"/>
    </row>
    <row r="15566" spans="38:38" x14ac:dyDescent="0.2">
      <c r="AL15566" s="177"/>
    </row>
    <row r="15567" spans="38:38" x14ac:dyDescent="0.2">
      <c r="AL15567" s="177"/>
    </row>
    <row r="15568" spans="38:38" x14ac:dyDescent="0.2">
      <c r="AL15568" s="177"/>
    </row>
    <row r="15569" spans="38:38" x14ac:dyDescent="0.2">
      <c r="AL15569" s="177"/>
    </row>
    <row r="15570" spans="38:38" x14ac:dyDescent="0.2">
      <c r="AL15570" s="177"/>
    </row>
    <row r="15571" spans="38:38" x14ac:dyDescent="0.2">
      <c r="AL15571" s="177"/>
    </row>
    <row r="15572" spans="38:38" x14ac:dyDescent="0.2">
      <c r="AL15572" s="177"/>
    </row>
    <row r="15573" spans="38:38" x14ac:dyDescent="0.2">
      <c r="AL15573" s="177"/>
    </row>
    <row r="15574" spans="38:38" x14ac:dyDescent="0.2">
      <c r="AL15574" s="177"/>
    </row>
    <row r="15575" spans="38:38" x14ac:dyDescent="0.2">
      <c r="AL15575" s="177"/>
    </row>
    <row r="15576" spans="38:38" x14ac:dyDescent="0.2">
      <c r="AL15576" s="177"/>
    </row>
    <row r="15577" spans="38:38" x14ac:dyDescent="0.2">
      <c r="AL15577" s="177"/>
    </row>
    <row r="15578" spans="38:38" x14ac:dyDescent="0.2">
      <c r="AL15578" s="177"/>
    </row>
    <row r="15579" spans="38:38" x14ac:dyDescent="0.2">
      <c r="AL15579" s="177"/>
    </row>
    <row r="15580" spans="38:38" x14ac:dyDescent="0.2">
      <c r="AL15580" s="177"/>
    </row>
    <row r="15581" spans="38:38" x14ac:dyDescent="0.2">
      <c r="AL15581" s="177"/>
    </row>
    <row r="15582" spans="38:38" x14ac:dyDescent="0.2">
      <c r="AL15582" s="177"/>
    </row>
    <row r="15583" spans="38:38" x14ac:dyDescent="0.2">
      <c r="AL15583" s="177"/>
    </row>
    <row r="15584" spans="38:38" x14ac:dyDescent="0.2">
      <c r="AL15584" s="177"/>
    </row>
    <row r="15585" spans="38:38" x14ac:dyDescent="0.2">
      <c r="AL15585" s="177"/>
    </row>
    <row r="15586" spans="38:38" x14ac:dyDescent="0.2">
      <c r="AL15586" s="177"/>
    </row>
    <row r="15587" spans="38:38" x14ac:dyDescent="0.2">
      <c r="AL15587" s="177"/>
    </row>
    <row r="15588" spans="38:38" x14ac:dyDescent="0.2">
      <c r="AL15588" s="177"/>
    </row>
    <row r="15589" spans="38:38" x14ac:dyDescent="0.2">
      <c r="AL15589" s="177"/>
    </row>
    <row r="15590" spans="38:38" x14ac:dyDescent="0.2">
      <c r="AL15590" s="177"/>
    </row>
    <row r="15591" spans="38:38" x14ac:dyDescent="0.2">
      <c r="AL15591" s="177"/>
    </row>
    <row r="15592" spans="38:38" x14ac:dyDescent="0.2">
      <c r="AL15592" s="177"/>
    </row>
    <row r="15593" spans="38:38" x14ac:dyDescent="0.2">
      <c r="AL15593" s="177"/>
    </row>
    <row r="15594" spans="38:38" x14ac:dyDescent="0.2">
      <c r="AL15594" s="177"/>
    </row>
    <row r="15595" spans="38:38" x14ac:dyDescent="0.2">
      <c r="AL15595" s="177"/>
    </row>
    <row r="15596" spans="38:38" x14ac:dyDescent="0.2">
      <c r="AL15596" s="177"/>
    </row>
    <row r="15597" spans="38:38" x14ac:dyDescent="0.2">
      <c r="AL15597" s="177"/>
    </row>
    <row r="15598" spans="38:38" x14ac:dyDescent="0.2">
      <c r="AL15598" s="177"/>
    </row>
    <row r="15599" spans="38:38" x14ac:dyDescent="0.2">
      <c r="AL15599" s="177"/>
    </row>
    <row r="15600" spans="38:38" x14ac:dyDescent="0.2">
      <c r="AL15600" s="177"/>
    </row>
    <row r="15601" spans="38:38" x14ac:dyDescent="0.2">
      <c r="AL15601" s="177"/>
    </row>
    <row r="15602" spans="38:38" x14ac:dyDescent="0.2">
      <c r="AL15602" s="177"/>
    </row>
    <row r="15603" spans="38:38" x14ac:dyDescent="0.2">
      <c r="AL15603" s="177"/>
    </row>
    <row r="15604" spans="38:38" x14ac:dyDescent="0.2">
      <c r="AL15604" s="177"/>
    </row>
    <row r="15605" spans="38:38" x14ac:dyDescent="0.2">
      <c r="AL15605" s="177"/>
    </row>
    <row r="15606" spans="38:38" x14ac:dyDescent="0.2">
      <c r="AL15606" s="177"/>
    </row>
    <row r="15607" spans="38:38" x14ac:dyDescent="0.2">
      <c r="AL15607" s="177"/>
    </row>
    <row r="15608" spans="38:38" x14ac:dyDescent="0.2">
      <c r="AL15608" s="177"/>
    </row>
    <row r="15609" spans="38:38" x14ac:dyDescent="0.2">
      <c r="AL15609" s="177"/>
    </row>
    <row r="15610" spans="38:38" x14ac:dyDescent="0.2">
      <c r="AL15610" s="177"/>
    </row>
    <row r="15611" spans="38:38" x14ac:dyDescent="0.2">
      <c r="AL15611" s="177"/>
    </row>
    <row r="15612" spans="38:38" x14ac:dyDescent="0.2">
      <c r="AL15612" s="177"/>
    </row>
    <row r="15613" spans="38:38" x14ac:dyDescent="0.2">
      <c r="AL15613" s="177"/>
    </row>
    <row r="15614" spans="38:38" x14ac:dyDescent="0.2">
      <c r="AL15614" s="177"/>
    </row>
    <row r="15615" spans="38:38" x14ac:dyDescent="0.2">
      <c r="AL15615" s="177"/>
    </row>
    <row r="15616" spans="38:38" x14ac:dyDescent="0.2">
      <c r="AL15616" s="177"/>
    </row>
    <row r="15617" spans="38:38" x14ac:dyDescent="0.2">
      <c r="AL15617" s="177"/>
    </row>
    <row r="15618" spans="38:38" x14ac:dyDescent="0.2">
      <c r="AL15618" s="177"/>
    </row>
    <row r="15619" spans="38:38" x14ac:dyDescent="0.2">
      <c r="AL15619" s="177"/>
    </row>
    <row r="15620" spans="38:38" x14ac:dyDescent="0.2">
      <c r="AL15620" s="177"/>
    </row>
    <row r="15621" spans="38:38" x14ac:dyDescent="0.2">
      <c r="AL15621" s="177"/>
    </row>
    <row r="15622" spans="38:38" x14ac:dyDescent="0.2">
      <c r="AL15622" s="177"/>
    </row>
    <row r="15623" spans="38:38" x14ac:dyDescent="0.2">
      <c r="AL15623" s="177"/>
    </row>
    <row r="15624" spans="38:38" x14ac:dyDescent="0.2">
      <c r="AL15624" s="177"/>
    </row>
    <row r="15625" spans="38:38" x14ac:dyDescent="0.2">
      <c r="AL15625" s="177"/>
    </row>
    <row r="15626" spans="38:38" x14ac:dyDescent="0.2">
      <c r="AL15626" s="177"/>
    </row>
    <row r="15627" spans="38:38" x14ac:dyDescent="0.2">
      <c r="AL15627" s="177"/>
    </row>
    <row r="15628" spans="38:38" x14ac:dyDescent="0.2">
      <c r="AL15628" s="177"/>
    </row>
    <row r="15629" spans="38:38" x14ac:dyDescent="0.2">
      <c r="AL15629" s="177"/>
    </row>
    <row r="15630" spans="38:38" x14ac:dyDescent="0.2">
      <c r="AL15630" s="177"/>
    </row>
    <row r="15631" spans="38:38" x14ac:dyDescent="0.2">
      <c r="AL15631" s="177"/>
    </row>
    <row r="15632" spans="38:38" x14ac:dyDescent="0.2">
      <c r="AL15632" s="177"/>
    </row>
    <row r="15633" spans="38:38" x14ac:dyDescent="0.2">
      <c r="AL15633" s="177"/>
    </row>
    <row r="15634" spans="38:38" x14ac:dyDescent="0.2">
      <c r="AL15634" s="177"/>
    </row>
    <row r="15635" spans="38:38" x14ac:dyDescent="0.2">
      <c r="AL15635" s="177"/>
    </row>
    <row r="15636" spans="38:38" x14ac:dyDescent="0.2">
      <c r="AL15636" s="177"/>
    </row>
    <row r="15637" spans="38:38" x14ac:dyDescent="0.2">
      <c r="AL15637" s="177"/>
    </row>
    <row r="15638" spans="38:38" x14ac:dyDescent="0.2">
      <c r="AL15638" s="177"/>
    </row>
    <row r="15639" spans="38:38" x14ac:dyDescent="0.2">
      <c r="AL15639" s="177"/>
    </row>
    <row r="15640" spans="38:38" x14ac:dyDescent="0.2">
      <c r="AL15640" s="177"/>
    </row>
    <row r="15641" spans="38:38" x14ac:dyDescent="0.2">
      <c r="AL15641" s="177"/>
    </row>
    <row r="15642" spans="38:38" x14ac:dyDescent="0.2">
      <c r="AL15642" s="177"/>
    </row>
    <row r="15643" spans="38:38" x14ac:dyDescent="0.2">
      <c r="AL15643" s="177"/>
    </row>
    <row r="15644" spans="38:38" x14ac:dyDescent="0.2">
      <c r="AL15644" s="177"/>
    </row>
    <row r="15645" spans="38:38" x14ac:dyDescent="0.2">
      <c r="AL15645" s="177"/>
    </row>
    <row r="15646" spans="38:38" x14ac:dyDescent="0.2">
      <c r="AL15646" s="177"/>
    </row>
    <row r="15647" spans="38:38" x14ac:dyDescent="0.2">
      <c r="AL15647" s="177"/>
    </row>
    <row r="15648" spans="38:38" x14ac:dyDescent="0.2">
      <c r="AL15648" s="177"/>
    </row>
    <row r="15649" spans="38:38" x14ac:dyDescent="0.2">
      <c r="AL15649" s="177"/>
    </row>
    <row r="15650" spans="38:38" x14ac:dyDescent="0.2">
      <c r="AL15650" s="177"/>
    </row>
    <row r="15651" spans="38:38" x14ac:dyDescent="0.2">
      <c r="AL15651" s="177"/>
    </row>
    <row r="15652" spans="38:38" x14ac:dyDescent="0.2">
      <c r="AL15652" s="177"/>
    </row>
    <row r="15653" spans="38:38" x14ac:dyDescent="0.2">
      <c r="AL15653" s="177"/>
    </row>
    <row r="15654" spans="38:38" x14ac:dyDescent="0.2">
      <c r="AL15654" s="177"/>
    </row>
    <row r="15655" spans="38:38" x14ac:dyDescent="0.2">
      <c r="AL15655" s="177"/>
    </row>
    <row r="15656" spans="38:38" x14ac:dyDescent="0.2">
      <c r="AL15656" s="177"/>
    </row>
    <row r="15657" spans="38:38" x14ac:dyDescent="0.2">
      <c r="AL15657" s="177"/>
    </row>
    <row r="15658" spans="38:38" x14ac:dyDescent="0.2">
      <c r="AL15658" s="177"/>
    </row>
    <row r="15659" spans="38:38" x14ac:dyDescent="0.2">
      <c r="AL15659" s="177"/>
    </row>
    <row r="15660" spans="38:38" x14ac:dyDescent="0.2">
      <c r="AL15660" s="177"/>
    </row>
    <row r="15661" spans="38:38" x14ac:dyDescent="0.2">
      <c r="AL15661" s="177"/>
    </row>
    <row r="15662" spans="38:38" x14ac:dyDescent="0.2">
      <c r="AL15662" s="177"/>
    </row>
    <row r="15663" spans="38:38" x14ac:dyDescent="0.2">
      <c r="AL15663" s="177"/>
    </row>
    <row r="15664" spans="38:38" x14ac:dyDescent="0.2">
      <c r="AL15664" s="177"/>
    </row>
    <row r="15665" spans="38:38" x14ac:dyDescent="0.2">
      <c r="AL15665" s="177"/>
    </row>
    <row r="15666" spans="38:38" x14ac:dyDescent="0.2">
      <c r="AL15666" s="177"/>
    </row>
    <row r="15667" spans="38:38" x14ac:dyDescent="0.2">
      <c r="AL15667" s="177"/>
    </row>
    <row r="15668" spans="38:38" x14ac:dyDescent="0.2">
      <c r="AL15668" s="177"/>
    </row>
    <row r="15669" spans="38:38" x14ac:dyDescent="0.2">
      <c r="AL15669" s="177"/>
    </row>
    <row r="15670" spans="38:38" x14ac:dyDescent="0.2">
      <c r="AL15670" s="177"/>
    </row>
    <row r="15671" spans="38:38" x14ac:dyDescent="0.2">
      <c r="AL15671" s="177"/>
    </row>
    <row r="15672" spans="38:38" x14ac:dyDescent="0.2">
      <c r="AL15672" s="177"/>
    </row>
    <row r="15673" spans="38:38" x14ac:dyDescent="0.2">
      <c r="AL15673" s="177"/>
    </row>
    <row r="15674" spans="38:38" x14ac:dyDescent="0.2">
      <c r="AL15674" s="177"/>
    </row>
    <row r="15675" spans="38:38" x14ac:dyDescent="0.2">
      <c r="AL15675" s="177"/>
    </row>
    <row r="15676" spans="38:38" x14ac:dyDescent="0.2">
      <c r="AL15676" s="177"/>
    </row>
    <row r="15677" spans="38:38" x14ac:dyDescent="0.2">
      <c r="AL15677" s="177"/>
    </row>
    <row r="15678" spans="38:38" x14ac:dyDescent="0.2">
      <c r="AL15678" s="177"/>
    </row>
    <row r="15679" spans="38:38" x14ac:dyDescent="0.2">
      <c r="AL15679" s="177"/>
    </row>
    <row r="15680" spans="38:38" x14ac:dyDescent="0.2">
      <c r="AL15680" s="177"/>
    </row>
    <row r="15681" spans="38:38" x14ac:dyDescent="0.2">
      <c r="AL15681" s="177"/>
    </row>
    <row r="15682" spans="38:38" x14ac:dyDescent="0.2">
      <c r="AL15682" s="177"/>
    </row>
    <row r="15683" spans="38:38" x14ac:dyDescent="0.2">
      <c r="AL15683" s="177"/>
    </row>
    <row r="15684" spans="38:38" x14ac:dyDescent="0.2">
      <c r="AL15684" s="177"/>
    </row>
    <row r="15685" spans="38:38" x14ac:dyDescent="0.2">
      <c r="AL15685" s="177"/>
    </row>
    <row r="15686" spans="38:38" x14ac:dyDescent="0.2">
      <c r="AL15686" s="177"/>
    </row>
    <row r="15687" spans="38:38" x14ac:dyDescent="0.2">
      <c r="AL15687" s="177"/>
    </row>
    <row r="15688" spans="38:38" x14ac:dyDescent="0.2">
      <c r="AL15688" s="177"/>
    </row>
    <row r="15689" spans="38:38" x14ac:dyDescent="0.2">
      <c r="AL15689" s="177"/>
    </row>
    <row r="15690" spans="38:38" x14ac:dyDescent="0.2">
      <c r="AL15690" s="177"/>
    </row>
    <row r="15691" spans="38:38" x14ac:dyDescent="0.2">
      <c r="AL15691" s="177"/>
    </row>
    <row r="15692" spans="38:38" x14ac:dyDescent="0.2">
      <c r="AL15692" s="177"/>
    </row>
    <row r="15693" spans="38:38" x14ac:dyDescent="0.2">
      <c r="AL15693" s="177"/>
    </row>
    <row r="15694" spans="38:38" x14ac:dyDescent="0.2">
      <c r="AL15694" s="177"/>
    </row>
    <row r="15695" spans="38:38" x14ac:dyDescent="0.2">
      <c r="AL15695" s="177"/>
    </row>
    <row r="15696" spans="38:38" x14ac:dyDescent="0.2">
      <c r="AL15696" s="177"/>
    </row>
    <row r="15697" spans="38:38" x14ac:dyDescent="0.2">
      <c r="AL15697" s="177"/>
    </row>
    <row r="15698" spans="38:38" x14ac:dyDescent="0.2">
      <c r="AL15698" s="177"/>
    </row>
    <row r="15699" spans="38:38" x14ac:dyDescent="0.2">
      <c r="AL15699" s="177"/>
    </row>
    <row r="15700" spans="38:38" x14ac:dyDescent="0.2">
      <c r="AL15700" s="177"/>
    </row>
    <row r="15701" spans="38:38" x14ac:dyDescent="0.2">
      <c r="AL15701" s="177"/>
    </row>
    <row r="15702" spans="38:38" x14ac:dyDescent="0.2">
      <c r="AL15702" s="177"/>
    </row>
    <row r="15703" spans="38:38" x14ac:dyDescent="0.2">
      <c r="AL15703" s="177"/>
    </row>
    <row r="15704" spans="38:38" x14ac:dyDescent="0.2">
      <c r="AL15704" s="177"/>
    </row>
    <row r="15705" spans="38:38" x14ac:dyDescent="0.2">
      <c r="AL15705" s="177"/>
    </row>
    <row r="15706" spans="38:38" x14ac:dyDescent="0.2">
      <c r="AL15706" s="177"/>
    </row>
    <row r="15707" spans="38:38" x14ac:dyDescent="0.2">
      <c r="AL15707" s="177"/>
    </row>
    <row r="15708" spans="38:38" x14ac:dyDescent="0.2">
      <c r="AL15708" s="177"/>
    </row>
    <row r="15709" spans="38:38" x14ac:dyDescent="0.2">
      <c r="AL15709" s="177"/>
    </row>
    <row r="15710" spans="38:38" x14ac:dyDescent="0.2">
      <c r="AL15710" s="177"/>
    </row>
    <row r="15711" spans="38:38" x14ac:dyDescent="0.2">
      <c r="AL15711" s="177"/>
    </row>
    <row r="15712" spans="38:38" x14ac:dyDescent="0.2">
      <c r="AL15712" s="177"/>
    </row>
    <row r="15713" spans="38:38" x14ac:dyDescent="0.2">
      <c r="AL15713" s="177"/>
    </row>
    <row r="15714" spans="38:38" x14ac:dyDescent="0.2">
      <c r="AL15714" s="177"/>
    </row>
    <row r="15715" spans="38:38" x14ac:dyDescent="0.2">
      <c r="AL15715" s="177"/>
    </row>
    <row r="15716" spans="38:38" x14ac:dyDescent="0.2">
      <c r="AL15716" s="177"/>
    </row>
    <row r="15717" spans="38:38" x14ac:dyDescent="0.2">
      <c r="AL15717" s="177"/>
    </row>
    <row r="15718" spans="38:38" x14ac:dyDescent="0.2">
      <c r="AL15718" s="177"/>
    </row>
    <row r="15719" spans="38:38" x14ac:dyDescent="0.2">
      <c r="AL15719" s="177"/>
    </row>
    <row r="15720" spans="38:38" x14ac:dyDescent="0.2">
      <c r="AL15720" s="177"/>
    </row>
    <row r="15721" spans="38:38" x14ac:dyDescent="0.2">
      <c r="AL15721" s="177"/>
    </row>
    <row r="15722" spans="38:38" x14ac:dyDescent="0.2">
      <c r="AL15722" s="177"/>
    </row>
    <row r="15723" spans="38:38" x14ac:dyDescent="0.2">
      <c r="AL15723" s="177"/>
    </row>
    <row r="15724" spans="38:38" x14ac:dyDescent="0.2">
      <c r="AL15724" s="177"/>
    </row>
    <row r="15725" spans="38:38" x14ac:dyDescent="0.2">
      <c r="AL15725" s="177"/>
    </row>
    <row r="15726" spans="38:38" x14ac:dyDescent="0.2">
      <c r="AL15726" s="177"/>
    </row>
    <row r="15727" spans="38:38" x14ac:dyDescent="0.2">
      <c r="AL15727" s="177"/>
    </row>
    <row r="15728" spans="38:38" x14ac:dyDescent="0.2">
      <c r="AL15728" s="177"/>
    </row>
    <row r="15729" spans="38:38" x14ac:dyDescent="0.2">
      <c r="AL15729" s="177"/>
    </row>
    <row r="15730" spans="38:38" x14ac:dyDescent="0.2">
      <c r="AL15730" s="177"/>
    </row>
    <row r="15731" spans="38:38" x14ac:dyDescent="0.2">
      <c r="AL15731" s="177"/>
    </row>
    <row r="15732" spans="38:38" x14ac:dyDescent="0.2">
      <c r="AL15732" s="177"/>
    </row>
    <row r="15733" spans="38:38" x14ac:dyDescent="0.2">
      <c r="AL15733" s="177"/>
    </row>
    <row r="15734" spans="38:38" x14ac:dyDescent="0.2">
      <c r="AL15734" s="177"/>
    </row>
    <row r="15735" spans="38:38" x14ac:dyDescent="0.2">
      <c r="AL15735" s="177"/>
    </row>
    <row r="15736" spans="38:38" x14ac:dyDescent="0.2">
      <c r="AL15736" s="177"/>
    </row>
    <row r="15737" spans="38:38" x14ac:dyDescent="0.2">
      <c r="AL15737" s="177"/>
    </row>
    <row r="15738" spans="38:38" x14ac:dyDescent="0.2">
      <c r="AL15738" s="177"/>
    </row>
    <row r="15739" spans="38:38" x14ac:dyDescent="0.2">
      <c r="AL15739" s="177"/>
    </row>
    <row r="15740" spans="38:38" x14ac:dyDescent="0.2">
      <c r="AL15740" s="177"/>
    </row>
    <row r="15741" spans="38:38" x14ac:dyDescent="0.2">
      <c r="AL15741" s="177"/>
    </row>
    <row r="15742" spans="38:38" x14ac:dyDescent="0.2">
      <c r="AL15742" s="177"/>
    </row>
    <row r="15743" spans="38:38" x14ac:dyDescent="0.2">
      <c r="AL15743" s="177"/>
    </row>
    <row r="15744" spans="38:38" x14ac:dyDescent="0.2">
      <c r="AL15744" s="177"/>
    </row>
    <row r="15745" spans="38:38" x14ac:dyDescent="0.2">
      <c r="AL15745" s="177"/>
    </row>
    <row r="15746" spans="38:38" x14ac:dyDescent="0.2">
      <c r="AL15746" s="177"/>
    </row>
    <row r="15747" spans="38:38" x14ac:dyDescent="0.2">
      <c r="AL15747" s="177"/>
    </row>
    <row r="15748" spans="38:38" x14ac:dyDescent="0.2">
      <c r="AL15748" s="177"/>
    </row>
    <row r="15749" spans="38:38" x14ac:dyDescent="0.2">
      <c r="AL15749" s="177"/>
    </row>
    <row r="15750" spans="38:38" x14ac:dyDescent="0.2">
      <c r="AL15750" s="177"/>
    </row>
    <row r="15751" spans="38:38" x14ac:dyDescent="0.2">
      <c r="AL15751" s="177"/>
    </row>
    <row r="15752" spans="38:38" x14ac:dyDescent="0.2">
      <c r="AL15752" s="177"/>
    </row>
    <row r="15753" spans="38:38" x14ac:dyDescent="0.2">
      <c r="AL15753" s="177"/>
    </row>
    <row r="15754" spans="38:38" x14ac:dyDescent="0.2">
      <c r="AL15754" s="177"/>
    </row>
    <row r="15755" spans="38:38" x14ac:dyDescent="0.2">
      <c r="AL15755" s="177"/>
    </row>
    <row r="15756" spans="38:38" x14ac:dyDescent="0.2">
      <c r="AL15756" s="177"/>
    </row>
    <row r="15757" spans="38:38" x14ac:dyDescent="0.2">
      <c r="AL15757" s="177"/>
    </row>
    <row r="15758" spans="38:38" x14ac:dyDescent="0.2">
      <c r="AL15758" s="177"/>
    </row>
    <row r="15759" spans="38:38" x14ac:dyDescent="0.2">
      <c r="AL15759" s="177"/>
    </row>
    <row r="15760" spans="38:38" x14ac:dyDescent="0.2">
      <c r="AL15760" s="177"/>
    </row>
    <row r="15761" spans="38:38" x14ac:dyDescent="0.2">
      <c r="AL15761" s="177"/>
    </row>
    <row r="15762" spans="38:38" x14ac:dyDescent="0.2">
      <c r="AL15762" s="177"/>
    </row>
    <row r="15763" spans="38:38" x14ac:dyDescent="0.2">
      <c r="AL15763" s="177"/>
    </row>
    <row r="15764" spans="38:38" x14ac:dyDescent="0.2">
      <c r="AL15764" s="177"/>
    </row>
    <row r="15765" spans="38:38" x14ac:dyDescent="0.2">
      <c r="AL15765" s="177"/>
    </row>
    <row r="15766" spans="38:38" x14ac:dyDescent="0.2">
      <c r="AL15766" s="177"/>
    </row>
    <row r="15767" spans="38:38" x14ac:dyDescent="0.2">
      <c r="AL15767" s="177"/>
    </row>
    <row r="15768" spans="38:38" x14ac:dyDescent="0.2">
      <c r="AL15768" s="177"/>
    </row>
    <row r="15769" spans="38:38" x14ac:dyDescent="0.2">
      <c r="AL15769" s="177"/>
    </row>
    <row r="15770" spans="38:38" x14ac:dyDescent="0.2">
      <c r="AL15770" s="177"/>
    </row>
    <row r="15771" spans="38:38" x14ac:dyDescent="0.2">
      <c r="AL15771" s="177"/>
    </row>
    <row r="15772" spans="38:38" x14ac:dyDescent="0.2">
      <c r="AL15772" s="177"/>
    </row>
    <row r="15773" spans="38:38" x14ac:dyDescent="0.2">
      <c r="AL15773" s="177"/>
    </row>
    <row r="15774" spans="38:38" x14ac:dyDescent="0.2">
      <c r="AL15774" s="177"/>
    </row>
    <row r="15775" spans="38:38" x14ac:dyDescent="0.2">
      <c r="AL15775" s="177"/>
    </row>
    <row r="15776" spans="38:38" x14ac:dyDescent="0.2">
      <c r="AL15776" s="177"/>
    </row>
    <row r="15777" spans="38:38" x14ac:dyDescent="0.2">
      <c r="AL15777" s="177"/>
    </row>
    <row r="15778" spans="38:38" x14ac:dyDescent="0.2">
      <c r="AL15778" s="177"/>
    </row>
    <row r="15779" spans="38:38" x14ac:dyDescent="0.2">
      <c r="AL15779" s="177"/>
    </row>
    <row r="15780" spans="38:38" x14ac:dyDescent="0.2">
      <c r="AL15780" s="177"/>
    </row>
    <row r="15781" spans="38:38" x14ac:dyDescent="0.2">
      <c r="AL15781" s="177"/>
    </row>
    <row r="15782" spans="38:38" x14ac:dyDescent="0.2">
      <c r="AL15782" s="177"/>
    </row>
    <row r="15783" spans="38:38" x14ac:dyDescent="0.2">
      <c r="AL15783" s="177"/>
    </row>
    <row r="15784" spans="38:38" x14ac:dyDescent="0.2">
      <c r="AL15784" s="177"/>
    </row>
    <row r="15785" spans="38:38" x14ac:dyDescent="0.2">
      <c r="AL15785" s="177"/>
    </row>
    <row r="15786" spans="38:38" x14ac:dyDescent="0.2">
      <c r="AL15786" s="177"/>
    </row>
    <row r="15787" spans="38:38" x14ac:dyDescent="0.2">
      <c r="AL15787" s="177"/>
    </row>
    <row r="15788" spans="38:38" x14ac:dyDescent="0.2">
      <c r="AL15788" s="177"/>
    </row>
    <row r="15789" spans="38:38" x14ac:dyDescent="0.2">
      <c r="AL15789" s="177"/>
    </row>
    <row r="15790" spans="38:38" x14ac:dyDescent="0.2">
      <c r="AL15790" s="177"/>
    </row>
    <row r="15791" spans="38:38" x14ac:dyDescent="0.2">
      <c r="AL15791" s="177"/>
    </row>
    <row r="15792" spans="38:38" x14ac:dyDescent="0.2">
      <c r="AL15792" s="177"/>
    </row>
    <row r="15793" spans="38:38" x14ac:dyDescent="0.2">
      <c r="AL15793" s="177"/>
    </row>
    <row r="15794" spans="38:38" x14ac:dyDescent="0.2">
      <c r="AL15794" s="177"/>
    </row>
    <row r="15795" spans="38:38" x14ac:dyDescent="0.2">
      <c r="AL15795" s="177"/>
    </row>
    <row r="15796" spans="38:38" x14ac:dyDescent="0.2">
      <c r="AL15796" s="177"/>
    </row>
    <row r="15797" spans="38:38" x14ac:dyDescent="0.2">
      <c r="AL15797" s="177"/>
    </row>
    <row r="15798" spans="38:38" x14ac:dyDescent="0.2">
      <c r="AL15798" s="177"/>
    </row>
    <row r="15799" spans="38:38" x14ac:dyDescent="0.2">
      <c r="AL15799" s="177"/>
    </row>
    <row r="15800" spans="38:38" x14ac:dyDescent="0.2">
      <c r="AL15800" s="177"/>
    </row>
    <row r="15801" spans="38:38" x14ac:dyDescent="0.2">
      <c r="AL15801" s="177"/>
    </row>
    <row r="15802" spans="38:38" x14ac:dyDescent="0.2">
      <c r="AL15802" s="177"/>
    </row>
    <row r="15803" spans="38:38" x14ac:dyDescent="0.2">
      <c r="AL15803" s="177"/>
    </row>
    <row r="15804" spans="38:38" x14ac:dyDescent="0.2">
      <c r="AL15804" s="177"/>
    </row>
    <row r="15805" spans="38:38" x14ac:dyDescent="0.2">
      <c r="AL15805" s="177"/>
    </row>
    <row r="15806" spans="38:38" x14ac:dyDescent="0.2">
      <c r="AL15806" s="177"/>
    </row>
    <row r="15807" spans="38:38" x14ac:dyDescent="0.2">
      <c r="AL15807" s="177"/>
    </row>
    <row r="15808" spans="38:38" x14ac:dyDescent="0.2">
      <c r="AL15808" s="177"/>
    </row>
    <row r="15809" spans="38:38" x14ac:dyDescent="0.2">
      <c r="AL15809" s="177"/>
    </row>
    <row r="15810" spans="38:38" x14ac:dyDescent="0.2">
      <c r="AL15810" s="177"/>
    </row>
    <row r="15811" spans="38:38" x14ac:dyDescent="0.2">
      <c r="AL15811" s="177"/>
    </row>
    <row r="15812" spans="38:38" x14ac:dyDescent="0.2">
      <c r="AL15812" s="177"/>
    </row>
    <row r="15813" spans="38:38" x14ac:dyDescent="0.2">
      <c r="AL15813" s="177"/>
    </row>
    <row r="15814" spans="38:38" x14ac:dyDescent="0.2">
      <c r="AL15814" s="177"/>
    </row>
    <row r="15815" spans="38:38" x14ac:dyDescent="0.2">
      <c r="AL15815" s="177"/>
    </row>
    <row r="15816" spans="38:38" x14ac:dyDescent="0.2">
      <c r="AL15816" s="177"/>
    </row>
    <row r="15817" spans="38:38" x14ac:dyDescent="0.2">
      <c r="AL15817" s="177"/>
    </row>
    <row r="15818" spans="38:38" x14ac:dyDescent="0.2">
      <c r="AL15818" s="177"/>
    </row>
    <row r="15819" spans="38:38" x14ac:dyDescent="0.2">
      <c r="AL15819" s="177"/>
    </row>
    <row r="15820" spans="38:38" x14ac:dyDescent="0.2">
      <c r="AL15820" s="177"/>
    </row>
    <row r="15821" spans="38:38" x14ac:dyDescent="0.2">
      <c r="AL15821" s="177"/>
    </row>
    <row r="15822" spans="38:38" x14ac:dyDescent="0.2">
      <c r="AL15822" s="177"/>
    </row>
    <row r="15823" spans="38:38" x14ac:dyDescent="0.2">
      <c r="AL15823" s="177"/>
    </row>
    <row r="15824" spans="38:38" x14ac:dyDescent="0.2">
      <c r="AL15824" s="177"/>
    </row>
    <row r="15825" spans="38:38" x14ac:dyDescent="0.2">
      <c r="AL15825" s="177"/>
    </row>
    <row r="15826" spans="38:38" x14ac:dyDescent="0.2">
      <c r="AL15826" s="177"/>
    </row>
    <row r="15827" spans="38:38" x14ac:dyDescent="0.2">
      <c r="AL15827" s="177"/>
    </row>
    <row r="15828" spans="38:38" x14ac:dyDescent="0.2">
      <c r="AL15828" s="177"/>
    </row>
    <row r="15829" spans="38:38" x14ac:dyDescent="0.2">
      <c r="AL15829" s="177"/>
    </row>
    <row r="15830" spans="38:38" x14ac:dyDescent="0.2">
      <c r="AL15830" s="177"/>
    </row>
    <row r="15831" spans="38:38" x14ac:dyDescent="0.2">
      <c r="AL15831" s="177"/>
    </row>
    <row r="15832" spans="38:38" x14ac:dyDescent="0.2">
      <c r="AL15832" s="177"/>
    </row>
    <row r="15833" spans="38:38" x14ac:dyDescent="0.2">
      <c r="AL15833" s="177"/>
    </row>
    <row r="15834" spans="38:38" x14ac:dyDescent="0.2">
      <c r="AL15834" s="177"/>
    </row>
    <row r="15835" spans="38:38" x14ac:dyDescent="0.2">
      <c r="AL15835" s="177"/>
    </row>
    <row r="15836" spans="38:38" x14ac:dyDescent="0.2">
      <c r="AL15836" s="177"/>
    </row>
    <row r="15837" spans="38:38" x14ac:dyDescent="0.2">
      <c r="AL15837" s="177"/>
    </row>
    <row r="15838" spans="38:38" x14ac:dyDescent="0.2">
      <c r="AL15838" s="177"/>
    </row>
    <row r="15839" spans="38:38" x14ac:dyDescent="0.2">
      <c r="AL15839" s="177"/>
    </row>
    <row r="15840" spans="38:38" x14ac:dyDescent="0.2">
      <c r="AL15840" s="177"/>
    </row>
    <row r="15841" spans="38:38" x14ac:dyDescent="0.2">
      <c r="AL15841" s="177"/>
    </row>
    <row r="15842" spans="38:38" x14ac:dyDescent="0.2">
      <c r="AL15842" s="177"/>
    </row>
    <row r="15843" spans="38:38" x14ac:dyDescent="0.2">
      <c r="AL15843" s="177"/>
    </row>
    <row r="15844" spans="38:38" x14ac:dyDescent="0.2">
      <c r="AL15844" s="177"/>
    </row>
    <row r="15845" spans="38:38" x14ac:dyDescent="0.2">
      <c r="AL15845" s="177"/>
    </row>
    <row r="15846" spans="38:38" x14ac:dyDescent="0.2">
      <c r="AL15846" s="177"/>
    </row>
    <row r="15847" spans="38:38" x14ac:dyDescent="0.2">
      <c r="AL15847" s="177"/>
    </row>
    <row r="15848" spans="38:38" x14ac:dyDescent="0.2">
      <c r="AL15848" s="177"/>
    </row>
    <row r="15849" spans="38:38" x14ac:dyDescent="0.2">
      <c r="AL15849" s="177"/>
    </row>
    <row r="15850" spans="38:38" x14ac:dyDescent="0.2">
      <c r="AL15850" s="177"/>
    </row>
    <row r="15851" spans="38:38" x14ac:dyDescent="0.2">
      <c r="AL15851" s="177"/>
    </row>
    <row r="15852" spans="38:38" x14ac:dyDescent="0.2">
      <c r="AL15852" s="177"/>
    </row>
    <row r="15853" spans="38:38" x14ac:dyDescent="0.2">
      <c r="AL15853" s="177"/>
    </row>
    <row r="15854" spans="38:38" x14ac:dyDescent="0.2">
      <c r="AL15854" s="177"/>
    </row>
    <row r="15855" spans="38:38" x14ac:dyDescent="0.2">
      <c r="AL15855" s="177"/>
    </row>
    <row r="15856" spans="38:38" x14ac:dyDescent="0.2">
      <c r="AL15856" s="177"/>
    </row>
    <row r="15857" spans="38:38" x14ac:dyDescent="0.2">
      <c r="AL15857" s="177"/>
    </row>
    <row r="15858" spans="38:38" x14ac:dyDescent="0.2">
      <c r="AL15858" s="177"/>
    </row>
    <row r="15859" spans="38:38" x14ac:dyDescent="0.2">
      <c r="AL15859" s="177"/>
    </row>
    <row r="15860" spans="38:38" x14ac:dyDescent="0.2">
      <c r="AL15860" s="177"/>
    </row>
    <row r="15861" spans="38:38" x14ac:dyDescent="0.2">
      <c r="AL15861" s="177"/>
    </row>
    <row r="15862" spans="38:38" x14ac:dyDescent="0.2">
      <c r="AL15862" s="177"/>
    </row>
    <row r="15863" spans="38:38" x14ac:dyDescent="0.2">
      <c r="AL15863" s="177"/>
    </row>
    <row r="15864" spans="38:38" x14ac:dyDescent="0.2">
      <c r="AL15864" s="177"/>
    </row>
    <row r="15865" spans="38:38" x14ac:dyDescent="0.2">
      <c r="AL15865" s="177"/>
    </row>
    <row r="15866" spans="38:38" x14ac:dyDescent="0.2">
      <c r="AL15866" s="177"/>
    </row>
    <row r="15867" spans="38:38" x14ac:dyDescent="0.2">
      <c r="AL15867" s="177"/>
    </row>
    <row r="15868" spans="38:38" x14ac:dyDescent="0.2">
      <c r="AL15868" s="177"/>
    </row>
    <row r="15869" spans="38:38" x14ac:dyDescent="0.2">
      <c r="AL15869" s="177"/>
    </row>
    <row r="15870" spans="38:38" x14ac:dyDescent="0.2">
      <c r="AL15870" s="177"/>
    </row>
    <row r="15871" spans="38:38" x14ac:dyDescent="0.2">
      <c r="AL15871" s="177"/>
    </row>
    <row r="15872" spans="38:38" x14ac:dyDescent="0.2">
      <c r="AL15872" s="177"/>
    </row>
    <row r="15873" spans="38:38" x14ac:dyDescent="0.2">
      <c r="AL15873" s="177"/>
    </row>
    <row r="15874" spans="38:38" x14ac:dyDescent="0.2">
      <c r="AL15874" s="177"/>
    </row>
    <row r="15875" spans="38:38" x14ac:dyDescent="0.2">
      <c r="AL15875" s="177"/>
    </row>
    <row r="15876" spans="38:38" x14ac:dyDescent="0.2">
      <c r="AL15876" s="177"/>
    </row>
    <row r="15877" spans="38:38" x14ac:dyDescent="0.2">
      <c r="AL15877" s="177"/>
    </row>
    <row r="15878" spans="38:38" x14ac:dyDescent="0.2">
      <c r="AL15878" s="177"/>
    </row>
    <row r="15879" spans="38:38" x14ac:dyDescent="0.2">
      <c r="AL15879" s="177"/>
    </row>
    <row r="15880" spans="38:38" x14ac:dyDescent="0.2">
      <c r="AL15880" s="177"/>
    </row>
    <row r="15881" spans="38:38" x14ac:dyDescent="0.2">
      <c r="AL15881" s="177"/>
    </row>
    <row r="15882" spans="38:38" x14ac:dyDescent="0.2">
      <c r="AL15882" s="177"/>
    </row>
    <row r="15883" spans="38:38" x14ac:dyDescent="0.2">
      <c r="AL15883" s="177"/>
    </row>
    <row r="15884" spans="38:38" x14ac:dyDescent="0.2">
      <c r="AL15884" s="177"/>
    </row>
    <row r="15885" spans="38:38" x14ac:dyDescent="0.2">
      <c r="AL15885" s="177"/>
    </row>
    <row r="15886" spans="38:38" x14ac:dyDescent="0.2">
      <c r="AL15886" s="177"/>
    </row>
    <row r="15887" spans="38:38" x14ac:dyDescent="0.2">
      <c r="AL15887" s="177"/>
    </row>
    <row r="15888" spans="38:38" x14ac:dyDescent="0.2">
      <c r="AL15888" s="177"/>
    </row>
    <row r="15889" spans="38:38" x14ac:dyDescent="0.2">
      <c r="AL15889" s="177"/>
    </row>
    <row r="15890" spans="38:38" x14ac:dyDescent="0.2">
      <c r="AL15890" s="177"/>
    </row>
    <row r="15891" spans="38:38" x14ac:dyDescent="0.2">
      <c r="AL15891" s="177"/>
    </row>
    <row r="15892" spans="38:38" x14ac:dyDescent="0.2">
      <c r="AL15892" s="177"/>
    </row>
    <row r="15893" spans="38:38" x14ac:dyDescent="0.2">
      <c r="AL15893" s="177"/>
    </row>
    <row r="15894" spans="38:38" x14ac:dyDescent="0.2">
      <c r="AL15894" s="177"/>
    </row>
    <row r="15895" spans="38:38" x14ac:dyDescent="0.2">
      <c r="AL15895" s="177"/>
    </row>
    <row r="15896" spans="38:38" x14ac:dyDescent="0.2">
      <c r="AL15896" s="177"/>
    </row>
    <row r="15897" spans="38:38" x14ac:dyDescent="0.2">
      <c r="AL15897" s="177"/>
    </row>
    <row r="15898" spans="38:38" x14ac:dyDescent="0.2">
      <c r="AL15898" s="177"/>
    </row>
    <row r="15899" spans="38:38" x14ac:dyDescent="0.2">
      <c r="AL15899" s="177"/>
    </row>
    <row r="15900" spans="38:38" x14ac:dyDescent="0.2">
      <c r="AL15900" s="177"/>
    </row>
    <row r="15901" spans="38:38" x14ac:dyDescent="0.2">
      <c r="AL15901" s="177"/>
    </row>
    <row r="15902" spans="38:38" x14ac:dyDescent="0.2">
      <c r="AL15902" s="177"/>
    </row>
    <row r="15903" spans="38:38" x14ac:dyDescent="0.2">
      <c r="AL15903" s="177"/>
    </row>
    <row r="15904" spans="38:38" x14ac:dyDescent="0.2">
      <c r="AL15904" s="177"/>
    </row>
    <row r="15905" spans="38:38" x14ac:dyDescent="0.2">
      <c r="AL15905" s="177"/>
    </row>
    <row r="15906" spans="38:38" x14ac:dyDescent="0.2">
      <c r="AL15906" s="177"/>
    </row>
    <row r="15907" spans="38:38" x14ac:dyDescent="0.2">
      <c r="AL15907" s="177"/>
    </row>
    <row r="15908" spans="38:38" x14ac:dyDescent="0.2">
      <c r="AL15908" s="177"/>
    </row>
    <row r="15909" spans="38:38" x14ac:dyDescent="0.2">
      <c r="AL15909" s="177"/>
    </row>
    <row r="15910" spans="38:38" x14ac:dyDescent="0.2">
      <c r="AL15910" s="177"/>
    </row>
    <row r="15911" spans="38:38" x14ac:dyDescent="0.2">
      <c r="AL15911" s="177"/>
    </row>
    <row r="15912" spans="38:38" x14ac:dyDescent="0.2">
      <c r="AL15912" s="177"/>
    </row>
    <row r="15913" spans="38:38" x14ac:dyDescent="0.2">
      <c r="AL15913" s="177"/>
    </row>
    <row r="15914" spans="38:38" x14ac:dyDescent="0.2">
      <c r="AL15914" s="177"/>
    </row>
    <row r="15915" spans="38:38" x14ac:dyDescent="0.2">
      <c r="AL15915" s="177"/>
    </row>
    <row r="15916" spans="38:38" x14ac:dyDescent="0.2">
      <c r="AL15916" s="177"/>
    </row>
    <row r="15917" spans="38:38" x14ac:dyDescent="0.2">
      <c r="AL15917" s="177"/>
    </row>
    <row r="15918" spans="38:38" x14ac:dyDescent="0.2">
      <c r="AL15918" s="177"/>
    </row>
    <row r="15919" spans="38:38" x14ac:dyDescent="0.2">
      <c r="AL15919" s="177"/>
    </row>
    <row r="15920" spans="38:38" x14ac:dyDescent="0.2">
      <c r="AL15920" s="177"/>
    </row>
    <row r="15921" spans="38:38" x14ac:dyDescent="0.2">
      <c r="AL15921" s="177"/>
    </row>
    <row r="15922" spans="38:38" x14ac:dyDescent="0.2">
      <c r="AL15922" s="177"/>
    </row>
    <row r="15923" spans="38:38" x14ac:dyDescent="0.2">
      <c r="AL15923" s="177"/>
    </row>
    <row r="15924" spans="38:38" x14ac:dyDescent="0.2">
      <c r="AL15924" s="177"/>
    </row>
    <row r="15925" spans="38:38" x14ac:dyDescent="0.2">
      <c r="AL15925" s="177"/>
    </row>
    <row r="15926" spans="38:38" x14ac:dyDescent="0.2">
      <c r="AL15926" s="177"/>
    </row>
    <row r="15927" spans="38:38" x14ac:dyDescent="0.2">
      <c r="AL15927" s="177"/>
    </row>
    <row r="15928" spans="38:38" x14ac:dyDescent="0.2">
      <c r="AL15928" s="177"/>
    </row>
    <row r="15929" spans="38:38" x14ac:dyDescent="0.2">
      <c r="AL15929" s="177"/>
    </row>
    <row r="15930" spans="38:38" x14ac:dyDescent="0.2">
      <c r="AL15930" s="177"/>
    </row>
    <row r="15931" spans="38:38" x14ac:dyDescent="0.2">
      <c r="AL15931" s="177"/>
    </row>
    <row r="15932" spans="38:38" x14ac:dyDescent="0.2">
      <c r="AL15932" s="177"/>
    </row>
    <row r="15933" spans="38:38" x14ac:dyDescent="0.2">
      <c r="AL15933" s="177"/>
    </row>
    <row r="15934" spans="38:38" x14ac:dyDescent="0.2">
      <c r="AL15934" s="177"/>
    </row>
    <row r="15935" spans="38:38" x14ac:dyDescent="0.2">
      <c r="AL15935" s="177"/>
    </row>
    <row r="15936" spans="38:38" x14ac:dyDescent="0.2">
      <c r="AL15936" s="177"/>
    </row>
    <row r="15937" spans="38:38" x14ac:dyDescent="0.2">
      <c r="AL15937" s="177"/>
    </row>
    <row r="15938" spans="38:38" x14ac:dyDescent="0.2">
      <c r="AL15938" s="177"/>
    </row>
    <row r="15939" spans="38:38" x14ac:dyDescent="0.2">
      <c r="AL15939" s="177"/>
    </row>
    <row r="15940" spans="38:38" x14ac:dyDescent="0.2">
      <c r="AL15940" s="177"/>
    </row>
    <row r="15941" spans="38:38" x14ac:dyDescent="0.2">
      <c r="AL15941" s="177"/>
    </row>
    <row r="15942" spans="38:38" x14ac:dyDescent="0.2">
      <c r="AL15942" s="177"/>
    </row>
    <row r="15943" spans="38:38" x14ac:dyDescent="0.2">
      <c r="AL15943" s="177"/>
    </row>
    <row r="15944" spans="38:38" x14ac:dyDescent="0.2">
      <c r="AL15944" s="177"/>
    </row>
    <row r="15945" spans="38:38" x14ac:dyDescent="0.2">
      <c r="AL15945" s="177"/>
    </row>
    <row r="15946" spans="38:38" x14ac:dyDescent="0.2">
      <c r="AL15946" s="177"/>
    </row>
    <row r="15947" spans="38:38" x14ac:dyDescent="0.2">
      <c r="AL15947" s="177"/>
    </row>
    <row r="15948" spans="38:38" x14ac:dyDescent="0.2">
      <c r="AL15948" s="177"/>
    </row>
    <row r="15949" spans="38:38" x14ac:dyDescent="0.2">
      <c r="AL15949" s="177"/>
    </row>
    <row r="15950" spans="38:38" x14ac:dyDescent="0.2">
      <c r="AL15950" s="177"/>
    </row>
    <row r="15951" spans="38:38" x14ac:dyDescent="0.2">
      <c r="AL15951" s="177"/>
    </row>
    <row r="15952" spans="38:38" x14ac:dyDescent="0.2">
      <c r="AL15952" s="177"/>
    </row>
    <row r="15953" spans="38:38" x14ac:dyDescent="0.2">
      <c r="AL15953" s="177"/>
    </row>
    <row r="15954" spans="38:38" x14ac:dyDescent="0.2">
      <c r="AL15954" s="177"/>
    </row>
    <row r="15955" spans="38:38" x14ac:dyDescent="0.2">
      <c r="AL15955" s="177"/>
    </row>
    <row r="15956" spans="38:38" x14ac:dyDescent="0.2">
      <c r="AL15956" s="177"/>
    </row>
    <row r="15957" spans="38:38" x14ac:dyDescent="0.2">
      <c r="AL15957" s="177"/>
    </row>
    <row r="15958" spans="38:38" x14ac:dyDescent="0.2">
      <c r="AL15958" s="177"/>
    </row>
    <row r="15959" spans="38:38" x14ac:dyDescent="0.2">
      <c r="AL15959" s="177"/>
    </row>
    <row r="15960" spans="38:38" x14ac:dyDescent="0.2">
      <c r="AL15960" s="177"/>
    </row>
    <row r="15961" spans="38:38" x14ac:dyDescent="0.2">
      <c r="AL15961" s="177"/>
    </row>
    <row r="15962" spans="38:38" x14ac:dyDescent="0.2">
      <c r="AL15962" s="177"/>
    </row>
    <row r="15963" spans="38:38" x14ac:dyDescent="0.2">
      <c r="AL15963" s="177"/>
    </row>
    <row r="15964" spans="38:38" x14ac:dyDescent="0.2">
      <c r="AL15964" s="177"/>
    </row>
    <row r="15965" spans="38:38" x14ac:dyDescent="0.2">
      <c r="AL15965" s="177"/>
    </row>
    <row r="15966" spans="38:38" x14ac:dyDescent="0.2">
      <c r="AL15966" s="177"/>
    </row>
    <row r="15967" spans="38:38" x14ac:dyDescent="0.2">
      <c r="AL15967" s="177"/>
    </row>
    <row r="15968" spans="38:38" x14ac:dyDescent="0.2">
      <c r="AL15968" s="177"/>
    </row>
    <row r="15969" spans="38:38" x14ac:dyDescent="0.2">
      <c r="AL15969" s="177"/>
    </row>
    <row r="15970" spans="38:38" x14ac:dyDescent="0.2">
      <c r="AL15970" s="177"/>
    </row>
    <row r="15971" spans="38:38" x14ac:dyDescent="0.2">
      <c r="AL15971" s="177"/>
    </row>
    <row r="15972" spans="38:38" x14ac:dyDescent="0.2">
      <c r="AL15972" s="177"/>
    </row>
    <row r="15973" spans="38:38" x14ac:dyDescent="0.2">
      <c r="AL15973" s="177"/>
    </row>
    <row r="15974" spans="38:38" x14ac:dyDescent="0.2">
      <c r="AL15974" s="177"/>
    </row>
    <row r="15975" spans="38:38" x14ac:dyDescent="0.2">
      <c r="AL15975" s="177"/>
    </row>
    <row r="15976" spans="38:38" x14ac:dyDescent="0.2">
      <c r="AL15976" s="177"/>
    </row>
    <row r="15977" spans="38:38" x14ac:dyDescent="0.2">
      <c r="AL15977" s="177"/>
    </row>
    <row r="15978" spans="38:38" x14ac:dyDescent="0.2">
      <c r="AL15978" s="177"/>
    </row>
    <row r="15979" spans="38:38" x14ac:dyDescent="0.2">
      <c r="AL15979" s="177"/>
    </row>
    <row r="15980" spans="38:38" x14ac:dyDescent="0.2">
      <c r="AL15980" s="177"/>
    </row>
    <row r="15981" spans="38:38" x14ac:dyDescent="0.2">
      <c r="AL15981" s="177"/>
    </row>
    <row r="15982" spans="38:38" x14ac:dyDescent="0.2">
      <c r="AL15982" s="177"/>
    </row>
    <row r="15983" spans="38:38" x14ac:dyDescent="0.2">
      <c r="AL15983" s="177"/>
    </row>
    <row r="15984" spans="38:38" x14ac:dyDescent="0.2">
      <c r="AL15984" s="177"/>
    </row>
    <row r="15985" spans="38:38" x14ac:dyDescent="0.2">
      <c r="AL15985" s="177"/>
    </row>
    <row r="15986" spans="38:38" x14ac:dyDescent="0.2">
      <c r="AL15986" s="177"/>
    </row>
    <row r="15987" spans="38:38" x14ac:dyDescent="0.2">
      <c r="AL15987" s="177"/>
    </row>
    <row r="15988" spans="38:38" x14ac:dyDescent="0.2">
      <c r="AL15988" s="177"/>
    </row>
    <row r="15989" spans="38:38" x14ac:dyDescent="0.2">
      <c r="AL15989" s="177"/>
    </row>
    <row r="15990" spans="38:38" x14ac:dyDescent="0.2">
      <c r="AL15990" s="177"/>
    </row>
    <row r="15991" spans="38:38" x14ac:dyDescent="0.2">
      <c r="AL15991" s="177"/>
    </row>
    <row r="15992" spans="38:38" x14ac:dyDescent="0.2">
      <c r="AL15992" s="177"/>
    </row>
    <row r="15993" spans="38:38" x14ac:dyDescent="0.2">
      <c r="AL15993" s="177"/>
    </row>
    <row r="15994" spans="38:38" x14ac:dyDescent="0.2">
      <c r="AL15994" s="177"/>
    </row>
    <row r="15995" spans="38:38" x14ac:dyDescent="0.2">
      <c r="AL15995" s="177"/>
    </row>
    <row r="15996" spans="38:38" x14ac:dyDescent="0.2">
      <c r="AL15996" s="177"/>
    </row>
    <row r="15997" spans="38:38" x14ac:dyDescent="0.2">
      <c r="AL15997" s="177"/>
    </row>
    <row r="15998" spans="38:38" x14ac:dyDescent="0.2">
      <c r="AL15998" s="177"/>
    </row>
    <row r="15999" spans="38:38" x14ac:dyDescent="0.2">
      <c r="AL15999" s="177"/>
    </row>
    <row r="16000" spans="38:38" x14ac:dyDescent="0.2">
      <c r="AL16000" s="177"/>
    </row>
    <row r="16001" spans="38:38" x14ac:dyDescent="0.2">
      <c r="AL16001" s="177"/>
    </row>
    <row r="16002" spans="38:38" x14ac:dyDescent="0.2">
      <c r="AL16002" s="177"/>
    </row>
    <row r="16003" spans="38:38" x14ac:dyDescent="0.2">
      <c r="AL16003" s="177"/>
    </row>
    <row r="16004" spans="38:38" x14ac:dyDescent="0.2">
      <c r="AL16004" s="177"/>
    </row>
    <row r="16005" spans="38:38" x14ac:dyDescent="0.2">
      <c r="AL16005" s="177"/>
    </row>
    <row r="16006" spans="38:38" x14ac:dyDescent="0.2">
      <c r="AL16006" s="177"/>
    </row>
    <row r="16007" spans="38:38" x14ac:dyDescent="0.2">
      <c r="AL16007" s="177"/>
    </row>
    <row r="16008" spans="38:38" x14ac:dyDescent="0.2">
      <c r="AL16008" s="177"/>
    </row>
    <row r="16009" spans="38:38" x14ac:dyDescent="0.2">
      <c r="AL16009" s="177"/>
    </row>
    <row r="16010" spans="38:38" x14ac:dyDescent="0.2">
      <c r="AL16010" s="177"/>
    </row>
    <row r="16011" spans="38:38" x14ac:dyDescent="0.2">
      <c r="AL16011" s="177"/>
    </row>
    <row r="16012" spans="38:38" x14ac:dyDescent="0.2">
      <c r="AL16012" s="177"/>
    </row>
    <row r="16013" spans="38:38" x14ac:dyDescent="0.2">
      <c r="AL16013" s="177"/>
    </row>
    <row r="16014" spans="38:38" x14ac:dyDescent="0.2">
      <c r="AL16014" s="177"/>
    </row>
    <row r="16015" spans="38:38" x14ac:dyDescent="0.2">
      <c r="AL16015" s="177"/>
    </row>
    <row r="16016" spans="38:38" x14ac:dyDescent="0.2">
      <c r="AL16016" s="177"/>
    </row>
    <row r="16017" spans="38:38" x14ac:dyDescent="0.2">
      <c r="AL16017" s="177"/>
    </row>
    <row r="16018" spans="38:38" x14ac:dyDescent="0.2">
      <c r="AL16018" s="177"/>
    </row>
    <row r="16019" spans="38:38" x14ac:dyDescent="0.2">
      <c r="AL16019" s="177"/>
    </row>
    <row r="16020" spans="38:38" x14ac:dyDescent="0.2">
      <c r="AL16020" s="177"/>
    </row>
    <row r="16021" spans="38:38" x14ac:dyDescent="0.2">
      <c r="AL16021" s="177"/>
    </row>
    <row r="16022" spans="38:38" x14ac:dyDescent="0.2">
      <c r="AL16022" s="177"/>
    </row>
    <row r="16023" spans="38:38" x14ac:dyDescent="0.2">
      <c r="AL16023" s="177"/>
    </row>
    <row r="16024" spans="38:38" x14ac:dyDescent="0.2">
      <c r="AL16024" s="177"/>
    </row>
    <row r="16025" spans="38:38" x14ac:dyDescent="0.2">
      <c r="AL16025" s="177"/>
    </row>
    <row r="16026" spans="38:38" x14ac:dyDescent="0.2">
      <c r="AL16026" s="177"/>
    </row>
    <row r="16027" spans="38:38" x14ac:dyDescent="0.2">
      <c r="AL16027" s="177"/>
    </row>
    <row r="16028" spans="38:38" x14ac:dyDescent="0.2">
      <c r="AL16028" s="177"/>
    </row>
    <row r="16029" spans="38:38" x14ac:dyDescent="0.2">
      <c r="AL16029" s="177"/>
    </row>
    <row r="16030" spans="38:38" x14ac:dyDescent="0.2">
      <c r="AL16030" s="177"/>
    </row>
    <row r="16031" spans="38:38" x14ac:dyDescent="0.2">
      <c r="AL16031" s="177"/>
    </row>
    <row r="16032" spans="38:38" x14ac:dyDescent="0.2">
      <c r="AL16032" s="177"/>
    </row>
    <row r="16033" spans="38:38" x14ac:dyDescent="0.2">
      <c r="AL16033" s="177"/>
    </row>
    <row r="16034" spans="38:38" x14ac:dyDescent="0.2">
      <c r="AL16034" s="177"/>
    </row>
    <row r="16035" spans="38:38" x14ac:dyDescent="0.2">
      <c r="AL16035" s="177"/>
    </row>
    <row r="16036" spans="38:38" x14ac:dyDescent="0.2">
      <c r="AL16036" s="177"/>
    </row>
    <row r="16037" spans="38:38" x14ac:dyDescent="0.2">
      <c r="AL16037" s="177"/>
    </row>
    <row r="16038" spans="38:38" x14ac:dyDescent="0.2">
      <c r="AL16038" s="177"/>
    </row>
    <row r="16039" spans="38:38" x14ac:dyDescent="0.2">
      <c r="AL16039" s="177"/>
    </row>
    <row r="16040" spans="38:38" x14ac:dyDescent="0.2">
      <c r="AL16040" s="177"/>
    </row>
    <row r="16041" spans="38:38" x14ac:dyDescent="0.2">
      <c r="AL16041" s="177"/>
    </row>
    <row r="16042" spans="38:38" x14ac:dyDescent="0.2">
      <c r="AL16042" s="177"/>
    </row>
    <row r="16043" spans="38:38" x14ac:dyDescent="0.2">
      <c r="AL16043" s="177"/>
    </row>
    <row r="16044" spans="38:38" x14ac:dyDescent="0.2">
      <c r="AL16044" s="177"/>
    </row>
    <row r="16045" spans="38:38" x14ac:dyDescent="0.2">
      <c r="AL16045" s="177"/>
    </row>
    <row r="16046" spans="38:38" x14ac:dyDescent="0.2">
      <c r="AL16046" s="177"/>
    </row>
    <row r="16047" spans="38:38" x14ac:dyDescent="0.2">
      <c r="AL16047" s="177"/>
    </row>
    <row r="16048" spans="38:38" x14ac:dyDescent="0.2">
      <c r="AL16048" s="177"/>
    </row>
    <row r="16049" spans="38:38" x14ac:dyDescent="0.2">
      <c r="AL16049" s="177"/>
    </row>
    <row r="16050" spans="38:38" x14ac:dyDescent="0.2">
      <c r="AL16050" s="177"/>
    </row>
    <row r="16051" spans="38:38" x14ac:dyDescent="0.2">
      <c r="AL16051" s="177"/>
    </row>
    <row r="16052" spans="38:38" x14ac:dyDescent="0.2">
      <c r="AL16052" s="177"/>
    </row>
    <row r="16053" spans="38:38" x14ac:dyDescent="0.2">
      <c r="AL16053" s="177"/>
    </row>
    <row r="16054" spans="38:38" x14ac:dyDescent="0.2">
      <c r="AL16054" s="177"/>
    </row>
    <row r="16055" spans="38:38" x14ac:dyDescent="0.2">
      <c r="AL16055" s="177"/>
    </row>
    <row r="16056" spans="38:38" x14ac:dyDescent="0.2">
      <c r="AL16056" s="177"/>
    </row>
    <row r="16057" spans="38:38" x14ac:dyDescent="0.2">
      <c r="AL16057" s="177"/>
    </row>
    <row r="16058" spans="38:38" x14ac:dyDescent="0.2">
      <c r="AL16058" s="177"/>
    </row>
    <row r="16059" spans="38:38" x14ac:dyDescent="0.2">
      <c r="AL16059" s="177"/>
    </row>
    <row r="16060" spans="38:38" x14ac:dyDescent="0.2">
      <c r="AL16060" s="177"/>
    </row>
    <row r="16061" spans="38:38" x14ac:dyDescent="0.2">
      <c r="AL16061" s="177"/>
    </row>
    <row r="16062" spans="38:38" x14ac:dyDescent="0.2">
      <c r="AL16062" s="177"/>
    </row>
    <row r="16063" spans="38:38" x14ac:dyDescent="0.2">
      <c r="AL16063" s="177"/>
    </row>
    <row r="16064" spans="38:38" x14ac:dyDescent="0.2">
      <c r="AL16064" s="177"/>
    </row>
    <row r="16065" spans="38:38" x14ac:dyDescent="0.2">
      <c r="AL16065" s="177"/>
    </row>
    <row r="16066" spans="38:38" x14ac:dyDescent="0.2">
      <c r="AL16066" s="177"/>
    </row>
    <row r="16067" spans="38:38" x14ac:dyDescent="0.2">
      <c r="AL16067" s="177"/>
    </row>
    <row r="16068" spans="38:38" x14ac:dyDescent="0.2">
      <c r="AL16068" s="177"/>
    </row>
    <row r="16069" spans="38:38" x14ac:dyDescent="0.2">
      <c r="AL16069" s="177"/>
    </row>
    <row r="16070" spans="38:38" x14ac:dyDescent="0.2">
      <c r="AL16070" s="177"/>
    </row>
    <row r="16071" spans="38:38" x14ac:dyDescent="0.2">
      <c r="AL16071" s="177"/>
    </row>
    <row r="16072" spans="38:38" x14ac:dyDescent="0.2">
      <c r="AL16072" s="177"/>
    </row>
    <row r="16073" spans="38:38" x14ac:dyDescent="0.2">
      <c r="AL16073" s="177"/>
    </row>
    <row r="16074" spans="38:38" x14ac:dyDescent="0.2">
      <c r="AL16074" s="177"/>
    </row>
    <row r="16075" spans="38:38" x14ac:dyDescent="0.2">
      <c r="AL16075" s="177"/>
    </row>
    <row r="16076" spans="38:38" x14ac:dyDescent="0.2">
      <c r="AL16076" s="177"/>
    </row>
    <row r="16077" spans="38:38" x14ac:dyDescent="0.2">
      <c r="AL16077" s="177"/>
    </row>
    <row r="16078" spans="38:38" x14ac:dyDescent="0.2">
      <c r="AL16078" s="177"/>
    </row>
    <row r="16079" spans="38:38" x14ac:dyDescent="0.2">
      <c r="AL16079" s="177"/>
    </row>
    <row r="16080" spans="38:38" x14ac:dyDescent="0.2">
      <c r="AL16080" s="177"/>
    </row>
    <row r="16081" spans="38:38" x14ac:dyDescent="0.2">
      <c r="AL16081" s="177"/>
    </row>
    <row r="16082" spans="38:38" x14ac:dyDescent="0.2">
      <c r="AL16082" s="177"/>
    </row>
    <row r="16083" spans="38:38" x14ac:dyDescent="0.2">
      <c r="AL16083" s="177"/>
    </row>
    <row r="16084" spans="38:38" x14ac:dyDescent="0.2">
      <c r="AL16084" s="177"/>
    </row>
    <row r="16085" spans="38:38" x14ac:dyDescent="0.2">
      <c r="AL16085" s="177"/>
    </row>
    <row r="16086" spans="38:38" x14ac:dyDescent="0.2">
      <c r="AL16086" s="177"/>
    </row>
    <row r="16087" spans="38:38" x14ac:dyDescent="0.2">
      <c r="AL16087" s="177"/>
    </row>
    <row r="16088" spans="38:38" x14ac:dyDescent="0.2">
      <c r="AL16088" s="177"/>
    </row>
    <row r="16089" spans="38:38" x14ac:dyDescent="0.2">
      <c r="AL16089" s="177"/>
    </row>
    <row r="16090" spans="38:38" x14ac:dyDescent="0.2">
      <c r="AL16090" s="177"/>
    </row>
    <row r="16091" spans="38:38" x14ac:dyDescent="0.2">
      <c r="AL16091" s="177"/>
    </row>
    <row r="16092" spans="38:38" x14ac:dyDescent="0.2">
      <c r="AL16092" s="177"/>
    </row>
    <row r="16093" spans="38:38" x14ac:dyDescent="0.2">
      <c r="AL16093" s="177"/>
    </row>
    <row r="16094" spans="38:38" x14ac:dyDescent="0.2">
      <c r="AL16094" s="177"/>
    </row>
    <row r="16095" spans="38:38" x14ac:dyDescent="0.2">
      <c r="AL16095" s="177"/>
    </row>
    <row r="16096" spans="38:38" x14ac:dyDescent="0.2">
      <c r="AL16096" s="177"/>
    </row>
    <row r="16097" spans="38:38" x14ac:dyDescent="0.2">
      <c r="AL16097" s="177"/>
    </row>
    <row r="16098" spans="38:38" x14ac:dyDescent="0.2">
      <c r="AL16098" s="177"/>
    </row>
    <row r="16099" spans="38:38" x14ac:dyDescent="0.2">
      <c r="AL16099" s="177"/>
    </row>
    <row r="16100" spans="38:38" x14ac:dyDescent="0.2">
      <c r="AL16100" s="177"/>
    </row>
    <row r="16101" spans="38:38" x14ac:dyDescent="0.2">
      <c r="AL16101" s="177"/>
    </row>
    <row r="16102" spans="38:38" x14ac:dyDescent="0.2">
      <c r="AL16102" s="177"/>
    </row>
    <row r="16103" spans="38:38" x14ac:dyDescent="0.2">
      <c r="AL16103" s="177"/>
    </row>
    <row r="16104" spans="38:38" x14ac:dyDescent="0.2">
      <c r="AL16104" s="177"/>
    </row>
    <row r="16105" spans="38:38" x14ac:dyDescent="0.2">
      <c r="AL16105" s="177"/>
    </row>
    <row r="16106" spans="38:38" x14ac:dyDescent="0.2">
      <c r="AL16106" s="177"/>
    </row>
    <row r="16107" spans="38:38" x14ac:dyDescent="0.2">
      <c r="AL16107" s="177"/>
    </row>
    <row r="16108" spans="38:38" x14ac:dyDescent="0.2">
      <c r="AL16108" s="177"/>
    </row>
    <row r="16109" spans="38:38" x14ac:dyDescent="0.2">
      <c r="AL16109" s="177"/>
    </row>
    <row r="16110" spans="38:38" x14ac:dyDescent="0.2">
      <c r="AL16110" s="177"/>
    </row>
    <row r="16111" spans="38:38" x14ac:dyDescent="0.2">
      <c r="AL16111" s="177"/>
    </row>
    <row r="16112" spans="38:38" x14ac:dyDescent="0.2">
      <c r="AL16112" s="177"/>
    </row>
    <row r="16113" spans="38:38" x14ac:dyDescent="0.2">
      <c r="AL16113" s="177"/>
    </row>
    <row r="16114" spans="38:38" x14ac:dyDescent="0.2">
      <c r="AL16114" s="177"/>
    </row>
    <row r="16115" spans="38:38" x14ac:dyDescent="0.2">
      <c r="AL16115" s="177"/>
    </row>
    <row r="16116" spans="38:38" x14ac:dyDescent="0.2">
      <c r="AL16116" s="177"/>
    </row>
    <row r="16117" spans="38:38" x14ac:dyDescent="0.2">
      <c r="AL16117" s="177"/>
    </row>
    <row r="16118" spans="38:38" x14ac:dyDescent="0.2">
      <c r="AL16118" s="177"/>
    </row>
    <row r="16119" spans="38:38" x14ac:dyDescent="0.2">
      <c r="AL16119" s="177"/>
    </row>
    <row r="16120" spans="38:38" x14ac:dyDescent="0.2">
      <c r="AL16120" s="177"/>
    </row>
    <row r="16121" spans="38:38" x14ac:dyDescent="0.2">
      <c r="AL16121" s="177"/>
    </row>
    <row r="16122" spans="38:38" x14ac:dyDescent="0.2">
      <c r="AL16122" s="177"/>
    </row>
    <row r="16123" spans="38:38" x14ac:dyDescent="0.2">
      <c r="AL16123" s="177"/>
    </row>
    <row r="16124" spans="38:38" x14ac:dyDescent="0.2">
      <c r="AL16124" s="177"/>
    </row>
    <row r="16125" spans="38:38" x14ac:dyDescent="0.2">
      <c r="AL16125" s="177"/>
    </row>
    <row r="16126" spans="38:38" x14ac:dyDescent="0.2">
      <c r="AL16126" s="177"/>
    </row>
    <row r="16127" spans="38:38" x14ac:dyDescent="0.2">
      <c r="AL16127" s="177"/>
    </row>
    <row r="16128" spans="38:38" x14ac:dyDescent="0.2">
      <c r="AL16128" s="177"/>
    </row>
    <row r="16129" spans="38:38" x14ac:dyDescent="0.2">
      <c r="AL16129" s="177"/>
    </row>
    <row r="16130" spans="38:38" x14ac:dyDescent="0.2">
      <c r="AL16130" s="177"/>
    </row>
    <row r="16131" spans="38:38" x14ac:dyDescent="0.2">
      <c r="AL16131" s="177"/>
    </row>
    <row r="16132" spans="38:38" x14ac:dyDescent="0.2">
      <c r="AL16132" s="177"/>
    </row>
    <row r="16133" spans="38:38" x14ac:dyDescent="0.2">
      <c r="AL16133" s="177"/>
    </row>
    <row r="16134" spans="38:38" x14ac:dyDescent="0.2">
      <c r="AL16134" s="177"/>
    </row>
    <row r="16135" spans="38:38" x14ac:dyDescent="0.2">
      <c r="AL16135" s="177"/>
    </row>
    <row r="16136" spans="38:38" x14ac:dyDescent="0.2">
      <c r="AL16136" s="177"/>
    </row>
    <row r="16137" spans="38:38" x14ac:dyDescent="0.2">
      <c r="AL16137" s="177"/>
    </row>
    <row r="16138" spans="38:38" x14ac:dyDescent="0.2">
      <c r="AL16138" s="177"/>
    </row>
    <row r="16139" spans="38:38" x14ac:dyDescent="0.2">
      <c r="AL16139" s="177"/>
    </row>
    <row r="16140" spans="38:38" x14ac:dyDescent="0.2">
      <c r="AL16140" s="177"/>
    </row>
    <row r="16141" spans="38:38" x14ac:dyDescent="0.2">
      <c r="AL16141" s="177"/>
    </row>
    <row r="16142" spans="38:38" x14ac:dyDescent="0.2">
      <c r="AL16142" s="177"/>
    </row>
    <row r="16143" spans="38:38" x14ac:dyDescent="0.2">
      <c r="AL16143" s="177"/>
    </row>
    <row r="16144" spans="38:38" x14ac:dyDescent="0.2">
      <c r="AL16144" s="177"/>
    </row>
    <row r="16145" spans="38:38" x14ac:dyDescent="0.2">
      <c r="AL16145" s="177"/>
    </row>
    <row r="16146" spans="38:38" x14ac:dyDescent="0.2">
      <c r="AL16146" s="177"/>
    </row>
    <row r="16147" spans="38:38" x14ac:dyDescent="0.2">
      <c r="AL16147" s="177"/>
    </row>
    <row r="16148" spans="38:38" x14ac:dyDescent="0.2">
      <c r="AL16148" s="177"/>
    </row>
    <row r="16149" spans="38:38" x14ac:dyDescent="0.2">
      <c r="AL16149" s="177"/>
    </row>
    <row r="16150" spans="38:38" x14ac:dyDescent="0.2">
      <c r="AL16150" s="177"/>
    </row>
    <row r="16151" spans="38:38" x14ac:dyDescent="0.2">
      <c r="AL16151" s="177"/>
    </row>
    <row r="16152" spans="38:38" x14ac:dyDescent="0.2">
      <c r="AL16152" s="177"/>
    </row>
    <row r="16153" spans="38:38" x14ac:dyDescent="0.2">
      <c r="AL16153" s="177"/>
    </row>
    <row r="16154" spans="38:38" x14ac:dyDescent="0.2">
      <c r="AL16154" s="177"/>
    </row>
    <row r="16155" spans="38:38" x14ac:dyDescent="0.2">
      <c r="AL16155" s="177"/>
    </row>
    <row r="16156" spans="38:38" x14ac:dyDescent="0.2">
      <c r="AL16156" s="177"/>
    </row>
    <row r="16157" spans="38:38" x14ac:dyDescent="0.2">
      <c r="AL16157" s="177"/>
    </row>
    <row r="16158" spans="38:38" x14ac:dyDescent="0.2">
      <c r="AL16158" s="177"/>
    </row>
    <row r="16159" spans="38:38" x14ac:dyDescent="0.2">
      <c r="AL16159" s="177"/>
    </row>
    <row r="16160" spans="38:38" x14ac:dyDescent="0.2">
      <c r="AL16160" s="177"/>
    </row>
    <row r="16161" spans="38:38" x14ac:dyDescent="0.2">
      <c r="AL16161" s="177"/>
    </row>
    <row r="16162" spans="38:38" x14ac:dyDescent="0.2">
      <c r="AL16162" s="177"/>
    </row>
    <row r="16163" spans="38:38" x14ac:dyDescent="0.2">
      <c r="AL16163" s="177"/>
    </row>
    <row r="16164" spans="38:38" x14ac:dyDescent="0.2">
      <c r="AL16164" s="177"/>
    </row>
    <row r="16165" spans="38:38" x14ac:dyDescent="0.2">
      <c r="AL16165" s="177"/>
    </row>
    <row r="16166" spans="38:38" x14ac:dyDescent="0.2">
      <c r="AL16166" s="177"/>
    </row>
    <row r="16167" spans="38:38" x14ac:dyDescent="0.2">
      <c r="AL16167" s="177"/>
    </row>
    <row r="16168" spans="38:38" x14ac:dyDescent="0.2">
      <c r="AL16168" s="177"/>
    </row>
    <row r="16169" spans="38:38" x14ac:dyDescent="0.2">
      <c r="AL16169" s="177"/>
    </row>
    <row r="16170" spans="38:38" x14ac:dyDescent="0.2">
      <c r="AL16170" s="177"/>
    </row>
    <row r="16171" spans="38:38" x14ac:dyDescent="0.2">
      <c r="AL16171" s="177"/>
    </row>
    <row r="16172" spans="38:38" x14ac:dyDescent="0.2">
      <c r="AL16172" s="177"/>
    </row>
    <row r="16173" spans="38:38" x14ac:dyDescent="0.2">
      <c r="AL16173" s="177"/>
    </row>
    <row r="16174" spans="38:38" x14ac:dyDescent="0.2">
      <c r="AL16174" s="177"/>
    </row>
    <row r="16175" spans="38:38" x14ac:dyDescent="0.2">
      <c r="AL16175" s="177"/>
    </row>
    <row r="16176" spans="38:38" x14ac:dyDescent="0.2">
      <c r="AL16176" s="177"/>
    </row>
    <row r="16177" spans="38:38" x14ac:dyDescent="0.2">
      <c r="AL16177" s="177"/>
    </row>
    <row r="16178" spans="38:38" x14ac:dyDescent="0.2">
      <c r="AL16178" s="177"/>
    </row>
    <row r="16179" spans="38:38" x14ac:dyDescent="0.2">
      <c r="AL16179" s="177"/>
    </row>
    <row r="16180" spans="38:38" x14ac:dyDescent="0.2">
      <c r="AL16180" s="177"/>
    </row>
    <row r="16181" spans="38:38" x14ac:dyDescent="0.2">
      <c r="AL16181" s="177"/>
    </row>
    <row r="16182" spans="38:38" x14ac:dyDescent="0.2">
      <c r="AL16182" s="177"/>
    </row>
    <row r="16183" spans="38:38" x14ac:dyDescent="0.2">
      <c r="AL16183" s="177"/>
    </row>
    <row r="16184" spans="38:38" x14ac:dyDescent="0.2">
      <c r="AL16184" s="177"/>
    </row>
    <row r="16185" spans="38:38" x14ac:dyDescent="0.2">
      <c r="AL16185" s="177"/>
    </row>
    <row r="16186" spans="38:38" x14ac:dyDescent="0.2">
      <c r="AL16186" s="177"/>
    </row>
    <row r="16187" spans="38:38" x14ac:dyDescent="0.2">
      <c r="AL16187" s="177"/>
    </row>
    <row r="16188" spans="38:38" x14ac:dyDescent="0.2">
      <c r="AL16188" s="177"/>
    </row>
    <row r="16189" spans="38:38" x14ac:dyDescent="0.2">
      <c r="AL16189" s="177"/>
    </row>
    <row r="16190" spans="38:38" x14ac:dyDescent="0.2">
      <c r="AL16190" s="177"/>
    </row>
    <row r="16191" spans="38:38" x14ac:dyDescent="0.2">
      <c r="AL16191" s="177"/>
    </row>
    <row r="16192" spans="38:38" x14ac:dyDescent="0.2">
      <c r="AL16192" s="177"/>
    </row>
    <row r="16193" spans="38:38" x14ac:dyDescent="0.2">
      <c r="AL16193" s="177"/>
    </row>
    <row r="16194" spans="38:38" x14ac:dyDescent="0.2">
      <c r="AL16194" s="177"/>
    </row>
    <row r="16195" spans="38:38" x14ac:dyDescent="0.2">
      <c r="AL16195" s="177"/>
    </row>
    <row r="16196" spans="38:38" x14ac:dyDescent="0.2">
      <c r="AL16196" s="177"/>
    </row>
    <row r="16197" spans="38:38" x14ac:dyDescent="0.2">
      <c r="AL16197" s="177"/>
    </row>
    <row r="16198" spans="38:38" x14ac:dyDescent="0.2">
      <c r="AL16198" s="177"/>
    </row>
    <row r="16199" spans="38:38" x14ac:dyDescent="0.2">
      <c r="AL16199" s="177"/>
    </row>
    <row r="16200" spans="38:38" x14ac:dyDescent="0.2">
      <c r="AL16200" s="177"/>
    </row>
    <row r="16201" spans="38:38" x14ac:dyDescent="0.2">
      <c r="AL16201" s="177"/>
    </row>
    <row r="16202" spans="38:38" x14ac:dyDescent="0.2">
      <c r="AL16202" s="177"/>
    </row>
    <row r="16203" spans="38:38" x14ac:dyDescent="0.2">
      <c r="AL16203" s="177"/>
    </row>
    <row r="16204" spans="38:38" x14ac:dyDescent="0.2">
      <c r="AL16204" s="177"/>
    </row>
    <row r="16205" spans="38:38" x14ac:dyDescent="0.2">
      <c r="AL16205" s="177"/>
    </row>
    <row r="16206" spans="38:38" x14ac:dyDescent="0.2">
      <c r="AL16206" s="177"/>
    </row>
    <row r="16207" spans="38:38" x14ac:dyDescent="0.2">
      <c r="AL16207" s="177"/>
    </row>
    <row r="16208" spans="38:38" x14ac:dyDescent="0.2">
      <c r="AL16208" s="177"/>
    </row>
    <row r="16209" spans="38:38" x14ac:dyDescent="0.2">
      <c r="AL16209" s="177"/>
    </row>
    <row r="16210" spans="38:38" x14ac:dyDescent="0.2">
      <c r="AL16210" s="177"/>
    </row>
    <row r="16211" spans="38:38" x14ac:dyDescent="0.2">
      <c r="AL16211" s="177"/>
    </row>
    <row r="16212" spans="38:38" x14ac:dyDescent="0.2">
      <c r="AL16212" s="177"/>
    </row>
    <row r="16213" spans="38:38" x14ac:dyDescent="0.2">
      <c r="AL16213" s="177"/>
    </row>
    <row r="16214" spans="38:38" x14ac:dyDescent="0.2">
      <c r="AL16214" s="177"/>
    </row>
    <row r="16215" spans="38:38" x14ac:dyDescent="0.2">
      <c r="AL16215" s="177"/>
    </row>
    <row r="16216" spans="38:38" x14ac:dyDescent="0.2">
      <c r="AL16216" s="177"/>
    </row>
    <row r="16217" spans="38:38" x14ac:dyDescent="0.2">
      <c r="AL16217" s="177"/>
    </row>
    <row r="16218" spans="38:38" x14ac:dyDescent="0.2">
      <c r="AL16218" s="177"/>
    </row>
    <row r="16219" spans="38:38" x14ac:dyDescent="0.2">
      <c r="AL16219" s="177"/>
    </row>
    <row r="16220" spans="38:38" x14ac:dyDescent="0.2">
      <c r="AL16220" s="177"/>
    </row>
    <row r="16221" spans="38:38" x14ac:dyDescent="0.2">
      <c r="AL16221" s="177"/>
    </row>
    <row r="16222" spans="38:38" x14ac:dyDescent="0.2">
      <c r="AL16222" s="177"/>
    </row>
    <row r="16223" spans="38:38" x14ac:dyDescent="0.2">
      <c r="AL16223" s="177"/>
    </row>
    <row r="16224" spans="38:38" x14ac:dyDescent="0.2">
      <c r="AL16224" s="177"/>
    </row>
    <row r="16225" spans="38:38" x14ac:dyDescent="0.2">
      <c r="AL16225" s="177"/>
    </row>
    <row r="16226" spans="38:38" x14ac:dyDescent="0.2">
      <c r="AL16226" s="177"/>
    </row>
    <row r="16227" spans="38:38" x14ac:dyDescent="0.2">
      <c r="AL16227" s="177"/>
    </row>
    <row r="16228" spans="38:38" x14ac:dyDescent="0.2">
      <c r="AL16228" s="177"/>
    </row>
    <row r="16229" spans="38:38" x14ac:dyDescent="0.2">
      <c r="AL16229" s="177"/>
    </row>
    <row r="16230" spans="38:38" x14ac:dyDescent="0.2">
      <c r="AL16230" s="177"/>
    </row>
    <row r="16231" spans="38:38" x14ac:dyDescent="0.2">
      <c r="AL16231" s="177"/>
    </row>
    <row r="16232" spans="38:38" x14ac:dyDescent="0.2">
      <c r="AL16232" s="177"/>
    </row>
    <row r="16233" spans="38:38" x14ac:dyDescent="0.2">
      <c r="AL16233" s="177"/>
    </row>
    <row r="16234" spans="38:38" x14ac:dyDescent="0.2">
      <c r="AL16234" s="177"/>
    </row>
    <row r="16235" spans="38:38" x14ac:dyDescent="0.2">
      <c r="AL16235" s="177"/>
    </row>
    <row r="16236" spans="38:38" x14ac:dyDescent="0.2">
      <c r="AL16236" s="177"/>
    </row>
    <row r="16237" spans="38:38" x14ac:dyDescent="0.2">
      <c r="AL16237" s="177"/>
    </row>
    <row r="16238" spans="38:38" x14ac:dyDescent="0.2">
      <c r="AL16238" s="177"/>
    </row>
    <row r="16239" spans="38:38" x14ac:dyDescent="0.2">
      <c r="AL16239" s="177"/>
    </row>
    <row r="16240" spans="38:38" x14ac:dyDescent="0.2">
      <c r="AL16240" s="177"/>
    </row>
    <row r="16241" spans="38:38" x14ac:dyDescent="0.2">
      <c r="AL16241" s="177"/>
    </row>
    <row r="16242" spans="38:38" x14ac:dyDescent="0.2">
      <c r="AL16242" s="177"/>
    </row>
    <row r="16243" spans="38:38" x14ac:dyDescent="0.2">
      <c r="AL16243" s="177"/>
    </row>
    <row r="16244" spans="38:38" x14ac:dyDescent="0.2">
      <c r="AL16244" s="177"/>
    </row>
    <row r="16245" spans="38:38" x14ac:dyDescent="0.2">
      <c r="AL16245" s="177"/>
    </row>
    <row r="16246" spans="38:38" x14ac:dyDescent="0.2">
      <c r="AL16246" s="177"/>
    </row>
    <row r="16247" spans="38:38" x14ac:dyDescent="0.2">
      <c r="AL16247" s="177"/>
    </row>
    <row r="16248" spans="38:38" x14ac:dyDescent="0.2">
      <c r="AL16248" s="177"/>
    </row>
    <row r="16249" spans="38:38" x14ac:dyDescent="0.2">
      <c r="AL16249" s="177"/>
    </row>
    <row r="16250" spans="38:38" x14ac:dyDescent="0.2">
      <c r="AL16250" s="177"/>
    </row>
    <row r="16251" spans="38:38" x14ac:dyDescent="0.2">
      <c r="AL16251" s="177"/>
    </row>
    <row r="16252" spans="38:38" x14ac:dyDescent="0.2">
      <c r="AL16252" s="177"/>
    </row>
    <row r="16253" spans="38:38" x14ac:dyDescent="0.2">
      <c r="AL16253" s="177"/>
    </row>
    <row r="16254" spans="38:38" x14ac:dyDescent="0.2">
      <c r="AL16254" s="177"/>
    </row>
    <row r="16255" spans="38:38" x14ac:dyDescent="0.2">
      <c r="AL16255" s="177"/>
    </row>
    <row r="16256" spans="38:38" x14ac:dyDescent="0.2">
      <c r="AL16256" s="177"/>
    </row>
    <row r="16257" spans="38:38" x14ac:dyDescent="0.2">
      <c r="AL16257" s="177"/>
    </row>
    <row r="16258" spans="38:38" x14ac:dyDescent="0.2">
      <c r="AL16258" s="177"/>
    </row>
    <row r="16259" spans="38:38" x14ac:dyDescent="0.2">
      <c r="AL16259" s="177"/>
    </row>
    <row r="16260" spans="38:38" x14ac:dyDescent="0.2">
      <c r="AL16260" s="177"/>
    </row>
    <row r="16261" spans="38:38" x14ac:dyDescent="0.2">
      <c r="AL16261" s="177"/>
    </row>
    <row r="16262" spans="38:38" x14ac:dyDescent="0.2">
      <c r="AL16262" s="177"/>
    </row>
    <row r="16263" spans="38:38" x14ac:dyDescent="0.2">
      <c r="AL16263" s="177"/>
    </row>
    <row r="16264" spans="38:38" x14ac:dyDescent="0.2">
      <c r="AL16264" s="177"/>
    </row>
    <row r="16265" spans="38:38" x14ac:dyDescent="0.2">
      <c r="AL16265" s="177"/>
    </row>
    <row r="16266" spans="38:38" x14ac:dyDescent="0.2">
      <c r="AL16266" s="177"/>
    </row>
    <row r="16267" spans="38:38" x14ac:dyDescent="0.2">
      <c r="AL16267" s="177"/>
    </row>
    <row r="16268" spans="38:38" x14ac:dyDescent="0.2">
      <c r="AL16268" s="177"/>
    </row>
    <row r="16269" spans="38:38" x14ac:dyDescent="0.2">
      <c r="AL16269" s="177"/>
    </row>
    <row r="16270" spans="38:38" x14ac:dyDescent="0.2">
      <c r="AL16270" s="177"/>
    </row>
    <row r="16271" spans="38:38" x14ac:dyDescent="0.2">
      <c r="AL16271" s="177"/>
    </row>
    <row r="16272" spans="38:38" x14ac:dyDescent="0.2">
      <c r="AL16272" s="177"/>
    </row>
    <row r="16273" spans="38:38" x14ac:dyDescent="0.2">
      <c r="AL16273" s="177"/>
    </row>
    <row r="16274" spans="38:38" x14ac:dyDescent="0.2">
      <c r="AL16274" s="177"/>
    </row>
    <row r="16275" spans="38:38" x14ac:dyDescent="0.2">
      <c r="AL16275" s="177"/>
    </row>
    <row r="16276" spans="38:38" x14ac:dyDescent="0.2">
      <c r="AL16276" s="177"/>
    </row>
    <row r="16277" spans="38:38" x14ac:dyDescent="0.2">
      <c r="AL16277" s="177"/>
    </row>
    <row r="16278" spans="38:38" x14ac:dyDescent="0.2">
      <c r="AL16278" s="177"/>
    </row>
    <row r="16279" spans="38:38" x14ac:dyDescent="0.2">
      <c r="AL16279" s="177"/>
    </row>
    <row r="16280" spans="38:38" x14ac:dyDescent="0.2">
      <c r="AL16280" s="177"/>
    </row>
    <row r="16281" spans="38:38" x14ac:dyDescent="0.2">
      <c r="AL16281" s="177"/>
    </row>
    <row r="16282" spans="38:38" x14ac:dyDescent="0.2">
      <c r="AL16282" s="177"/>
    </row>
    <row r="16283" spans="38:38" x14ac:dyDescent="0.2">
      <c r="AL16283" s="177"/>
    </row>
    <row r="16284" spans="38:38" x14ac:dyDescent="0.2">
      <c r="AL16284" s="177"/>
    </row>
    <row r="16285" spans="38:38" x14ac:dyDescent="0.2">
      <c r="AL16285" s="177"/>
    </row>
    <row r="16286" spans="38:38" x14ac:dyDescent="0.2">
      <c r="AL16286" s="177"/>
    </row>
    <row r="16287" spans="38:38" x14ac:dyDescent="0.2">
      <c r="AL16287" s="177"/>
    </row>
    <row r="16288" spans="38:38" x14ac:dyDescent="0.2">
      <c r="AL16288" s="177"/>
    </row>
    <row r="16289" spans="38:38" x14ac:dyDescent="0.2">
      <c r="AL16289" s="177"/>
    </row>
    <row r="16290" spans="38:38" x14ac:dyDescent="0.2">
      <c r="AL16290" s="177"/>
    </row>
    <row r="16291" spans="38:38" x14ac:dyDescent="0.2">
      <c r="AL16291" s="177"/>
    </row>
    <row r="16292" spans="38:38" x14ac:dyDescent="0.2">
      <c r="AL16292" s="177"/>
    </row>
    <row r="16293" spans="38:38" x14ac:dyDescent="0.2">
      <c r="AL16293" s="177"/>
    </row>
    <row r="16294" spans="38:38" x14ac:dyDescent="0.2">
      <c r="AL16294" s="177"/>
    </row>
    <row r="16295" spans="38:38" x14ac:dyDescent="0.2">
      <c r="AL16295" s="177"/>
    </row>
    <row r="16296" spans="38:38" x14ac:dyDescent="0.2">
      <c r="AL16296" s="177"/>
    </row>
    <row r="16297" spans="38:38" x14ac:dyDescent="0.2">
      <c r="AL16297" s="177"/>
    </row>
    <row r="16298" spans="38:38" x14ac:dyDescent="0.2">
      <c r="AL16298" s="177"/>
    </row>
    <row r="16299" spans="38:38" x14ac:dyDescent="0.2">
      <c r="AL16299" s="177"/>
    </row>
    <row r="16300" spans="38:38" x14ac:dyDescent="0.2">
      <c r="AL16300" s="177"/>
    </row>
    <row r="16301" spans="38:38" x14ac:dyDescent="0.2">
      <c r="AL16301" s="177"/>
    </row>
    <row r="16302" spans="38:38" x14ac:dyDescent="0.2">
      <c r="AL16302" s="177"/>
    </row>
    <row r="16303" spans="38:38" x14ac:dyDescent="0.2">
      <c r="AL16303" s="177"/>
    </row>
    <row r="16304" spans="38:38" x14ac:dyDescent="0.2">
      <c r="AL16304" s="177"/>
    </row>
    <row r="16305" spans="38:38" x14ac:dyDescent="0.2">
      <c r="AL16305" s="177"/>
    </row>
    <row r="16306" spans="38:38" x14ac:dyDescent="0.2">
      <c r="AL16306" s="177"/>
    </row>
    <row r="16307" spans="38:38" x14ac:dyDescent="0.2">
      <c r="AL16307" s="177"/>
    </row>
    <row r="16308" spans="38:38" x14ac:dyDescent="0.2">
      <c r="AL16308" s="177"/>
    </row>
    <row r="16309" spans="38:38" x14ac:dyDescent="0.2">
      <c r="AL16309" s="177"/>
    </row>
    <row r="16310" spans="38:38" x14ac:dyDescent="0.2">
      <c r="AL16310" s="177"/>
    </row>
    <row r="16311" spans="38:38" x14ac:dyDescent="0.2">
      <c r="AL16311" s="177"/>
    </row>
    <row r="16312" spans="38:38" x14ac:dyDescent="0.2">
      <c r="AL16312" s="177"/>
    </row>
    <row r="16313" spans="38:38" x14ac:dyDescent="0.2">
      <c r="AL16313" s="177"/>
    </row>
    <row r="16314" spans="38:38" x14ac:dyDescent="0.2">
      <c r="AL16314" s="177"/>
    </row>
    <row r="16315" spans="38:38" x14ac:dyDescent="0.2">
      <c r="AL16315" s="177"/>
    </row>
    <row r="16316" spans="38:38" x14ac:dyDescent="0.2">
      <c r="AL16316" s="177"/>
    </row>
    <row r="16317" spans="38:38" x14ac:dyDescent="0.2">
      <c r="AL16317" s="177"/>
    </row>
    <row r="16318" spans="38:38" x14ac:dyDescent="0.2">
      <c r="AL16318" s="177"/>
    </row>
    <row r="16319" spans="38:38" x14ac:dyDescent="0.2">
      <c r="AL16319" s="177"/>
    </row>
    <row r="16320" spans="38:38" x14ac:dyDescent="0.2">
      <c r="AL16320" s="177"/>
    </row>
    <row r="16321" spans="38:38" x14ac:dyDescent="0.2">
      <c r="AL16321" s="177"/>
    </row>
    <row r="16322" spans="38:38" x14ac:dyDescent="0.2">
      <c r="AL16322" s="177"/>
    </row>
    <row r="16323" spans="38:38" x14ac:dyDescent="0.2">
      <c r="AL16323" s="177"/>
    </row>
    <row r="16324" spans="38:38" x14ac:dyDescent="0.2">
      <c r="AL16324" s="177"/>
    </row>
    <row r="16325" spans="38:38" x14ac:dyDescent="0.2">
      <c r="AL16325" s="177"/>
    </row>
    <row r="16326" spans="38:38" x14ac:dyDescent="0.2">
      <c r="AL16326" s="177"/>
    </row>
    <row r="16327" spans="38:38" x14ac:dyDescent="0.2">
      <c r="AL16327" s="177"/>
    </row>
    <row r="16328" spans="38:38" x14ac:dyDescent="0.2">
      <c r="AL16328" s="177"/>
    </row>
    <row r="16329" spans="38:38" x14ac:dyDescent="0.2">
      <c r="AL16329" s="177"/>
    </row>
    <row r="16330" spans="38:38" x14ac:dyDescent="0.2">
      <c r="AL16330" s="177"/>
    </row>
    <row r="16331" spans="38:38" x14ac:dyDescent="0.2">
      <c r="AL16331" s="177"/>
    </row>
    <row r="16332" spans="38:38" x14ac:dyDescent="0.2">
      <c r="AL16332" s="177"/>
    </row>
    <row r="16333" spans="38:38" x14ac:dyDescent="0.2">
      <c r="AL16333" s="177"/>
    </row>
    <row r="16334" spans="38:38" x14ac:dyDescent="0.2">
      <c r="AL16334" s="177"/>
    </row>
    <row r="16335" spans="38:38" x14ac:dyDescent="0.2">
      <c r="AL16335" s="177"/>
    </row>
    <row r="16336" spans="38:38" x14ac:dyDescent="0.2">
      <c r="AL16336" s="177"/>
    </row>
    <row r="16337" spans="38:38" x14ac:dyDescent="0.2">
      <c r="AL16337" s="177"/>
    </row>
    <row r="16338" spans="38:38" x14ac:dyDescent="0.2">
      <c r="AL16338" s="177"/>
    </row>
    <row r="16339" spans="38:38" x14ac:dyDescent="0.2">
      <c r="AL16339" s="177"/>
    </row>
    <row r="16340" spans="38:38" x14ac:dyDescent="0.2">
      <c r="AL16340" s="177"/>
    </row>
    <row r="16341" spans="38:38" x14ac:dyDescent="0.2">
      <c r="AL16341" s="177"/>
    </row>
    <row r="16342" spans="38:38" x14ac:dyDescent="0.2">
      <c r="AL16342" s="177"/>
    </row>
    <row r="16343" spans="38:38" x14ac:dyDescent="0.2">
      <c r="AL16343" s="177"/>
    </row>
    <row r="16344" spans="38:38" x14ac:dyDescent="0.2">
      <c r="AL16344" s="177"/>
    </row>
    <row r="16345" spans="38:38" x14ac:dyDescent="0.2">
      <c r="AL16345" s="177"/>
    </row>
    <row r="16346" spans="38:38" x14ac:dyDescent="0.2">
      <c r="AL16346" s="177"/>
    </row>
    <row r="16347" spans="38:38" x14ac:dyDescent="0.2">
      <c r="AL16347" s="177"/>
    </row>
    <row r="16348" spans="38:38" x14ac:dyDescent="0.2">
      <c r="AL16348" s="177"/>
    </row>
    <row r="16349" spans="38:38" x14ac:dyDescent="0.2">
      <c r="AL16349" s="177"/>
    </row>
    <row r="16350" spans="38:38" x14ac:dyDescent="0.2">
      <c r="AL16350" s="177"/>
    </row>
    <row r="16351" spans="38:38" x14ac:dyDescent="0.2">
      <c r="AL16351" s="177"/>
    </row>
    <row r="16352" spans="38:38" x14ac:dyDescent="0.2">
      <c r="AL16352" s="177"/>
    </row>
    <row r="16353" spans="38:38" x14ac:dyDescent="0.2">
      <c r="AL16353" s="177"/>
    </row>
    <row r="16354" spans="38:38" x14ac:dyDescent="0.2">
      <c r="AL16354" s="177"/>
    </row>
    <row r="16355" spans="38:38" x14ac:dyDescent="0.2">
      <c r="AL16355" s="177"/>
    </row>
    <row r="16356" spans="38:38" x14ac:dyDescent="0.2">
      <c r="AL16356" s="177"/>
    </row>
    <row r="16357" spans="38:38" x14ac:dyDescent="0.2">
      <c r="AL16357" s="177"/>
    </row>
    <row r="16358" spans="38:38" x14ac:dyDescent="0.2">
      <c r="AL16358" s="177"/>
    </row>
    <row r="16359" spans="38:38" x14ac:dyDescent="0.2">
      <c r="AL16359" s="177"/>
    </row>
    <row r="16360" spans="38:38" x14ac:dyDescent="0.2">
      <c r="AL16360" s="177"/>
    </row>
    <row r="16361" spans="38:38" x14ac:dyDescent="0.2">
      <c r="AL16361" s="177"/>
    </row>
    <row r="16362" spans="38:38" x14ac:dyDescent="0.2">
      <c r="AL16362" s="177"/>
    </row>
    <row r="16363" spans="38:38" x14ac:dyDescent="0.2">
      <c r="AL16363" s="177"/>
    </row>
    <row r="16364" spans="38:38" x14ac:dyDescent="0.2">
      <c r="AL16364" s="177"/>
    </row>
    <row r="16365" spans="38:38" x14ac:dyDescent="0.2">
      <c r="AL16365" s="177"/>
    </row>
    <row r="16366" spans="38:38" x14ac:dyDescent="0.2">
      <c r="AL16366" s="177"/>
    </row>
    <row r="16367" spans="38:38" x14ac:dyDescent="0.2">
      <c r="AL16367" s="177"/>
    </row>
    <row r="16368" spans="38:38" x14ac:dyDescent="0.2">
      <c r="AL16368" s="177"/>
    </row>
    <row r="16369" spans="38:38" x14ac:dyDescent="0.2">
      <c r="AL16369" s="177"/>
    </row>
    <row r="16370" spans="38:38" x14ac:dyDescent="0.2">
      <c r="AL16370" s="177"/>
    </row>
    <row r="16371" spans="38:38" x14ac:dyDescent="0.2">
      <c r="AL16371" s="177"/>
    </row>
    <row r="16372" spans="38:38" x14ac:dyDescent="0.2">
      <c r="AL16372" s="177"/>
    </row>
    <row r="16373" spans="38:38" x14ac:dyDescent="0.2">
      <c r="AL16373" s="177"/>
    </row>
    <row r="16374" spans="38:38" x14ac:dyDescent="0.2">
      <c r="AL16374" s="177"/>
    </row>
    <row r="16375" spans="38:38" x14ac:dyDescent="0.2">
      <c r="AL16375" s="177"/>
    </row>
    <row r="16376" spans="38:38" x14ac:dyDescent="0.2">
      <c r="AL16376" s="177"/>
    </row>
    <row r="16377" spans="38:38" x14ac:dyDescent="0.2">
      <c r="AL16377" s="177"/>
    </row>
    <row r="16378" spans="38:38" x14ac:dyDescent="0.2">
      <c r="AL16378" s="177"/>
    </row>
    <row r="16379" spans="38:38" x14ac:dyDescent="0.2">
      <c r="AL16379" s="177"/>
    </row>
    <row r="16380" spans="38:38" x14ac:dyDescent="0.2">
      <c r="AL16380" s="177"/>
    </row>
    <row r="16381" spans="38:38" x14ac:dyDescent="0.2">
      <c r="AL16381" s="177"/>
    </row>
    <row r="16382" spans="38:38" x14ac:dyDescent="0.2">
      <c r="AL16382" s="177"/>
    </row>
    <row r="16383" spans="38:38" x14ac:dyDescent="0.2">
      <c r="AL16383" s="177"/>
    </row>
    <row r="16384" spans="38:38" x14ac:dyDescent="0.2">
      <c r="AL16384" s="177"/>
    </row>
    <row r="16385" spans="38:38" x14ac:dyDescent="0.2">
      <c r="AL16385" s="177"/>
    </row>
    <row r="16386" spans="38:38" x14ac:dyDescent="0.2">
      <c r="AL16386" s="177"/>
    </row>
    <row r="16387" spans="38:38" x14ac:dyDescent="0.2">
      <c r="AL16387" s="177"/>
    </row>
    <row r="16388" spans="38:38" x14ac:dyDescent="0.2">
      <c r="AL16388" s="177"/>
    </row>
    <row r="16389" spans="38:38" x14ac:dyDescent="0.2">
      <c r="AL16389" s="177"/>
    </row>
    <row r="16390" spans="38:38" x14ac:dyDescent="0.2">
      <c r="AL16390" s="177"/>
    </row>
    <row r="16391" spans="38:38" x14ac:dyDescent="0.2">
      <c r="AL16391" s="177"/>
    </row>
    <row r="16392" spans="38:38" x14ac:dyDescent="0.2">
      <c r="AL16392" s="177"/>
    </row>
    <row r="16393" spans="38:38" x14ac:dyDescent="0.2">
      <c r="AL16393" s="177"/>
    </row>
    <row r="16394" spans="38:38" x14ac:dyDescent="0.2">
      <c r="AL16394" s="177"/>
    </row>
    <row r="16395" spans="38:38" x14ac:dyDescent="0.2">
      <c r="AL16395" s="177"/>
    </row>
    <row r="16396" spans="38:38" x14ac:dyDescent="0.2">
      <c r="AL16396" s="177"/>
    </row>
    <row r="16397" spans="38:38" x14ac:dyDescent="0.2">
      <c r="AL16397" s="177"/>
    </row>
    <row r="16398" spans="38:38" x14ac:dyDescent="0.2">
      <c r="AL16398" s="177"/>
    </row>
    <row r="16399" spans="38:38" x14ac:dyDescent="0.2">
      <c r="AL16399" s="177"/>
    </row>
    <row r="16400" spans="38:38" x14ac:dyDescent="0.2">
      <c r="AL16400" s="177"/>
    </row>
    <row r="16401" spans="38:38" x14ac:dyDescent="0.2">
      <c r="AL16401" s="177"/>
    </row>
    <row r="16402" spans="38:38" x14ac:dyDescent="0.2">
      <c r="AL16402" s="177"/>
    </row>
    <row r="16403" spans="38:38" x14ac:dyDescent="0.2">
      <c r="AL16403" s="177"/>
    </row>
    <row r="16404" spans="38:38" x14ac:dyDescent="0.2">
      <c r="AL16404" s="177"/>
    </row>
    <row r="16405" spans="38:38" x14ac:dyDescent="0.2">
      <c r="AL16405" s="177"/>
    </row>
    <row r="16406" spans="38:38" x14ac:dyDescent="0.2">
      <c r="AL16406" s="177"/>
    </row>
    <row r="16407" spans="38:38" x14ac:dyDescent="0.2">
      <c r="AL16407" s="177"/>
    </row>
    <row r="16408" spans="38:38" x14ac:dyDescent="0.2">
      <c r="AL16408" s="177"/>
    </row>
    <row r="16409" spans="38:38" x14ac:dyDescent="0.2">
      <c r="AL16409" s="177"/>
    </row>
    <row r="16410" spans="38:38" x14ac:dyDescent="0.2">
      <c r="AL16410" s="177"/>
    </row>
    <row r="16411" spans="38:38" x14ac:dyDescent="0.2">
      <c r="AL16411" s="177"/>
    </row>
    <row r="16412" spans="38:38" x14ac:dyDescent="0.2">
      <c r="AL16412" s="177"/>
    </row>
    <row r="16413" spans="38:38" x14ac:dyDescent="0.2">
      <c r="AL16413" s="177"/>
    </row>
    <row r="16414" spans="38:38" x14ac:dyDescent="0.2">
      <c r="AL16414" s="177"/>
    </row>
    <row r="16415" spans="38:38" x14ac:dyDescent="0.2">
      <c r="AL16415" s="177"/>
    </row>
    <row r="16416" spans="38:38" x14ac:dyDescent="0.2">
      <c r="AL16416" s="177"/>
    </row>
    <row r="16417" spans="38:38" x14ac:dyDescent="0.2">
      <c r="AL16417" s="177"/>
    </row>
    <row r="16418" spans="38:38" x14ac:dyDescent="0.2">
      <c r="AL16418" s="177"/>
    </row>
    <row r="16419" spans="38:38" x14ac:dyDescent="0.2">
      <c r="AL16419" s="177"/>
    </row>
    <row r="16420" spans="38:38" x14ac:dyDescent="0.2">
      <c r="AL16420" s="177"/>
    </row>
    <row r="16421" spans="38:38" x14ac:dyDescent="0.2">
      <c r="AL16421" s="177"/>
    </row>
    <row r="16422" spans="38:38" x14ac:dyDescent="0.2">
      <c r="AL16422" s="177"/>
    </row>
    <row r="16423" spans="38:38" x14ac:dyDescent="0.2">
      <c r="AL16423" s="177"/>
    </row>
    <row r="16424" spans="38:38" x14ac:dyDescent="0.2">
      <c r="AL16424" s="177"/>
    </row>
    <row r="16425" spans="38:38" x14ac:dyDescent="0.2">
      <c r="AL16425" s="177"/>
    </row>
    <row r="16426" spans="38:38" x14ac:dyDescent="0.2">
      <c r="AL16426" s="177"/>
    </row>
    <row r="16427" spans="38:38" x14ac:dyDescent="0.2">
      <c r="AL16427" s="177"/>
    </row>
    <row r="16428" spans="38:38" x14ac:dyDescent="0.2">
      <c r="AL16428" s="177"/>
    </row>
    <row r="16429" spans="38:38" x14ac:dyDescent="0.2">
      <c r="AL16429" s="177"/>
    </row>
    <row r="16430" spans="38:38" x14ac:dyDescent="0.2">
      <c r="AL16430" s="177"/>
    </row>
    <row r="16431" spans="38:38" x14ac:dyDescent="0.2">
      <c r="AL16431" s="177"/>
    </row>
    <row r="16432" spans="38:38" x14ac:dyDescent="0.2">
      <c r="AL16432" s="177"/>
    </row>
    <row r="16433" spans="38:38" x14ac:dyDescent="0.2">
      <c r="AL16433" s="177"/>
    </row>
    <row r="16434" spans="38:38" x14ac:dyDescent="0.2">
      <c r="AL16434" s="177"/>
    </row>
    <row r="16435" spans="38:38" x14ac:dyDescent="0.2">
      <c r="AL16435" s="177"/>
    </row>
    <row r="16436" spans="38:38" x14ac:dyDescent="0.2">
      <c r="AL16436" s="177"/>
    </row>
    <row r="16437" spans="38:38" x14ac:dyDescent="0.2">
      <c r="AL16437" s="177"/>
    </row>
    <row r="16438" spans="38:38" x14ac:dyDescent="0.2">
      <c r="AL16438" s="177"/>
    </row>
    <row r="16439" spans="38:38" x14ac:dyDescent="0.2">
      <c r="AL16439" s="177"/>
    </row>
    <row r="16440" spans="38:38" x14ac:dyDescent="0.2">
      <c r="AL16440" s="177"/>
    </row>
    <row r="16441" spans="38:38" x14ac:dyDescent="0.2">
      <c r="AL16441" s="177"/>
    </row>
    <row r="16442" spans="38:38" x14ac:dyDescent="0.2">
      <c r="AL16442" s="177"/>
    </row>
    <row r="16443" spans="38:38" x14ac:dyDescent="0.2">
      <c r="AL16443" s="177"/>
    </row>
    <row r="16444" spans="38:38" x14ac:dyDescent="0.2">
      <c r="AL16444" s="177"/>
    </row>
    <row r="16445" spans="38:38" x14ac:dyDescent="0.2">
      <c r="AL16445" s="177"/>
    </row>
    <row r="16446" spans="38:38" x14ac:dyDescent="0.2">
      <c r="AL16446" s="177"/>
    </row>
    <row r="16447" spans="38:38" x14ac:dyDescent="0.2">
      <c r="AL16447" s="177"/>
    </row>
    <row r="16448" spans="38:38" x14ac:dyDescent="0.2">
      <c r="AL16448" s="177"/>
    </row>
    <row r="16449" spans="38:38" x14ac:dyDescent="0.2">
      <c r="AL16449" s="177"/>
    </row>
    <row r="16450" spans="38:38" x14ac:dyDescent="0.2">
      <c r="AL16450" s="177"/>
    </row>
    <row r="16451" spans="38:38" x14ac:dyDescent="0.2">
      <c r="AL16451" s="177"/>
    </row>
    <row r="16452" spans="38:38" x14ac:dyDescent="0.2">
      <c r="AL16452" s="177"/>
    </row>
    <row r="16453" spans="38:38" x14ac:dyDescent="0.2">
      <c r="AL16453" s="177"/>
    </row>
    <row r="16454" spans="38:38" x14ac:dyDescent="0.2">
      <c r="AL16454" s="177"/>
    </row>
    <row r="16455" spans="38:38" x14ac:dyDescent="0.2">
      <c r="AL16455" s="177"/>
    </row>
    <row r="16456" spans="38:38" x14ac:dyDescent="0.2">
      <c r="AL16456" s="177"/>
    </row>
    <row r="16457" spans="38:38" x14ac:dyDescent="0.2">
      <c r="AL16457" s="177"/>
    </row>
    <row r="16458" spans="38:38" x14ac:dyDescent="0.2">
      <c r="AL16458" s="177"/>
    </row>
    <row r="16459" spans="38:38" x14ac:dyDescent="0.2">
      <c r="AL16459" s="177"/>
    </row>
    <row r="16460" spans="38:38" x14ac:dyDescent="0.2">
      <c r="AL16460" s="177"/>
    </row>
    <row r="16461" spans="38:38" x14ac:dyDescent="0.2">
      <c r="AL16461" s="177"/>
    </row>
    <row r="16462" spans="38:38" x14ac:dyDescent="0.2">
      <c r="AL16462" s="177"/>
    </row>
    <row r="16463" spans="38:38" x14ac:dyDescent="0.2">
      <c r="AL16463" s="177"/>
    </row>
    <row r="16464" spans="38:38" x14ac:dyDescent="0.2">
      <c r="AL16464" s="177"/>
    </row>
    <row r="16465" spans="38:38" x14ac:dyDescent="0.2">
      <c r="AL16465" s="177"/>
    </row>
    <row r="16466" spans="38:38" x14ac:dyDescent="0.2">
      <c r="AL16466" s="177"/>
    </row>
    <row r="16467" spans="38:38" x14ac:dyDescent="0.2">
      <c r="AL16467" s="177"/>
    </row>
    <row r="16468" spans="38:38" x14ac:dyDescent="0.2">
      <c r="AL16468" s="177"/>
    </row>
    <row r="16469" spans="38:38" x14ac:dyDescent="0.2">
      <c r="AL16469" s="177"/>
    </row>
    <row r="16470" spans="38:38" x14ac:dyDescent="0.2">
      <c r="AL16470" s="177"/>
    </row>
    <row r="16471" spans="38:38" x14ac:dyDescent="0.2">
      <c r="AL16471" s="177"/>
    </row>
    <row r="16472" spans="38:38" x14ac:dyDescent="0.2">
      <c r="AL16472" s="177"/>
    </row>
    <row r="16473" spans="38:38" x14ac:dyDescent="0.2">
      <c r="AL16473" s="177"/>
    </row>
    <row r="16474" spans="38:38" x14ac:dyDescent="0.2">
      <c r="AL16474" s="177"/>
    </row>
    <row r="16475" spans="38:38" x14ac:dyDescent="0.2">
      <c r="AL16475" s="177"/>
    </row>
    <row r="16476" spans="38:38" x14ac:dyDescent="0.2">
      <c r="AL16476" s="177"/>
    </row>
    <row r="16477" spans="38:38" x14ac:dyDescent="0.2">
      <c r="AL16477" s="177"/>
    </row>
    <row r="16478" spans="38:38" x14ac:dyDescent="0.2">
      <c r="AL16478" s="177"/>
    </row>
    <row r="16479" spans="38:38" x14ac:dyDescent="0.2">
      <c r="AL16479" s="177"/>
    </row>
    <row r="16480" spans="38:38" x14ac:dyDescent="0.2">
      <c r="AL16480" s="177"/>
    </row>
    <row r="16481" spans="38:38" x14ac:dyDescent="0.2">
      <c r="AL16481" s="177"/>
    </row>
    <row r="16482" spans="38:38" x14ac:dyDescent="0.2">
      <c r="AL16482" s="177"/>
    </row>
    <row r="16483" spans="38:38" x14ac:dyDescent="0.2">
      <c r="AL16483" s="177"/>
    </row>
    <row r="16484" spans="38:38" x14ac:dyDescent="0.2">
      <c r="AL16484" s="177"/>
    </row>
    <row r="16485" spans="38:38" x14ac:dyDescent="0.2">
      <c r="AL16485" s="177"/>
    </row>
    <row r="16486" spans="38:38" x14ac:dyDescent="0.2">
      <c r="AL16486" s="177"/>
    </row>
    <row r="16487" spans="38:38" x14ac:dyDescent="0.2">
      <c r="AL16487" s="177"/>
    </row>
    <row r="16488" spans="38:38" x14ac:dyDescent="0.2">
      <c r="AL16488" s="177"/>
    </row>
    <row r="16489" spans="38:38" x14ac:dyDescent="0.2">
      <c r="AL16489" s="177"/>
    </row>
    <row r="16490" spans="38:38" x14ac:dyDescent="0.2">
      <c r="AL16490" s="177"/>
    </row>
    <row r="16491" spans="38:38" x14ac:dyDescent="0.2">
      <c r="AL16491" s="177"/>
    </row>
    <row r="16492" spans="38:38" x14ac:dyDescent="0.2">
      <c r="AL16492" s="177"/>
    </row>
    <row r="16493" spans="38:38" x14ac:dyDescent="0.2">
      <c r="AL16493" s="177"/>
    </row>
    <row r="16494" spans="38:38" x14ac:dyDescent="0.2">
      <c r="AL16494" s="177"/>
    </row>
    <row r="16495" spans="38:38" x14ac:dyDescent="0.2">
      <c r="AL16495" s="177"/>
    </row>
    <row r="16496" spans="38:38" x14ac:dyDescent="0.2">
      <c r="AL16496" s="177"/>
    </row>
    <row r="16497" spans="38:38" x14ac:dyDescent="0.2">
      <c r="AL16497" s="177"/>
    </row>
    <row r="16498" spans="38:38" x14ac:dyDescent="0.2">
      <c r="AL16498" s="177"/>
    </row>
    <row r="16499" spans="38:38" x14ac:dyDescent="0.2">
      <c r="AL16499" s="177"/>
    </row>
    <row r="16500" spans="38:38" x14ac:dyDescent="0.2">
      <c r="AL16500" s="177"/>
    </row>
    <row r="16501" spans="38:38" x14ac:dyDescent="0.2">
      <c r="AL16501" s="177"/>
    </row>
    <row r="16502" spans="38:38" x14ac:dyDescent="0.2">
      <c r="AL16502" s="177"/>
    </row>
    <row r="16503" spans="38:38" x14ac:dyDescent="0.2">
      <c r="AL16503" s="177"/>
    </row>
    <row r="16504" spans="38:38" x14ac:dyDescent="0.2">
      <c r="AL16504" s="177"/>
    </row>
    <row r="16505" spans="38:38" x14ac:dyDescent="0.2">
      <c r="AL16505" s="177"/>
    </row>
    <row r="16506" spans="38:38" x14ac:dyDescent="0.2">
      <c r="AL16506" s="177"/>
    </row>
    <row r="16507" spans="38:38" x14ac:dyDescent="0.2">
      <c r="AL16507" s="177"/>
    </row>
    <row r="16508" spans="38:38" x14ac:dyDescent="0.2">
      <c r="AL16508" s="177"/>
    </row>
    <row r="16509" spans="38:38" x14ac:dyDescent="0.2">
      <c r="AL16509" s="177"/>
    </row>
    <row r="16510" spans="38:38" x14ac:dyDescent="0.2">
      <c r="AL16510" s="177"/>
    </row>
    <row r="16511" spans="38:38" x14ac:dyDescent="0.2">
      <c r="AL16511" s="177"/>
    </row>
    <row r="16512" spans="38:38" x14ac:dyDescent="0.2">
      <c r="AL16512" s="177"/>
    </row>
    <row r="16513" spans="38:38" x14ac:dyDescent="0.2">
      <c r="AL16513" s="177"/>
    </row>
    <row r="16514" spans="38:38" x14ac:dyDescent="0.2">
      <c r="AL16514" s="177"/>
    </row>
    <row r="16515" spans="38:38" x14ac:dyDescent="0.2">
      <c r="AL16515" s="177"/>
    </row>
    <row r="16516" spans="38:38" x14ac:dyDescent="0.2">
      <c r="AL16516" s="177"/>
    </row>
    <row r="16517" spans="38:38" x14ac:dyDescent="0.2">
      <c r="AL16517" s="177"/>
    </row>
    <row r="16518" spans="38:38" x14ac:dyDescent="0.2">
      <c r="AL16518" s="177"/>
    </row>
    <row r="16519" spans="38:38" x14ac:dyDescent="0.2">
      <c r="AL16519" s="177"/>
    </row>
    <row r="16520" spans="38:38" x14ac:dyDescent="0.2">
      <c r="AL16520" s="177"/>
    </row>
    <row r="16521" spans="38:38" x14ac:dyDescent="0.2">
      <c r="AL16521" s="177"/>
    </row>
    <row r="16522" spans="38:38" x14ac:dyDescent="0.2">
      <c r="AL16522" s="177"/>
    </row>
    <row r="16523" spans="38:38" x14ac:dyDescent="0.2">
      <c r="AL16523" s="177"/>
    </row>
    <row r="16524" spans="38:38" x14ac:dyDescent="0.2">
      <c r="AL16524" s="177"/>
    </row>
    <row r="16525" spans="38:38" x14ac:dyDescent="0.2">
      <c r="AL16525" s="177"/>
    </row>
    <row r="16526" spans="38:38" x14ac:dyDescent="0.2">
      <c r="AL16526" s="177"/>
    </row>
    <row r="16527" spans="38:38" x14ac:dyDescent="0.2">
      <c r="AL16527" s="177"/>
    </row>
    <row r="16528" spans="38:38" x14ac:dyDescent="0.2">
      <c r="AL16528" s="177"/>
    </row>
    <row r="16529" spans="38:38" x14ac:dyDescent="0.2">
      <c r="AL16529" s="177"/>
    </row>
    <row r="16530" spans="38:38" x14ac:dyDescent="0.2">
      <c r="AL16530" s="177"/>
    </row>
    <row r="16531" spans="38:38" x14ac:dyDescent="0.2">
      <c r="AL16531" s="177"/>
    </row>
    <row r="16532" spans="38:38" x14ac:dyDescent="0.2">
      <c r="AL16532" s="177"/>
    </row>
    <row r="16533" spans="38:38" x14ac:dyDescent="0.2">
      <c r="AL16533" s="177"/>
    </row>
    <row r="16534" spans="38:38" x14ac:dyDescent="0.2">
      <c r="AL16534" s="177"/>
    </row>
    <row r="16535" spans="38:38" x14ac:dyDescent="0.2">
      <c r="AL16535" s="177"/>
    </row>
    <row r="16536" spans="38:38" x14ac:dyDescent="0.2">
      <c r="AL16536" s="177"/>
    </row>
    <row r="16537" spans="38:38" x14ac:dyDescent="0.2">
      <c r="AL16537" s="177"/>
    </row>
    <row r="16538" spans="38:38" x14ac:dyDescent="0.2">
      <c r="AL16538" s="177"/>
    </row>
    <row r="16539" spans="38:38" x14ac:dyDescent="0.2">
      <c r="AL16539" s="177"/>
    </row>
    <row r="16540" spans="38:38" x14ac:dyDescent="0.2">
      <c r="AL16540" s="177"/>
    </row>
    <row r="16541" spans="38:38" x14ac:dyDescent="0.2">
      <c r="AL16541" s="177"/>
    </row>
    <row r="16542" spans="38:38" x14ac:dyDescent="0.2">
      <c r="AL16542" s="177"/>
    </row>
    <row r="16543" spans="38:38" x14ac:dyDescent="0.2">
      <c r="AL16543" s="177"/>
    </row>
    <row r="16544" spans="38:38" x14ac:dyDescent="0.2">
      <c r="AL16544" s="177"/>
    </row>
    <row r="16545" spans="38:38" x14ac:dyDescent="0.2">
      <c r="AL16545" s="177"/>
    </row>
    <row r="16546" spans="38:38" x14ac:dyDescent="0.2">
      <c r="AL16546" s="177"/>
    </row>
    <row r="16547" spans="38:38" x14ac:dyDescent="0.2">
      <c r="AL16547" s="177"/>
    </row>
    <row r="16548" spans="38:38" x14ac:dyDescent="0.2">
      <c r="AL16548" s="177"/>
    </row>
    <row r="16549" spans="38:38" x14ac:dyDescent="0.2">
      <c r="AL16549" s="177"/>
    </row>
    <row r="16550" spans="38:38" x14ac:dyDescent="0.2">
      <c r="AL16550" s="177"/>
    </row>
    <row r="16551" spans="38:38" x14ac:dyDescent="0.2">
      <c r="AL16551" s="177"/>
    </row>
    <row r="16552" spans="38:38" x14ac:dyDescent="0.2">
      <c r="AL16552" s="177"/>
    </row>
    <row r="16553" spans="38:38" x14ac:dyDescent="0.2">
      <c r="AL16553" s="177"/>
    </row>
    <row r="16554" spans="38:38" x14ac:dyDescent="0.2">
      <c r="AL16554" s="177"/>
    </row>
    <row r="16555" spans="38:38" x14ac:dyDescent="0.2">
      <c r="AL16555" s="177"/>
    </row>
    <row r="16556" spans="38:38" x14ac:dyDescent="0.2">
      <c r="AL16556" s="177"/>
    </row>
    <row r="16557" spans="38:38" x14ac:dyDescent="0.2">
      <c r="AL16557" s="177"/>
    </row>
    <row r="16558" spans="38:38" x14ac:dyDescent="0.2">
      <c r="AL16558" s="177"/>
    </row>
    <row r="16559" spans="38:38" x14ac:dyDescent="0.2">
      <c r="AL16559" s="177"/>
    </row>
    <row r="16560" spans="38:38" x14ac:dyDescent="0.2">
      <c r="AL16560" s="177"/>
    </row>
    <row r="16561" spans="38:38" x14ac:dyDescent="0.2">
      <c r="AL16561" s="177"/>
    </row>
    <row r="16562" spans="38:38" x14ac:dyDescent="0.2">
      <c r="AL16562" s="177"/>
    </row>
    <row r="16563" spans="38:38" x14ac:dyDescent="0.2">
      <c r="AL16563" s="177"/>
    </row>
    <row r="16564" spans="38:38" x14ac:dyDescent="0.2">
      <c r="AL16564" s="177"/>
    </row>
    <row r="16565" spans="38:38" x14ac:dyDescent="0.2">
      <c r="AL16565" s="177"/>
    </row>
    <row r="16566" spans="38:38" x14ac:dyDescent="0.2">
      <c r="AL16566" s="177"/>
    </row>
    <row r="16567" spans="38:38" x14ac:dyDescent="0.2">
      <c r="AL16567" s="177"/>
    </row>
    <row r="16568" spans="38:38" x14ac:dyDescent="0.2">
      <c r="AL16568" s="177"/>
    </row>
    <row r="16569" spans="38:38" x14ac:dyDescent="0.2">
      <c r="AL16569" s="177"/>
    </row>
    <row r="16570" spans="38:38" x14ac:dyDescent="0.2">
      <c r="AL16570" s="177"/>
    </row>
    <row r="16571" spans="38:38" x14ac:dyDescent="0.2">
      <c r="AL16571" s="177"/>
    </row>
    <row r="16572" spans="38:38" x14ac:dyDescent="0.2">
      <c r="AL16572" s="177"/>
    </row>
    <row r="16573" spans="38:38" x14ac:dyDescent="0.2">
      <c r="AL16573" s="177"/>
    </row>
    <row r="16574" spans="38:38" x14ac:dyDescent="0.2">
      <c r="AL16574" s="177"/>
    </row>
    <row r="16575" spans="38:38" x14ac:dyDescent="0.2">
      <c r="AL16575" s="177"/>
    </row>
    <row r="16576" spans="38:38" x14ac:dyDescent="0.2">
      <c r="AL16576" s="177"/>
    </row>
    <row r="16577" spans="38:38" x14ac:dyDescent="0.2">
      <c r="AL16577" s="177"/>
    </row>
    <row r="16578" spans="38:38" x14ac:dyDescent="0.2">
      <c r="AL16578" s="177"/>
    </row>
    <row r="16579" spans="38:38" x14ac:dyDescent="0.2">
      <c r="AL16579" s="177"/>
    </row>
    <row r="16580" spans="38:38" x14ac:dyDescent="0.2">
      <c r="AL16580" s="177"/>
    </row>
    <row r="16581" spans="38:38" x14ac:dyDescent="0.2">
      <c r="AL16581" s="177"/>
    </row>
    <row r="16582" spans="38:38" x14ac:dyDescent="0.2">
      <c r="AL16582" s="177"/>
    </row>
    <row r="16583" spans="38:38" x14ac:dyDescent="0.2">
      <c r="AL16583" s="177"/>
    </row>
    <row r="16584" spans="38:38" x14ac:dyDescent="0.2">
      <c r="AL16584" s="177"/>
    </row>
    <row r="16585" spans="38:38" x14ac:dyDescent="0.2">
      <c r="AL16585" s="177"/>
    </row>
    <row r="16586" spans="38:38" x14ac:dyDescent="0.2">
      <c r="AL16586" s="177"/>
    </row>
    <row r="16587" spans="38:38" x14ac:dyDescent="0.2">
      <c r="AL16587" s="177"/>
    </row>
    <row r="16588" spans="38:38" x14ac:dyDescent="0.2">
      <c r="AL16588" s="177"/>
    </row>
    <row r="16589" spans="38:38" x14ac:dyDescent="0.2">
      <c r="AL16589" s="177"/>
    </row>
    <row r="16590" spans="38:38" x14ac:dyDescent="0.2">
      <c r="AL16590" s="177"/>
    </row>
    <row r="16591" spans="38:38" x14ac:dyDescent="0.2">
      <c r="AL16591" s="177"/>
    </row>
    <row r="16592" spans="38:38" x14ac:dyDescent="0.2">
      <c r="AL16592" s="177"/>
    </row>
    <row r="16593" spans="38:38" x14ac:dyDescent="0.2">
      <c r="AL16593" s="177"/>
    </row>
    <row r="16594" spans="38:38" x14ac:dyDescent="0.2">
      <c r="AL16594" s="177"/>
    </row>
    <row r="16595" spans="38:38" x14ac:dyDescent="0.2">
      <c r="AL16595" s="177"/>
    </row>
    <row r="16596" spans="38:38" x14ac:dyDescent="0.2">
      <c r="AL16596" s="177"/>
    </row>
    <row r="16597" spans="38:38" x14ac:dyDescent="0.2">
      <c r="AL16597" s="177"/>
    </row>
    <row r="16598" spans="38:38" x14ac:dyDescent="0.2">
      <c r="AL16598" s="177"/>
    </row>
    <row r="16599" spans="38:38" x14ac:dyDescent="0.2">
      <c r="AL16599" s="177"/>
    </row>
    <row r="16600" spans="38:38" x14ac:dyDescent="0.2">
      <c r="AL16600" s="177"/>
    </row>
    <row r="16601" spans="38:38" x14ac:dyDescent="0.2">
      <c r="AL16601" s="177"/>
    </row>
    <row r="16602" spans="38:38" x14ac:dyDescent="0.2">
      <c r="AL16602" s="177"/>
    </row>
    <row r="16603" spans="38:38" x14ac:dyDescent="0.2">
      <c r="AL16603" s="177"/>
    </row>
    <row r="16604" spans="38:38" x14ac:dyDescent="0.2">
      <c r="AL16604" s="177"/>
    </row>
    <row r="16605" spans="38:38" x14ac:dyDescent="0.2">
      <c r="AL16605" s="177"/>
    </row>
    <row r="16606" spans="38:38" x14ac:dyDescent="0.2">
      <c r="AL16606" s="177"/>
    </row>
    <row r="16607" spans="38:38" x14ac:dyDescent="0.2">
      <c r="AL16607" s="177"/>
    </row>
    <row r="16608" spans="38:38" x14ac:dyDescent="0.2">
      <c r="AL16608" s="177"/>
    </row>
    <row r="16609" spans="38:38" x14ac:dyDescent="0.2">
      <c r="AL16609" s="177"/>
    </row>
    <row r="16610" spans="38:38" x14ac:dyDescent="0.2">
      <c r="AL16610" s="177"/>
    </row>
    <row r="16611" spans="38:38" x14ac:dyDescent="0.2">
      <c r="AL16611" s="177"/>
    </row>
    <row r="16612" spans="38:38" x14ac:dyDescent="0.2">
      <c r="AL16612" s="177"/>
    </row>
    <row r="16613" spans="38:38" x14ac:dyDescent="0.2">
      <c r="AL16613" s="177"/>
    </row>
    <row r="16614" spans="38:38" x14ac:dyDescent="0.2">
      <c r="AL16614" s="177"/>
    </row>
    <row r="16615" spans="38:38" x14ac:dyDescent="0.2">
      <c r="AL16615" s="177"/>
    </row>
    <row r="16616" spans="38:38" x14ac:dyDescent="0.2">
      <c r="AL16616" s="177"/>
    </row>
    <row r="16617" spans="38:38" x14ac:dyDescent="0.2">
      <c r="AL16617" s="177"/>
    </row>
    <row r="16618" spans="38:38" x14ac:dyDescent="0.2">
      <c r="AL16618" s="177"/>
    </row>
    <row r="16619" spans="38:38" x14ac:dyDescent="0.2">
      <c r="AL16619" s="177"/>
    </row>
    <row r="16620" spans="38:38" x14ac:dyDescent="0.2">
      <c r="AL16620" s="177"/>
    </row>
    <row r="16621" spans="38:38" x14ac:dyDescent="0.2">
      <c r="AL16621" s="177"/>
    </row>
    <row r="16622" spans="38:38" x14ac:dyDescent="0.2">
      <c r="AL16622" s="177"/>
    </row>
    <row r="16623" spans="38:38" x14ac:dyDescent="0.2">
      <c r="AL16623" s="177"/>
    </row>
    <row r="16624" spans="38:38" x14ac:dyDescent="0.2">
      <c r="AL16624" s="177"/>
    </row>
    <row r="16625" spans="38:38" x14ac:dyDescent="0.2">
      <c r="AL16625" s="177"/>
    </row>
    <row r="16626" spans="38:38" x14ac:dyDescent="0.2">
      <c r="AL16626" s="177"/>
    </row>
    <row r="16627" spans="38:38" x14ac:dyDescent="0.2">
      <c r="AL16627" s="177"/>
    </row>
    <row r="16628" spans="38:38" x14ac:dyDescent="0.2">
      <c r="AL16628" s="177"/>
    </row>
    <row r="16629" spans="38:38" x14ac:dyDescent="0.2">
      <c r="AL16629" s="177"/>
    </row>
    <row r="16630" spans="38:38" x14ac:dyDescent="0.2">
      <c r="AL16630" s="177"/>
    </row>
    <row r="16631" spans="38:38" x14ac:dyDescent="0.2">
      <c r="AL16631" s="177"/>
    </row>
    <row r="16632" spans="38:38" x14ac:dyDescent="0.2">
      <c r="AL16632" s="177"/>
    </row>
    <row r="16633" spans="38:38" x14ac:dyDescent="0.2">
      <c r="AL16633" s="177"/>
    </row>
    <row r="16634" spans="38:38" x14ac:dyDescent="0.2">
      <c r="AL16634" s="177"/>
    </row>
    <row r="16635" spans="38:38" x14ac:dyDescent="0.2">
      <c r="AL16635" s="177"/>
    </row>
    <row r="16636" spans="38:38" x14ac:dyDescent="0.2">
      <c r="AL16636" s="177"/>
    </row>
    <row r="16637" spans="38:38" x14ac:dyDescent="0.2">
      <c r="AL16637" s="177"/>
    </row>
    <row r="16638" spans="38:38" x14ac:dyDescent="0.2">
      <c r="AL16638" s="177"/>
    </row>
    <row r="16639" spans="38:38" x14ac:dyDescent="0.2">
      <c r="AL16639" s="177"/>
    </row>
    <row r="16640" spans="38:38" x14ac:dyDescent="0.2">
      <c r="AL16640" s="177"/>
    </row>
    <row r="16641" spans="38:38" x14ac:dyDescent="0.2">
      <c r="AL16641" s="177"/>
    </row>
    <row r="16642" spans="38:38" x14ac:dyDescent="0.2">
      <c r="AL16642" s="177"/>
    </row>
    <row r="16643" spans="38:38" x14ac:dyDescent="0.2">
      <c r="AL16643" s="177"/>
    </row>
    <row r="16644" spans="38:38" x14ac:dyDescent="0.2">
      <c r="AL16644" s="177"/>
    </row>
    <row r="16645" spans="38:38" x14ac:dyDescent="0.2">
      <c r="AL16645" s="177"/>
    </row>
    <row r="16646" spans="38:38" x14ac:dyDescent="0.2">
      <c r="AL16646" s="177"/>
    </row>
    <row r="16647" spans="38:38" x14ac:dyDescent="0.2">
      <c r="AL16647" s="177"/>
    </row>
    <row r="16648" spans="38:38" x14ac:dyDescent="0.2">
      <c r="AL16648" s="177"/>
    </row>
    <row r="16649" spans="38:38" x14ac:dyDescent="0.2">
      <c r="AL16649" s="177"/>
    </row>
    <row r="16650" spans="38:38" x14ac:dyDescent="0.2">
      <c r="AL16650" s="177"/>
    </row>
    <row r="16651" spans="38:38" x14ac:dyDescent="0.2">
      <c r="AL16651" s="177"/>
    </row>
    <row r="16652" spans="38:38" x14ac:dyDescent="0.2">
      <c r="AL16652" s="177"/>
    </row>
    <row r="16653" spans="38:38" x14ac:dyDescent="0.2">
      <c r="AL16653" s="177"/>
    </row>
    <row r="16654" spans="38:38" x14ac:dyDescent="0.2">
      <c r="AL16654" s="177"/>
    </row>
    <row r="16655" spans="38:38" x14ac:dyDescent="0.2">
      <c r="AL16655" s="177"/>
    </row>
    <row r="16656" spans="38:38" x14ac:dyDescent="0.2">
      <c r="AL16656" s="177"/>
    </row>
    <row r="16657" spans="38:38" x14ac:dyDescent="0.2">
      <c r="AL16657" s="177"/>
    </row>
    <row r="16658" spans="38:38" x14ac:dyDescent="0.2">
      <c r="AL16658" s="177"/>
    </row>
    <row r="16659" spans="38:38" x14ac:dyDescent="0.2">
      <c r="AL16659" s="177"/>
    </row>
    <row r="16660" spans="38:38" x14ac:dyDescent="0.2">
      <c r="AL16660" s="177"/>
    </row>
    <row r="16661" spans="38:38" x14ac:dyDescent="0.2">
      <c r="AL16661" s="177"/>
    </row>
    <row r="16662" spans="38:38" x14ac:dyDescent="0.2">
      <c r="AL16662" s="177"/>
    </row>
    <row r="16663" spans="38:38" x14ac:dyDescent="0.2">
      <c r="AL16663" s="177"/>
    </row>
    <row r="16664" spans="38:38" x14ac:dyDescent="0.2">
      <c r="AL16664" s="177"/>
    </row>
    <row r="16665" spans="38:38" x14ac:dyDescent="0.2">
      <c r="AL16665" s="177"/>
    </row>
    <row r="16666" spans="38:38" x14ac:dyDescent="0.2">
      <c r="AL16666" s="177"/>
    </row>
    <row r="16667" spans="38:38" x14ac:dyDescent="0.2">
      <c r="AL16667" s="177"/>
    </row>
    <row r="16668" spans="38:38" x14ac:dyDescent="0.2">
      <c r="AL16668" s="177"/>
    </row>
    <row r="16669" spans="38:38" x14ac:dyDescent="0.2">
      <c r="AL16669" s="177"/>
    </row>
    <row r="16670" spans="38:38" x14ac:dyDescent="0.2">
      <c r="AL16670" s="177"/>
    </row>
    <row r="16671" spans="38:38" x14ac:dyDescent="0.2">
      <c r="AL16671" s="177"/>
    </row>
    <row r="16672" spans="38:38" x14ac:dyDescent="0.2">
      <c r="AL16672" s="177"/>
    </row>
    <row r="16673" spans="38:38" x14ac:dyDescent="0.2">
      <c r="AL16673" s="177"/>
    </row>
    <row r="16674" spans="38:38" x14ac:dyDescent="0.2">
      <c r="AL16674" s="177"/>
    </row>
    <row r="16675" spans="38:38" x14ac:dyDescent="0.2">
      <c r="AL16675" s="177"/>
    </row>
    <row r="16676" spans="38:38" x14ac:dyDescent="0.2">
      <c r="AL16676" s="177"/>
    </row>
    <row r="16677" spans="38:38" x14ac:dyDescent="0.2">
      <c r="AL16677" s="177"/>
    </row>
    <row r="16678" spans="38:38" x14ac:dyDescent="0.2">
      <c r="AL16678" s="177"/>
    </row>
    <row r="16679" spans="38:38" x14ac:dyDescent="0.2">
      <c r="AL16679" s="177"/>
    </row>
    <row r="16680" spans="38:38" x14ac:dyDescent="0.2">
      <c r="AL16680" s="177"/>
    </row>
    <row r="16681" spans="38:38" x14ac:dyDescent="0.2">
      <c r="AL16681" s="177"/>
    </row>
    <row r="16682" spans="38:38" x14ac:dyDescent="0.2">
      <c r="AL16682" s="177"/>
    </row>
    <row r="16683" spans="38:38" x14ac:dyDescent="0.2">
      <c r="AL16683" s="177"/>
    </row>
    <row r="16684" spans="38:38" x14ac:dyDescent="0.2">
      <c r="AL16684" s="177"/>
    </row>
    <row r="16685" spans="38:38" x14ac:dyDescent="0.2">
      <c r="AL16685" s="177"/>
    </row>
    <row r="16686" spans="38:38" x14ac:dyDescent="0.2">
      <c r="AL16686" s="177"/>
    </row>
    <row r="16687" spans="38:38" x14ac:dyDescent="0.2">
      <c r="AL16687" s="177"/>
    </row>
    <row r="16688" spans="38:38" x14ac:dyDescent="0.2">
      <c r="AL16688" s="177"/>
    </row>
    <row r="16689" spans="38:38" x14ac:dyDescent="0.2">
      <c r="AL16689" s="177"/>
    </row>
    <row r="16690" spans="38:38" x14ac:dyDescent="0.2">
      <c r="AL16690" s="177"/>
    </row>
    <row r="16691" spans="38:38" x14ac:dyDescent="0.2">
      <c r="AL16691" s="177"/>
    </row>
    <row r="16692" spans="38:38" x14ac:dyDescent="0.2">
      <c r="AL16692" s="177"/>
    </row>
    <row r="16693" spans="38:38" x14ac:dyDescent="0.2">
      <c r="AL16693" s="177"/>
    </row>
    <row r="16694" spans="38:38" x14ac:dyDescent="0.2">
      <c r="AL16694" s="177"/>
    </row>
    <row r="16695" spans="38:38" x14ac:dyDescent="0.2">
      <c r="AL16695" s="177"/>
    </row>
    <row r="16696" spans="38:38" x14ac:dyDescent="0.2">
      <c r="AL16696" s="177"/>
    </row>
    <row r="16697" spans="38:38" x14ac:dyDescent="0.2">
      <c r="AL16697" s="177"/>
    </row>
    <row r="16698" spans="38:38" x14ac:dyDescent="0.2">
      <c r="AL16698" s="177"/>
    </row>
    <row r="16699" spans="38:38" x14ac:dyDescent="0.2">
      <c r="AL16699" s="177"/>
    </row>
    <row r="16700" spans="38:38" x14ac:dyDescent="0.2">
      <c r="AL16700" s="177"/>
    </row>
    <row r="16701" spans="38:38" x14ac:dyDescent="0.2">
      <c r="AL16701" s="177"/>
    </row>
    <row r="16702" spans="38:38" x14ac:dyDescent="0.2">
      <c r="AL16702" s="177"/>
    </row>
    <row r="16703" spans="38:38" x14ac:dyDescent="0.2">
      <c r="AL16703" s="177"/>
    </row>
    <row r="16704" spans="38:38" x14ac:dyDescent="0.2">
      <c r="AL16704" s="177"/>
    </row>
    <row r="16705" spans="38:38" x14ac:dyDescent="0.2">
      <c r="AL16705" s="177"/>
    </row>
    <row r="16706" spans="38:38" x14ac:dyDescent="0.2">
      <c r="AL16706" s="177"/>
    </row>
    <row r="16707" spans="38:38" x14ac:dyDescent="0.2">
      <c r="AL16707" s="177"/>
    </row>
    <row r="16708" spans="38:38" x14ac:dyDescent="0.2">
      <c r="AL16708" s="177"/>
    </row>
    <row r="16709" spans="38:38" x14ac:dyDescent="0.2">
      <c r="AL16709" s="177"/>
    </row>
    <row r="16710" spans="38:38" x14ac:dyDescent="0.2">
      <c r="AL16710" s="177"/>
    </row>
    <row r="16711" spans="38:38" x14ac:dyDescent="0.2">
      <c r="AL16711" s="177"/>
    </row>
    <row r="16712" spans="38:38" x14ac:dyDescent="0.2">
      <c r="AL16712" s="177"/>
    </row>
    <row r="16713" spans="38:38" x14ac:dyDescent="0.2">
      <c r="AL16713" s="177"/>
    </row>
    <row r="16714" spans="38:38" x14ac:dyDescent="0.2">
      <c r="AL16714" s="177"/>
    </row>
    <row r="16715" spans="38:38" x14ac:dyDescent="0.2">
      <c r="AL16715" s="177"/>
    </row>
    <row r="16716" spans="38:38" x14ac:dyDescent="0.2">
      <c r="AL16716" s="177"/>
    </row>
    <row r="16717" spans="38:38" x14ac:dyDescent="0.2">
      <c r="AL16717" s="177"/>
    </row>
    <row r="16718" spans="38:38" x14ac:dyDescent="0.2">
      <c r="AL16718" s="177"/>
    </row>
    <row r="16719" spans="38:38" x14ac:dyDescent="0.2">
      <c r="AL16719" s="177"/>
    </row>
    <row r="16720" spans="38:38" x14ac:dyDescent="0.2">
      <c r="AL16720" s="177"/>
    </row>
    <row r="16721" spans="38:38" x14ac:dyDescent="0.2">
      <c r="AL16721" s="177"/>
    </row>
    <row r="16722" spans="38:38" x14ac:dyDescent="0.2">
      <c r="AL16722" s="177"/>
    </row>
    <row r="16723" spans="38:38" x14ac:dyDescent="0.2">
      <c r="AL16723" s="177"/>
    </row>
    <row r="16724" spans="38:38" x14ac:dyDescent="0.2">
      <c r="AL16724" s="177"/>
    </row>
    <row r="16725" spans="38:38" x14ac:dyDescent="0.2">
      <c r="AL16725" s="177"/>
    </row>
    <row r="16726" spans="38:38" x14ac:dyDescent="0.2">
      <c r="AL16726" s="177"/>
    </row>
    <row r="16727" spans="38:38" x14ac:dyDescent="0.2">
      <c r="AL16727" s="177"/>
    </row>
    <row r="16728" spans="38:38" x14ac:dyDescent="0.2">
      <c r="AL16728" s="177"/>
    </row>
    <row r="16729" spans="38:38" x14ac:dyDescent="0.2">
      <c r="AL16729" s="177"/>
    </row>
    <row r="16730" spans="38:38" x14ac:dyDescent="0.2">
      <c r="AL16730" s="177"/>
    </row>
    <row r="16731" spans="38:38" x14ac:dyDescent="0.2">
      <c r="AL16731" s="177"/>
    </row>
    <row r="16732" spans="38:38" x14ac:dyDescent="0.2">
      <c r="AL16732" s="177"/>
    </row>
    <row r="16733" spans="38:38" x14ac:dyDescent="0.2">
      <c r="AL16733" s="177"/>
    </row>
    <row r="16734" spans="38:38" x14ac:dyDescent="0.2">
      <c r="AL16734" s="177"/>
    </row>
    <row r="16735" spans="38:38" x14ac:dyDescent="0.2">
      <c r="AL16735" s="177"/>
    </row>
    <row r="16736" spans="38:38" x14ac:dyDescent="0.2">
      <c r="AL16736" s="177"/>
    </row>
    <row r="16737" spans="38:38" x14ac:dyDescent="0.2">
      <c r="AL16737" s="177"/>
    </row>
    <row r="16738" spans="38:38" x14ac:dyDescent="0.2">
      <c r="AL16738" s="177"/>
    </row>
    <row r="16739" spans="38:38" x14ac:dyDescent="0.2">
      <c r="AL16739" s="177"/>
    </row>
    <row r="16740" spans="38:38" x14ac:dyDescent="0.2">
      <c r="AL16740" s="177"/>
    </row>
    <row r="16741" spans="38:38" x14ac:dyDescent="0.2">
      <c r="AL16741" s="177"/>
    </row>
    <row r="16742" spans="38:38" x14ac:dyDescent="0.2">
      <c r="AL16742" s="177"/>
    </row>
    <row r="16743" spans="38:38" x14ac:dyDescent="0.2">
      <c r="AL16743" s="177"/>
    </row>
    <row r="16744" spans="38:38" x14ac:dyDescent="0.2">
      <c r="AL16744" s="177"/>
    </row>
    <row r="16745" spans="38:38" x14ac:dyDescent="0.2">
      <c r="AL16745" s="177"/>
    </row>
    <row r="16746" spans="38:38" x14ac:dyDescent="0.2">
      <c r="AL16746" s="177"/>
    </row>
    <row r="16747" spans="38:38" x14ac:dyDescent="0.2">
      <c r="AL16747" s="177"/>
    </row>
    <row r="16748" spans="38:38" x14ac:dyDescent="0.2">
      <c r="AL16748" s="177"/>
    </row>
    <row r="16749" spans="38:38" x14ac:dyDescent="0.2">
      <c r="AL16749" s="177"/>
    </row>
    <row r="16750" spans="38:38" x14ac:dyDescent="0.2">
      <c r="AL16750" s="177"/>
    </row>
    <row r="16751" spans="38:38" x14ac:dyDescent="0.2">
      <c r="AL16751" s="177"/>
    </row>
    <row r="16752" spans="38:38" x14ac:dyDescent="0.2">
      <c r="AL16752" s="177"/>
    </row>
    <row r="16753" spans="38:38" x14ac:dyDescent="0.2">
      <c r="AL16753" s="177"/>
    </row>
    <row r="16754" spans="38:38" x14ac:dyDescent="0.2">
      <c r="AL16754" s="177"/>
    </row>
    <row r="16755" spans="38:38" x14ac:dyDescent="0.2">
      <c r="AL16755" s="177"/>
    </row>
    <row r="16756" spans="38:38" x14ac:dyDescent="0.2">
      <c r="AL16756" s="177"/>
    </row>
    <row r="16757" spans="38:38" x14ac:dyDescent="0.2">
      <c r="AL16757" s="177"/>
    </row>
    <row r="16758" spans="38:38" x14ac:dyDescent="0.2">
      <c r="AL16758" s="177"/>
    </row>
    <row r="16759" spans="38:38" x14ac:dyDescent="0.2">
      <c r="AL16759" s="177"/>
    </row>
    <row r="16760" spans="38:38" x14ac:dyDescent="0.2">
      <c r="AL16760" s="177"/>
    </row>
    <row r="16761" spans="38:38" x14ac:dyDescent="0.2">
      <c r="AL16761" s="177"/>
    </row>
    <row r="16762" spans="38:38" x14ac:dyDescent="0.2">
      <c r="AL16762" s="177"/>
    </row>
    <row r="16763" spans="38:38" x14ac:dyDescent="0.2">
      <c r="AL16763" s="177"/>
    </row>
    <row r="16764" spans="38:38" x14ac:dyDescent="0.2">
      <c r="AL16764" s="177"/>
    </row>
    <row r="16765" spans="38:38" x14ac:dyDescent="0.2">
      <c r="AL16765" s="177"/>
    </row>
    <row r="16766" spans="38:38" x14ac:dyDescent="0.2">
      <c r="AL16766" s="177"/>
    </row>
    <row r="16767" spans="38:38" x14ac:dyDescent="0.2">
      <c r="AL16767" s="177"/>
    </row>
    <row r="16768" spans="38:38" x14ac:dyDescent="0.2">
      <c r="AL16768" s="177"/>
    </row>
    <row r="16769" spans="38:38" x14ac:dyDescent="0.2">
      <c r="AL16769" s="177"/>
    </row>
    <row r="16770" spans="38:38" x14ac:dyDescent="0.2">
      <c r="AL16770" s="177"/>
    </row>
    <row r="16771" spans="38:38" x14ac:dyDescent="0.2">
      <c r="AL16771" s="177"/>
    </row>
    <row r="16772" spans="38:38" x14ac:dyDescent="0.2">
      <c r="AL16772" s="177"/>
    </row>
    <row r="16773" spans="38:38" x14ac:dyDescent="0.2">
      <c r="AL16773" s="177"/>
    </row>
    <row r="16774" spans="38:38" x14ac:dyDescent="0.2">
      <c r="AL16774" s="177"/>
    </row>
    <row r="16775" spans="38:38" x14ac:dyDescent="0.2">
      <c r="AL16775" s="177"/>
    </row>
    <row r="16776" spans="38:38" x14ac:dyDescent="0.2">
      <c r="AL16776" s="177"/>
    </row>
    <row r="16777" spans="38:38" x14ac:dyDescent="0.2">
      <c r="AL16777" s="177"/>
    </row>
    <row r="16778" spans="38:38" x14ac:dyDescent="0.2">
      <c r="AL16778" s="177"/>
    </row>
    <row r="16779" spans="38:38" x14ac:dyDescent="0.2">
      <c r="AL16779" s="177"/>
    </row>
    <row r="16780" spans="38:38" x14ac:dyDescent="0.2">
      <c r="AL16780" s="177"/>
    </row>
    <row r="16781" spans="38:38" x14ac:dyDescent="0.2">
      <c r="AL16781" s="177"/>
    </row>
    <row r="16782" spans="38:38" x14ac:dyDescent="0.2">
      <c r="AL16782" s="177"/>
    </row>
    <row r="16783" spans="38:38" x14ac:dyDescent="0.2">
      <c r="AL16783" s="177"/>
    </row>
    <row r="16784" spans="38:38" x14ac:dyDescent="0.2">
      <c r="AL16784" s="177"/>
    </row>
    <row r="16785" spans="38:38" x14ac:dyDescent="0.2">
      <c r="AL16785" s="177"/>
    </row>
    <row r="16786" spans="38:38" x14ac:dyDescent="0.2">
      <c r="AL16786" s="177"/>
    </row>
    <row r="16787" spans="38:38" x14ac:dyDescent="0.2">
      <c r="AL16787" s="177"/>
    </row>
    <row r="16788" spans="38:38" x14ac:dyDescent="0.2">
      <c r="AL16788" s="177"/>
    </row>
    <row r="16789" spans="38:38" x14ac:dyDescent="0.2">
      <c r="AL16789" s="177"/>
    </row>
    <row r="16790" spans="38:38" x14ac:dyDescent="0.2">
      <c r="AL16790" s="177"/>
    </row>
    <row r="16791" spans="38:38" x14ac:dyDescent="0.2">
      <c r="AL16791" s="177"/>
    </row>
    <row r="16792" spans="38:38" x14ac:dyDescent="0.2">
      <c r="AL16792" s="177"/>
    </row>
    <row r="16793" spans="38:38" x14ac:dyDescent="0.2">
      <c r="AL16793" s="177"/>
    </row>
    <row r="16794" spans="38:38" x14ac:dyDescent="0.2">
      <c r="AL16794" s="177"/>
    </row>
    <row r="16795" spans="38:38" x14ac:dyDescent="0.2">
      <c r="AL16795" s="177"/>
    </row>
    <row r="16796" spans="38:38" x14ac:dyDescent="0.2">
      <c r="AL16796" s="177"/>
    </row>
    <row r="16797" spans="38:38" x14ac:dyDescent="0.2">
      <c r="AL16797" s="177"/>
    </row>
    <row r="16798" spans="38:38" x14ac:dyDescent="0.2">
      <c r="AL16798" s="177"/>
    </row>
    <row r="16799" spans="38:38" x14ac:dyDescent="0.2">
      <c r="AL16799" s="177"/>
    </row>
    <row r="16800" spans="38:38" x14ac:dyDescent="0.2">
      <c r="AL16800" s="177"/>
    </row>
    <row r="16801" spans="38:38" x14ac:dyDescent="0.2">
      <c r="AL16801" s="177"/>
    </row>
    <row r="16802" spans="38:38" x14ac:dyDescent="0.2">
      <c r="AL16802" s="177"/>
    </row>
    <row r="16803" spans="38:38" x14ac:dyDescent="0.2">
      <c r="AL16803" s="177"/>
    </row>
    <row r="16804" spans="38:38" x14ac:dyDescent="0.2">
      <c r="AL16804" s="177"/>
    </row>
    <row r="16805" spans="38:38" x14ac:dyDescent="0.2">
      <c r="AL16805" s="177"/>
    </row>
    <row r="16806" spans="38:38" x14ac:dyDescent="0.2">
      <c r="AL16806" s="177"/>
    </row>
    <row r="16807" spans="38:38" x14ac:dyDescent="0.2">
      <c r="AL16807" s="177"/>
    </row>
    <row r="16808" spans="38:38" x14ac:dyDescent="0.2">
      <c r="AL16808" s="177"/>
    </row>
    <row r="16809" spans="38:38" x14ac:dyDescent="0.2">
      <c r="AL16809" s="177"/>
    </row>
    <row r="16810" spans="38:38" x14ac:dyDescent="0.2">
      <c r="AL16810" s="177"/>
    </row>
    <row r="16811" spans="38:38" x14ac:dyDescent="0.2">
      <c r="AL16811" s="177"/>
    </row>
    <row r="16812" spans="38:38" x14ac:dyDescent="0.2">
      <c r="AL16812" s="177"/>
    </row>
    <row r="16813" spans="38:38" x14ac:dyDescent="0.2">
      <c r="AL16813" s="177"/>
    </row>
    <row r="16814" spans="38:38" x14ac:dyDescent="0.2">
      <c r="AL16814" s="177"/>
    </row>
    <row r="16815" spans="38:38" x14ac:dyDescent="0.2">
      <c r="AL16815" s="177"/>
    </row>
    <row r="16816" spans="38:38" x14ac:dyDescent="0.2">
      <c r="AL16816" s="177"/>
    </row>
    <row r="16817" spans="38:38" x14ac:dyDescent="0.2">
      <c r="AL16817" s="177"/>
    </row>
    <row r="16818" spans="38:38" x14ac:dyDescent="0.2">
      <c r="AL16818" s="177"/>
    </row>
    <row r="16819" spans="38:38" x14ac:dyDescent="0.2">
      <c r="AL16819" s="177"/>
    </row>
    <row r="16820" spans="38:38" x14ac:dyDescent="0.2">
      <c r="AL16820" s="177"/>
    </row>
    <row r="16821" spans="38:38" x14ac:dyDescent="0.2">
      <c r="AL16821" s="177"/>
    </row>
    <row r="16822" spans="38:38" x14ac:dyDescent="0.2">
      <c r="AL16822" s="177"/>
    </row>
    <row r="16823" spans="38:38" x14ac:dyDescent="0.2">
      <c r="AL16823" s="177"/>
    </row>
    <row r="16824" spans="38:38" x14ac:dyDescent="0.2">
      <c r="AL16824" s="177"/>
    </row>
    <row r="16825" spans="38:38" x14ac:dyDescent="0.2">
      <c r="AL16825" s="177"/>
    </row>
    <row r="16826" spans="38:38" x14ac:dyDescent="0.2">
      <c r="AL16826" s="177"/>
    </row>
    <row r="16827" spans="38:38" x14ac:dyDescent="0.2">
      <c r="AL16827" s="177"/>
    </row>
    <row r="16828" spans="38:38" x14ac:dyDescent="0.2">
      <c r="AL16828" s="177"/>
    </row>
    <row r="16829" spans="38:38" x14ac:dyDescent="0.2">
      <c r="AL16829" s="177"/>
    </row>
    <row r="16830" spans="38:38" x14ac:dyDescent="0.2">
      <c r="AL16830" s="177"/>
    </row>
    <row r="16831" spans="38:38" x14ac:dyDescent="0.2">
      <c r="AL16831" s="177"/>
    </row>
    <row r="16832" spans="38:38" x14ac:dyDescent="0.2">
      <c r="AL16832" s="177"/>
    </row>
    <row r="16833" spans="38:38" x14ac:dyDescent="0.2">
      <c r="AL16833" s="177"/>
    </row>
    <row r="16834" spans="38:38" x14ac:dyDescent="0.2">
      <c r="AL16834" s="177"/>
    </row>
    <row r="16835" spans="38:38" x14ac:dyDescent="0.2">
      <c r="AL16835" s="177"/>
    </row>
    <row r="16836" spans="38:38" x14ac:dyDescent="0.2">
      <c r="AL16836" s="177"/>
    </row>
    <row r="16837" spans="38:38" x14ac:dyDescent="0.2">
      <c r="AL16837" s="177"/>
    </row>
    <row r="16838" spans="38:38" x14ac:dyDescent="0.2">
      <c r="AL16838" s="177"/>
    </row>
    <row r="16839" spans="38:38" x14ac:dyDescent="0.2">
      <c r="AL16839" s="177"/>
    </row>
    <row r="16840" spans="38:38" x14ac:dyDescent="0.2">
      <c r="AL16840" s="177"/>
    </row>
    <row r="16841" spans="38:38" x14ac:dyDescent="0.2">
      <c r="AL16841" s="177"/>
    </row>
    <row r="16842" spans="38:38" x14ac:dyDescent="0.2">
      <c r="AL16842" s="177"/>
    </row>
    <row r="16843" spans="38:38" x14ac:dyDescent="0.2">
      <c r="AL16843" s="177"/>
    </row>
    <row r="16844" spans="38:38" x14ac:dyDescent="0.2">
      <c r="AL16844" s="177"/>
    </row>
    <row r="16845" spans="38:38" x14ac:dyDescent="0.2">
      <c r="AL16845" s="177"/>
    </row>
    <row r="16846" spans="38:38" x14ac:dyDescent="0.2">
      <c r="AL16846" s="177"/>
    </row>
    <row r="16847" spans="38:38" x14ac:dyDescent="0.2">
      <c r="AL16847" s="177"/>
    </row>
    <row r="16848" spans="38:38" x14ac:dyDescent="0.2">
      <c r="AL16848" s="177"/>
    </row>
    <row r="16849" spans="38:38" x14ac:dyDescent="0.2">
      <c r="AL16849" s="177"/>
    </row>
    <row r="16850" spans="38:38" x14ac:dyDescent="0.2">
      <c r="AL16850" s="177"/>
    </row>
    <row r="16851" spans="38:38" x14ac:dyDescent="0.2">
      <c r="AL16851" s="177"/>
    </row>
    <row r="16852" spans="38:38" x14ac:dyDescent="0.2">
      <c r="AL16852" s="177"/>
    </row>
    <row r="16853" spans="38:38" x14ac:dyDescent="0.2">
      <c r="AL16853" s="177"/>
    </row>
    <row r="16854" spans="38:38" x14ac:dyDescent="0.2">
      <c r="AL16854" s="177"/>
    </row>
    <row r="16855" spans="38:38" x14ac:dyDescent="0.2">
      <c r="AL16855" s="177"/>
    </row>
    <row r="16856" spans="38:38" x14ac:dyDescent="0.2">
      <c r="AL16856" s="177"/>
    </row>
    <row r="16857" spans="38:38" x14ac:dyDescent="0.2">
      <c r="AL16857" s="177"/>
    </row>
    <row r="16858" spans="38:38" x14ac:dyDescent="0.2">
      <c r="AL16858" s="177"/>
    </row>
    <row r="16859" spans="38:38" x14ac:dyDescent="0.2">
      <c r="AL16859" s="177"/>
    </row>
    <row r="16860" spans="38:38" x14ac:dyDescent="0.2">
      <c r="AL16860" s="177"/>
    </row>
    <row r="16861" spans="38:38" x14ac:dyDescent="0.2">
      <c r="AL16861" s="177"/>
    </row>
    <row r="16862" spans="38:38" x14ac:dyDescent="0.2">
      <c r="AL16862" s="177"/>
    </row>
    <row r="16863" spans="38:38" x14ac:dyDescent="0.2">
      <c r="AL16863" s="177"/>
    </row>
    <row r="16864" spans="38:38" x14ac:dyDescent="0.2">
      <c r="AL16864" s="177"/>
    </row>
    <row r="16865" spans="38:38" x14ac:dyDescent="0.2">
      <c r="AL16865" s="177"/>
    </row>
    <row r="16866" spans="38:38" x14ac:dyDescent="0.2">
      <c r="AL16866" s="177"/>
    </row>
    <row r="16867" spans="38:38" x14ac:dyDescent="0.2">
      <c r="AL16867" s="177"/>
    </row>
    <row r="16868" spans="38:38" x14ac:dyDescent="0.2">
      <c r="AL16868" s="177"/>
    </row>
    <row r="16869" spans="38:38" x14ac:dyDescent="0.2">
      <c r="AL16869" s="177"/>
    </row>
    <row r="16870" spans="38:38" x14ac:dyDescent="0.2">
      <c r="AL16870" s="177"/>
    </row>
    <row r="16871" spans="38:38" x14ac:dyDescent="0.2">
      <c r="AL16871" s="177"/>
    </row>
    <row r="16872" spans="38:38" x14ac:dyDescent="0.2">
      <c r="AL16872" s="177"/>
    </row>
    <row r="16873" spans="38:38" x14ac:dyDescent="0.2">
      <c r="AL16873" s="177"/>
    </row>
    <row r="16874" spans="38:38" x14ac:dyDescent="0.2">
      <c r="AL16874" s="177"/>
    </row>
    <row r="16875" spans="38:38" x14ac:dyDescent="0.2">
      <c r="AL16875" s="177"/>
    </row>
    <row r="16876" spans="38:38" x14ac:dyDescent="0.2">
      <c r="AL16876" s="177"/>
    </row>
    <row r="16877" spans="38:38" x14ac:dyDescent="0.2">
      <c r="AL16877" s="177"/>
    </row>
    <row r="16878" spans="38:38" x14ac:dyDescent="0.2">
      <c r="AL16878" s="177"/>
    </row>
    <row r="16879" spans="38:38" x14ac:dyDescent="0.2">
      <c r="AL16879" s="177"/>
    </row>
    <row r="16880" spans="38:38" x14ac:dyDescent="0.2">
      <c r="AL16880" s="177"/>
    </row>
    <row r="16881" spans="38:38" x14ac:dyDescent="0.2">
      <c r="AL16881" s="177"/>
    </row>
    <row r="16882" spans="38:38" x14ac:dyDescent="0.2">
      <c r="AL16882" s="177"/>
    </row>
    <row r="16883" spans="38:38" x14ac:dyDescent="0.2">
      <c r="AL16883" s="177"/>
    </row>
    <row r="16884" spans="38:38" x14ac:dyDescent="0.2">
      <c r="AL16884" s="177"/>
    </row>
    <row r="16885" spans="38:38" x14ac:dyDescent="0.2">
      <c r="AL16885" s="177"/>
    </row>
    <row r="16886" spans="38:38" x14ac:dyDescent="0.2">
      <c r="AL16886" s="177"/>
    </row>
    <row r="16887" spans="38:38" x14ac:dyDescent="0.2">
      <c r="AL16887" s="177"/>
    </row>
    <row r="16888" spans="38:38" x14ac:dyDescent="0.2">
      <c r="AL16888" s="177"/>
    </row>
    <row r="16889" spans="38:38" x14ac:dyDescent="0.2">
      <c r="AL16889" s="177"/>
    </row>
    <row r="16890" spans="38:38" x14ac:dyDescent="0.2">
      <c r="AL16890" s="177"/>
    </row>
    <row r="16891" spans="38:38" x14ac:dyDescent="0.2">
      <c r="AL16891" s="177"/>
    </row>
    <row r="16892" spans="38:38" x14ac:dyDescent="0.2">
      <c r="AL16892" s="177"/>
    </row>
    <row r="16893" spans="38:38" x14ac:dyDescent="0.2">
      <c r="AL16893" s="177"/>
    </row>
    <row r="16894" spans="38:38" x14ac:dyDescent="0.2">
      <c r="AL16894" s="177"/>
    </row>
    <row r="16895" spans="38:38" x14ac:dyDescent="0.2">
      <c r="AL16895" s="177"/>
    </row>
    <row r="16896" spans="38:38" x14ac:dyDescent="0.2">
      <c r="AL16896" s="177"/>
    </row>
    <row r="16897" spans="38:38" x14ac:dyDescent="0.2">
      <c r="AL16897" s="177"/>
    </row>
    <row r="16898" spans="38:38" x14ac:dyDescent="0.2">
      <c r="AL16898" s="177"/>
    </row>
    <row r="16899" spans="38:38" x14ac:dyDescent="0.2">
      <c r="AL16899" s="177"/>
    </row>
    <row r="16900" spans="38:38" x14ac:dyDescent="0.2">
      <c r="AL16900" s="177"/>
    </row>
    <row r="16901" spans="38:38" x14ac:dyDescent="0.2">
      <c r="AL16901" s="177"/>
    </row>
    <row r="16902" spans="38:38" x14ac:dyDescent="0.2">
      <c r="AL16902" s="177"/>
    </row>
    <row r="16903" spans="38:38" x14ac:dyDescent="0.2">
      <c r="AL16903" s="177"/>
    </row>
    <row r="16904" spans="38:38" x14ac:dyDescent="0.2">
      <c r="AL16904" s="177"/>
    </row>
    <row r="16905" spans="38:38" x14ac:dyDescent="0.2">
      <c r="AL16905" s="177"/>
    </row>
    <row r="16906" spans="38:38" x14ac:dyDescent="0.2">
      <c r="AL16906" s="177"/>
    </row>
    <row r="16907" spans="38:38" x14ac:dyDescent="0.2">
      <c r="AL16907" s="177"/>
    </row>
    <row r="16908" spans="38:38" x14ac:dyDescent="0.2">
      <c r="AL16908" s="177"/>
    </row>
    <row r="16909" spans="38:38" x14ac:dyDescent="0.2">
      <c r="AL16909" s="177"/>
    </row>
    <row r="16910" spans="38:38" x14ac:dyDescent="0.2">
      <c r="AL16910" s="177"/>
    </row>
    <row r="16911" spans="38:38" x14ac:dyDescent="0.2">
      <c r="AL16911" s="177"/>
    </row>
    <row r="16912" spans="38:38" x14ac:dyDescent="0.2">
      <c r="AL16912" s="177"/>
    </row>
    <row r="16913" spans="38:38" x14ac:dyDescent="0.2">
      <c r="AL16913" s="177"/>
    </row>
    <row r="16914" spans="38:38" x14ac:dyDescent="0.2">
      <c r="AL16914" s="177"/>
    </row>
    <row r="16915" spans="38:38" x14ac:dyDescent="0.2">
      <c r="AL16915" s="177"/>
    </row>
    <row r="16916" spans="38:38" x14ac:dyDescent="0.2">
      <c r="AL16916" s="177"/>
    </row>
    <row r="16917" spans="38:38" x14ac:dyDescent="0.2">
      <c r="AL16917" s="177"/>
    </row>
    <row r="16918" spans="38:38" x14ac:dyDescent="0.2">
      <c r="AL16918" s="177"/>
    </row>
    <row r="16919" spans="38:38" x14ac:dyDescent="0.2">
      <c r="AL16919" s="177"/>
    </row>
    <row r="16920" spans="38:38" x14ac:dyDescent="0.2">
      <c r="AL16920" s="177"/>
    </row>
    <row r="16921" spans="38:38" x14ac:dyDescent="0.2">
      <c r="AL16921" s="177"/>
    </row>
    <row r="16922" spans="38:38" x14ac:dyDescent="0.2">
      <c r="AL16922" s="177"/>
    </row>
    <row r="16923" spans="38:38" x14ac:dyDescent="0.2">
      <c r="AL16923" s="177"/>
    </row>
    <row r="16924" spans="38:38" x14ac:dyDescent="0.2">
      <c r="AL16924" s="177"/>
    </row>
    <row r="16925" spans="38:38" x14ac:dyDescent="0.2">
      <c r="AL16925" s="177"/>
    </row>
    <row r="16926" spans="38:38" x14ac:dyDescent="0.2">
      <c r="AL16926" s="177"/>
    </row>
    <row r="16927" spans="38:38" x14ac:dyDescent="0.2">
      <c r="AL16927" s="177"/>
    </row>
    <row r="16928" spans="38:38" x14ac:dyDescent="0.2">
      <c r="AL16928" s="177"/>
    </row>
    <row r="16929" spans="38:38" x14ac:dyDescent="0.2">
      <c r="AL16929" s="177"/>
    </row>
    <row r="16930" spans="38:38" x14ac:dyDescent="0.2">
      <c r="AL16930" s="177"/>
    </row>
    <row r="16931" spans="38:38" x14ac:dyDescent="0.2">
      <c r="AL16931" s="177"/>
    </row>
    <row r="16932" spans="38:38" x14ac:dyDescent="0.2">
      <c r="AL16932" s="177"/>
    </row>
    <row r="16933" spans="38:38" x14ac:dyDescent="0.2">
      <c r="AL16933" s="177"/>
    </row>
    <row r="16934" spans="38:38" x14ac:dyDescent="0.2">
      <c r="AL16934" s="177"/>
    </row>
    <row r="16935" spans="38:38" x14ac:dyDescent="0.2">
      <c r="AL16935" s="177"/>
    </row>
    <row r="16936" spans="38:38" x14ac:dyDescent="0.2">
      <c r="AL16936" s="177"/>
    </row>
    <row r="16937" spans="38:38" x14ac:dyDescent="0.2">
      <c r="AL16937" s="177"/>
    </row>
    <row r="16938" spans="38:38" x14ac:dyDescent="0.2">
      <c r="AL16938" s="177"/>
    </row>
    <row r="16939" spans="38:38" x14ac:dyDescent="0.2">
      <c r="AL16939" s="177"/>
    </row>
    <row r="16940" spans="38:38" x14ac:dyDescent="0.2">
      <c r="AL16940" s="177"/>
    </row>
    <row r="16941" spans="38:38" x14ac:dyDescent="0.2">
      <c r="AL16941" s="177"/>
    </row>
    <row r="16942" spans="38:38" x14ac:dyDescent="0.2">
      <c r="AL16942" s="177"/>
    </row>
    <row r="16943" spans="38:38" x14ac:dyDescent="0.2">
      <c r="AL16943" s="177"/>
    </row>
    <row r="16944" spans="38:38" x14ac:dyDescent="0.2">
      <c r="AL16944" s="177"/>
    </row>
    <row r="16945" spans="38:38" x14ac:dyDescent="0.2">
      <c r="AL16945" s="177"/>
    </row>
    <row r="16946" spans="38:38" x14ac:dyDescent="0.2">
      <c r="AL16946" s="177"/>
    </row>
    <row r="16947" spans="38:38" x14ac:dyDescent="0.2">
      <c r="AL16947" s="177"/>
    </row>
    <row r="16948" spans="38:38" x14ac:dyDescent="0.2">
      <c r="AL16948" s="177"/>
    </row>
    <row r="16949" spans="38:38" x14ac:dyDescent="0.2">
      <c r="AL16949" s="177"/>
    </row>
    <row r="16950" spans="38:38" x14ac:dyDescent="0.2">
      <c r="AL16950" s="177"/>
    </row>
    <row r="16951" spans="38:38" x14ac:dyDescent="0.2">
      <c r="AL16951" s="177"/>
    </row>
    <row r="16952" spans="38:38" x14ac:dyDescent="0.2">
      <c r="AL16952" s="177"/>
    </row>
    <row r="16953" spans="38:38" x14ac:dyDescent="0.2">
      <c r="AL16953" s="177"/>
    </row>
    <row r="16954" spans="38:38" x14ac:dyDescent="0.2">
      <c r="AL16954" s="177"/>
    </row>
    <row r="16955" spans="38:38" x14ac:dyDescent="0.2">
      <c r="AL16955" s="177"/>
    </row>
    <row r="16956" spans="38:38" x14ac:dyDescent="0.2">
      <c r="AL16956" s="177"/>
    </row>
    <row r="16957" spans="38:38" x14ac:dyDescent="0.2">
      <c r="AL16957" s="177"/>
    </row>
    <row r="16958" spans="38:38" x14ac:dyDescent="0.2">
      <c r="AL16958" s="177"/>
    </row>
    <row r="16959" spans="38:38" x14ac:dyDescent="0.2">
      <c r="AL16959" s="177"/>
    </row>
    <row r="16960" spans="38:38" x14ac:dyDescent="0.2">
      <c r="AL16960" s="177"/>
    </row>
    <row r="16961" spans="38:38" x14ac:dyDescent="0.2">
      <c r="AL16961" s="177"/>
    </row>
    <row r="16962" spans="38:38" x14ac:dyDescent="0.2">
      <c r="AL16962" s="177"/>
    </row>
    <row r="16963" spans="38:38" x14ac:dyDescent="0.2">
      <c r="AL16963" s="177"/>
    </row>
    <row r="16964" spans="38:38" x14ac:dyDescent="0.2">
      <c r="AL16964" s="177"/>
    </row>
    <row r="16965" spans="38:38" x14ac:dyDescent="0.2">
      <c r="AL16965" s="177"/>
    </row>
    <row r="16966" spans="38:38" x14ac:dyDescent="0.2">
      <c r="AL16966" s="177"/>
    </row>
    <row r="16967" spans="38:38" x14ac:dyDescent="0.2">
      <c r="AL16967" s="177"/>
    </row>
    <row r="16968" spans="38:38" x14ac:dyDescent="0.2">
      <c r="AL16968" s="177"/>
    </row>
    <row r="16969" spans="38:38" x14ac:dyDescent="0.2">
      <c r="AL16969" s="177"/>
    </row>
    <row r="16970" spans="38:38" x14ac:dyDescent="0.2">
      <c r="AL16970" s="177"/>
    </row>
    <row r="16971" spans="38:38" x14ac:dyDescent="0.2">
      <c r="AL16971" s="177"/>
    </row>
    <row r="16972" spans="38:38" x14ac:dyDescent="0.2">
      <c r="AL16972" s="177"/>
    </row>
    <row r="16973" spans="38:38" x14ac:dyDescent="0.2">
      <c r="AL16973" s="177"/>
    </row>
    <row r="16974" spans="38:38" x14ac:dyDescent="0.2">
      <c r="AL16974" s="177"/>
    </row>
    <row r="16975" spans="38:38" x14ac:dyDescent="0.2">
      <c r="AL16975" s="177"/>
    </row>
    <row r="16976" spans="38:38" x14ac:dyDescent="0.2">
      <c r="AL16976" s="177"/>
    </row>
    <row r="16977" spans="38:38" x14ac:dyDescent="0.2">
      <c r="AL16977" s="177"/>
    </row>
    <row r="16978" spans="38:38" x14ac:dyDescent="0.2">
      <c r="AL16978" s="177"/>
    </row>
    <row r="16979" spans="38:38" x14ac:dyDescent="0.2">
      <c r="AL16979" s="177"/>
    </row>
    <row r="16980" spans="38:38" x14ac:dyDescent="0.2">
      <c r="AL16980" s="177"/>
    </row>
    <row r="16981" spans="38:38" x14ac:dyDescent="0.2">
      <c r="AL16981" s="177"/>
    </row>
    <row r="16982" spans="38:38" x14ac:dyDescent="0.2">
      <c r="AL16982" s="177"/>
    </row>
    <row r="16983" spans="38:38" x14ac:dyDescent="0.2">
      <c r="AL16983" s="177"/>
    </row>
    <row r="16984" spans="38:38" x14ac:dyDescent="0.2">
      <c r="AL16984" s="177"/>
    </row>
    <row r="16985" spans="38:38" x14ac:dyDescent="0.2">
      <c r="AL16985" s="177"/>
    </row>
    <row r="16986" spans="38:38" x14ac:dyDescent="0.2">
      <c r="AL16986" s="177"/>
    </row>
    <row r="16987" spans="38:38" x14ac:dyDescent="0.2">
      <c r="AL16987" s="177"/>
    </row>
    <row r="16988" spans="38:38" x14ac:dyDescent="0.2">
      <c r="AL16988" s="177"/>
    </row>
    <row r="16989" spans="38:38" x14ac:dyDescent="0.2">
      <c r="AL16989" s="177"/>
    </row>
    <row r="16990" spans="38:38" x14ac:dyDescent="0.2">
      <c r="AL16990" s="177"/>
    </row>
    <row r="16991" spans="38:38" x14ac:dyDescent="0.2">
      <c r="AL16991" s="177"/>
    </row>
    <row r="16992" spans="38:38" x14ac:dyDescent="0.2">
      <c r="AL16992" s="177"/>
    </row>
    <row r="16993" spans="38:38" x14ac:dyDescent="0.2">
      <c r="AL16993" s="177"/>
    </row>
    <row r="16994" spans="38:38" x14ac:dyDescent="0.2">
      <c r="AL16994" s="177"/>
    </row>
    <row r="16995" spans="38:38" x14ac:dyDescent="0.2">
      <c r="AL16995" s="177"/>
    </row>
    <row r="16996" spans="38:38" x14ac:dyDescent="0.2">
      <c r="AL16996" s="177"/>
    </row>
    <row r="16997" spans="38:38" x14ac:dyDescent="0.2">
      <c r="AL16997" s="177"/>
    </row>
    <row r="16998" spans="38:38" x14ac:dyDescent="0.2">
      <c r="AL16998" s="177"/>
    </row>
    <row r="16999" spans="38:38" x14ac:dyDescent="0.2">
      <c r="AL16999" s="177"/>
    </row>
    <row r="17000" spans="38:38" x14ac:dyDescent="0.2">
      <c r="AL17000" s="177"/>
    </row>
    <row r="17001" spans="38:38" x14ac:dyDescent="0.2">
      <c r="AL17001" s="177"/>
    </row>
    <row r="17002" spans="38:38" x14ac:dyDescent="0.2">
      <c r="AL17002" s="177"/>
    </row>
    <row r="17003" spans="38:38" x14ac:dyDescent="0.2">
      <c r="AL17003" s="177"/>
    </row>
    <row r="17004" spans="38:38" x14ac:dyDescent="0.2">
      <c r="AL17004" s="177"/>
    </row>
    <row r="17005" spans="38:38" x14ac:dyDescent="0.2">
      <c r="AL17005" s="177"/>
    </row>
    <row r="17006" spans="38:38" x14ac:dyDescent="0.2">
      <c r="AL17006" s="177"/>
    </row>
    <row r="17007" spans="38:38" x14ac:dyDescent="0.2">
      <c r="AL17007" s="177"/>
    </row>
    <row r="17008" spans="38:38" x14ac:dyDescent="0.2">
      <c r="AL17008" s="177"/>
    </row>
    <row r="17009" spans="38:38" x14ac:dyDescent="0.2">
      <c r="AL17009" s="177"/>
    </row>
    <row r="17010" spans="38:38" x14ac:dyDescent="0.2">
      <c r="AL17010" s="177"/>
    </row>
    <row r="17011" spans="38:38" x14ac:dyDescent="0.2">
      <c r="AL17011" s="177"/>
    </row>
    <row r="17012" spans="38:38" x14ac:dyDescent="0.2">
      <c r="AL17012" s="177"/>
    </row>
    <row r="17013" spans="38:38" x14ac:dyDescent="0.2">
      <c r="AL17013" s="177"/>
    </row>
    <row r="17014" spans="38:38" x14ac:dyDescent="0.2">
      <c r="AL17014" s="177"/>
    </row>
    <row r="17015" spans="38:38" x14ac:dyDescent="0.2">
      <c r="AL17015" s="177"/>
    </row>
    <row r="17016" spans="38:38" x14ac:dyDescent="0.2">
      <c r="AL17016" s="177"/>
    </row>
    <row r="17017" spans="38:38" x14ac:dyDescent="0.2">
      <c r="AL17017" s="177"/>
    </row>
    <row r="17018" spans="38:38" x14ac:dyDescent="0.2">
      <c r="AL17018" s="177"/>
    </row>
    <row r="17019" spans="38:38" x14ac:dyDescent="0.2">
      <c r="AL17019" s="177"/>
    </row>
    <row r="17020" spans="38:38" x14ac:dyDescent="0.2">
      <c r="AL17020" s="177"/>
    </row>
    <row r="17021" spans="38:38" x14ac:dyDescent="0.2">
      <c r="AL17021" s="177"/>
    </row>
    <row r="17022" spans="38:38" x14ac:dyDescent="0.2">
      <c r="AL17022" s="177"/>
    </row>
    <row r="17023" spans="38:38" x14ac:dyDescent="0.2">
      <c r="AL17023" s="177"/>
    </row>
    <row r="17024" spans="38:38" x14ac:dyDescent="0.2">
      <c r="AL17024" s="177"/>
    </row>
    <row r="17025" spans="38:38" x14ac:dyDescent="0.2">
      <c r="AL17025" s="177"/>
    </row>
    <row r="17026" spans="38:38" x14ac:dyDescent="0.2">
      <c r="AL17026" s="177"/>
    </row>
    <row r="17027" spans="38:38" x14ac:dyDescent="0.2">
      <c r="AL17027" s="177"/>
    </row>
    <row r="17028" spans="38:38" x14ac:dyDescent="0.2">
      <c r="AL17028" s="177"/>
    </row>
    <row r="17029" spans="38:38" x14ac:dyDescent="0.2">
      <c r="AL17029" s="177"/>
    </row>
    <row r="17030" spans="38:38" x14ac:dyDescent="0.2">
      <c r="AL17030" s="177"/>
    </row>
    <row r="17031" spans="38:38" x14ac:dyDescent="0.2">
      <c r="AL17031" s="177"/>
    </row>
    <row r="17032" spans="38:38" x14ac:dyDescent="0.2">
      <c r="AL17032" s="177"/>
    </row>
    <row r="17033" spans="38:38" x14ac:dyDescent="0.2">
      <c r="AL17033" s="177"/>
    </row>
    <row r="17034" spans="38:38" x14ac:dyDescent="0.2">
      <c r="AL17034" s="177"/>
    </row>
    <row r="17035" spans="38:38" x14ac:dyDescent="0.2">
      <c r="AL17035" s="177"/>
    </row>
    <row r="17036" spans="38:38" x14ac:dyDescent="0.2">
      <c r="AL17036" s="177"/>
    </row>
    <row r="17037" spans="38:38" x14ac:dyDescent="0.2">
      <c r="AL17037" s="177"/>
    </row>
    <row r="17038" spans="38:38" x14ac:dyDescent="0.2">
      <c r="AL17038" s="177"/>
    </row>
    <row r="17039" spans="38:38" x14ac:dyDescent="0.2">
      <c r="AL17039" s="177"/>
    </row>
    <row r="17040" spans="38:38" x14ac:dyDescent="0.2">
      <c r="AL17040" s="177"/>
    </row>
    <row r="17041" spans="38:38" x14ac:dyDescent="0.2">
      <c r="AL17041" s="177"/>
    </row>
    <row r="17042" spans="38:38" x14ac:dyDescent="0.2">
      <c r="AL17042" s="177"/>
    </row>
    <row r="17043" spans="38:38" x14ac:dyDescent="0.2">
      <c r="AL17043" s="177"/>
    </row>
    <row r="17044" spans="38:38" x14ac:dyDescent="0.2">
      <c r="AL17044" s="177"/>
    </row>
    <row r="17045" spans="38:38" x14ac:dyDescent="0.2">
      <c r="AL17045" s="177"/>
    </row>
    <row r="17046" spans="38:38" x14ac:dyDescent="0.2">
      <c r="AL17046" s="177"/>
    </row>
    <row r="17047" spans="38:38" x14ac:dyDescent="0.2">
      <c r="AL17047" s="177"/>
    </row>
    <row r="17048" spans="38:38" x14ac:dyDescent="0.2">
      <c r="AL17048" s="177"/>
    </row>
    <row r="17049" spans="38:38" x14ac:dyDescent="0.2">
      <c r="AL17049" s="177"/>
    </row>
    <row r="17050" spans="38:38" x14ac:dyDescent="0.2">
      <c r="AL17050" s="177"/>
    </row>
    <row r="17051" spans="38:38" x14ac:dyDescent="0.2">
      <c r="AL17051" s="177"/>
    </row>
    <row r="17052" spans="38:38" x14ac:dyDescent="0.2">
      <c r="AL17052" s="177"/>
    </row>
    <row r="17053" spans="38:38" x14ac:dyDescent="0.2">
      <c r="AL17053" s="177"/>
    </row>
    <row r="17054" spans="38:38" x14ac:dyDescent="0.2">
      <c r="AL17054" s="177"/>
    </row>
    <row r="17055" spans="38:38" x14ac:dyDescent="0.2">
      <c r="AL17055" s="177"/>
    </row>
    <row r="17056" spans="38:38" x14ac:dyDescent="0.2">
      <c r="AL17056" s="177"/>
    </row>
    <row r="17057" spans="38:38" x14ac:dyDescent="0.2">
      <c r="AL17057" s="177"/>
    </row>
    <row r="17058" spans="38:38" x14ac:dyDescent="0.2">
      <c r="AL17058" s="177"/>
    </row>
    <row r="17059" spans="38:38" x14ac:dyDescent="0.2">
      <c r="AL17059" s="177"/>
    </row>
    <row r="17060" spans="38:38" x14ac:dyDescent="0.2">
      <c r="AL17060" s="177"/>
    </row>
    <row r="17061" spans="38:38" x14ac:dyDescent="0.2">
      <c r="AL17061" s="177"/>
    </row>
    <row r="17062" spans="38:38" x14ac:dyDescent="0.2">
      <c r="AL17062" s="177"/>
    </row>
    <row r="17063" spans="38:38" x14ac:dyDescent="0.2">
      <c r="AL17063" s="177"/>
    </row>
    <row r="17064" spans="38:38" x14ac:dyDescent="0.2">
      <c r="AL17064" s="177"/>
    </row>
    <row r="17065" spans="38:38" x14ac:dyDescent="0.2">
      <c r="AL17065" s="177"/>
    </row>
    <row r="17066" spans="38:38" x14ac:dyDescent="0.2">
      <c r="AL17066" s="177"/>
    </row>
    <row r="17067" spans="38:38" x14ac:dyDescent="0.2">
      <c r="AL17067" s="177"/>
    </row>
    <row r="17068" spans="38:38" x14ac:dyDescent="0.2">
      <c r="AL17068" s="177"/>
    </row>
    <row r="17069" spans="38:38" x14ac:dyDescent="0.2">
      <c r="AL17069" s="177"/>
    </row>
    <row r="17070" spans="38:38" x14ac:dyDescent="0.2">
      <c r="AL17070" s="177"/>
    </row>
    <row r="17071" spans="38:38" x14ac:dyDescent="0.2">
      <c r="AL17071" s="177"/>
    </row>
    <row r="17072" spans="38:38" x14ac:dyDescent="0.2">
      <c r="AL17072" s="177"/>
    </row>
    <row r="17073" spans="38:38" x14ac:dyDescent="0.2">
      <c r="AL17073" s="177"/>
    </row>
    <row r="17074" spans="38:38" x14ac:dyDescent="0.2">
      <c r="AL17074" s="177"/>
    </row>
    <row r="17075" spans="38:38" x14ac:dyDescent="0.2">
      <c r="AL17075" s="177"/>
    </row>
    <row r="17076" spans="38:38" x14ac:dyDescent="0.2">
      <c r="AL17076" s="177"/>
    </row>
    <row r="17077" spans="38:38" x14ac:dyDescent="0.2">
      <c r="AL17077" s="177"/>
    </row>
    <row r="17078" spans="38:38" x14ac:dyDescent="0.2">
      <c r="AL17078" s="177"/>
    </row>
    <row r="17079" spans="38:38" x14ac:dyDescent="0.2">
      <c r="AL17079" s="177"/>
    </row>
    <row r="17080" spans="38:38" x14ac:dyDescent="0.2">
      <c r="AL17080" s="177"/>
    </row>
    <row r="17081" spans="38:38" x14ac:dyDescent="0.2">
      <c r="AL17081" s="177"/>
    </row>
    <row r="17082" spans="38:38" x14ac:dyDescent="0.2">
      <c r="AL17082" s="177"/>
    </row>
    <row r="17083" spans="38:38" x14ac:dyDescent="0.2">
      <c r="AL17083" s="177"/>
    </row>
    <row r="17084" spans="38:38" x14ac:dyDescent="0.2">
      <c r="AL17084" s="177"/>
    </row>
    <row r="17085" spans="38:38" x14ac:dyDescent="0.2">
      <c r="AL17085" s="177"/>
    </row>
    <row r="17086" spans="38:38" x14ac:dyDescent="0.2">
      <c r="AL17086" s="177"/>
    </row>
    <row r="17087" spans="38:38" x14ac:dyDescent="0.2">
      <c r="AL17087" s="177"/>
    </row>
    <row r="17088" spans="38:38" x14ac:dyDescent="0.2">
      <c r="AL17088" s="177"/>
    </row>
    <row r="17089" spans="38:38" x14ac:dyDescent="0.2">
      <c r="AL17089" s="177"/>
    </row>
    <row r="17090" spans="38:38" x14ac:dyDescent="0.2">
      <c r="AL17090" s="177"/>
    </row>
    <row r="17091" spans="38:38" x14ac:dyDescent="0.2">
      <c r="AL17091" s="177"/>
    </row>
    <row r="17092" spans="38:38" x14ac:dyDescent="0.2">
      <c r="AL17092" s="177"/>
    </row>
    <row r="17093" spans="38:38" x14ac:dyDescent="0.2">
      <c r="AL17093" s="177"/>
    </row>
    <row r="17094" spans="38:38" x14ac:dyDescent="0.2">
      <c r="AL17094" s="177"/>
    </row>
    <row r="17095" spans="38:38" x14ac:dyDescent="0.2">
      <c r="AL17095" s="177"/>
    </row>
    <row r="17096" spans="38:38" x14ac:dyDescent="0.2">
      <c r="AL17096" s="177"/>
    </row>
    <row r="17097" spans="38:38" x14ac:dyDescent="0.2">
      <c r="AL17097" s="177"/>
    </row>
    <row r="17098" spans="38:38" x14ac:dyDescent="0.2">
      <c r="AL17098" s="177"/>
    </row>
    <row r="17099" spans="38:38" x14ac:dyDescent="0.2">
      <c r="AL17099" s="177"/>
    </row>
    <row r="17100" spans="38:38" x14ac:dyDescent="0.2">
      <c r="AL17100" s="177"/>
    </row>
    <row r="17101" spans="38:38" x14ac:dyDescent="0.2">
      <c r="AL17101" s="177"/>
    </row>
    <row r="17102" spans="38:38" x14ac:dyDescent="0.2">
      <c r="AL17102" s="177"/>
    </row>
    <row r="17103" spans="38:38" x14ac:dyDescent="0.2">
      <c r="AL17103" s="177"/>
    </row>
    <row r="17104" spans="38:38" x14ac:dyDescent="0.2">
      <c r="AL17104" s="177"/>
    </row>
    <row r="17105" spans="38:38" x14ac:dyDescent="0.2">
      <c r="AL17105" s="177"/>
    </row>
    <row r="17106" spans="38:38" x14ac:dyDescent="0.2">
      <c r="AL17106" s="177"/>
    </row>
    <row r="17107" spans="38:38" x14ac:dyDescent="0.2">
      <c r="AL17107" s="177"/>
    </row>
    <row r="17108" spans="38:38" x14ac:dyDescent="0.2">
      <c r="AL17108" s="177"/>
    </row>
    <row r="17109" spans="38:38" x14ac:dyDescent="0.2">
      <c r="AL17109" s="177"/>
    </row>
    <row r="17110" spans="38:38" x14ac:dyDescent="0.2">
      <c r="AL17110" s="177"/>
    </row>
    <row r="17111" spans="38:38" x14ac:dyDescent="0.2">
      <c r="AL17111" s="177"/>
    </row>
    <row r="17112" spans="38:38" x14ac:dyDescent="0.2">
      <c r="AL17112" s="177"/>
    </row>
    <row r="17113" spans="38:38" x14ac:dyDescent="0.2">
      <c r="AL17113" s="177"/>
    </row>
    <row r="17114" spans="38:38" x14ac:dyDescent="0.2">
      <c r="AL17114" s="177"/>
    </row>
    <row r="17115" spans="38:38" x14ac:dyDescent="0.2">
      <c r="AL17115" s="177"/>
    </row>
    <row r="17116" spans="38:38" x14ac:dyDescent="0.2">
      <c r="AL17116" s="177"/>
    </row>
    <row r="17117" spans="38:38" x14ac:dyDescent="0.2">
      <c r="AL17117" s="177"/>
    </row>
    <row r="17118" spans="38:38" x14ac:dyDescent="0.2">
      <c r="AL17118" s="177"/>
    </row>
    <row r="17119" spans="38:38" x14ac:dyDescent="0.2">
      <c r="AL17119" s="177"/>
    </row>
    <row r="17120" spans="38:38" x14ac:dyDescent="0.2">
      <c r="AL17120" s="177"/>
    </row>
    <row r="17121" spans="38:38" x14ac:dyDescent="0.2">
      <c r="AL17121" s="177"/>
    </row>
    <row r="17122" spans="38:38" x14ac:dyDescent="0.2">
      <c r="AL17122" s="177"/>
    </row>
    <row r="17123" spans="38:38" x14ac:dyDescent="0.2">
      <c r="AL17123" s="177"/>
    </row>
    <row r="17124" spans="38:38" x14ac:dyDescent="0.2">
      <c r="AL17124" s="177"/>
    </row>
    <row r="17125" spans="38:38" x14ac:dyDescent="0.2">
      <c r="AL17125" s="177"/>
    </row>
    <row r="17126" spans="38:38" x14ac:dyDescent="0.2">
      <c r="AL17126" s="177"/>
    </row>
    <row r="17127" spans="38:38" x14ac:dyDescent="0.2">
      <c r="AL17127" s="177"/>
    </row>
    <row r="17128" spans="38:38" x14ac:dyDescent="0.2">
      <c r="AL17128" s="177"/>
    </row>
    <row r="17129" spans="38:38" x14ac:dyDescent="0.2">
      <c r="AL17129" s="177"/>
    </row>
    <row r="17130" spans="38:38" x14ac:dyDescent="0.2">
      <c r="AL17130" s="177"/>
    </row>
    <row r="17131" spans="38:38" x14ac:dyDescent="0.2">
      <c r="AL17131" s="177"/>
    </row>
    <row r="17132" spans="38:38" x14ac:dyDescent="0.2">
      <c r="AL17132" s="177"/>
    </row>
    <row r="17133" spans="38:38" x14ac:dyDescent="0.2">
      <c r="AL17133" s="177"/>
    </row>
    <row r="17134" spans="38:38" x14ac:dyDescent="0.2">
      <c r="AL17134" s="177"/>
    </row>
    <row r="17135" spans="38:38" x14ac:dyDescent="0.2">
      <c r="AL17135" s="177"/>
    </row>
    <row r="17136" spans="38:38" x14ac:dyDescent="0.2">
      <c r="AL17136" s="177"/>
    </row>
    <row r="17137" spans="38:38" x14ac:dyDescent="0.2">
      <c r="AL17137" s="177"/>
    </row>
    <row r="17138" spans="38:38" x14ac:dyDescent="0.2">
      <c r="AL17138" s="177"/>
    </row>
    <row r="17139" spans="38:38" x14ac:dyDescent="0.2">
      <c r="AL17139" s="177"/>
    </row>
    <row r="17140" spans="38:38" x14ac:dyDescent="0.2">
      <c r="AL17140" s="177"/>
    </row>
    <row r="17141" spans="38:38" x14ac:dyDescent="0.2">
      <c r="AL17141" s="177"/>
    </row>
    <row r="17142" spans="38:38" x14ac:dyDescent="0.2">
      <c r="AL17142" s="177"/>
    </row>
    <row r="17143" spans="38:38" x14ac:dyDescent="0.2">
      <c r="AL17143" s="177"/>
    </row>
    <row r="17144" spans="38:38" x14ac:dyDescent="0.2">
      <c r="AL17144" s="177"/>
    </row>
    <row r="17145" spans="38:38" x14ac:dyDescent="0.2">
      <c r="AL17145" s="177"/>
    </row>
    <row r="17146" spans="38:38" x14ac:dyDescent="0.2">
      <c r="AL17146" s="177"/>
    </row>
    <row r="17147" spans="38:38" x14ac:dyDescent="0.2">
      <c r="AL17147" s="177"/>
    </row>
    <row r="17148" spans="38:38" x14ac:dyDescent="0.2">
      <c r="AL17148" s="177"/>
    </row>
    <row r="17149" spans="38:38" x14ac:dyDescent="0.2">
      <c r="AL17149" s="177"/>
    </row>
    <row r="17150" spans="38:38" x14ac:dyDescent="0.2">
      <c r="AL17150" s="177"/>
    </row>
    <row r="17151" spans="38:38" x14ac:dyDescent="0.2">
      <c r="AL17151" s="177"/>
    </row>
    <row r="17152" spans="38:38" x14ac:dyDescent="0.2">
      <c r="AL17152" s="177"/>
    </row>
    <row r="17153" spans="38:38" x14ac:dyDescent="0.2">
      <c r="AL17153" s="177"/>
    </row>
    <row r="17154" spans="38:38" x14ac:dyDescent="0.2">
      <c r="AL17154" s="177"/>
    </row>
    <row r="17155" spans="38:38" x14ac:dyDescent="0.2">
      <c r="AL17155" s="177"/>
    </row>
    <row r="17156" spans="38:38" x14ac:dyDescent="0.2">
      <c r="AL17156" s="177"/>
    </row>
    <row r="17157" spans="38:38" x14ac:dyDescent="0.2">
      <c r="AL17157" s="177"/>
    </row>
    <row r="17158" spans="38:38" x14ac:dyDescent="0.2">
      <c r="AL17158" s="177"/>
    </row>
    <row r="17159" spans="38:38" x14ac:dyDescent="0.2">
      <c r="AL17159" s="177"/>
    </row>
    <row r="17160" spans="38:38" x14ac:dyDescent="0.2">
      <c r="AL17160" s="177"/>
    </row>
    <row r="17161" spans="38:38" x14ac:dyDescent="0.2">
      <c r="AL17161" s="177"/>
    </row>
    <row r="17162" spans="38:38" x14ac:dyDescent="0.2">
      <c r="AL17162" s="177"/>
    </row>
    <row r="17163" spans="38:38" x14ac:dyDescent="0.2">
      <c r="AL17163" s="177"/>
    </row>
    <row r="17164" spans="38:38" x14ac:dyDescent="0.2">
      <c r="AL17164" s="177"/>
    </row>
    <row r="17165" spans="38:38" x14ac:dyDescent="0.2">
      <c r="AL17165" s="177"/>
    </row>
    <row r="17166" spans="38:38" x14ac:dyDescent="0.2">
      <c r="AL17166" s="177"/>
    </row>
    <row r="17167" spans="38:38" x14ac:dyDescent="0.2">
      <c r="AL17167" s="177"/>
    </row>
    <row r="17168" spans="38:38" x14ac:dyDescent="0.2">
      <c r="AL17168" s="177"/>
    </row>
    <row r="17169" spans="38:38" x14ac:dyDescent="0.2">
      <c r="AL17169" s="177"/>
    </row>
    <row r="17170" spans="38:38" x14ac:dyDescent="0.2">
      <c r="AL17170" s="177"/>
    </row>
    <row r="17171" spans="38:38" x14ac:dyDescent="0.2">
      <c r="AL17171" s="177"/>
    </row>
    <row r="17172" spans="38:38" x14ac:dyDescent="0.2">
      <c r="AL17172" s="177"/>
    </row>
    <row r="17173" spans="38:38" x14ac:dyDescent="0.2">
      <c r="AL17173" s="177"/>
    </row>
    <row r="17174" spans="38:38" x14ac:dyDescent="0.2">
      <c r="AL17174" s="177"/>
    </row>
    <row r="17175" spans="38:38" x14ac:dyDescent="0.2">
      <c r="AL17175" s="177"/>
    </row>
    <row r="17176" spans="38:38" x14ac:dyDescent="0.2">
      <c r="AL17176" s="177"/>
    </row>
    <row r="17177" spans="38:38" x14ac:dyDescent="0.2">
      <c r="AL17177" s="177"/>
    </row>
    <row r="17178" spans="38:38" x14ac:dyDescent="0.2">
      <c r="AL17178" s="177"/>
    </row>
    <row r="17179" spans="38:38" x14ac:dyDescent="0.2">
      <c r="AL17179" s="177"/>
    </row>
    <row r="17180" spans="38:38" x14ac:dyDescent="0.2">
      <c r="AL17180" s="177"/>
    </row>
    <row r="17181" spans="38:38" x14ac:dyDescent="0.2">
      <c r="AL17181" s="177"/>
    </row>
    <row r="17182" spans="38:38" x14ac:dyDescent="0.2">
      <c r="AL17182" s="177"/>
    </row>
    <row r="17183" spans="38:38" x14ac:dyDescent="0.2">
      <c r="AL17183" s="177"/>
    </row>
    <row r="17184" spans="38:38" x14ac:dyDescent="0.2">
      <c r="AL17184" s="177"/>
    </row>
    <row r="17185" spans="38:38" x14ac:dyDescent="0.2">
      <c r="AL17185" s="177"/>
    </row>
    <row r="17186" spans="38:38" x14ac:dyDescent="0.2">
      <c r="AL17186" s="177"/>
    </row>
    <row r="17187" spans="38:38" x14ac:dyDescent="0.2">
      <c r="AL17187" s="177"/>
    </row>
    <row r="17188" spans="38:38" x14ac:dyDescent="0.2">
      <c r="AL17188" s="177"/>
    </row>
    <row r="17189" spans="38:38" x14ac:dyDescent="0.2">
      <c r="AL17189" s="177"/>
    </row>
    <row r="17190" spans="38:38" x14ac:dyDescent="0.2">
      <c r="AL17190" s="177"/>
    </row>
    <row r="17191" spans="38:38" x14ac:dyDescent="0.2">
      <c r="AL17191" s="177"/>
    </row>
    <row r="17192" spans="38:38" x14ac:dyDescent="0.2">
      <c r="AL17192" s="177"/>
    </row>
    <row r="17193" spans="38:38" x14ac:dyDescent="0.2">
      <c r="AL17193" s="177"/>
    </row>
    <row r="17194" spans="38:38" x14ac:dyDescent="0.2">
      <c r="AL17194" s="177"/>
    </row>
    <row r="17195" spans="38:38" x14ac:dyDescent="0.2">
      <c r="AL17195" s="177"/>
    </row>
    <row r="17196" spans="38:38" x14ac:dyDescent="0.2">
      <c r="AL17196" s="177"/>
    </row>
    <row r="17197" spans="38:38" x14ac:dyDescent="0.2">
      <c r="AL17197" s="177"/>
    </row>
    <row r="17198" spans="38:38" x14ac:dyDescent="0.2">
      <c r="AL17198" s="177"/>
    </row>
    <row r="17199" spans="38:38" x14ac:dyDescent="0.2">
      <c r="AL17199" s="177"/>
    </row>
    <row r="17200" spans="38:38" x14ac:dyDescent="0.2">
      <c r="AL17200" s="177"/>
    </row>
    <row r="17201" spans="38:38" x14ac:dyDescent="0.2">
      <c r="AL17201" s="177"/>
    </row>
    <row r="17202" spans="38:38" x14ac:dyDescent="0.2">
      <c r="AL17202" s="177"/>
    </row>
    <row r="17203" spans="38:38" x14ac:dyDescent="0.2">
      <c r="AL17203" s="177"/>
    </row>
    <row r="17204" spans="38:38" x14ac:dyDescent="0.2">
      <c r="AL17204" s="177"/>
    </row>
    <row r="17205" spans="38:38" x14ac:dyDescent="0.2">
      <c r="AL17205" s="177"/>
    </row>
    <row r="17206" spans="38:38" x14ac:dyDescent="0.2">
      <c r="AL17206" s="177"/>
    </row>
    <row r="17207" spans="38:38" x14ac:dyDescent="0.2">
      <c r="AL17207" s="177"/>
    </row>
    <row r="17208" spans="38:38" x14ac:dyDescent="0.2">
      <c r="AL17208" s="177"/>
    </row>
    <row r="17209" spans="38:38" x14ac:dyDescent="0.2">
      <c r="AL17209" s="177"/>
    </row>
    <row r="17210" spans="38:38" x14ac:dyDescent="0.2">
      <c r="AL17210" s="177"/>
    </row>
    <row r="17211" spans="38:38" x14ac:dyDescent="0.2">
      <c r="AL17211" s="177"/>
    </row>
    <row r="17212" spans="38:38" x14ac:dyDescent="0.2">
      <c r="AL17212" s="177"/>
    </row>
    <row r="17213" spans="38:38" x14ac:dyDescent="0.2">
      <c r="AL17213" s="177"/>
    </row>
    <row r="17214" spans="38:38" x14ac:dyDescent="0.2">
      <c r="AL17214" s="177"/>
    </row>
    <row r="17215" spans="38:38" x14ac:dyDescent="0.2">
      <c r="AL17215" s="177"/>
    </row>
    <row r="17216" spans="38:38" x14ac:dyDescent="0.2">
      <c r="AL17216" s="177"/>
    </row>
    <row r="17217" spans="38:38" x14ac:dyDescent="0.2">
      <c r="AL17217" s="177"/>
    </row>
    <row r="17218" spans="38:38" x14ac:dyDescent="0.2">
      <c r="AL17218" s="177"/>
    </row>
    <row r="17219" spans="38:38" x14ac:dyDescent="0.2">
      <c r="AL17219" s="177"/>
    </row>
    <row r="17220" spans="38:38" x14ac:dyDescent="0.2">
      <c r="AL17220" s="177"/>
    </row>
    <row r="17221" spans="38:38" x14ac:dyDescent="0.2">
      <c r="AL17221" s="177"/>
    </row>
    <row r="17222" spans="38:38" x14ac:dyDescent="0.2">
      <c r="AL17222" s="177"/>
    </row>
    <row r="17223" spans="38:38" x14ac:dyDescent="0.2">
      <c r="AL17223" s="177"/>
    </row>
    <row r="17224" spans="38:38" x14ac:dyDescent="0.2">
      <c r="AL17224" s="177"/>
    </row>
    <row r="17225" spans="38:38" x14ac:dyDescent="0.2">
      <c r="AL17225" s="177"/>
    </row>
    <row r="17226" spans="38:38" x14ac:dyDescent="0.2">
      <c r="AL17226" s="177"/>
    </row>
    <row r="17227" spans="38:38" x14ac:dyDescent="0.2">
      <c r="AL17227" s="177"/>
    </row>
    <row r="17228" spans="38:38" x14ac:dyDescent="0.2">
      <c r="AL17228" s="177"/>
    </row>
    <row r="17229" spans="38:38" x14ac:dyDescent="0.2">
      <c r="AL17229" s="177"/>
    </row>
    <row r="17230" spans="38:38" x14ac:dyDescent="0.2">
      <c r="AL17230" s="177"/>
    </row>
    <row r="17231" spans="38:38" x14ac:dyDescent="0.2">
      <c r="AL17231" s="177"/>
    </row>
    <row r="17232" spans="38:38" x14ac:dyDescent="0.2">
      <c r="AL17232" s="177"/>
    </row>
    <row r="17233" spans="38:38" x14ac:dyDescent="0.2">
      <c r="AL17233" s="177"/>
    </row>
    <row r="17234" spans="38:38" x14ac:dyDescent="0.2">
      <c r="AL17234" s="177"/>
    </row>
    <row r="17235" spans="38:38" x14ac:dyDescent="0.2">
      <c r="AL17235" s="177"/>
    </row>
    <row r="17236" spans="38:38" x14ac:dyDescent="0.2">
      <c r="AL17236" s="177"/>
    </row>
    <row r="17237" spans="38:38" x14ac:dyDescent="0.2">
      <c r="AL17237" s="177"/>
    </row>
    <row r="17238" spans="38:38" x14ac:dyDescent="0.2">
      <c r="AL17238" s="177"/>
    </row>
    <row r="17239" spans="38:38" x14ac:dyDescent="0.2">
      <c r="AL17239" s="177"/>
    </row>
    <row r="17240" spans="38:38" x14ac:dyDescent="0.2">
      <c r="AL17240" s="177"/>
    </row>
    <row r="17241" spans="38:38" x14ac:dyDescent="0.2">
      <c r="AL17241" s="177"/>
    </row>
    <row r="17242" spans="38:38" x14ac:dyDescent="0.2">
      <c r="AL17242" s="177"/>
    </row>
    <row r="17243" spans="38:38" x14ac:dyDescent="0.2">
      <c r="AL17243" s="177"/>
    </row>
    <row r="17244" spans="38:38" x14ac:dyDescent="0.2">
      <c r="AL17244" s="177"/>
    </row>
    <row r="17245" spans="38:38" x14ac:dyDescent="0.2">
      <c r="AL17245" s="177"/>
    </row>
    <row r="17246" spans="38:38" x14ac:dyDescent="0.2">
      <c r="AL17246" s="177"/>
    </row>
    <row r="17247" spans="38:38" x14ac:dyDescent="0.2">
      <c r="AL17247" s="177"/>
    </row>
    <row r="17248" spans="38:38" x14ac:dyDescent="0.2">
      <c r="AL17248" s="177"/>
    </row>
    <row r="17249" spans="38:38" x14ac:dyDescent="0.2">
      <c r="AL17249" s="177"/>
    </row>
    <row r="17250" spans="38:38" x14ac:dyDescent="0.2">
      <c r="AL17250" s="177"/>
    </row>
    <row r="17251" spans="38:38" x14ac:dyDescent="0.2">
      <c r="AL17251" s="177"/>
    </row>
    <row r="17252" spans="38:38" x14ac:dyDescent="0.2">
      <c r="AL17252" s="177"/>
    </row>
    <row r="17253" spans="38:38" x14ac:dyDescent="0.2">
      <c r="AL17253" s="177"/>
    </row>
    <row r="17254" spans="38:38" x14ac:dyDescent="0.2">
      <c r="AL17254" s="177"/>
    </row>
    <row r="17255" spans="38:38" x14ac:dyDescent="0.2">
      <c r="AL17255" s="177"/>
    </row>
    <row r="17256" spans="38:38" x14ac:dyDescent="0.2">
      <c r="AL17256" s="177"/>
    </row>
    <row r="17257" spans="38:38" x14ac:dyDescent="0.2">
      <c r="AL17257" s="177"/>
    </row>
    <row r="17258" spans="38:38" x14ac:dyDescent="0.2">
      <c r="AL17258" s="177"/>
    </row>
    <row r="17259" spans="38:38" x14ac:dyDescent="0.2">
      <c r="AL17259" s="177"/>
    </row>
    <row r="17260" spans="38:38" x14ac:dyDescent="0.2">
      <c r="AL17260" s="177"/>
    </row>
    <row r="17261" spans="38:38" x14ac:dyDescent="0.2">
      <c r="AL17261" s="177"/>
    </row>
    <row r="17262" spans="38:38" x14ac:dyDescent="0.2">
      <c r="AL17262" s="177"/>
    </row>
    <row r="17263" spans="38:38" x14ac:dyDescent="0.2">
      <c r="AL17263" s="177"/>
    </row>
    <row r="17264" spans="38:38" x14ac:dyDescent="0.2">
      <c r="AL17264" s="177"/>
    </row>
    <row r="17265" spans="38:38" x14ac:dyDescent="0.2">
      <c r="AL17265" s="177"/>
    </row>
    <row r="17266" spans="38:38" x14ac:dyDescent="0.2">
      <c r="AL17266" s="177"/>
    </row>
    <row r="17267" spans="38:38" x14ac:dyDescent="0.2">
      <c r="AL17267" s="177"/>
    </row>
    <row r="17268" spans="38:38" x14ac:dyDescent="0.2">
      <c r="AL17268" s="177"/>
    </row>
    <row r="17269" spans="38:38" x14ac:dyDescent="0.2">
      <c r="AL17269" s="177"/>
    </row>
    <row r="17270" spans="38:38" x14ac:dyDescent="0.2">
      <c r="AL17270" s="177"/>
    </row>
    <row r="17271" spans="38:38" x14ac:dyDescent="0.2">
      <c r="AL17271" s="177"/>
    </row>
    <row r="17272" spans="38:38" x14ac:dyDescent="0.2">
      <c r="AL17272" s="177"/>
    </row>
    <row r="17273" spans="38:38" x14ac:dyDescent="0.2">
      <c r="AL17273" s="177"/>
    </row>
    <row r="17274" spans="38:38" x14ac:dyDescent="0.2">
      <c r="AL17274" s="177"/>
    </row>
    <row r="17275" spans="38:38" x14ac:dyDescent="0.2">
      <c r="AL17275" s="177"/>
    </row>
    <row r="17276" spans="38:38" x14ac:dyDescent="0.2">
      <c r="AL17276" s="177"/>
    </row>
    <row r="17277" spans="38:38" x14ac:dyDescent="0.2">
      <c r="AL17277" s="177"/>
    </row>
    <row r="17278" spans="38:38" x14ac:dyDescent="0.2">
      <c r="AL17278" s="177"/>
    </row>
    <row r="17279" spans="38:38" x14ac:dyDescent="0.2">
      <c r="AL17279" s="177"/>
    </row>
    <row r="17280" spans="38:38" x14ac:dyDescent="0.2">
      <c r="AL17280" s="177"/>
    </row>
    <row r="17281" spans="38:38" x14ac:dyDescent="0.2">
      <c r="AL17281" s="177"/>
    </row>
    <row r="17282" spans="38:38" x14ac:dyDescent="0.2">
      <c r="AL17282" s="177"/>
    </row>
    <row r="17283" spans="38:38" x14ac:dyDescent="0.2">
      <c r="AL17283" s="177"/>
    </row>
    <row r="17284" spans="38:38" x14ac:dyDescent="0.2">
      <c r="AL17284" s="177"/>
    </row>
    <row r="17285" spans="38:38" x14ac:dyDescent="0.2">
      <c r="AL17285" s="177"/>
    </row>
    <row r="17286" spans="38:38" x14ac:dyDescent="0.2">
      <c r="AL17286" s="177"/>
    </row>
    <row r="17287" spans="38:38" x14ac:dyDescent="0.2">
      <c r="AL17287" s="177"/>
    </row>
    <row r="17288" spans="38:38" x14ac:dyDescent="0.2">
      <c r="AL17288" s="177"/>
    </row>
    <row r="17289" spans="38:38" x14ac:dyDescent="0.2">
      <c r="AL17289" s="177"/>
    </row>
    <row r="17290" spans="38:38" x14ac:dyDescent="0.2">
      <c r="AL17290" s="177"/>
    </row>
    <row r="17291" spans="38:38" x14ac:dyDescent="0.2">
      <c r="AL17291" s="177"/>
    </row>
    <row r="17292" spans="38:38" x14ac:dyDescent="0.2">
      <c r="AL17292" s="177"/>
    </row>
    <row r="17293" spans="38:38" x14ac:dyDescent="0.2">
      <c r="AL17293" s="177"/>
    </row>
    <row r="17294" spans="38:38" x14ac:dyDescent="0.2">
      <c r="AL17294" s="177"/>
    </row>
    <row r="17295" spans="38:38" x14ac:dyDescent="0.2">
      <c r="AL17295" s="177"/>
    </row>
    <row r="17296" spans="38:38" x14ac:dyDescent="0.2">
      <c r="AL17296" s="177"/>
    </row>
    <row r="17297" spans="38:38" x14ac:dyDescent="0.2">
      <c r="AL17297" s="177"/>
    </row>
    <row r="17298" spans="38:38" x14ac:dyDescent="0.2">
      <c r="AL17298" s="177"/>
    </row>
    <row r="17299" spans="38:38" x14ac:dyDescent="0.2">
      <c r="AL17299" s="177"/>
    </row>
    <row r="17300" spans="38:38" x14ac:dyDescent="0.2">
      <c r="AL17300" s="177"/>
    </row>
    <row r="17301" spans="38:38" x14ac:dyDescent="0.2">
      <c r="AL17301" s="177"/>
    </row>
    <row r="17302" spans="38:38" x14ac:dyDescent="0.2">
      <c r="AL17302" s="177"/>
    </row>
    <row r="17303" spans="38:38" x14ac:dyDescent="0.2">
      <c r="AL17303" s="177"/>
    </row>
    <row r="17304" spans="38:38" x14ac:dyDescent="0.2">
      <c r="AL17304" s="177"/>
    </row>
    <row r="17305" spans="38:38" x14ac:dyDescent="0.2">
      <c r="AL17305" s="177"/>
    </row>
    <row r="17306" spans="38:38" x14ac:dyDescent="0.2">
      <c r="AL17306" s="177"/>
    </row>
    <row r="17307" spans="38:38" x14ac:dyDescent="0.2">
      <c r="AL17307" s="177"/>
    </row>
    <row r="17308" spans="38:38" x14ac:dyDescent="0.2">
      <c r="AL17308" s="177"/>
    </row>
    <row r="17309" spans="38:38" x14ac:dyDescent="0.2">
      <c r="AL17309" s="177"/>
    </row>
    <row r="17310" spans="38:38" x14ac:dyDescent="0.2">
      <c r="AL17310" s="177"/>
    </row>
    <row r="17311" spans="38:38" x14ac:dyDescent="0.2">
      <c r="AL17311" s="177"/>
    </row>
    <row r="17312" spans="38:38" x14ac:dyDescent="0.2">
      <c r="AL17312" s="177"/>
    </row>
    <row r="17313" spans="38:38" x14ac:dyDescent="0.2">
      <c r="AL17313" s="177"/>
    </row>
    <row r="17314" spans="38:38" x14ac:dyDescent="0.2">
      <c r="AL17314" s="177"/>
    </row>
    <row r="17315" spans="38:38" x14ac:dyDescent="0.2">
      <c r="AL17315" s="177"/>
    </row>
    <row r="17316" spans="38:38" x14ac:dyDescent="0.2">
      <c r="AL17316" s="177"/>
    </row>
    <row r="17317" spans="38:38" x14ac:dyDescent="0.2">
      <c r="AL17317" s="177"/>
    </row>
    <row r="17318" spans="38:38" x14ac:dyDescent="0.2">
      <c r="AL17318" s="177"/>
    </row>
    <row r="17319" spans="38:38" x14ac:dyDescent="0.2">
      <c r="AL17319" s="177"/>
    </row>
    <row r="17320" spans="38:38" x14ac:dyDescent="0.2">
      <c r="AL17320" s="177"/>
    </row>
    <row r="17321" spans="38:38" x14ac:dyDescent="0.2">
      <c r="AL17321" s="177"/>
    </row>
    <row r="17322" spans="38:38" x14ac:dyDescent="0.2">
      <c r="AL17322" s="177"/>
    </row>
    <row r="17323" spans="38:38" x14ac:dyDescent="0.2">
      <c r="AL17323" s="177"/>
    </row>
    <row r="17324" spans="38:38" x14ac:dyDescent="0.2">
      <c r="AL17324" s="177"/>
    </row>
    <row r="17325" spans="38:38" x14ac:dyDescent="0.2">
      <c r="AL17325" s="177"/>
    </row>
    <row r="17326" spans="38:38" x14ac:dyDescent="0.2">
      <c r="AL17326" s="177"/>
    </row>
    <row r="17327" spans="38:38" x14ac:dyDescent="0.2">
      <c r="AL17327" s="177"/>
    </row>
    <row r="17328" spans="38:38" x14ac:dyDescent="0.2">
      <c r="AL17328" s="177"/>
    </row>
    <row r="17329" spans="38:38" x14ac:dyDescent="0.2">
      <c r="AL17329" s="177"/>
    </row>
    <row r="17330" spans="38:38" x14ac:dyDescent="0.2">
      <c r="AL17330" s="177"/>
    </row>
    <row r="17331" spans="38:38" x14ac:dyDescent="0.2">
      <c r="AL17331" s="177"/>
    </row>
    <row r="17332" spans="38:38" x14ac:dyDescent="0.2">
      <c r="AL17332" s="177"/>
    </row>
    <row r="17333" spans="38:38" x14ac:dyDescent="0.2">
      <c r="AL17333" s="177"/>
    </row>
    <row r="17334" spans="38:38" x14ac:dyDescent="0.2">
      <c r="AL17334" s="177"/>
    </row>
    <row r="17335" spans="38:38" x14ac:dyDescent="0.2">
      <c r="AL17335" s="177"/>
    </row>
    <row r="17336" spans="38:38" x14ac:dyDescent="0.2">
      <c r="AL17336" s="177"/>
    </row>
    <row r="17337" spans="38:38" x14ac:dyDescent="0.2">
      <c r="AL17337" s="177"/>
    </row>
    <row r="17338" spans="38:38" x14ac:dyDescent="0.2">
      <c r="AL17338" s="177"/>
    </row>
    <row r="17339" spans="38:38" x14ac:dyDescent="0.2">
      <c r="AL17339" s="177"/>
    </row>
    <row r="17340" spans="38:38" x14ac:dyDescent="0.2">
      <c r="AL17340" s="177"/>
    </row>
    <row r="17341" spans="38:38" x14ac:dyDescent="0.2">
      <c r="AL17341" s="177"/>
    </row>
    <row r="17342" spans="38:38" x14ac:dyDescent="0.2">
      <c r="AL17342" s="177"/>
    </row>
    <row r="17343" spans="38:38" x14ac:dyDescent="0.2">
      <c r="AL17343" s="177"/>
    </row>
    <row r="17344" spans="38:38" x14ac:dyDescent="0.2">
      <c r="AL17344" s="177"/>
    </row>
    <row r="17345" spans="38:38" x14ac:dyDescent="0.2">
      <c r="AL17345" s="177"/>
    </row>
    <row r="17346" spans="38:38" x14ac:dyDescent="0.2">
      <c r="AL17346" s="177"/>
    </row>
    <row r="17347" spans="38:38" x14ac:dyDescent="0.2">
      <c r="AL17347" s="177"/>
    </row>
    <row r="17348" spans="38:38" x14ac:dyDescent="0.2">
      <c r="AL17348" s="177"/>
    </row>
    <row r="17349" spans="38:38" x14ac:dyDescent="0.2">
      <c r="AL17349" s="177"/>
    </row>
    <row r="17350" spans="38:38" x14ac:dyDescent="0.2">
      <c r="AL17350" s="177"/>
    </row>
    <row r="17351" spans="38:38" x14ac:dyDescent="0.2">
      <c r="AL17351" s="177"/>
    </row>
    <row r="17352" spans="38:38" x14ac:dyDescent="0.2">
      <c r="AL17352" s="177"/>
    </row>
    <row r="17353" spans="38:38" x14ac:dyDescent="0.2">
      <c r="AL17353" s="177"/>
    </row>
    <row r="17354" spans="38:38" x14ac:dyDescent="0.2">
      <c r="AL17354" s="177"/>
    </row>
    <row r="17355" spans="38:38" x14ac:dyDescent="0.2">
      <c r="AL17355" s="177"/>
    </row>
    <row r="17356" spans="38:38" x14ac:dyDescent="0.2">
      <c r="AL17356" s="177"/>
    </row>
    <row r="17357" spans="38:38" x14ac:dyDescent="0.2">
      <c r="AL17357" s="177"/>
    </row>
    <row r="17358" spans="38:38" x14ac:dyDescent="0.2">
      <c r="AL17358" s="177"/>
    </row>
    <row r="17359" spans="38:38" x14ac:dyDescent="0.2">
      <c r="AL17359" s="177"/>
    </row>
    <row r="17360" spans="38:38" x14ac:dyDescent="0.2">
      <c r="AL17360" s="177"/>
    </row>
    <row r="17361" spans="38:38" x14ac:dyDescent="0.2">
      <c r="AL17361" s="177"/>
    </row>
    <row r="17362" spans="38:38" x14ac:dyDescent="0.2">
      <c r="AL17362" s="177"/>
    </row>
    <row r="17363" spans="38:38" x14ac:dyDescent="0.2">
      <c r="AL17363" s="177"/>
    </row>
    <row r="17364" spans="38:38" x14ac:dyDescent="0.2">
      <c r="AL17364" s="177"/>
    </row>
    <row r="17365" spans="38:38" x14ac:dyDescent="0.2">
      <c r="AL17365" s="177"/>
    </row>
    <row r="17366" spans="38:38" x14ac:dyDescent="0.2">
      <c r="AL17366" s="177"/>
    </row>
    <row r="17367" spans="38:38" x14ac:dyDescent="0.2">
      <c r="AL17367" s="177"/>
    </row>
    <row r="17368" spans="38:38" x14ac:dyDescent="0.2">
      <c r="AL17368" s="177"/>
    </row>
    <row r="17369" spans="38:38" x14ac:dyDescent="0.2">
      <c r="AL17369" s="177"/>
    </row>
    <row r="17370" spans="38:38" x14ac:dyDescent="0.2">
      <c r="AL17370" s="177"/>
    </row>
    <row r="17371" spans="38:38" x14ac:dyDescent="0.2">
      <c r="AL17371" s="177"/>
    </row>
    <row r="17372" spans="38:38" x14ac:dyDescent="0.2">
      <c r="AL17372" s="177"/>
    </row>
    <row r="17373" spans="38:38" x14ac:dyDescent="0.2">
      <c r="AL17373" s="177"/>
    </row>
    <row r="17374" spans="38:38" x14ac:dyDescent="0.2">
      <c r="AL17374" s="177"/>
    </row>
    <row r="17375" spans="38:38" x14ac:dyDescent="0.2">
      <c r="AL17375" s="177"/>
    </row>
    <row r="17376" spans="38:38" x14ac:dyDescent="0.2">
      <c r="AL17376" s="177"/>
    </row>
    <row r="17377" spans="38:38" x14ac:dyDescent="0.2">
      <c r="AL17377" s="177"/>
    </row>
    <row r="17378" spans="38:38" x14ac:dyDescent="0.2">
      <c r="AL17378" s="177"/>
    </row>
    <row r="17379" spans="38:38" x14ac:dyDescent="0.2">
      <c r="AL17379" s="177"/>
    </row>
    <row r="17380" spans="38:38" x14ac:dyDescent="0.2">
      <c r="AL17380" s="177"/>
    </row>
    <row r="17381" spans="38:38" x14ac:dyDescent="0.2">
      <c r="AL17381" s="177"/>
    </row>
    <row r="17382" spans="38:38" x14ac:dyDescent="0.2">
      <c r="AL17382" s="177"/>
    </row>
    <row r="17383" spans="38:38" x14ac:dyDescent="0.2">
      <c r="AL17383" s="177"/>
    </row>
    <row r="17384" spans="38:38" x14ac:dyDescent="0.2">
      <c r="AL17384" s="177"/>
    </row>
    <row r="17385" spans="38:38" x14ac:dyDescent="0.2">
      <c r="AL17385" s="177"/>
    </row>
    <row r="17386" spans="38:38" x14ac:dyDescent="0.2">
      <c r="AL17386" s="177"/>
    </row>
    <row r="17387" spans="38:38" x14ac:dyDescent="0.2">
      <c r="AL17387" s="177"/>
    </row>
    <row r="17388" spans="38:38" x14ac:dyDescent="0.2">
      <c r="AL17388" s="177"/>
    </row>
    <row r="17389" spans="38:38" x14ac:dyDescent="0.2">
      <c r="AL17389" s="177"/>
    </row>
    <row r="17390" spans="38:38" x14ac:dyDescent="0.2">
      <c r="AL17390" s="177"/>
    </row>
    <row r="17391" spans="38:38" x14ac:dyDescent="0.2">
      <c r="AL17391" s="177"/>
    </row>
    <row r="17392" spans="38:38" x14ac:dyDescent="0.2">
      <c r="AL17392" s="177"/>
    </row>
    <row r="17393" spans="38:38" x14ac:dyDescent="0.2">
      <c r="AL17393" s="177"/>
    </row>
    <row r="17394" spans="38:38" x14ac:dyDescent="0.2">
      <c r="AL17394" s="177"/>
    </row>
    <row r="17395" spans="38:38" x14ac:dyDescent="0.2">
      <c r="AL17395" s="177"/>
    </row>
    <row r="17396" spans="38:38" x14ac:dyDescent="0.2">
      <c r="AL17396" s="177"/>
    </row>
    <row r="17397" spans="38:38" x14ac:dyDescent="0.2">
      <c r="AL17397" s="177"/>
    </row>
    <row r="17398" spans="38:38" x14ac:dyDescent="0.2">
      <c r="AL17398" s="177"/>
    </row>
    <row r="17399" spans="38:38" x14ac:dyDescent="0.2">
      <c r="AL17399" s="177"/>
    </row>
    <row r="17400" spans="38:38" x14ac:dyDescent="0.2">
      <c r="AL17400" s="177"/>
    </row>
    <row r="17401" spans="38:38" x14ac:dyDescent="0.2">
      <c r="AL17401" s="177"/>
    </row>
    <row r="17402" spans="38:38" x14ac:dyDescent="0.2">
      <c r="AL17402" s="177"/>
    </row>
    <row r="17403" spans="38:38" x14ac:dyDescent="0.2">
      <c r="AL17403" s="177"/>
    </row>
    <row r="17404" spans="38:38" x14ac:dyDescent="0.2">
      <c r="AL17404" s="177"/>
    </row>
    <row r="17405" spans="38:38" x14ac:dyDescent="0.2">
      <c r="AL17405" s="177"/>
    </row>
    <row r="17406" spans="38:38" x14ac:dyDescent="0.2">
      <c r="AL17406" s="177"/>
    </row>
    <row r="17407" spans="38:38" x14ac:dyDescent="0.2">
      <c r="AL17407" s="177"/>
    </row>
    <row r="17408" spans="38:38" x14ac:dyDescent="0.2">
      <c r="AL17408" s="177"/>
    </row>
    <row r="17409" spans="38:38" x14ac:dyDescent="0.2">
      <c r="AL17409" s="177"/>
    </row>
    <row r="17410" spans="38:38" x14ac:dyDescent="0.2">
      <c r="AL17410" s="177"/>
    </row>
    <row r="17411" spans="38:38" x14ac:dyDescent="0.2">
      <c r="AL17411" s="177"/>
    </row>
    <row r="17412" spans="38:38" x14ac:dyDescent="0.2">
      <c r="AL17412" s="177"/>
    </row>
    <row r="17413" spans="38:38" x14ac:dyDescent="0.2">
      <c r="AL17413" s="177"/>
    </row>
    <row r="17414" spans="38:38" x14ac:dyDescent="0.2">
      <c r="AL17414" s="177"/>
    </row>
    <row r="17415" spans="38:38" x14ac:dyDescent="0.2">
      <c r="AL17415" s="177"/>
    </row>
    <row r="17416" spans="38:38" x14ac:dyDescent="0.2">
      <c r="AL17416" s="177"/>
    </row>
    <row r="17417" spans="38:38" x14ac:dyDescent="0.2">
      <c r="AL17417" s="177"/>
    </row>
    <row r="17418" spans="38:38" x14ac:dyDescent="0.2">
      <c r="AL17418" s="177"/>
    </row>
    <row r="17419" spans="38:38" x14ac:dyDescent="0.2">
      <c r="AL17419" s="177"/>
    </row>
    <row r="17420" spans="38:38" x14ac:dyDescent="0.2">
      <c r="AL17420" s="177"/>
    </row>
    <row r="17421" spans="38:38" x14ac:dyDescent="0.2">
      <c r="AL17421" s="177"/>
    </row>
    <row r="17422" spans="38:38" x14ac:dyDescent="0.2">
      <c r="AL17422" s="177"/>
    </row>
    <row r="17423" spans="38:38" x14ac:dyDescent="0.2">
      <c r="AL17423" s="177"/>
    </row>
    <row r="17424" spans="38:38" x14ac:dyDescent="0.2">
      <c r="AL17424" s="177"/>
    </row>
    <row r="17425" spans="38:38" x14ac:dyDescent="0.2">
      <c r="AL17425" s="177"/>
    </row>
    <row r="17426" spans="38:38" x14ac:dyDescent="0.2">
      <c r="AL17426" s="177"/>
    </row>
    <row r="17427" spans="38:38" x14ac:dyDescent="0.2">
      <c r="AL17427" s="177"/>
    </row>
    <row r="17428" spans="38:38" x14ac:dyDescent="0.2">
      <c r="AL17428" s="177"/>
    </row>
    <row r="17429" spans="38:38" x14ac:dyDescent="0.2">
      <c r="AL17429" s="177"/>
    </row>
    <row r="17430" spans="38:38" x14ac:dyDescent="0.2">
      <c r="AL17430" s="177"/>
    </row>
    <row r="17431" spans="38:38" x14ac:dyDescent="0.2">
      <c r="AL17431" s="177"/>
    </row>
    <row r="17432" spans="38:38" x14ac:dyDescent="0.2">
      <c r="AL17432" s="177"/>
    </row>
    <row r="17433" spans="38:38" x14ac:dyDescent="0.2">
      <c r="AL17433" s="177"/>
    </row>
    <row r="17434" spans="38:38" x14ac:dyDescent="0.2">
      <c r="AL17434" s="177"/>
    </row>
    <row r="17435" spans="38:38" x14ac:dyDescent="0.2">
      <c r="AL17435" s="177"/>
    </row>
    <row r="17436" spans="38:38" x14ac:dyDescent="0.2">
      <c r="AL17436" s="177"/>
    </row>
    <row r="17437" spans="38:38" x14ac:dyDescent="0.2">
      <c r="AL17437" s="177"/>
    </row>
    <row r="17438" spans="38:38" x14ac:dyDescent="0.2">
      <c r="AL17438" s="177"/>
    </row>
    <row r="17439" spans="38:38" x14ac:dyDescent="0.2">
      <c r="AL17439" s="177"/>
    </row>
    <row r="17440" spans="38:38" x14ac:dyDescent="0.2">
      <c r="AL17440" s="177"/>
    </row>
    <row r="17441" spans="38:38" x14ac:dyDescent="0.2">
      <c r="AL17441" s="177"/>
    </row>
    <row r="17442" spans="38:38" x14ac:dyDescent="0.2">
      <c r="AL17442" s="177"/>
    </row>
    <row r="17443" spans="38:38" x14ac:dyDescent="0.2">
      <c r="AL17443" s="177"/>
    </row>
    <row r="17444" spans="38:38" x14ac:dyDescent="0.2">
      <c r="AL17444" s="177"/>
    </row>
    <row r="17445" spans="38:38" x14ac:dyDescent="0.2">
      <c r="AL17445" s="177"/>
    </row>
    <row r="17446" spans="38:38" x14ac:dyDescent="0.2">
      <c r="AL17446" s="177"/>
    </row>
    <row r="17447" spans="38:38" x14ac:dyDescent="0.2">
      <c r="AL17447" s="177"/>
    </row>
    <row r="17448" spans="38:38" x14ac:dyDescent="0.2">
      <c r="AL17448" s="177"/>
    </row>
    <row r="17449" spans="38:38" x14ac:dyDescent="0.2">
      <c r="AL17449" s="177"/>
    </row>
    <row r="17450" spans="38:38" x14ac:dyDescent="0.2">
      <c r="AL17450" s="177"/>
    </row>
    <row r="17451" spans="38:38" x14ac:dyDescent="0.2">
      <c r="AL17451" s="177"/>
    </row>
    <row r="17452" spans="38:38" x14ac:dyDescent="0.2">
      <c r="AL17452" s="177"/>
    </row>
    <row r="17453" spans="38:38" x14ac:dyDescent="0.2">
      <c r="AL17453" s="177"/>
    </row>
    <row r="17454" spans="38:38" x14ac:dyDescent="0.2">
      <c r="AL17454" s="177"/>
    </row>
    <row r="17455" spans="38:38" x14ac:dyDescent="0.2">
      <c r="AL17455" s="177"/>
    </row>
    <row r="17456" spans="38:38" x14ac:dyDescent="0.2">
      <c r="AL17456" s="177"/>
    </row>
    <row r="17457" spans="38:38" x14ac:dyDescent="0.2">
      <c r="AL17457" s="177"/>
    </row>
    <row r="17458" spans="38:38" x14ac:dyDescent="0.2">
      <c r="AL17458" s="177"/>
    </row>
    <row r="17459" spans="38:38" x14ac:dyDescent="0.2">
      <c r="AL17459" s="177"/>
    </row>
    <row r="17460" spans="38:38" x14ac:dyDescent="0.2">
      <c r="AL17460" s="177"/>
    </row>
    <row r="17461" spans="38:38" x14ac:dyDescent="0.2">
      <c r="AL17461" s="177"/>
    </row>
    <row r="17462" spans="38:38" x14ac:dyDescent="0.2">
      <c r="AL17462" s="177"/>
    </row>
    <row r="17463" spans="38:38" x14ac:dyDescent="0.2">
      <c r="AL17463" s="177"/>
    </row>
    <row r="17464" spans="38:38" x14ac:dyDescent="0.2">
      <c r="AL17464" s="177"/>
    </row>
    <row r="17465" spans="38:38" x14ac:dyDescent="0.2">
      <c r="AL17465" s="177"/>
    </row>
    <row r="17466" spans="38:38" x14ac:dyDescent="0.2">
      <c r="AL17466" s="177"/>
    </row>
    <row r="17467" spans="38:38" x14ac:dyDescent="0.2">
      <c r="AL17467" s="177"/>
    </row>
    <row r="17468" spans="38:38" x14ac:dyDescent="0.2">
      <c r="AL17468" s="177"/>
    </row>
    <row r="17469" spans="38:38" x14ac:dyDescent="0.2">
      <c r="AL17469" s="177"/>
    </row>
    <row r="17470" spans="38:38" x14ac:dyDescent="0.2">
      <c r="AL17470" s="177"/>
    </row>
    <row r="17471" spans="38:38" x14ac:dyDescent="0.2">
      <c r="AL17471" s="177"/>
    </row>
    <row r="17472" spans="38:38" x14ac:dyDescent="0.2">
      <c r="AL17472" s="177"/>
    </row>
    <row r="17473" spans="38:38" x14ac:dyDescent="0.2">
      <c r="AL17473" s="177"/>
    </row>
    <row r="17474" spans="38:38" x14ac:dyDescent="0.2">
      <c r="AL17474" s="177"/>
    </row>
    <row r="17475" spans="38:38" x14ac:dyDescent="0.2">
      <c r="AL17475" s="177"/>
    </row>
    <row r="17476" spans="38:38" x14ac:dyDescent="0.2">
      <c r="AL17476" s="177"/>
    </row>
    <row r="17477" spans="38:38" x14ac:dyDescent="0.2">
      <c r="AL17477" s="177"/>
    </row>
    <row r="17478" spans="38:38" x14ac:dyDescent="0.2">
      <c r="AL17478" s="177"/>
    </row>
    <row r="17479" spans="38:38" x14ac:dyDescent="0.2">
      <c r="AL17479" s="177"/>
    </row>
    <row r="17480" spans="38:38" x14ac:dyDescent="0.2">
      <c r="AL17480" s="177"/>
    </row>
    <row r="17481" spans="38:38" x14ac:dyDescent="0.2">
      <c r="AL17481" s="177"/>
    </row>
    <row r="17482" spans="38:38" x14ac:dyDescent="0.2">
      <c r="AL17482" s="177"/>
    </row>
    <row r="17483" spans="38:38" x14ac:dyDescent="0.2">
      <c r="AL17483" s="177"/>
    </row>
    <row r="17484" spans="38:38" x14ac:dyDescent="0.2">
      <c r="AL17484" s="177"/>
    </row>
    <row r="17485" spans="38:38" x14ac:dyDescent="0.2">
      <c r="AL17485" s="177"/>
    </row>
    <row r="17486" spans="38:38" x14ac:dyDescent="0.2">
      <c r="AL17486" s="177"/>
    </row>
    <row r="17487" spans="38:38" x14ac:dyDescent="0.2">
      <c r="AL17487" s="177"/>
    </row>
    <row r="17488" spans="38:38" x14ac:dyDescent="0.2">
      <c r="AL17488" s="177"/>
    </row>
    <row r="17489" spans="38:38" x14ac:dyDescent="0.2">
      <c r="AL17489" s="177"/>
    </row>
    <row r="17490" spans="38:38" x14ac:dyDescent="0.2">
      <c r="AL17490" s="177"/>
    </row>
    <row r="17491" spans="38:38" x14ac:dyDescent="0.2">
      <c r="AL17491" s="177"/>
    </row>
    <row r="17492" spans="38:38" x14ac:dyDescent="0.2">
      <c r="AL17492" s="177"/>
    </row>
    <row r="17493" spans="38:38" x14ac:dyDescent="0.2">
      <c r="AL17493" s="177"/>
    </row>
    <row r="17494" spans="38:38" x14ac:dyDescent="0.2">
      <c r="AL17494" s="177"/>
    </row>
    <row r="17495" spans="38:38" x14ac:dyDescent="0.2">
      <c r="AL17495" s="177"/>
    </row>
    <row r="17496" spans="38:38" x14ac:dyDescent="0.2">
      <c r="AL17496" s="177"/>
    </row>
    <row r="17497" spans="38:38" x14ac:dyDescent="0.2">
      <c r="AL17497" s="177"/>
    </row>
    <row r="17498" spans="38:38" x14ac:dyDescent="0.2">
      <c r="AL17498" s="177"/>
    </row>
    <row r="17499" spans="38:38" x14ac:dyDescent="0.2">
      <c r="AL17499" s="177"/>
    </row>
    <row r="17500" spans="38:38" x14ac:dyDescent="0.2">
      <c r="AL17500" s="177"/>
    </row>
    <row r="17501" spans="38:38" x14ac:dyDescent="0.2">
      <c r="AL17501" s="177"/>
    </row>
    <row r="17502" spans="38:38" x14ac:dyDescent="0.2">
      <c r="AL17502" s="177"/>
    </row>
    <row r="17503" spans="38:38" x14ac:dyDescent="0.2">
      <c r="AL17503" s="177"/>
    </row>
    <row r="17504" spans="38:38" x14ac:dyDescent="0.2">
      <c r="AL17504" s="177"/>
    </row>
    <row r="17505" spans="38:38" x14ac:dyDescent="0.2">
      <c r="AL17505" s="177"/>
    </row>
    <row r="17506" spans="38:38" x14ac:dyDescent="0.2">
      <c r="AL17506" s="177"/>
    </row>
    <row r="17507" spans="38:38" x14ac:dyDescent="0.2">
      <c r="AL17507" s="177"/>
    </row>
    <row r="17508" spans="38:38" x14ac:dyDescent="0.2">
      <c r="AL17508" s="177"/>
    </row>
    <row r="17509" spans="38:38" x14ac:dyDescent="0.2">
      <c r="AL17509" s="177"/>
    </row>
    <row r="17510" spans="38:38" x14ac:dyDescent="0.2">
      <c r="AL17510" s="177"/>
    </row>
    <row r="17511" spans="38:38" x14ac:dyDescent="0.2">
      <c r="AL17511" s="177"/>
    </row>
    <row r="17512" spans="38:38" x14ac:dyDescent="0.2">
      <c r="AL17512" s="177"/>
    </row>
    <row r="17513" spans="38:38" x14ac:dyDescent="0.2">
      <c r="AL17513" s="177"/>
    </row>
    <row r="17514" spans="38:38" x14ac:dyDescent="0.2">
      <c r="AL17514" s="177"/>
    </row>
    <row r="17515" spans="38:38" x14ac:dyDescent="0.2">
      <c r="AL17515" s="177"/>
    </row>
    <row r="17516" spans="38:38" x14ac:dyDescent="0.2">
      <c r="AL17516" s="177"/>
    </row>
    <row r="17517" spans="38:38" x14ac:dyDescent="0.2">
      <c r="AL17517" s="177"/>
    </row>
    <row r="17518" spans="38:38" x14ac:dyDescent="0.2">
      <c r="AL17518" s="177"/>
    </row>
    <row r="17519" spans="38:38" x14ac:dyDescent="0.2">
      <c r="AL17519" s="177"/>
    </row>
    <row r="17520" spans="38:38" x14ac:dyDescent="0.2">
      <c r="AL17520" s="177"/>
    </row>
    <row r="17521" spans="38:38" x14ac:dyDescent="0.2">
      <c r="AL17521" s="177"/>
    </row>
    <row r="17522" spans="38:38" x14ac:dyDescent="0.2">
      <c r="AL17522" s="177"/>
    </row>
    <row r="17523" spans="38:38" x14ac:dyDescent="0.2">
      <c r="AL17523" s="177"/>
    </row>
    <row r="17524" spans="38:38" x14ac:dyDescent="0.2">
      <c r="AL17524" s="177"/>
    </row>
    <row r="17525" spans="38:38" x14ac:dyDescent="0.2">
      <c r="AL17525" s="177"/>
    </row>
    <row r="17526" spans="38:38" x14ac:dyDescent="0.2">
      <c r="AL17526" s="177"/>
    </row>
    <row r="17527" spans="38:38" x14ac:dyDescent="0.2">
      <c r="AL17527" s="177"/>
    </row>
    <row r="17528" spans="38:38" x14ac:dyDescent="0.2">
      <c r="AL17528" s="177"/>
    </row>
    <row r="17529" spans="38:38" x14ac:dyDescent="0.2">
      <c r="AL17529" s="177"/>
    </row>
    <row r="17530" spans="38:38" x14ac:dyDescent="0.2">
      <c r="AL17530" s="177"/>
    </row>
    <row r="17531" spans="38:38" x14ac:dyDescent="0.2">
      <c r="AL17531" s="177"/>
    </row>
    <row r="17532" spans="38:38" x14ac:dyDescent="0.2">
      <c r="AL17532" s="177"/>
    </row>
    <row r="17533" spans="38:38" x14ac:dyDescent="0.2">
      <c r="AL17533" s="177"/>
    </row>
    <row r="17534" spans="38:38" x14ac:dyDescent="0.2">
      <c r="AL17534" s="177"/>
    </row>
    <row r="17535" spans="38:38" x14ac:dyDescent="0.2">
      <c r="AL17535" s="177"/>
    </row>
    <row r="17536" spans="38:38" x14ac:dyDescent="0.2">
      <c r="AL17536" s="177"/>
    </row>
    <row r="17537" spans="38:38" x14ac:dyDescent="0.2">
      <c r="AL17537" s="177"/>
    </row>
    <row r="17538" spans="38:38" x14ac:dyDescent="0.2">
      <c r="AL17538" s="177"/>
    </row>
    <row r="17539" spans="38:38" x14ac:dyDescent="0.2">
      <c r="AL17539" s="177"/>
    </row>
    <row r="17540" spans="38:38" x14ac:dyDescent="0.2">
      <c r="AL17540" s="177"/>
    </row>
    <row r="17541" spans="38:38" x14ac:dyDescent="0.2">
      <c r="AL17541" s="177"/>
    </row>
    <row r="17542" spans="38:38" x14ac:dyDescent="0.2">
      <c r="AL17542" s="177"/>
    </row>
    <row r="17543" spans="38:38" x14ac:dyDescent="0.2">
      <c r="AL17543" s="177"/>
    </row>
    <row r="17544" spans="38:38" x14ac:dyDescent="0.2">
      <c r="AL17544" s="177"/>
    </row>
    <row r="17545" spans="38:38" x14ac:dyDescent="0.2">
      <c r="AL17545" s="177"/>
    </row>
    <row r="17546" spans="38:38" x14ac:dyDescent="0.2">
      <c r="AL17546" s="177"/>
    </row>
    <row r="17547" spans="38:38" x14ac:dyDescent="0.2">
      <c r="AL17547" s="177"/>
    </row>
    <row r="17548" spans="38:38" x14ac:dyDescent="0.2">
      <c r="AL17548" s="177"/>
    </row>
    <row r="17549" spans="38:38" x14ac:dyDescent="0.2">
      <c r="AL17549" s="177"/>
    </row>
    <row r="17550" spans="38:38" x14ac:dyDescent="0.2">
      <c r="AL17550" s="177"/>
    </row>
    <row r="17551" spans="38:38" x14ac:dyDescent="0.2">
      <c r="AL17551" s="177"/>
    </row>
    <row r="17552" spans="38:38" x14ac:dyDescent="0.2">
      <c r="AL17552" s="177"/>
    </row>
    <row r="17553" spans="38:38" x14ac:dyDescent="0.2">
      <c r="AL17553" s="177"/>
    </row>
    <row r="17554" spans="38:38" x14ac:dyDescent="0.2">
      <c r="AL17554" s="177"/>
    </row>
    <row r="17555" spans="38:38" x14ac:dyDescent="0.2">
      <c r="AL17555" s="177"/>
    </row>
    <row r="17556" spans="38:38" x14ac:dyDescent="0.2">
      <c r="AL17556" s="177"/>
    </row>
    <row r="17557" spans="38:38" x14ac:dyDescent="0.2">
      <c r="AL17557" s="177"/>
    </row>
    <row r="17558" spans="38:38" x14ac:dyDescent="0.2">
      <c r="AL17558" s="177"/>
    </row>
    <row r="17559" spans="38:38" x14ac:dyDescent="0.2">
      <c r="AL17559" s="177"/>
    </row>
    <row r="17560" spans="38:38" x14ac:dyDescent="0.2">
      <c r="AL17560" s="177"/>
    </row>
    <row r="17561" spans="38:38" x14ac:dyDescent="0.2">
      <c r="AL17561" s="177"/>
    </row>
    <row r="17562" spans="38:38" x14ac:dyDescent="0.2">
      <c r="AL17562" s="177"/>
    </row>
    <row r="17563" spans="38:38" x14ac:dyDescent="0.2">
      <c r="AL17563" s="177"/>
    </row>
    <row r="17564" spans="38:38" x14ac:dyDescent="0.2">
      <c r="AL17564" s="177"/>
    </row>
    <row r="17565" spans="38:38" x14ac:dyDescent="0.2">
      <c r="AL17565" s="177"/>
    </row>
    <row r="17566" spans="38:38" x14ac:dyDescent="0.2">
      <c r="AL17566" s="177"/>
    </row>
    <row r="17567" spans="38:38" x14ac:dyDescent="0.2">
      <c r="AL17567" s="177"/>
    </row>
    <row r="17568" spans="38:38" x14ac:dyDescent="0.2">
      <c r="AL17568" s="177"/>
    </row>
    <row r="17569" spans="38:38" x14ac:dyDescent="0.2">
      <c r="AL17569" s="177"/>
    </row>
    <row r="17570" spans="38:38" x14ac:dyDescent="0.2">
      <c r="AL17570" s="177"/>
    </row>
    <row r="17571" spans="38:38" x14ac:dyDescent="0.2">
      <c r="AL17571" s="177"/>
    </row>
    <row r="17572" spans="38:38" x14ac:dyDescent="0.2">
      <c r="AL17572" s="177"/>
    </row>
    <row r="17573" spans="38:38" x14ac:dyDescent="0.2">
      <c r="AL17573" s="177"/>
    </row>
    <row r="17574" spans="38:38" x14ac:dyDescent="0.2">
      <c r="AL17574" s="177"/>
    </row>
    <row r="17575" spans="38:38" x14ac:dyDescent="0.2">
      <c r="AL17575" s="177"/>
    </row>
    <row r="17576" spans="38:38" x14ac:dyDescent="0.2">
      <c r="AL17576" s="177"/>
    </row>
    <row r="17577" spans="38:38" x14ac:dyDescent="0.2">
      <c r="AL17577" s="177"/>
    </row>
    <row r="17578" spans="38:38" x14ac:dyDescent="0.2">
      <c r="AL17578" s="177"/>
    </row>
    <row r="17579" spans="38:38" x14ac:dyDescent="0.2">
      <c r="AL17579" s="177"/>
    </row>
    <row r="17580" spans="38:38" x14ac:dyDescent="0.2">
      <c r="AL17580" s="177"/>
    </row>
    <row r="17581" spans="38:38" x14ac:dyDescent="0.2">
      <c r="AL17581" s="177"/>
    </row>
    <row r="17582" spans="38:38" x14ac:dyDescent="0.2">
      <c r="AL17582" s="177"/>
    </row>
    <row r="17583" spans="38:38" x14ac:dyDescent="0.2">
      <c r="AL17583" s="177"/>
    </row>
    <row r="17584" spans="38:38" x14ac:dyDescent="0.2">
      <c r="AL17584" s="177"/>
    </row>
    <row r="17585" spans="38:38" x14ac:dyDescent="0.2">
      <c r="AL17585" s="177"/>
    </row>
    <row r="17586" spans="38:38" x14ac:dyDescent="0.2">
      <c r="AL17586" s="177"/>
    </row>
    <row r="17587" spans="38:38" x14ac:dyDescent="0.2">
      <c r="AL17587" s="177"/>
    </row>
    <row r="17588" spans="38:38" x14ac:dyDescent="0.2">
      <c r="AL17588" s="177"/>
    </row>
    <row r="17589" spans="38:38" x14ac:dyDescent="0.2">
      <c r="AL17589" s="177"/>
    </row>
    <row r="17590" spans="38:38" x14ac:dyDescent="0.2">
      <c r="AL17590" s="177"/>
    </row>
    <row r="17591" spans="38:38" x14ac:dyDescent="0.2">
      <c r="AL17591" s="177"/>
    </row>
    <row r="17592" spans="38:38" x14ac:dyDescent="0.2">
      <c r="AL17592" s="177"/>
    </row>
    <row r="17593" spans="38:38" x14ac:dyDescent="0.2">
      <c r="AL17593" s="177"/>
    </row>
    <row r="17594" spans="38:38" x14ac:dyDescent="0.2">
      <c r="AL17594" s="177"/>
    </row>
    <row r="17595" spans="38:38" x14ac:dyDescent="0.2">
      <c r="AL17595" s="177"/>
    </row>
    <row r="17596" spans="38:38" x14ac:dyDescent="0.2">
      <c r="AL17596" s="177"/>
    </row>
    <row r="17597" spans="38:38" x14ac:dyDescent="0.2">
      <c r="AL17597" s="177"/>
    </row>
    <row r="17598" spans="38:38" x14ac:dyDescent="0.2">
      <c r="AL17598" s="177"/>
    </row>
    <row r="17599" spans="38:38" x14ac:dyDescent="0.2">
      <c r="AL17599" s="177"/>
    </row>
    <row r="17600" spans="38:38" x14ac:dyDescent="0.2">
      <c r="AL17600" s="177"/>
    </row>
    <row r="17601" spans="38:38" x14ac:dyDescent="0.2">
      <c r="AL17601" s="177"/>
    </row>
    <row r="17602" spans="38:38" x14ac:dyDescent="0.2">
      <c r="AL17602" s="177"/>
    </row>
    <row r="17603" spans="38:38" x14ac:dyDescent="0.2">
      <c r="AL17603" s="177"/>
    </row>
    <row r="17604" spans="38:38" x14ac:dyDescent="0.2">
      <c r="AL17604" s="177"/>
    </row>
    <row r="17605" spans="38:38" x14ac:dyDescent="0.2">
      <c r="AL17605" s="177"/>
    </row>
    <row r="17606" spans="38:38" x14ac:dyDescent="0.2">
      <c r="AL17606" s="177"/>
    </row>
    <row r="17607" spans="38:38" x14ac:dyDescent="0.2">
      <c r="AL17607" s="177"/>
    </row>
    <row r="17608" spans="38:38" x14ac:dyDescent="0.2">
      <c r="AL17608" s="177"/>
    </row>
    <row r="17609" spans="38:38" x14ac:dyDescent="0.2">
      <c r="AL17609" s="177"/>
    </row>
    <row r="17610" spans="38:38" x14ac:dyDescent="0.2">
      <c r="AL17610" s="177"/>
    </row>
    <row r="17611" spans="38:38" x14ac:dyDescent="0.2">
      <c r="AL17611" s="177"/>
    </row>
    <row r="17612" spans="38:38" x14ac:dyDescent="0.2">
      <c r="AL17612" s="177"/>
    </row>
    <row r="17613" spans="38:38" x14ac:dyDescent="0.2">
      <c r="AL17613" s="177"/>
    </row>
    <row r="17614" spans="38:38" x14ac:dyDescent="0.2">
      <c r="AL17614" s="177"/>
    </row>
    <row r="17615" spans="38:38" x14ac:dyDescent="0.2">
      <c r="AL17615" s="177"/>
    </row>
    <row r="17616" spans="38:38" x14ac:dyDescent="0.2">
      <c r="AL17616" s="177"/>
    </row>
    <row r="17617" spans="38:38" x14ac:dyDescent="0.2">
      <c r="AL17617" s="177"/>
    </row>
    <row r="17618" spans="38:38" x14ac:dyDescent="0.2">
      <c r="AL17618" s="177"/>
    </row>
    <row r="17619" spans="38:38" x14ac:dyDescent="0.2">
      <c r="AL17619" s="177"/>
    </row>
    <row r="17620" spans="38:38" x14ac:dyDescent="0.2">
      <c r="AL17620" s="177"/>
    </row>
    <row r="17621" spans="38:38" x14ac:dyDescent="0.2">
      <c r="AL17621" s="177"/>
    </row>
    <row r="17622" spans="38:38" x14ac:dyDescent="0.2">
      <c r="AL17622" s="177"/>
    </row>
    <row r="17623" spans="38:38" x14ac:dyDescent="0.2">
      <c r="AL17623" s="177"/>
    </row>
    <row r="17624" spans="38:38" x14ac:dyDescent="0.2">
      <c r="AL17624" s="177"/>
    </row>
    <row r="17625" spans="38:38" x14ac:dyDescent="0.2">
      <c r="AL17625" s="177"/>
    </row>
    <row r="17626" spans="38:38" x14ac:dyDescent="0.2">
      <c r="AL17626" s="177"/>
    </row>
    <row r="17627" spans="38:38" x14ac:dyDescent="0.2">
      <c r="AL17627" s="177"/>
    </row>
    <row r="17628" spans="38:38" x14ac:dyDescent="0.2">
      <c r="AL17628" s="177"/>
    </row>
    <row r="17629" spans="38:38" x14ac:dyDescent="0.2">
      <c r="AL17629" s="177"/>
    </row>
    <row r="17630" spans="38:38" x14ac:dyDescent="0.2">
      <c r="AL17630" s="177"/>
    </row>
    <row r="17631" spans="38:38" x14ac:dyDescent="0.2">
      <c r="AL17631" s="177"/>
    </row>
    <row r="17632" spans="38:38" x14ac:dyDescent="0.2">
      <c r="AL17632" s="177"/>
    </row>
    <row r="17633" spans="38:38" x14ac:dyDescent="0.2">
      <c r="AL17633" s="177"/>
    </row>
    <row r="17634" spans="38:38" x14ac:dyDescent="0.2">
      <c r="AL17634" s="177"/>
    </row>
    <row r="17635" spans="38:38" x14ac:dyDescent="0.2">
      <c r="AL17635" s="177"/>
    </row>
    <row r="17636" spans="38:38" x14ac:dyDescent="0.2">
      <c r="AL17636" s="177"/>
    </row>
    <row r="17637" spans="38:38" x14ac:dyDescent="0.2">
      <c r="AL17637" s="177"/>
    </row>
    <row r="17638" spans="38:38" x14ac:dyDescent="0.2">
      <c r="AL17638" s="177"/>
    </row>
    <row r="17639" spans="38:38" x14ac:dyDescent="0.2">
      <c r="AL17639" s="177"/>
    </row>
    <row r="17640" spans="38:38" x14ac:dyDescent="0.2">
      <c r="AL17640" s="177"/>
    </row>
    <row r="17641" spans="38:38" x14ac:dyDescent="0.2">
      <c r="AL17641" s="177"/>
    </row>
    <row r="17642" spans="38:38" x14ac:dyDescent="0.2">
      <c r="AL17642" s="177"/>
    </row>
    <row r="17643" spans="38:38" x14ac:dyDescent="0.2">
      <c r="AL17643" s="177"/>
    </row>
    <row r="17644" spans="38:38" x14ac:dyDescent="0.2">
      <c r="AL17644" s="177"/>
    </row>
    <row r="17645" spans="38:38" x14ac:dyDescent="0.2">
      <c r="AL17645" s="177"/>
    </row>
    <row r="17646" spans="38:38" x14ac:dyDescent="0.2">
      <c r="AL17646" s="177"/>
    </row>
    <row r="17647" spans="38:38" x14ac:dyDescent="0.2">
      <c r="AL17647" s="177"/>
    </row>
    <row r="17648" spans="38:38" x14ac:dyDescent="0.2">
      <c r="AL17648" s="177"/>
    </row>
    <row r="17649" spans="38:38" x14ac:dyDescent="0.2">
      <c r="AL17649" s="177"/>
    </row>
    <row r="17650" spans="38:38" x14ac:dyDescent="0.2">
      <c r="AL17650" s="177"/>
    </row>
    <row r="17651" spans="38:38" x14ac:dyDescent="0.2">
      <c r="AL17651" s="177"/>
    </row>
    <row r="17652" spans="38:38" x14ac:dyDescent="0.2">
      <c r="AL17652" s="177"/>
    </row>
    <row r="17653" spans="38:38" x14ac:dyDescent="0.2">
      <c r="AL17653" s="177"/>
    </row>
    <row r="17654" spans="38:38" x14ac:dyDescent="0.2">
      <c r="AL17654" s="177"/>
    </row>
    <row r="17655" spans="38:38" x14ac:dyDescent="0.2">
      <c r="AL17655" s="177"/>
    </row>
    <row r="17656" spans="38:38" x14ac:dyDescent="0.2">
      <c r="AL17656" s="177"/>
    </row>
    <row r="17657" spans="38:38" x14ac:dyDescent="0.2">
      <c r="AL17657" s="177"/>
    </row>
    <row r="17658" spans="38:38" x14ac:dyDescent="0.2">
      <c r="AL17658" s="177"/>
    </row>
    <row r="17659" spans="38:38" x14ac:dyDescent="0.2">
      <c r="AL17659" s="177"/>
    </row>
    <row r="17660" spans="38:38" x14ac:dyDescent="0.2">
      <c r="AL17660" s="177"/>
    </row>
    <row r="17661" spans="38:38" x14ac:dyDescent="0.2">
      <c r="AL17661" s="177"/>
    </row>
    <row r="17662" spans="38:38" x14ac:dyDescent="0.2">
      <c r="AL17662" s="177"/>
    </row>
    <row r="17663" spans="38:38" x14ac:dyDescent="0.2">
      <c r="AL17663" s="177"/>
    </row>
    <row r="17664" spans="38:38" x14ac:dyDescent="0.2">
      <c r="AL17664" s="177"/>
    </row>
    <row r="17665" spans="38:38" x14ac:dyDescent="0.2">
      <c r="AL17665" s="177"/>
    </row>
    <row r="17666" spans="38:38" x14ac:dyDescent="0.2">
      <c r="AL17666" s="177"/>
    </row>
    <row r="17667" spans="38:38" x14ac:dyDescent="0.2">
      <c r="AL17667" s="177"/>
    </row>
    <row r="17668" spans="38:38" x14ac:dyDescent="0.2">
      <c r="AL17668" s="177"/>
    </row>
    <row r="17669" spans="38:38" x14ac:dyDescent="0.2">
      <c r="AL17669" s="177"/>
    </row>
    <row r="17670" spans="38:38" x14ac:dyDescent="0.2">
      <c r="AL17670" s="177"/>
    </row>
    <row r="17671" spans="38:38" x14ac:dyDescent="0.2">
      <c r="AL17671" s="177"/>
    </row>
    <row r="17672" spans="38:38" x14ac:dyDescent="0.2">
      <c r="AL17672" s="177"/>
    </row>
    <row r="17673" spans="38:38" x14ac:dyDescent="0.2">
      <c r="AL17673" s="177"/>
    </row>
    <row r="17674" spans="38:38" x14ac:dyDescent="0.2">
      <c r="AL17674" s="177"/>
    </row>
    <row r="17675" spans="38:38" x14ac:dyDescent="0.2">
      <c r="AL17675" s="177"/>
    </row>
    <row r="17676" spans="38:38" x14ac:dyDescent="0.2">
      <c r="AL17676" s="177"/>
    </row>
    <row r="17677" spans="38:38" x14ac:dyDescent="0.2">
      <c r="AL17677" s="177"/>
    </row>
    <row r="17678" spans="38:38" x14ac:dyDescent="0.2">
      <c r="AL17678" s="177"/>
    </row>
    <row r="17679" spans="38:38" x14ac:dyDescent="0.2">
      <c r="AL17679" s="177"/>
    </row>
    <row r="17680" spans="38:38" x14ac:dyDescent="0.2">
      <c r="AL17680" s="177"/>
    </row>
    <row r="17681" spans="38:38" x14ac:dyDescent="0.2">
      <c r="AL17681" s="177"/>
    </row>
    <row r="17682" spans="38:38" x14ac:dyDescent="0.2">
      <c r="AL17682" s="177"/>
    </row>
    <row r="17683" spans="38:38" x14ac:dyDescent="0.2">
      <c r="AL17683" s="177"/>
    </row>
    <row r="17684" spans="38:38" x14ac:dyDescent="0.2">
      <c r="AL17684" s="177"/>
    </row>
    <row r="17685" spans="38:38" x14ac:dyDescent="0.2">
      <c r="AL17685" s="177"/>
    </row>
    <row r="17686" spans="38:38" x14ac:dyDescent="0.2">
      <c r="AL17686" s="177"/>
    </row>
    <row r="17687" spans="38:38" x14ac:dyDescent="0.2">
      <c r="AL17687" s="177"/>
    </row>
    <row r="17688" spans="38:38" x14ac:dyDescent="0.2">
      <c r="AL17688" s="177"/>
    </row>
    <row r="17689" spans="38:38" x14ac:dyDescent="0.2">
      <c r="AL17689" s="177"/>
    </row>
    <row r="17690" spans="38:38" x14ac:dyDescent="0.2">
      <c r="AL17690" s="177"/>
    </row>
    <row r="17691" spans="38:38" x14ac:dyDescent="0.2">
      <c r="AL17691" s="177"/>
    </row>
    <row r="17692" spans="38:38" x14ac:dyDescent="0.2">
      <c r="AL17692" s="177"/>
    </row>
    <row r="17693" spans="38:38" x14ac:dyDescent="0.2">
      <c r="AL17693" s="177"/>
    </row>
    <row r="17694" spans="38:38" x14ac:dyDescent="0.2">
      <c r="AL17694" s="177"/>
    </row>
    <row r="17695" spans="38:38" x14ac:dyDescent="0.2">
      <c r="AL17695" s="177"/>
    </row>
    <row r="17696" spans="38:38" x14ac:dyDescent="0.2">
      <c r="AL17696" s="177"/>
    </row>
    <row r="17697" spans="38:38" x14ac:dyDescent="0.2">
      <c r="AL17697" s="177"/>
    </row>
    <row r="17698" spans="38:38" x14ac:dyDescent="0.2">
      <c r="AL17698" s="177"/>
    </row>
    <row r="17699" spans="38:38" x14ac:dyDescent="0.2">
      <c r="AL17699" s="177"/>
    </row>
    <row r="17700" spans="38:38" x14ac:dyDescent="0.2">
      <c r="AL17700" s="177"/>
    </row>
    <row r="17701" spans="38:38" x14ac:dyDescent="0.2">
      <c r="AL17701" s="177"/>
    </row>
    <row r="17702" spans="38:38" x14ac:dyDescent="0.2">
      <c r="AL17702" s="177"/>
    </row>
    <row r="17703" spans="38:38" x14ac:dyDescent="0.2">
      <c r="AL17703" s="177"/>
    </row>
    <row r="17704" spans="38:38" x14ac:dyDescent="0.2">
      <c r="AL17704" s="177"/>
    </row>
    <row r="17705" spans="38:38" x14ac:dyDescent="0.2">
      <c r="AL17705" s="177"/>
    </row>
    <row r="17706" spans="38:38" x14ac:dyDescent="0.2">
      <c r="AL17706" s="177"/>
    </row>
    <row r="17707" spans="38:38" x14ac:dyDescent="0.2">
      <c r="AL17707" s="177"/>
    </row>
    <row r="17708" spans="38:38" x14ac:dyDescent="0.2">
      <c r="AL17708" s="177"/>
    </row>
    <row r="17709" spans="38:38" x14ac:dyDescent="0.2">
      <c r="AL17709" s="177"/>
    </row>
    <row r="17710" spans="38:38" x14ac:dyDescent="0.2">
      <c r="AL17710" s="177"/>
    </row>
    <row r="17711" spans="38:38" x14ac:dyDescent="0.2">
      <c r="AL17711" s="177"/>
    </row>
    <row r="17712" spans="38:38" x14ac:dyDescent="0.2">
      <c r="AL17712" s="177"/>
    </row>
    <row r="17713" spans="38:38" x14ac:dyDescent="0.2">
      <c r="AL17713" s="177"/>
    </row>
    <row r="17714" spans="38:38" x14ac:dyDescent="0.2">
      <c r="AL17714" s="177"/>
    </row>
    <row r="17715" spans="38:38" x14ac:dyDescent="0.2">
      <c r="AL17715" s="177"/>
    </row>
    <row r="17716" spans="38:38" x14ac:dyDescent="0.2">
      <c r="AL17716" s="177"/>
    </row>
    <row r="17717" spans="38:38" x14ac:dyDescent="0.2">
      <c r="AL17717" s="177"/>
    </row>
    <row r="17718" spans="38:38" x14ac:dyDescent="0.2">
      <c r="AL17718" s="177"/>
    </row>
    <row r="17719" spans="38:38" x14ac:dyDescent="0.2">
      <c r="AL17719" s="177"/>
    </row>
    <row r="17720" spans="38:38" x14ac:dyDescent="0.2">
      <c r="AL17720" s="177"/>
    </row>
    <row r="17721" spans="38:38" x14ac:dyDescent="0.2">
      <c r="AL17721" s="177"/>
    </row>
    <row r="17722" spans="38:38" x14ac:dyDescent="0.2">
      <c r="AL17722" s="177"/>
    </row>
    <row r="17723" spans="38:38" x14ac:dyDescent="0.2">
      <c r="AL17723" s="177"/>
    </row>
    <row r="17724" spans="38:38" x14ac:dyDescent="0.2">
      <c r="AL17724" s="177"/>
    </row>
    <row r="17725" spans="38:38" x14ac:dyDescent="0.2">
      <c r="AL17725" s="177"/>
    </row>
    <row r="17726" spans="38:38" x14ac:dyDescent="0.2">
      <c r="AL17726" s="177"/>
    </row>
    <row r="17727" spans="38:38" x14ac:dyDescent="0.2">
      <c r="AL17727" s="177"/>
    </row>
    <row r="17728" spans="38:38" x14ac:dyDescent="0.2">
      <c r="AL17728" s="177"/>
    </row>
    <row r="17729" spans="38:38" x14ac:dyDescent="0.2">
      <c r="AL17729" s="177"/>
    </row>
    <row r="17730" spans="38:38" x14ac:dyDescent="0.2">
      <c r="AL17730" s="177"/>
    </row>
    <row r="17731" spans="38:38" x14ac:dyDescent="0.2">
      <c r="AL17731" s="177"/>
    </row>
    <row r="17732" spans="38:38" x14ac:dyDescent="0.2">
      <c r="AL17732" s="177"/>
    </row>
    <row r="17733" spans="38:38" x14ac:dyDescent="0.2">
      <c r="AL17733" s="177"/>
    </row>
    <row r="17734" spans="38:38" x14ac:dyDescent="0.2">
      <c r="AL17734" s="177"/>
    </row>
    <row r="17735" spans="38:38" x14ac:dyDescent="0.2">
      <c r="AL17735" s="177"/>
    </row>
    <row r="17736" spans="38:38" x14ac:dyDescent="0.2">
      <c r="AL17736" s="177"/>
    </row>
    <row r="17737" spans="38:38" x14ac:dyDescent="0.2">
      <c r="AL17737" s="177"/>
    </row>
    <row r="17738" spans="38:38" x14ac:dyDescent="0.2">
      <c r="AL17738" s="177"/>
    </row>
    <row r="17739" spans="38:38" x14ac:dyDescent="0.2">
      <c r="AL17739" s="177"/>
    </row>
    <row r="17740" spans="38:38" x14ac:dyDescent="0.2">
      <c r="AL17740" s="177"/>
    </row>
    <row r="17741" spans="38:38" x14ac:dyDescent="0.2">
      <c r="AL17741" s="177"/>
    </row>
    <row r="17742" spans="38:38" x14ac:dyDescent="0.2">
      <c r="AL17742" s="177"/>
    </row>
    <row r="17743" spans="38:38" x14ac:dyDescent="0.2">
      <c r="AL17743" s="177"/>
    </row>
    <row r="17744" spans="38:38" x14ac:dyDescent="0.2">
      <c r="AL17744" s="177"/>
    </row>
    <row r="17745" spans="38:38" x14ac:dyDescent="0.2">
      <c r="AL17745" s="177"/>
    </row>
    <row r="17746" spans="38:38" x14ac:dyDescent="0.2">
      <c r="AL17746" s="177"/>
    </row>
    <row r="17747" spans="38:38" x14ac:dyDescent="0.2">
      <c r="AL17747" s="177"/>
    </row>
    <row r="17748" spans="38:38" x14ac:dyDescent="0.2">
      <c r="AL17748" s="177"/>
    </row>
    <row r="17749" spans="38:38" x14ac:dyDescent="0.2">
      <c r="AL17749" s="177"/>
    </row>
    <row r="17750" spans="38:38" x14ac:dyDescent="0.2">
      <c r="AL17750" s="177"/>
    </row>
    <row r="17751" spans="38:38" x14ac:dyDescent="0.2">
      <c r="AL17751" s="177"/>
    </row>
    <row r="17752" spans="38:38" x14ac:dyDescent="0.2">
      <c r="AL17752" s="177"/>
    </row>
    <row r="17753" spans="38:38" x14ac:dyDescent="0.2">
      <c r="AL17753" s="177"/>
    </row>
    <row r="17754" spans="38:38" x14ac:dyDescent="0.2">
      <c r="AL17754" s="177"/>
    </row>
    <row r="17755" spans="38:38" x14ac:dyDescent="0.2">
      <c r="AL17755" s="177"/>
    </row>
    <row r="17756" spans="38:38" x14ac:dyDescent="0.2">
      <c r="AL17756" s="177"/>
    </row>
    <row r="17757" spans="38:38" x14ac:dyDescent="0.2">
      <c r="AL17757" s="177"/>
    </row>
    <row r="17758" spans="38:38" x14ac:dyDescent="0.2">
      <c r="AL17758" s="177"/>
    </row>
    <row r="17759" spans="38:38" x14ac:dyDescent="0.2">
      <c r="AL17759" s="177"/>
    </row>
    <row r="17760" spans="38:38" x14ac:dyDescent="0.2">
      <c r="AL17760" s="177"/>
    </row>
    <row r="17761" spans="38:38" x14ac:dyDescent="0.2">
      <c r="AL17761" s="177"/>
    </row>
    <row r="17762" spans="38:38" x14ac:dyDescent="0.2">
      <c r="AL17762" s="177"/>
    </row>
    <row r="17763" spans="38:38" x14ac:dyDescent="0.2">
      <c r="AL17763" s="177"/>
    </row>
    <row r="17764" spans="38:38" x14ac:dyDescent="0.2">
      <c r="AL17764" s="177"/>
    </row>
    <row r="17765" spans="38:38" x14ac:dyDescent="0.2">
      <c r="AL17765" s="177"/>
    </row>
    <row r="17766" spans="38:38" x14ac:dyDescent="0.2">
      <c r="AL17766" s="177"/>
    </row>
    <row r="17767" spans="38:38" x14ac:dyDescent="0.2">
      <c r="AL17767" s="177"/>
    </row>
    <row r="17768" spans="38:38" x14ac:dyDescent="0.2">
      <c r="AL17768" s="177"/>
    </row>
    <row r="17769" spans="38:38" x14ac:dyDescent="0.2">
      <c r="AL17769" s="177"/>
    </row>
    <row r="17770" spans="38:38" x14ac:dyDescent="0.2">
      <c r="AL17770" s="177"/>
    </row>
    <row r="17771" spans="38:38" x14ac:dyDescent="0.2">
      <c r="AL17771" s="177"/>
    </row>
    <row r="17772" spans="38:38" x14ac:dyDescent="0.2">
      <c r="AL17772" s="177"/>
    </row>
    <row r="17773" spans="38:38" x14ac:dyDescent="0.2">
      <c r="AL17773" s="177"/>
    </row>
    <row r="17774" spans="38:38" x14ac:dyDescent="0.2">
      <c r="AL17774" s="177"/>
    </row>
    <row r="17775" spans="38:38" x14ac:dyDescent="0.2">
      <c r="AL17775" s="177"/>
    </row>
    <row r="17776" spans="38:38" x14ac:dyDescent="0.2">
      <c r="AL17776" s="177"/>
    </row>
    <row r="17777" spans="38:38" x14ac:dyDescent="0.2">
      <c r="AL17777" s="177"/>
    </row>
    <row r="17778" spans="38:38" x14ac:dyDescent="0.2">
      <c r="AL17778" s="177"/>
    </row>
    <row r="17779" spans="38:38" x14ac:dyDescent="0.2">
      <c r="AL17779" s="177"/>
    </row>
    <row r="17780" spans="38:38" x14ac:dyDescent="0.2">
      <c r="AL17780" s="177"/>
    </row>
    <row r="17781" spans="38:38" x14ac:dyDescent="0.2">
      <c r="AL17781" s="177"/>
    </row>
    <row r="17782" spans="38:38" x14ac:dyDescent="0.2">
      <c r="AL17782" s="177"/>
    </row>
    <row r="17783" spans="38:38" x14ac:dyDescent="0.2">
      <c r="AL17783" s="177"/>
    </row>
    <row r="17784" spans="38:38" x14ac:dyDescent="0.2">
      <c r="AL17784" s="177"/>
    </row>
    <row r="17785" spans="38:38" x14ac:dyDescent="0.2">
      <c r="AL17785" s="177"/>
    </row>
    <row r="17786" spans="38:38" x14ac:dyDescent="0.2">
      <c r="AL17786" s="177"/>
    </row>
    <row r="17787" spans="38:38" x14ac:dyDescent="0.2">
      <c r="AL17787" s="177"/>
    </row>
    <row r="17788" spans="38:38" x14ac:dyDescent="0.2">
      <c r="AL17788" s="177"/>
    </row>
    <row r="17789" spans="38:38" x14ac:dyDescent="0.2">
      <c r="AL17789" s="177"/>
    </row>
    <row r="17790" spans="38:38" x14ac:dyDescent="0.2">
      <c r="AL17790" s="177"/>
    </row>
    <row r="17791" spans="38:38" x14ac:dyDescent="0.2">
      <c r="AL17791" s="177"/>
    </row>
    <row r="17792" spans="38:38" x14ac:dyDescent="0.2">
      <c r="AL17792" s="177"/>
    </row>
    <row r="17793" spans="38:38" x14ac:dyDescent="0.2">
      <c r="AL17793" s="177"/>
    </row>
    <row r="17794" spans="38:38" x14ac:dyDescent="0.2">
      <c r="AL17794" s="177"/>
    </row>
    <row r="17795" spans="38:38" x14ac:dyDescent="0.2">
      <c r="AL17795" s="177"/>
    </row>
    <row r="17796" spans="38:38" x14ac:dyDescent="0.2">
      <c r="AL17796" s="177"/>
    </row>
    <row r="17797" spans="38:38" x14ac:dyDescent="0.2">
      <c r="AL17797" s="177"/>
    </row>
    <row r="17798" spans="38:38" x14ac:dyDescent="0.2">
      <c r="AL17798" s="177"/>
    </row>
    <row r="17799" spans="38:38" x14ac:dyDescent="0.2">
      <c r="AL17799" s="177"/>
    </row>
    <row r="17800" spans="38:38" x14ac:dyDescent="0.2">
      <c r="AL17800" s="177"/>
    </row>
    <row r="17801" spans="38:38" x14ac:dyDescent="0.2">
      <c r="AL17801" s="177"/>
    </row>
    <row r="17802" spans="38:38" x14ac:dyDescent="0.2">
      <c r="AL17802" s="177"/>
    </row>
    <row r="17803" spans="38:38" x14ac:dyDescent="0.2">
      <c r="AL17803" s="177"/>
    </row>
    <row r="17804" spans="38:38" x14ac:dyDescent="0.2">
      <c r="AL17804" s="177"/>
    </row>
    <row r="17805" spans="38:38" x14ac:dyDescent="0.2">
      <c r="AL17805" s="177"/>
    </row>
    <row r="17806" spans="38:38" x14ac:dyDescent="0.2">
      <c r="AL17806" s="177"/>
    </row>
    <row r="17807" spans="38:38" x14ac:dyDescent="0.2">
      <c r="AL17807" s="177"/>
    </row>
    <row r="17808" spans="38:38" x14ac:dyDescent="0.2">
      <c r="AL17808" s="177"/>
    </row>
    <row r="17809" spans="38:38" x14ac:dyDescent="0.2">
      <c r="AL17809" s="177"/>
    </row>
    <row r="17810" spans="38:38" x14ac:dyDescent="0.2">
      <c r="AL17810" s="177"/>
    </row>
    <row r="17811" spans="38:38" x14ac:dyDescent="0.2">
      <c r="AL17811" s="177"/>
    </row>
    <row r="17812" spans="38:38" x14ac:dyDescent="0.2">
      <c r="AL17812" s="177"/>
    </row>
    <row r="17813" spans="38:38" x14ac:dyDescent="0.2">
      <c r="AL17813" s="177"/>
    </row>
    <row r="17814" spans="38:38" x14ac:dyDescent="0.2">
      <c r="AL17814" s="177"/>
    </row>
    <row r="17815" spans="38:38" x14ac:dyDescent="0.2">
      <c r="AL17815" s="177"/>
    </row>
    <row r="17816" spans="38:38" x14ac:dyDescent="0.2">
      <c r="AL17816" s="177"/>
    </row>
    <row r="17817" spans="38:38" x14ac:dyDescent="0.2">
      <c r="AL17817" s="177"/>
    </row>
    <row r="17818" spans="38:38" x14ac:dyDescent="0.2">
      <c r="AL17818" s="177"/>
    </row>
    <row r="17819" spans="38:38" x14ac:dyDescent="0.2">
      <c r="AL17819" s="177"/>
    </row>
    <row r="17820" spans="38:38" x14ac:dyDescent="0.2">
      <c r="AL17820" s="177"/>
    </row>
    <row r="17821" spans="38:38" x14ac:dyDescent="0.2">
      <c r="AL17821" s="177"/>
    </row>
    <row r="17822" spans="38:38" x14ac:dyDescent="0.2">
      <c r="AL17822" s="177"/>
    </row>
    <row r="17823" spans="38:38" x14ac:dyDescent="0.2">
      <c r="AL17823" s="177"/>
    </row>
    <row r="17824" spans="38:38" x14ac:dyDescent="0.2">
      <c r="AL17824" s="177"/>
    </row>
    <row r="17825" spans="38:38" x14ac:dyDescent="0.2">
      <c r="AL17825" s="177"/>
    </row>
    <row r="17826" spans="38:38" x14ac:dyDescent="0.2">
      <c r="AL17826" s="177"/>
    </row>
    <row r="17827" spans="38:38" x14ac:dyDescent="0.2">
      <c r="AL17827" s="177"/>
    </row>
    <row r="17828" spans="38:38" x14ac:dyDescent="0.2">
      <c r="AL17828" s="177"/>
    </row>
    <row r="17829" spans="38:38" x14ac:dyDescent="0.2">
      <c r="AL17829" s="177"/>
    </row>
    <row r="17830" spans="38:38" x14ac:dyDescent="0.2">
      <c r="AL17830" s="177"/>
    </row>
    <row r="17831" spans="38:38" x14ac:dyDescent="0.2">
      <c r="AL17831" s="177"/>
    </row>
    <row r="17832" spans="38:38" x14ac:dyDescent="0.2">
      <c r="AL17832" s="177"/>
    </row>
    <row r="17833" spans="38:38" x14ac:dyDescent="0.2">
      <c r="AL17833" s="177"/>
    </row>
    <row r="17834" spans="38:38" x14ac:dyDescent="0.2">
      <c r="AL17834" s="177"/>
    </row>
    <row r="17835" spans="38:38" x14ac:dyDescent="0.2">
      <c r="AL17835" s="177"/>
    </row>
    <row r="17836" spans="38:38" x14ac:dyDescent="0.2">
      <c r="AL17836" s="177"/>
    </row>
    <row r="17837" spans="38:38" x14ac:dyDescent="0.2">
      <c r="AL17837" s="177"/>
    </row>
    <row r="17838" spans="38:38" x14ac:dyDescent="0.2">
      <c r="AL17838" s="177"/>
    </row>
    <row r="17839" spans="38:38" x14ac:dyDescent="0.2">
      <c r="AL17839" s="177"/>
    </row>
    <row r="17840" spans="38:38" x14ac:dyDescent="0.2">
      <c r="AL17840" s="177"/>
    </row>
    <row r="17841" spans="38:38" x14ac:dyDescent="0.2">
      <c r="AL17841" s="177"/>
    </row>
    <row r="17842" spans="38:38" x14ac:dyDescent="0.2">
      <c r="AL17842" s="177"/>
    </row>
    <row r="17843" spans="38:38" x14ac:dyDescent="0.2">
      <c r="AL17843" s="177"/>
    </row>
    <row r="17844" spans="38:38" x14ac:dyDescent="0.2">
      <c r="AL17844" s="177"/>
    </row>
    <row r="17845" spans="38:38" x14ac:dyDescent="0.2">
      <c r="AL17845" s="177"/>
    </row>
    <row r="17846" spans="38:38" x14ac:dyDescent="0.2">
      <c r="AL17846" s="177"/>
    </row>
    <row r="17847" spans="38:38" x14ac:dyDescent="0.2">
      <c r="AL17847" s="177"/>
    </row>
    <row r="17848" spans="38:38" x14ac:dyDescent="0.2">
      <c r="AL17848" s="177"/>
    </row>
    <row r="17849" spans="38:38" x14ac:dyDescent="0.2">
      <c r="AL17849" s="177"/>
    </row>
    <row r="17850" spans="38:38" x14ac:dyDescent="0.2">
      <c r="AL17850" s="177"/>
    </row>
    <row r="17851" spans="38:38" x14ac:dyDescent="0.2">
      <c r="AL17851" s="177"/>
    </row>
    <row r="17852" spans="38:38" x14ac:dyDescent="0.2">
      <c r="AL17852" s="177"/>
    </row>
    <row r="17853" spans="38:38" x14ac:dyDescent="0.2">
      <c r="AL17853" s="177"/>
    </row>
    <row r="17854" spans="38:38" x14ac:dyDescent="0.2">
      <c r="AL17854" s="177"/>
    </row>
    <row r="17855" spans="38:38" x14ac:dyDescent="0.2">
      <c r="AL17855" s="177"/>
    </row>
    <row r="17856" spans="38:38" x14ac:dyDescent="0.2">
      <c r="AL17856" s="177"/>
    </row>
    <row r="17857" spans="38:38" x14ac:dyDescent="0.2">
      <c r="AL17857" s="177"/>
    </row>
    <row r="17858" spans="38:38" x14ac:dyDescent="0.2">
      <c r="AL17858" s="177"/>
    </row>
    <row r="17859" spans="38:38" x14ac:dyDescent="0.2">
      <c r="AL17859" s="177"/>
    </row>
    <row r="17860" spans="38:38" x14ac:dyDescent="0.2">
      <c r="AL17860" s="177"/>
    </row>
    <row r="17861" spans="38:38" x14ac:dyDescent="0.2">
      <c r="AL17861" s="177"/>
    </row>
    <row r="17862" spans="38:38" x14ac:dyDescent="0.2">
      <c r="AL17862" s="177"/>
    </row>
    <row r="17863" spans="38:38" x14ac:dyDescent="0.2">
      <c r="AL17863" s="177"/>
    </row>
    <row r="17864" spans="38:38" x14ac:dyDescent="0.2">
      <c r="AL17864" s="177"/>
    </row>
    <row r="17865" spans="38:38" x14ac:dyDescent="0.2">
      <c r="AL17865" s="177"/>
    </row>
    <row r="17866" spans="38:38" x14ac:dyDescent="0.2">
      <c r="AL17866" s="177"/>
    </row>
    <row r="17867" spans="38:38" x14ac:dyDescent="0.2">
      <c r="AL17867" s="177"/>
    </row>
    <row r="17868" spans="38:38" x14ac:dyDescent="0.2">
      <c r="AL17868" s="177"/>
    </row>
    <row r="17869" spans="38:38" x14ac:dyDescent="0.2">
      <c r="AL17869" s="177"/>
    </row>
    <row r="17870" spans="38:38" x14ac:dyDescent="0.2">
      <c r="AL17870" s="177"/>
    </row>
    <row r="17871" spans="38:38" x14ac:dyDescent="0.2">
      <c r="AL17871" s="177"/>
    </row>
    <row r="17872" spans="38:38" x14ac:dyDescent="0.2">
      <c r="AL17872" s="177"/>
    </row>
    <row r="17873" spans="38:38" x14ac:dyDescent="0.2">
      <c r="AL17873" s="177"/>
    </row>
    <row r="17874" spans="38:38" x14ac:dyDescent="0.2">
      <c r="AL17874" s="177"/>
    </row>
    <row r="17875" spans="38:38" x14ac:dyDescent="0.2">
      <c r="AL17875" s="177"/>
    </row>
    <row r="17876" spans="38:38" x14ac:dyDescent="0.2">
      <c r="AL17876" s="177"/>
    </row>
    <row r="17877" spans="38:38" x14ac:dyDescent="0.2">
      <c r="AL17877" s="177"/>
    </row>
    <row r="17878" spans="38:38" x14ac:dyDescent="0.2">
      <c r="AL17878" s="177"/>
    </row>
    <row r="17879" spans="38:38" x14ac:dyDescent="0.2">
      <c r="AL17879" s="177"/>
    </row>
    <row r="17880" spans="38:38" x14ac:dyDescent="0.2">
      <c r="AL17880" s="177"/>
    </row>
    <row r="17881" spans="38:38" x14ac:dyDescent="0.2">
      <c r="AL17881" s="177"/>
    </row>
    <row r="17882" spans="38:38" x14ac:dyDescent="0.2">
      <c r="AL17882" s="177"/>
    </row>
    <row r="17883" spans="38:38" x14ac:dyDescent="0.2">
      <c r="AL17883" s="177"/>
    </row>
    <row r="17884" spans="38:38" x14ac:dyDescent="0.2">
      <c r="AL17884" s="177"/>
    </row>
    <row r="17885" spans="38:38" x14ac:dyDescent="0.2">
      <c r="AL17885" s="177"/>
    </row>
    <row r="17886" spans="38:38" x14ac:dyDescent="0.2">
      <c r="AL17886" s="177"/>
    </row>
    <row r="17887" spans="38:38" x14ac:dyDescent="0.2">
      <c r="AL17887" s="177"/>
    </row>
    <row r="17888" spans="38:38" x14ac:dyDescent="0.2">
      <c r="AL17888" s="177"/>
    </row>
    <row r="17889" spans="38:38" x14ac:dyDescent="0.2">
      <c r="AL17889" s="177"/>
    </row>
    <row r="17890" spans="38:38" x14ac:dyDescent="0.2">
      <c r="AL17890" s="177"/>
    </row>
    <row r="17891" spans="38:38" x14ac:dyDescent="0.2">
      <c r="AL17891" s="177"/>
    </row>
    <row r="17892" spans="38:38" x14ac:dyDescent="0.2">
      <c r="AL17892" s="177"/>
    </row>
    <row r="17893" spans="38:38" x14ac:dyDescent="0.2">
      <c r="AL17893" s="177"/>
    </row>
    <row r="17894" spans="38:38" x14ac:dyDescent="0.2">
      <c r="AL17894" s="177"/>
    </row>
    <row r="17895" spans="38:38" x14ac:dyDescent="0.2">
      <c r="AL17895" s="177"/>
    </row>
    <row r="17896" spans="38:38" x14ac:dyDescent="0.2">
      <c r="AL17896" s="177"/>
    </row>
    <row r="17897" spans="38:38" x14ac:dyDescent="0.2">
      <c r="AL17897" s="177"/>
    </row>
    <row r="17898" spans="38:38" x14ac:dyDescent="0.2">
      <c r="AL17898" s="177"/>
    </row>
    <row r="17899" spans="38:38" x14ac:dyDescent="0.2">
      <c r="AL17899" s="177"/>
    </row>
    <row r="17900" spans="38:38" x14ac:dyDescent="0.2">
      <c r="AL17900" s="177"/>
    </row>
    <row r="17901" spans="38:38" x14ac:dyDescent="0.2">
      <c r="AL17901" s="177"/>
    </row>
    <row r="17902" spans="38:38" x14ac:dyDescent="0.2">
      <c r="AL17902" s="177"/>
    </row>
    <row r="17903" spans="38:38" x14ac:dyDescent="0.2">
      <c r="AL17903" s="177"/>
    </row>
    <row r="17904" spans="38:38" x14ac:dyDescent="0.2">
      <c r="AL17904" s="177"/>
    </row>
    <row r="17905" spans="38:38" x14ac:dyDescent="0.2">
      <c r="AL17905" s="177"/>
    </row>
    <row r="17906" spans="38:38" x14ac:dyDescent="0.2">
      <c r="AL17906" s="177"/>
    </row>
    <row r="17907" spans="38:38" x14ac:dyDescent="0.2">
      <c r="AL17907" s="177"/>
    </row>
    <row r="17908" spans="38:38" x14ac:dyDescent="0.2">
      <c r="AL17908" s="177"/>
    </row>
    <row r="17909" spans="38:38" x14ac:dyDescent="0.2">
      <c r="AL17909" s="177"/>
    </row>
    <row r="17910" spans="38:38" x14ac:dyDescent="0.2">
      <c r="AL17910" s="177"/>
    </row>
    <row r="17911" spans="38:38" x14ac:dyDescent="0.2">
      <c r="AL17911" s="177"/>
    </row>
    <row r="17912" spans="38:38" x14ac:dyDescent="0.2">
      <c r="AL17912" s="177"/>
    </row>
    <row r="17913" spans="38:38" x14ac:dyDescent="0.2">
      <c r="AL17913" s="177"/>
    </row>
    <row r="17914" spans="38:38" x14ac:dyDescent="0.2">
      <c r="AL17914" s="177"/>
    </row>
    <row r="17915" spans="38:38" x14ac:dyDescent="0.2">
      <c r="AL17915" s="177"/>
    </row>
    <row r="17916" spans="38:38" x14ac:dyDescent="0.2">
      <c r="AL17916" s="177"/>
    </row>
    <row r="17917" spans="38:38" x14ac:dyDescent="0.2">
      <c r="AL17917" s="177"/>
    </row>
    <row r="17918" spans="38:38" x14ac:dyDescent="0.2">
      <c r="AL17918" s="177"/>
    </row>
    <row r="17919" spans="38:38" x14ac:dyDescent="0.2">
      <c r="AL17919" s="177"/>
    </row>
    <row r="17920" spans="38:38" x14ac:dyDescent="0.2">
      <c r="AL17920" s="177"/>
    </row>
    <row r="17921" spans="38:38" x14ac:dyDescent="0.2">
      <c r="AL17921" s="177"/>
    </row>
    <row r="17922" spans="38:38" x14ac:dyDescent="0.2">
      <c r="AL17922" s="177"/>
    </row>
    <row r="17923" spans="38:38" x14ac:dyDescent="0.2">
      <c r="AL17923" s="177"/>
    </row>
    <row r="17924" spans="38:38" x14ac:dyDescent="0.2">
      <c r="AL17924" s="177"/>
    </row>
    <row r="17925" spans="38:38" x14ac:dyDescent="0.2">
      <c r="AL17925" s="177"/>
    </row>
    <row r="17926" spans="38:38" x14ac:dyDescent="0.2">
      <c r="AL17926" s="177"/>
    </row>
    <row r="17927" spans="38:38" x14ac:dyDescent="0.2">
      <c r="AL17927" s="177"/>
    </row>
    <row r="17928" spans="38:38" x14ac:dyDescent="0.2">
      <c r="AL17928" s="177"/>
    </row>
    <row r="17929" spans="38:38" x14ac:dyDescent="0.2">
      <c r="AL17929" s="177"/>
    </row>
    <row r="17930" spans="38:38" x14ac:dyDescent="0.2">
      <c r="AL17930" s="177"/>
    </row>
    <row r="17931" spans="38:38" x14ac:dyDescent="0.2">
      <c r="AL17931" s="177"/>
    </row>
    <row r="17932" spans="38:38" x14ac:dyDescent="0.2">
      <c r="AL17932" s="177"/>
    </row>
    <row r="17933" spans="38:38" x14ac:dyDescent="0.2">
      <c r="AL17933" s="177"/>
    </row>
    <row r="17934" spans="38:38" x14ac:dyDescent="0.2">
      <c r="AL17934" s="177"/>
    </row>
    <row r="17935" spans="38:38" x14ac:dyDescent="0.2">
      <c r="AL17935" s="177"/>
    </row>
    <row r="17936" spans="38:38" x14ac:dyDescent="0.2">
      <c r="AL17936" s="177"/>
    </row>
    <row r="17937" spans="38:38" x14ac:dyDescent="0.2">
      <c r="AL17937" s="177"/>
    </row>
    <row r="17938" spans="38:38" x14ac:dyDescent="0.2">
      <c r="AL17938" s="177"/>
    </row>
    <row r="17939" spans="38:38" x14ac:dyDescent="0.2">
      <c r="AL17939" s="177"/>
    </row>
    <row r="17940" spans="38:38" x14ac:dyDescent="0.2">
      <c r="AL17940" s="177"/>
    </row>
    <row r="17941" spans="38:38" x14ac:dyDescent="0.2">
      <c r="AL17941" s="177"/>
    </row>
    <row r="17942" spans="38:38" x14ac:dyDescent="0.2">
      <c r="AL17942" s="177"/>
    </row>
    <row r="17943" spans="38:38" x14ac:dyDescent="0.2">
      <c r="AL17943" s="177"/>
    </row>
    <row r="17944" spans="38:38" x14ac:dyDescent="0.2">
      <c r="AL17944" s="177"/>
    </row>
    <row r="17945" spans="38:38" x14ac:dyDescent="0.2">
      <c r="AL17945" s="177"/>
    </row>
    <row r="17946" spans="38:38" x14ac:dyDescent="0.2">
      <c r="AL17946" s="177"/>
    </row>
    <row r="17947" spans="38:38" x14ac:dyDescent="0.2">
      <c r="AL17947" s="177"/>
    </row>
    <row r="17948" spans="38:38" x14ac:dyDescent="0.2">
      <c r="AL17948" s="177"/>
    </row>
    <row r="17949" spans="38:38" x14ac:dyDescent="0.2">
      <c r="AL17949" s="177"/>
    </row>
    <row r="17950" spans="38:38" x14ac:dyDescent="0.2">
      <c r="AL17950" s="177"/>
    </row>
    <row r="17951" spans="38:38" x14ac:dyDescent="0.2">
      <c r="AL17951" s="177"/>
    </row>
    <row r="17952" spans="38:38" x14ac:dyDescent="0.2">
      <c r="AL17952" s="177"/>
    </row>
    <row r="17953" spans="38:38" x14ac:dyDescent="0.2">
      <c r="AL17953" s="177"/>
    </row>
    <row r="17954" spans="38:38" x14ac:dyDescent="0.2">
      <c r="AL17954" s="177"/>
    </row>
    <row r="17955" spans="38:38" x14ac:dyDescent="0.2">
      <c r="AL17955" s="177"/>
    </row>
    <row r="17956" spans="38:38" x14ac:dyDescent="0.2">
      <c r="AL17956" s="177"/>
    </row>
    <row r="17957" spans="38:38" x14ac:dyDescent="0.2">
      <c r="AL17957" s="177"/>
    </row>
    <row r="17958" spans="38:38" x14ac:dyDescent="0.2">
      <c r="AL17958" s="177"/>
    </row>
    <row r="17959" spans="38:38" x14ac:dyDescent="0.2">
      <c r="AL17959" s="177"/>
    </row>
    <row r="17960" spans="38:38" x14ac:dyDescent="0.2">
      <c r="AL17960" s="177"/>
    </row>
    <row r="17961" spans="38:38" x14ac:dyDescent="0.2">
      <c r="AL17961" s="177"/>
    </row>
    <row r="17962" spans="38:38" x14ac:dyDescent="0.2">
      <c r="AL17962" s="177"/>
    </row>
    <row r="17963" spans="38:38" x14ac:dyDescent="0.2">
      <c r="AL17963" s="177"/>
    </row>
    <row r="17964" spans="38:38" x14ac:dyDescent="0.2">
      <c r="AL17964" s="177"/>
    </row>
    <row r="17965" spans="38:38" x14ac:dyDescent="0.2">
      <c r="AL17965" s="177"/>
    </row>
    <row r="17966" spans="38:38" x14ac:dyDescent="0.2">
      <c r="AL17966" s="177"/>
    </row>
    <row r="17967" spans="38:38" x14ac:dyDescent="0.2">
      <c r="AL17967" s="177"/>
    </row>
    <row r="17968" spans="38:38" x14ac:dyDescent="0.2">
      <c r="AL17968" s="177"/>
    </row>
    <row r="17969" spans="38:38" x14ac:dyDescent="0.2">
      <c r="AL17969" s="177"/>
    </row>
    <row r="17970" spans="38:38" x14ac:dyDescent="0.2">
      <c r="AL17970" s="177"/>
    </row>
    <row r="17971" spans="38:38" x14ac:dyDescent="0.2">
      <c r="AL17971" s="177"/>
    </row>
    <row r="17972" spans="38:38" x14ac:dyDescent="0.2">
      <c r="AL17972" s="177"/>
    </row>
    <row r="17973" spans="38:38" x14ac:dyDescent="0.2">
      <c r="AL17973" s="177"/>
    </row>
    <row r="17974" spans="38:38" x14ac:dyDescent="0.2">
      <c r="AL17974" s="177"/>
    </row>
    <row r="17975" spans="38:38" x14ac:dyDescent="0.2">
      <c r="AL17975" s="177"/>
    </row>
    <row r="17976" spans="38:38" x14ac:dyDescent="0.2">
      <c r="AL17976" s="177"/>
    </row>
    <row r="17977" spans="38:38" x14ac:dyDescent="0.2">
      <c r="AL17977" s="177"/>
    </row>
    <row r="17978" spans="38:38" x14ac:dyDescent="0.2">
      <c r="AL17978" s="177"/>
    </row>
    <row r="17979" spans="38:38" x14ac:dyDescent="0.2">
      <c r="AL17979" s="177"/>
    </row>
    <row r="17980" spans="38:38" x14ac:dyDescent="0.2">
      <c r="AL17980" s="177"/>
    </row>
    <row r="17981" spans="38:38" x14ac:dyDescent="0.2">
      <c r="AL17981" s="177"/>
    </row>
    <row r="17982" spans="38:38" x14ac:dyDescent="0.2">
      <c r="AL17982" s="177"/>
    </row>
    <row r="17983" spans="38:38" x14ac:dyDescent="0.2">
      <c r="AL17983" s="177"/>
    </row>
    <row r="17984" spans="38:38" x14ac:dyDescent="0.2">
      <c r="AL17984" s="177"/>
    </row>
    <row r="17985" spans="38:38" x14ac:dyDescent="0.2">
      <c r="AL17985" s="177"/>
    </row>
    <row r="17986" spans="38:38" x14ac:dyDescent="0.2">
      <c r="AL17986" s="177"/>
    </row>
    <row r="17987" spans="38:38" x14ac:dyDescent="0.2">
      <c r="AL17987" s="177"/>
    </row>
    <row r="17988" spans="38:38" x14ac:dyDescent="0.2">
      <c r="AL17988" s="177"/>
    </row>
    <row r="17989" spans="38:38" x14ac:dyDescent="0.2">
      <c r="AL17989" s="177"/>
    </row>
    <row r="17990" spans="38:38" x14ac:dyDescent="0.2">
      <c r="AL17990" s="177"/>
    </row>
    <row r="17991" spans="38:38" x14ac:dyDescent="0.2">
      <c r="AL17991" s="177"/>
    </row>
    <row r="17992" spans="38:38" x14ac:dyDescent="0.2">
      <c r="AL17992" s="177"/>
    </row>
    <row r="17993" spans="38:38" x14ac:dyDescent="0.2">
      <c r="AL17993" s="177"/>
    </row>
    <row r="17994" spans="38:38" x14ac:dyDescent="0.2">
      <c r="AL17994" s="177"/>
    </row>
    <row r="17995" spans="38:38" x14ac:dyDescent="0.2">
      <c r="AL17995" s="177"/>
    </row>
    <row r="17996" spans="38:38" x14ac:dyDescent="0.2">
      <c r="AL17996" s="177"/>
    </row>
    <row r="17997" spans="38:38" x14ac:dyDescent="0.2">
      <c r="AL17997" s="177"/>
    </row>
    <row r="17998" spans="38:38" x14ac:dyDescent="0.2">
      <c r="AL17998" s="177"/>
    </row>
    <row r="17999" spans="38:38" x14ac:dyDescent="0.2">
      <c r="AL17999" s="177"/>
    </row>
    <row r="18000" spans="38:38" x14ac:dyDescent="0.2">
      <c r="AL18000" s="177"/>
    </row>
    <row r="18001" spans="38:38" x14ac:dyDescent="0.2">
      <c r="AL18001" s="177"/>
    </row>
    <row r="18002" spans="38:38" x14ac:dyDescent="0.2">
      <c r="AL18002" s="177"/>
    </row>
    <row r="18003" spans="38:38" x14ac:dyDescent="0.2">
      <c r="AL18003" s="177"/>
    </row>
    <row r="18004" spans="38:38" x14ac:dyDescent="0.2">
      <c r="AL18004" s="177"/>
    </row>
    <row r="18005" spans="38:38" x14ac:dyDescent="0.2">
      <c r="AL18005" s="177"/>
    </row>
    <row r="18006" spans="38:38" x14ac:dyDescent="0.2">
      <c r="AL18006" s="177"/>
    </row>
    <row r="18007" spans="38:38" x14ac:dyDescent="0.2">
      <c r="AL18007" s="177"/>
    </row>
    <row r="18008" spans="38:38" x14ac:dyDescent="0.2">
      <c r="AL18008" s="177"/>
    </row>
    <row r="18009" spans="38:38" x14ac:dyDescent="0.2">
      <c r="AL18009" s="177"/>
    </row>
    <row r="18010" spans="38:38" x14ac:dyDescent="0.2">
      <c r="AL18010" s="177"/>
    </row>
    <row r="18011" spans="38:38" x14ac:dyDescent="0.2">
      <c r="AL18011" s="177"/>
    </row>
    <row r="18012" spans="38:38" x14ac:dyDescent="0.2">
      <c r="AL18012" s="177"/>
    </row>
    <row r="18013" spans="38:38" x14ac:dyDescent="0.2">
      <c r="AL18013" s="177"/>
    </row>
    <row r="18014" spans="38:38" x14ac:dyDescent="0.2">
      <c r="AL18014" s="177"/>
    </row>
    <row r="18015" spans="38:38" x14ac:dyDescent="0.2">
      <c r="AL18015" s="177"/>
    </row>
    <row r="18016" spans="38:38" x14ac:dyDescent="0.2">
      <c r="AL18016" s="177"/>
    </row>
    <row r="18017" spans="38:38" x14ac:dyDescent="0.2">
      <c r="AL18017" s="177"/>
    </row>
    <row r="18018" spans="38:38" x14ac:dyDescent="0.2">
      <c r="AL18018" s="177"/>
    </row>
    <row r="18019" spans="38:38" x14ac:dyDescent="0.2">
      <c r="AL18019" s="177"/>
    </row>
    <row r="18020" spans="38:38" x14ac:dyDescent="0.2">
      <c r="AL18020" s="177"/>
    </row>
    <row r="18021" spans="38:38" x14ac:dyDescent="0.2">
      <c r="AL18021" s="177"/>
    </row>
    <row r="18022" spans="38:38" x14ac:dyDescent="0.2">
      <c r="AL18022" s="177"/>
    </row>
    <row r="18023" spans="38:38" x14ac:dyDescent="0.2">
      <c r="AL18023" s="177"/>
    </row>
    <row r="18024" spans="38:38" x14ac:dyDescent="0.2">
      <c r="AL18024" s="177"/>
    </row>
    <row r="18025" spans="38:38" x14ac:dyDescent="0.2">
      <c r="AL18025" s="177"/>
    </row>
    <row r="18026" spans="38:38" x14ac:dyDescent="0.2">
      <c r="AL18026" s="177"/>
    </row>
    <row r="18027" spans="38:38" x14ac:dyDescent="0.2">
      <c r="AL18027" s="177"/>
    </row>
    <row r="18028" spans="38:38" x14ac:dyDescent="0.2">
      <c r="AL18028" s="177"/>
    </row>
    <row r="18029" spans="38:38" x14ac:dyDescent="0.2">
      <c r="AL18029" s="177"/>
    </row>
    <row r="18030" spans="38:38" x14ac:dyDescent="0.2">
      <c r="AL18030" s="177"/>
    </row>
    <row r="18031" spans="38:38" x14ac:dyDescent="0.2">
      <c r="AL18031" s="177"/>
    </row>
    <row r="18032" spans="38:38" x14ac:dyDescent="0.2">
      <c r="AL18032" s="177"/>
    </row>
    <row r="18033" spans="38:38" x14ac:dyDescent="0.2">
      <c r="AL18033" s="177"/>
    </row>
    <row r="18034" spans="38:38" x14ac:dyDescent="0.2">
      <c r="AL18034" s="177"/>
    </row>
    <row r="18035" spans="38:38" x14ac:dyDescent="0.2">
      <c r="AL18035" s="177"/>
    </row>
    <row r="18036" spans="38:38" x14ac:dyDescent="0.2">
      <c r="AL18036" s="177"/>
    </row>
    <row r="18037" spans="38:38" x14ac:dyDescent="0.2">
      <c r="AL18037" s="177"/>
    </row>
    <row r="18038" spans="38:38" x14ac:dyDescent="0.2">
      <c r="AL18038" s="177"/>
    </row>
    <row r="18039" spans="38:38" x14ac:dyDescent="0.2">
      <c r="AL18039" s="177"/>
    </row>
    <row r="18040" spans="38:38" x14ac:dyDescent="0.2">
      <c r="AL18040" s="177"/>
    </row>
    <row r="18041" spans="38:38" x14ac:dyDescent="0.2">
      <c r="AL18041" s="177"/>
    </row>
    <row r="18042" spans="38:38" x14ac:dyDescent="0.2">
      <c r="AL18042" s="177"/>
    </row>
    <row r="18043" spans="38:38" x14ac:dyDescent="0.2">
      <c r="AL18043" s="177"/>
    </row>
    <row r="18044" spans="38:38" x14ac:dyDescent="0.2">
      <c r="AL18044" s="177"/>
    </row>
    <row r="18045" spans="38:38" x14ac:dyDescent="0.2">
      <c r="AL18045" s="177"/>
    </row>
    <row r="18046" spans="38:38" x14ac:dyDescent="0.2">
      <c r="AL18046" s="177"/>
    </row>
    <row r="18047" spans="38:38" x14ac:dyDescent="0.2">
      <c r="AL18047" s="177"/>
    </row>
    <row r="18048" spans="38:38" x14ac:dyDescent="0.2">
      <c r="AL18048" s="177"/>
    </row>
    <row r="18049" spans="38:38" x14ac:dyDescent="0.2">
      <c r="AL18049" s="177"/>
    </row>
    <row r="18050" spans="38:38" x14ac:dyDescent="0.2">
      <c r="AL18050" s="177"/>
    </row>
    <row r="18051" spans="38:38" x14ac:dyDescent="0.2">
      <c r="AL18051" s="177"/>
    </row>
    <row r="18052" spans="38:38" x14ac:dyDescent="0.2">
      <c r="AL18052" s="177"/>
    </row>
    <row r="18053" spans="38:38" x14ac:dyDescent="0.2">
      <c r="AL18053" s="177"/>
    </row>
    <row r="18054" spans="38:38" x14ac:dyDescent="0.2">
      <c r="AL18054" s="177"/>
    </row>
    <row r="18055" spans="38:38" x14ac:dyDescent="0.2">
      <c r="AL18055" s="177"/>
    </row>
    <row r="18056" spans="38:38" x14ac:dyDescent="0.2">
      <c r="AL18056" s="177"/>
    </row>
    <row r="18057" spans="38:38" x14ac:dyDescent="0.2">
      <c r="AL18057" s="177"/>
    </row>
    <row r="18058" spans="38:38" x14ac:dyDescent="0.2">
      <c r="AL18058" s="177"/>
    </row>
    <row r="18059" spans="38:38" x14ac:dyDescent="0.2">
      <c r="AL18059" s="177"/>
    </row>
    <row r="18060" spans="38:38" x14ac:dyDescent="0.2">
      <c r="AL18060" s="177"/>
    </row>
    <row r="18061" spans="38:38" x14ac:dyDescent="0.2">
      <c r="AL18061" s="177"/>
    </row>
    <row r="18062" spans="38:38" x14ac:dyDescent="0.2">
      <c r="AL18062" s="177"/>
    </row>
    <row r="18063" spans="38:38" x14ac:dyDescent="0.2">
      <c r="AL18063" s="177"/>
    </row>
    <row r="18064" spans="38:38" x14ac:dyDescent="0.2">
      <c r="AL18064" s="177"/>
    </row>
    <row r="18065" spans="38:38" x14ac:dyDescent="0.2">
      <c r="AL18065" s="177"/>
    </row>
    <row r="18066" spans="38:38" x14ac:dyDescent="0.2">
      <c r="AL18066" s="177"/>
    </row>
    <row r="18067" spans="38:38" x14ac:dyDescent="0.2">
      <c r="AL18067" s="177"/>
    </row>
    <row r="18068" spans="38:38" x14ac:dyDescent="0.2">
      <c r="AL18068" s="177"/>
    </row>
    <row r="18069" spans="38:38" x14ac:dyDescent="0.2">
      <c r="AL18069" s="177"/>
    </row>
    <row r="18070" spans="38:38" x14ac:dyDescent="0.2">
      <c r="AL18070" s="177"/>
    </row>
    <row r="18071" spans="38:38" x14ac:dyDescent="0.2">
      <c r="AL18071" s="177"/>
    </row>
    <row r="18072" spans="38:38" x14ac:dyDescent="0.2">
      <c r="AL18072" s="177"/>
    </row>
    <row r="18073" spans="38:38" x14ac:dyDescent="0.2">
      <c r="AL18073" s="177"/>
    </row>
    <row r="18074" spans="38:38" x14ac:dyDescent="0.2">
      <c r="AL18074" s="177"/>
    </row>
    <row r="18075" spans="38:38" x14ac:dyDescent="0.2">
      <c r="AL18075" s="177"/>
    </row>
    <row r="18076" spans="38:38" x14ac:dyDescent="0.2">
      <c r="AL18076" s="177"/>
    </row>
    <row r="18077" spans="38:38" x14ac:dyDescent="0.2">
      <c r="AL18077" s="177"/>
    </row>
    <row r="18078" spans="38:38" x14ac:dyDescent="0.2">
      <c r="AL18078" s="177"/>
    </row>
    <row r="18079" spans="38:38" x14ac:dyDescent="0.2">
      <c r="AL18079" s="177"/>
    </row>
    <row r="18080" spans="38:38" x14ac:dyDescent="0.2">
      <c r="AL18080" s="177"/>
    </row>
    <row r="18081" spans="38:38" x14ac:dyDescent="0.2">
      <c r="AL18081" s="177"/>
    </row>
    <row r="18082" spans="38:38" x14ac:dyDescent="0.2">
      <c r="AL18082" s="177"/>
    </row>
    <row r="18083" spans="38:38" x14ac:dyDescent="0.2">
      <c r="AL18083" s="177"/>
    </row>
    <row r="18084" spans="38:38" x14ac:dyDescent="0.2">
      <c r="AL18084" s="177"/>
    </row>
    <row r="18085" spans="38:38" x14ac:dyDescent="0.2">
      <c r="AL18085" s="177"/>
    </row>
    <row r="18086" spans="38:38" x14ac:dyDescent="0.2">
      <c r="AL18086" s="177"/>
    </row>
    <row r="18087" spans="38:38" x14ac:dyDescent="0.2">
      <c r="AL18087" s="177"/>
    </row>
    <row r="18088" spans="38:38" x14ac:dyDescent="0.2">
      <c r="AL18088" s="177"/>
    </row>
    <row r="18089" spans="38:38" x14ac:dyDescent="0.2">
      <c r="AL18089" s="177"/>
    </row>
    <row r="18090" spans="38:38" x14ac:dyDescent="0.2">
      <c r="AL18090" s="177"/>
    </row>
    <row r="18091" spans="38:38" x14ac:dyDescent="0.2">
      <c r="AL18091" s="177"/>
    </row>
    <row r="18092" spans="38:38" x14ac:dyDescent="0.2">
      <c r="AL18092" s="177"/>
    </row>
    <row r="18093" spans="38:38" x14ac:dyDescent="0.2">
      <c r="AL18093" s="177"/>
    </row>
    <row r="18094" spans="38:38" x14ac:dyDescent="0.2">
      <c r="AL18094" s="177"/>
    </row>
    <row r="18095" spans="38:38" x14ac:dyDescent="0.2">
      <c r="AL18095" s="177"/>
    </row>
    <row r="18096" spans="38:38" x14ac:dyDescent="0.2">
      <c r="AL18096" s="177"/>
    </row>
    <row r="18097" spans="38:38" x14ac:dyDescent="0.2">
      <c r="AL18097" s="177"/>
    </row>
    <row r="18098" spans="38:38" x14ac:dyDescent="0.2">
      <c r="AL18098" s="177"/>
    </row>
    <row r="18099" spans="38:38" x14ac:dyDescent="0.2">
      <c r="AL18099" s="177"/>
    </row>
    <row r="18100" spans="38:38" x14ac:dyDescent="0.2">
      <c r="AL18100" s="177"/>
    </row>
    <row r="18101" spans="38:38" x14ac:dyDescent="0.2">
      <c r="AL18101" s="177"/>
    </row>
    <row r="18102" spans="38:38" x14ac:dyDescent="0.2">
      <c r="AL18102" s="177"/>
    </row>
    <row r="18103" spans="38:38" x14ac:dyDescent="0.2">
      <c r="AL18103" s="177"/>
    </row>
    <row r="18104" spans="38:38" x14ac:dyDescent="0.2">
      <c r="AL18104" s="177"/>
    </row>
    <row r="18105" spans="38:38" x14ac:dyDescent="0.2">
      <c r="AL18105" s="177"/>
    </row>
    <row r="18106" spans="38:38" x14ac:dyDescent="0.2">
      <c r="AL18106" s="177"/>
    </row>
    <row r="18107" spans="38:38" x14ac:dyDescent="0.2">
      <c r="AL18107" s="177"/>
    </row>
    <row r="18108" spans="38:38" x14ac:dyDescent="0.2">
      <c r="AL18108" s="177"/>
    </row>
    <row r="18109" spans="38:38" x14ac:dyDescent="0.2">
      <c r="AL18109" s="177"/>
    </row>
    <row r="18110" spans="38:38" x14ac:dyDescent="0.2">
      <c r="AL18110" s="177"/>
    </row>
    <row r="18111" spans="38:38" x14ac:dyDescent="0.2">
      <c r="AL18111" s="177"/>
    </row>
    <row r="18112" spans="38:38" x14ac:dyDescent="0.2">
      <c r="AL18112" s="177"/>
    </row>
    <row r="18113" spans="38:38" x14ac:dyDescent="0.2">
      <c r="AL18113" s="177"/>
    </row>
    <row r="18114" spans="38:38" x14ac:dyDescent="0.2">
      <c r="AL18114" s="177"/>
    </row>
    <row r="18115" spans="38:38" x14ac:dyDescent="0.2">
      <c r="AL18115" s="177"/>
    </row>
    <row r="18116" spans="38:38" x14ac:dyDescent="0.2">
      <c r="AL18116" s="177"/>
    </row>
    <row r="18117" spans="38:38" x14ac:dyDescent="0.2">
      <c r="AL18117" s="177"/>
    </row>
    <row r="18118" spans="38:38" x14ac:dyDescent="0.2">
      <c r="AL18118" s="177"/>
    </row>
    <row r="18119" spans="38:38" x14ac:dyDescent="0.2">
      <c r="AL18119" s="177"/>
    </row>
    <row r="18120" spans="38:38" x14ac:dyDescent="0.2">
      <c r="AL18120" s="177"/>
    </row>
    <row r="18121" spans="38:38" x14ac:dyDescent="0.2">
      <c r="AL18121" s="177"/>
    </row>
    <row r="18122" spans="38:38" x14ac:dyDescent="0.2">
      <c r="AL18122" s="177"/>
    </row>
    <row r="18123" spans="38:38" x14ac:dyDescent="0.2">
      <c r="AL18123" s="177"/>
    </row>
    <row r="18124" spans="38:38" x14ac:dyDescent="0.2">
      <c r="AL18124" s="177"/>
    </row>
    <row r="18125" spans="38:38" x14ac:dyDescent="0.2">
      <c r="AL18125" s="177"/>
    </row>
    <row r="18126" spans="38:38" x14ac:dyDescent="0.2">
      <c r="AL18126" s="177"/>
    </row>
    <row r="18127" spans="38:38" x14ac:dyDescent="0.2">
      <c r="AL18127" s="177"/>
    </row>
    <row r="18128" spans="38:38" x14ac:dyDescent="0.2">
      <c r="AL18128" s="177"/>
    </row>
    <row r="18129" spans="38:38" x14ac:dyDescent="0.2">
      <c r="AL18129" s="177"/>
    </row>
    <row r="18130" spans="38:38" x14ac:dyDescent="0.2">
      <c r="AL18130" s="177"/>
    </row>
    <row r="18131" spans="38:38" x14ac:dyDescent="0.2">
      <c r="AL18131" s="177"/>
    </row>
    <row r="18132" spans="38:38" x14ac:dyDescent="0.2">
      <c r="AL18132" s="177"/>
    </row>
    <row r="18133" spans="38:38" x14ac:dyDescent="0.2">
      <c r="AL18133" s="177"/>
    </row>
    <row r="18134" spans="38:38" x14ac:dyDescent="0.2">
      <c r="AL18134" s="177"/>
    </row>
    <row r="18135" spans="38:38" x14ac:dyDescent="0.2">
      <c r="AL18135" s="177"/>
    </row>
    <row r="18136" spans="38:38" x14ac:dyDescent="0.2">
      <c r="AL18136" s="177"/>
    </row>
    <row r="18137" spans="38:38" x14ac:dyDescent="0.2">
      <c r="AL18137" s="177"/>
    </row>
    <row r="18138" spans="38:38" x14ac:dyDescent="0.2">
      <c r="AL18138" s="177"/>
    </row>
    <row r="18139" spans="38:38" x14ac:dyDescent="0.2">
      <c r="AL18139" s="177"/>
    </row>
    <row r="18140" spans="38:38" x14ac:dyDescent="0.2">
      <c r="AL18140" s="177"/>
    </row>
    <row r="18141" spans="38:38" x14ac:dyDescent="0.2">
      <c r="AL18141" s="177"/>
    </row>
    <row r="18142" spans="38:38" x14ac:dyDescent="0.2">
      <c r="AL18142" s="177"/>
    </row>
    <row r="18143" spans="38:38" x14ac:dyDescent="0.2">
      <c r="AL18143" s="177"/>
    </row>
    <row r="18144" spans="38:38" x14ac:dyDescent="0.2">
      <c r="AL18144" s="177"/>
    </row>
    <row r="18145" spans="38:38" x14ac:dyDescent="0.2">
      <c r="AL18145" s="177"/>
    </row>
    <row r="18146" spans="38:38" x14ac:dyDescent="0.2">
      <c r="AL18146" s="177"/>
    </row>
    <row r="18147" spans="38:38" x14ac:dyDescent="0.2">
      <c r="AL18147" s="177"/>
    </row>
    <row r="18148" spans="38:38" x14ac:dyDescent="0.2">
      <c r="AL18148" s="177"/>
    </row>
    <row r="18149" spans="38:38" x14ac:dyDescent="0.2">
      <c r="AL18149" s="177"/>
    </row>
    <row r="18150" spans="38:38" x14ac:dyDescent="0.2">
      <c r="AL18150" s="177"/>
    </row>
    <row r="18151" spans="38:38" x14ac:dyDescent="0.2">
      <c r="AL18151" s="177"/>
    </row>
    <row r="18152" spans="38:38" x14ac:dyDescent="0.2">
      <c r="AL18152" s="177"/>
    </row>
    <row r="18153" spans="38:38" x14ac:dyDescent="0.2">
      <c r="AL18153" s="177"/>
    </row>
    <row r="18154" spans="38:38" x14ac:dyDescent="0.2">
      <c r="AL18154" s="177"/>
    </row>
    <row r="18155" spans="38:38" x14ac:dyDescent="0.2">
      <c r="AL18155" s="177"/>
    </row>
    <row r="18156" spans="38:38" x14ac:dyDescent="0.2">
      <c r="AL18156" s="177"/>
    </row>
    <row r="18157" spans="38:38" x14ac:dyDescent="0.2">
      <c r="AL18157" s="177"/>
    </row>
    <row r="18158" spans="38:38" x14ac:dyDescent="0.2">
      <c r="AL18158" s="177"/>
    </row>
    <row r="18159" spans="38:38" x14ac:dyDescent="0.2">
      <c r="AL18159" s="177"/>
    </row>
    <row r="18160" spans="38:38" x14ac:dyDescent="0.2">
      <c r="AL18160" s="177"/>
    </row>
    <row r="18161" spans="38:38" x14ac:dyDescent="0.2">
      <c r="AL18161" s="177"/>
    </row>
    <row r="18162" spans="38:38" x14ac:dyDescent="0.2">
      <c r="AL18162" s="177"/>
    </row>
    <row r="18163" spans="38:38" x14ac:dyDescent="0.2">
      <c r="AL18163" s="177"/>
    </row>
    <row r="18164" spans="38:38" x14ac:dyDescent="0.2">
      <c r="AL18164" s="177"/>
    </row>
    <row r="18165" spans="38:38" x14ac:dyDescent="0.2">
      <c r="AL18165" s="177"/>
    </row>
    <row r="18166" spans="38:38" x14ac:dyDescent="0.2">
      <c r="AL18166" s="177"/>
    </row>
    <row r="18167" spans="38:38" x14ac:dyDescent="0.2">
      <c r="AL18167" s="177"/>
    </row>
    <row r="18168" spans="38:38" x14ac:dyDescent="0.2">
      <c r="AL18168" s="177"/>
    </row>
    <row r="18169" spans="38:38" x14ac:dyDescent="0.2">
      <c r="AL18169" s="177"/>
    </row>
    <row r="18170" spans="38:38" x14ac:dyDescent="0.2">
      <c r="AL18170" s="177"/>
    </row>
    <row r="18171" spans="38:38" x14ac:dyDescent="0.2">
      <c r="AL18171" s="177"/>
    </row>
    <row r="18172" spans="38:38" x14ac:dyDescent="0.2">
      <c r="AL18172" s="177"/>
    </row>
    <row r="18173" spans="38:38" x14ac:dyDescent="0.2">
      <c r="AL18173" s="177"/>
    </row>
    <row r="18174" spans="38:38" x14ac:dyDescent="0.2">
      <c r="AL18174" s="177"/>
    </row>
    <row r="18175" spans="38:38" x14ac:dyDescent="0.2">
      <c r="AL18175" s="177"/>
    </row>
    <row r="18176" spans="38:38" x14ac:dyDescent="0.2">
      <c r="AL18176" s="177"/>
    </row>
    <row r="18177" spans="38:38" x14ac:dyDescent="0.2">
      <c r="AL18177" s="177"/>
    </row>
    <row r="18178" spans="38:38" x14ac:dyDescent="0.2">
      <c r="AL18178" s="177"/>
    </row>
    <row r="18179" spans="38:38" x14ac:dyDescent="0.2">
      <c r="AL18179" s="177"/>
    </row>
    <row r="18180" spans="38:38" x14ac:dyDescent="0.2">
      <c r="AL18180" s="177"/>
    </row>
    <row r="18181" spans="38:38" x14ac:dyDescent="0.2">
      <c r="AL18181" s="177"/>
    </row>
    <row r="18182" spans="38:38" x14ac:dyDescent="0.2">
      <c r="AL18182" s="177"/>
    </row>
    <row r="18183" spans="38:38" x14ac:dyDescent="0.2">
      <c r="AL18183" s="177"/>
    </row>
    <row r="18184" spans="38:38" x14ac:dyDescent="0.2">
      <c r="AL18184" s="177"/>
    </row>
    <row r="18185" spans="38:38" x14ac:dyDescent="0.2">
      <c r="AL18185" s="177"/>
    </row>
    <row r="18186" spans="38:38" x14ac:dyDescent="0.2">
      <c r="AL18186" s="177"/>
    </row>
    <row r="18187" spans="38:38" x14ac:dyDescent="0.2">
      <c r="AL18187" s="177"/>
    </row>
    <row r="18188" spans="38:38" x14ac:dyDescent="0.2">
      <c r="AL18188" s="177"/>
    </row>
    <row r="18189" spans="38:38" x14ac:dyDescent="0.2">
      <c r="AL18189" s="177"/>
    </row>
    <row r="18190" spans="38:38" x14ac:dyDescent="0.2">
      <c r="AL18190" s="177"/>
    </row>
    <row r="18191" spans="38:38" x14ac:dyDescent="0.2">
      <c r="AL18191" s="177"/>
    </row>
    <row r="18192" spans="38:38" x14ac:dyDescent="0.2">
      <c r="AL18192" s="177"/>
    </row>
    <row r="18193" spans="38:38" x14ac:dyDescent="0.2">
      <c r="AL18193" s="177"/>
    </row>
    <row r="18194" spans="38:38" x14ac:dyDescent="0.2">
      <c r="AL18194" s="177"/>
    </row>
    <row r="18195" spans="38:38" x14ac:dyDescent="0.2">
      <c r="AL18195" s="177"/>
    </row>
    <row r="18196" spans="38:38" x14ac:dyDescent="0.2">
      <c r="AL18196" s="177"/>
    </row>
    <row r="18197" spans="38:38" x14ac:dyDescent="0.2">
      <c r="AL18197" s="177"/>
    </row>
    <row r="18198" spans="38:38" x14ac:dyDescent="0.2">
      <c r="AL18198" s="177"/>
    </row>
    <row r="18199" spans="38:38" x14ac:dyDescent="0.2">
      <c r="AL18199" s="177"/>
    </row>
    <row r="18200" spans="38:38" x14ac:dyDescent="0.2">
      <c r="AL18200" s="177"/>
    </row>
    <row r="18201" spans="38:38" x14ac:dyDescent="0.2">
      <c r="AL18201" s="177"/>
    </row>
    <row r="18202" spans="38:38" x14ac:dyDescent="0.2">
      <c r="AL18202" s="177"/>
    </row>
    <row r="18203" spans="38:38" x14ac:dyDescent="0.2">
      <c r="AL18203" s="177"/>
    </row>
    <row r="18204" spans="38:38" x14ac:dyDescent="0.2">
      <c r="AL18204" s="177"/>
    </row>
    <row r="18205" spans="38:38" x14ac:dyDescent="0.2">
      <c r="AL18205" s="177"/>
    </row>
    <row r="18206" spans="38:38" x14ac:dyDescent="0.2">
      <c r="AL18206" s="177"/>
    </row>
    <row r="18207" spans="38:38" x14ac:dyDescent="0.2">
      <c r="AL18207" s="177"/>
    </row>
    <row r="18208" spans="38:38" x14ac:dyDescent="0.2">
      <c r="AL18208" s="177"/>
    </row>
    <row r="18209" spans="38:38" x14ac:dyDescent="0.2">
      <c r="AL18209" s="177"/>
    </row>
    <row r="18210" spans="38:38" x14ac:dyDescent="0.2">
      <c r="AL18210" s="177"/>
    </row>
    <row r="18211" spans="38:38" x14ac:dyDescent="0.2">
      <c r="AL18211" s="177"/>
    </row>
    <row r="18212" spans="38:38" x14ac:dyDescent="0.2">
      <c r="AL18212" s="177"/>
    </row>
    <row r="18213" spans="38:38" x14ac:dyDescent="0.2">
      <c r="AL18213" s="177"/>
    </row>
    <row r="18214" spans="38:38" x14ac:dyDescent="0.2">
      <c r="AL18214" s="177"/>
    </row>
    <row r="18215" spans="38:38" x14ac:dyDescent="0.2">
      <c r="AL18215" s="177"/>
    </row>
    <row r="18216" spans="38:38" x14ac:dyDescent="0.2">
      <c r="AL18216" s="177"/>
    </row>
    <row r="18217" spans="38:38" x14ac:dyDescent="0.2">
      <c r="AL18217" s="177"/>
    </row>
    <row r="18218" spans="38:38" x14ac:dyDescent="0.2">
      <c r="AL18218" s="177"/>
    </row>
    <row r="18219" spans="38:38" x14ac:dyDescent="0.2">
      <c r="AL18219" s="177"/>
    </row>
    <row r="18220" spans="38:38" x14ac:dyDescent="0.2">
      <c r="AL18220" s="177"/>
    </row>
    <row r="18221" spans="38:38" x14ac:dyDescent="0.2">
      <c r="AL18221" s="177"/>
    </row>
    <row r="18222" spans="38:38" x14ac:dyDescent="0.2">
      <c r="AL18222" s="177"/>
    </row>
    <row r="18223" spans="38:38" x14ac:dyDescent="0.2">
      <c r="AL18223" s="177"/>
    </row>
    <row r="18224" spans="38:38" x14ac:dyDescent="0.2">
      <c r="AL18224" s="177"/>
    </row>
    <row r="18225" spans="38:38" x14ac:dyDescent="0.2">
      <c r="AL18225" s="177"/>
    </row>
    <row r="18226" spans="38:38" x14ac:dyDescent="0.2">
      <c r="AL18226" s="177"/>
    </row>
    <row r="18227" spans="38:38" x14ac:dyDescent="0.2">
      <c r="AL18227" s="177"/>
    </row>
    <row r="18228" spans="38:38" x14ac:dyDescent="0.2">
      <c r="AL18228" s="177"/>
    </row>
    <row r="18229" spans="38:38" x14ac:dyDescent="0.2">
      <c r="AL18229" s="177"/>
    </row>
    <row r="18230" spans="38:38" x14ac:dyDescent="0.2">
      <c r="AL18230" s="177"/>
    </row>
    <row r="18231" spans="38:38" x14ac:dyDescent="0.2">
      <c r="AL18231" s="177"/>
    </row>
    <row r="18232" spans="38:38" x14ac:dyDescent="0.2">
      <c r="AL18232" s="177"/>
    </row>
    <row r="18233" spans="38:38" x14ac:dyDescent="0.2">
      <c r="AL18233" s="177"/>
    </row>
    <row r="18234" spans="38:38" x14ac:dyDescent="0.2">
      <c r="AL18234" s="177"/>
    </row>
    <row r="18235" spans="38:38" x14ac:dyDescent="0.2">
      <c r="AL18235" s="177"/>
    </row>
    <row r="18236" spans="38:38" x14ac:dyDescent="0.2">
      <c r="AL18236" s="177"/>
    </row>
    <row r="18237" spans="38:38" x14ac:dyDescent="0.2">
      <c r="AL18237" s="177"/>
    </row>
    <row r="18238" spans="38:38" x14ac:dyDescent="0.2">
      <c r="AL18238" s="177"/>
    </row>
    <row r="18239" spans="38:38" x14ac:dyDescent="0.2">
      <c r="AL18239" s="177"/>
    </row>
    <row r="18240" spans="38:38" x14ac:dyDescent="0.2">
      <c r="AL18240" s="177"/>
    </row>
    <row r="18241" spans="38:38" x14ac:dyDescent="0.2">
      <c r="AL18241" s="177"/>
    </row>
    <row r="18242" spans="38:38" x14ac:dyDescent="0.2">
      <c r="AL18242" s="177"/>
    </row>
    <row r="18243" spans="38:38" x14ac:dyDescent="0.2">
      <c r="AL18243" s="177"/>
    </row>
    <row r="18244" spans="38:38" x14ac:dyDescent="0.2">
      <c r="AL18244" s="177"/>
    </row>
    <row r="18245" spans="38:38" x14ac:dyDescent="0.2">
      <c r="AL18245" s="177"/>
    </row>
    <row r="18246" spans="38:38" x14ac:dyDescent="0.2">
      <c r="AL18246" s="177"/>
    </row>
    <row r="18247" spans="38:38" x14ac:dyDescent="0.2">
      <c r="AL18247" s="177"/>
    </row>
    <row r="18248" spans="38:38" x14ac:dyDescent="0.2">
      <c r="AL18248" s="177"/>
    </row>
    <row r="18249" spans="38:38" x14ac:dyDescent="0.2">
      <c r="AL18249" s="177"/>
    </row>
    <row r="18250" spans="38:38" x14ac:dyDescent="0.2">
      <c r="AL18250" s="177"/>
    </row>
    <row r="18251" spans="38:38" x14ac:dyDescent="0.2">
      <c r="AL18251" s="177"/>
    </row>
    <row r="18252" spans="38:38" x14ac:dyDescent="0.2">
      <c r="AL18252" s="177"/>
    </row>
    <row r="18253" spans="38:38" x14ac:dyDescent="0.2">
      <c r="AL18253" s="177"/>
    </row>
    <row r="18254" spans="38:38" x14ac:dyDescent="0.2">
      <c r="AL18254" s="177"/>
    </row>
    <row r="18255" spans="38:38" x14ac:dyDescent="0.2">
      <c r="AL18255" s="177"/>
    </row>
    <row r="18256" spans="38:38" x14ac:dyDescent="0.2">
      <c r="AL18256" s="177"/>
    </row>
    <row r="18257" spans="38:38" x14ac:dyDescent="0.2">
      <c r="AL18257" s="177"/>
    </row>
    <row r="18258" spans="38:38" x14ac:dyDescent="0.2">
      <c r="AL18258" s="177"/>
    </row>
    <row r="18259" spans="38:38" x14ac:dyDescent="0.2">
      <c r="AL18259" s="177"/>
    </row>
    <row r="18260" spans="38:38" x14ac:dyDescent="0.2">
      <c r="AL18260" s="177"/>
    </row>
    <row r="18261" spans="38:38" x14ac:dyDescent="0.2">
      <c r="AL18261" s="177"/>
    </row>
    <row r="18262" spans="38:38" x14ac:dyDescent="0.2">
      <c r="AL18262" s="177"/>
    </row>
    <row r="18263" spans="38:38" x14ac:dyDescent="0.2">
      <c r="AL18263" s="177"/>
    </row>
    <row r="18264" spans="38:38" x14ac:dyDescent="0.2">
      <c r="AL18264" s="177"/>
    </row>
    <row r="18265" spans="38:38" x14ac:dyDescent="0.2">
      <c r="AL18265" s="177"/>
    </row>
    <row r="18266" spans="38:38" x14ac:dyDescent="0.2">
      <c r="AL18266" s="177"/>
    </row>
    <row r="18267" spans="38:38" x14ac:dyDescent="0.2">
      <c r="AL18267" s="177"/>
    </row>
    <row r="18268" spans="38:38" x14ac:dyDescent="0.2">
      <c r="AL18268" s="177"/>
    </row>
    <row r="18269" spans="38:38" x14ac:dyDescent="0.2">
      <c r="AL18269" s="177"/>
    </row>
    <row r="18270" spans="38:38" x14ac:dyDescent="0.2">
      <c r="AL18270" s="177"/>
    </row>
    <row r="18271" spans="38:38" x14ac:dyDescent="0.2">
      <c r="AL18271" s="177"/>
    </row>
    <row r="18272" spans="38:38" x14ac:dyDescent="0.2">
      <c r="AL18272" s="177"/>
    </row>
    <row r="18273" spans="38:38" x14ac:dyDescent="0.2">
      <c r="AL18273" s="177"/>
    </row>
    <row r="18274" spans="38:38" x14ac:dyDescent="0.2">
      <c r="AL18274" s="177"/>
    </row>
    <row r="18275" spans="38:38" x14ac:dyDescent="0.2">
      <c r="AL18275" s="177"/>
    </row>
    <row r="18276" spans="38:38" x14ac:dyDescent="0.2">
      <c r="AL18276" s="177"/>
    </row>
    <row r="18277" spans="38:38" x14ac:dyDescent="0.2">
      <c r="AL18277" s="177"/>
    </row>
    <row r="18278" spans="38:38" x14ac:dyDescent="0.2">
      <c r="AL18278" s="177"/>
    </row>
    <row r="18279" spans="38:38" x14ac:dyDescent="0.2">
      <c r="AL18279" s="177"/>
    </row>
    <row r="18280" spans="38:38" x14ac:dyDescent="0.2">
      <c r="AL18280" s="177"/>
    </row>
    <row r="18281" spans="38:38" x14ac:dyDescent="0.2">
      <c r="AL18281" s="177"/>
    </row>
    <row r="18282" spans="38:38" x14ac:dyDescent="0.2">
      <c r="AL18282" s="177"/>
    </row>
    <row r="18283" spans="38:38" x14ac:dyDescent="0.2">
      <c r="AL18283" s="177"/>
    </row>
    <row r="18284" spans="38:38" x14ac:dyDescent="0.2">
      <c r="AL18284" s="177"/>
    </row>
    <row r="18285" spans="38:38" x14ac:dyDescent="0.2">
      <c r="AL18285" s="177"/>
    </row>
    <row r="18286" spans="38:38" x14ac:dyDescent="0.2">
      <c r="AL18286" s="177"/>
    </row>
    <row r="18287" spans="38:38" x14ac:dyDescent="0.2">
      <c r="AL18287" s="177"/>
    </row>
    <row r="18288" spans="38:38" x14ac:dyDescent="0.2">
      <c r="AL18288" s="177"/>
    </row>
    <row r="18289" spans="38:38" x14ac:dyDescent="0.2">
      <c r="AL18289" s="177"/>
    </row>
    <row r="18290" spans="38:38" x14ac:dyDescent="0.2">
      <c r="AL18290" s="177"/>
    </row>
    <row r="18291" spans="38:38" x14ac:dyDescent="0.2">
      <c r="AL18291" s="177"/>
    </row>
    <row r="18292" spans="38:38" x14ac:dyDescent="0.2">
      <c r="AL18292" s="177"/>
    </row>
    <row r="18293" spans="38:38" x14ac:dyDescent="0.2">
      <c r="AL18293" s="177"/>
    </row>
    <row r="18294" spans="38:38" x14ac:dyDescent="0.2">
      <c r="AL18294" s="177"/>
    </row>
    <row r="18295" spans="38:38" x14ac:dyDescent="0.2">
      <c r="AL18295" s="177"/>
    </row>
    <row r="18296" spans="38:38" x14ac:dyDescent="0.2">
      <c r="AL18296" s="177"/>
    </row>
    <row r="18297" spans="38:38" x14ac:dyDescent="0.2">
      <c r="AL18297" s="177"/>
    </row>
    <row r="18298" spans="38:38" x14ac:dyDescent="0.2">
      <c r="AL18298" s="177"/>
    </row>
    <row r="18299" spans="38:38" x14ac:dyDescent="0.2">
      <c r="AL18299" s="177"/>
    </row>
    <row r="18300" spans="38:38" x14ac:dyDescent="0.2">
      <c r="AL18300" s="177"/>
    </row>
    <row r="18301" spans="38:38" x14ac:dyDescent="0.2">
      <c r="AL18301" s="177"/>
    </row>
    <row r="18302" spans="38:38" x14ac:dyDescent="0.2">
      <c r="AL18302" s="177"/>
    </row>
    <row r="18303" spans="38:38" x14ac:dyDescent="0.2">
      <c r="AL18303" s="177"/>
    </row>
    <row r="18304" spans="38:38" x14ac:dyDescent="0.2">
      <c r="AL18304" s="177"/>
    </row>
    <row r="18305" spans="38:38" x14ac:dyDescent="0.2">
      <c r="AL18305" s="177"/>
    </row>
    <row r="18306" spans="38:38" x14ac:dyDescent="0.2">
      <c r="AL18306" s="177"/>
    </row>
    <row r="18307" spans="38:38" x14ac:dyDescent="0.2">
      <c r="AL18307" s="177"/>
    </row>
    <row r="18308" spans="38:38" x14ac:dyDescent="0.2">
      <c r="AL18308" s="177"/>
    </row>
    <row r="18309" spans="38:38" x14ac:dyDescent="0.2">
      <c r="AL18309" s="177"/>
    </row>
    <row r="18310" spans="38:38" x14ac:dyDescent="0.2">
      <c r="AL18310" s="177"/>
    </row>
    <row r="18311" spans="38:38" x14ac:dyDescent="0.2">
      <c r="AL18311" s="177"/>
    </row>
    <row r="18312" spans="38:38" x14ac:dyDescent="0.2">
      <c r="AL18312" s="177"/>
    </row>
    <row r="18313" spans="38:38" x14ac:dyDescent="0.2">
      <c r="AL18313" s="177"/>
    </row>
    <row r="18314" spans="38:38" x14ac:dyDescent="0.2">
      <c r="AL18314" s="177"/>
    </row>
    <row r="18315" spans="38:38" x14ac:dyDescent="0.2">
      <c r="AL18315" s="177"/>
    </row>
    <row r="18316" spans="38:38" x14ac:dyDescent="0.2">
      <c r="AL18316" s="177"/>
    </row>
    <row r="18317" spans="38:38" x14ac:dyDescent="0.2">
      <c r="AL18317" s="177"/>
    </row>
    <row r="18318" spans="38:38" x14ac:dyDescent="0.2">
      <c r="AL18318" s="177"/>
    </row>
    <row r="18319" spans="38:38" x14ac:dyDescent="0.2">
      <c r="AL18319" s="177"/>
    </row>
    <row r="18320" spans="38:38" x14ac:dyDescent="0.2">
      <c r="AL18320" s="177"/>
    </row>
    <row r="18321" spans="38:38" x14ac:dyDescent="0.2">
      <c r="AL18321" s="177"/>
    </row>
    <row r="18322" spans="38:38" x14ac:dyDescent="0.2">
      <c r="AL18322" s="177"/>
    </row>
    <row r="18323" spans="38:38" x14ac:dyDescent="0.2">
      <c r="AL18323" s="177"/>
    </row>
    <row r="18324" spans="38:38" x14ac:dyDescent="0.2">
      <c r="AL18324" s="177"/>
    </row>
    <row r="18325" spans="38:38" x14ac:dyDescent="0.2">
      <c r="AL18325" s="177"/>
    </row>
    <row r="18326" spans="38:38" x14ac:dyDescent="0.2">
      <c r="AL18326" s="177"/>
    </row>
    <row r="18327" spans="38:38" x14ac:dyDescent="0.2">
      <c r="AL18327" s="177"/>
    </row>
    <row r="18328" spans="38:38" x14ac:dyDescent="0.2">
      <c r="AL18328" s="177"/>
    </row>
    <row r="18329" spans="38:38" x14ac:dyDescent="0.2">
      <c r="AL18329" s="177"/>
    </row>
    <row r="18330" spans="38:38" x14ac:dyDescent="0.2">
      <c r="AL18330" s="177"/>
    </row>
    <row r="18331" spans="38:38" x14ac:dyDescent="0.2">
      <c r="AL18331" s="177"/>
    </row>
    <row r="18332" spans="38:38" x14ac:dyDescent="0.2">
      <c r="AL18332" s="177"/>
    </row>
    <row r="18333" spans="38:38" x14ac:dyDescent="0.2">
      <c r="AL18333" s="177"/>
    </row>
    <row r="18334" spans="38:38" x14ac:dyDescent="0.2">
      <c r="AL18334" s="177"/>
    </row>
    <row r="18335" spans="38:38" x14ac:dyDescent="0.2">
      <c r="AL18335" s="177"/>
    </row>
    <row r="18336" spans="38:38" x14ac:dyDescent="0.2">
      <c r="AL18336" s="177"/>
    </row>
    <row r="18337" spans="38:38" x14ac:dyDescent="0.2">
      <c r="AL18337" s="177"/>
    </row>
    <row r="18338" spans="38:38" x14ac:dyDescent="0.2">
      <c r="AL18338" s="177"/>
    </row>
    <row r="18339" spans="38:38" x14ac:dyDescent="0.2">
      <c r="AL18339" s="177"/>
    </row>
    <row r="18340" spans="38:38" x14ac:dyDescent="0.2">
      <c r="AL18340" s="177"/>
    </row>
    <row r="18341" spans="38:38" x14ac:dyDescent="0.2">
      <c r="AL18341" s="177"/>
    </row>
    <row r="18342" spans="38:38" x14ac:dyDescent="0.2">
      <c r="AL18342" s="177"/>
    </row>
    <row r="18343" spans="38:38" x14ac:dyDescent="0.2">
      <c r="AL18343" s="177"/>
    </row>
    <row r="18344" spans="38:38" x14ac:dyDescent="0.2">
      <c r="AL18344" s="177"/>
    </row>
    <row r="18345" spans="38:38" x14ac:dyDescent="0.2">
      <c r="AL18345" s="177"/>
    </row>
    <row r="18346" spans="38:38" x14ac:dyDescent="0.2">
      <c r="AL18346" s="177"/>
    </row>
    <row r="18347" spans="38:38" x14ac:dyDescent="0.2">
      <c r="AL18347" s="177"/>
    </row>
    <row r="18348" spans="38:38" x14ac:dyDescent="0.2">
      <c r="AL18348" s="177"/>
    </row>
    <row r="18349" spans="38:38" x14ac:dyDescent="0.2">
      <c r="AL18349" s="177"/>
    </row>
    <row r="18350" spans="38:38" x14ac:dyDescent="0.2">
      <c r="AL18350" s="177"/>
    </row>
    <row r="18351" spans="38:38" x14ac:dyDescent="0.2">
      <c r="AL18351" s="177"/>
    </row>
    <row r="18352" spans="38:38" x14ac:dyDescent="0.2">
      <c r="AL18352" s="177"/>
    </row>
    <row r="18353" spans="38:38" x14ac:dyDescent="0.2">
      <c r="AL18353" s="177"/>
    </row>
    <row r="18354" spans="38:38" x14ac:dyDescent="0.2">
      <c r="AL18354" s="177"/>
    </row>
    <row r="18355" spans="38:38" x14ac:dyDescent="0.2">
      <c r="AL18355" s="177"/>
    </row>
    <row r="18356" spans="38:38" x14ac:dyDescent="0.2">
      <c r="AL18356" s="177"/>
    </row>
    <row r="18357" spans="38:38" x14ac:dyDescent="0.2">
      <c r="AL18357" s="177"/>
    </row>
    <row r="18358" spans="38:38" x14ac:dyDescent="0.2">
      <c r="AL18358" s="177"/>
    </row>
    <row r="18359" spans="38:38" x14ac:dyDescent="0.2">
      <c r="AL18359" s="177"/>
    </row>
    <row r="18360" spans="38:38" x14ac:dyDescent="0.2">
      <c r="AL18360" s="177"/>
    </row>
    <row r="18361" spans="38:38" x14ac:dyDescent="0.2">
      <c r="AL18361" s="177"/>
    </row>
    <row r="18362" spans="38:38" x14ac:dyDescent="0.2">
      <c r="AL18362" s="177"/>
    </row>
    <row r="18363" spans="38:38" x14ac:dyDescent="0.2">
      <c r="AL18363" s="177"/>
    </row>
    <row r="18364" spans="38:38" x14ac:dyDescent="0.2">
      <c r="AL18364" s="177"/>
    </row>
    <row r="18365" spans="38:38" x14ac:dyDescent="0.2">
      <c r="AL18365" s="177"/>
    </row>
    <row r="18366" spans="38:38" x14ac:dyDescent="0.2">
      <c r="AL18366" s="177"/>
    </row>
    <row r="18367" spans="38:38" x14ac:dyDescent="0.2">
      <c r="AL18367" s="177"/>
    </row>
    <row r="18368" spans="38:38" x14ac:dyDescent="0.2">
      <c r="AL18368" s="177"/>
    </row>
    <row r="18369" spans="38:38" x14ac:dyDescent="0.2">
      <c r="AL18369" s="177"/>
    </row>
    <row r="18370" spans="38:38" x14ac:dyDescent="0.2">
      <c r="AL18370" s="177"/>
    </row>
    <row r="18371" spans="38:38" x14ac:dyDescent="0.2">
      <c r="AL18371" s="177"/>
    </row>
    <row r="18372" spans="38:38" x14ac:dyDescent="0.2">
      <c r="AL18372" s="177"/>
    </row>
    <row r="18373" spans="38:38" x14ac:dyDescent="0.2">
      <c r="AL18373" s="177"/>
    </row>
    <row r="18374" spans="38:38" x14ac:dyDescent="0.2">
      <c r="AL18374" s="177"/>
    </row>
    <row r="18375" spans="38:38" x14ac:dyDescent="0.2">
      <c r="AL18375" s="177"/>
    </row>
    <row r="18376" spans="38:38" x14ac:dyDescent="0.2">
      <c r="AL18376" s="177"/>
    </row>
    <row r="18377" spans="38:38" x14ac:dyDescent="0.2">
      <c r="AL18377" s="177"/>
    </row>
    <row r="18378" spans="38:38" x14ac:dyDescent="0.2">
      <c r="AL18378" s="177"/>
    </row>
    <row r="18379" spans="38:38" x14ac:dyDescent="0.2">
      <c r="AL18379" s="177"/>
    </row>
    <row r="18380" spans="38:38" x14ac:dyDescent="0.2">
      <c r="AL18380" s="177"/>
    </row>
    <row r="18381" spans="38:38" x14ac:dyDescent="0.2">
      <c r="AL18381" s="177"/>
    </row>
    <row r="18382" spans="38:38" x14ac:dyDescent="0.2">
      <c r="AL18382" s="177"/>
    </row>
    <row r="18383" spans="38:38" x14ac:dyDescent="0.2">
      <c r="AL18383" s="177"/>
    </row>
    <row r="18384" spans="38:38" x14ac:dyDescent="0.2">
      <c r="AL18384" s="177"/>
    </row>
    <row r="18385" spans="38:38" x14ac:dyDescent="0.2">
      <c r="AL18385" s="177"/>
    </row>
    <row r="18386" spans="38:38" x14ac:dyDescent="0.2">
      <c r="AL18386" s="177"/>
    </row>
    <row r="18387" spans="38:38" x14ac:dyDescent="0.2">
      <c r="AL18387" s="177"/>
    </row>
    <row r="18388" spans="38:38" x14ac:dyDescent="0.2">
      <c r="AL18388" s="177"/>
    </row>
    <row r="18389" spans="38:38" x14ac:dyDescent="0.2">
      <c r="AL18389" s="177"/>
    </row>
    <row r="18390" spans="38:38" x14ac:dyDescent="0.2">
      <c r="AL18390" s="177"/>
    </row>
    <row r="18391" spans="38:38" x14ac:dyDescent="0.2">
      <c r="AL18391" s="177"/>
    </row>
    <row r="18392" spans="38:38" x14ac:dyDescent="0.2">
      <c r="AL18392" s="177"/>
    </row>
    <row r="18393" spans="38:38" x14ac:dyDescent="0.2">
      <c r="AL18393" s="177"/>
    </row>
    <row r="18394" spans="38:38" x14ac:dyDescent="0.2">
      <c r="AL18394" s="177"/>
    </row>
    <row r="18395" spans="38:38" x14ac:dyDescent="0.2">
      <c r="AL18395" s="177"/>
    </row>
    <row r="18396" spans="38:38" x14ac:dyDescent="0.2">
      <c r="AL18396" s="177"/>
    </row>
    <row r="18397" spans="38:38" x14ac:dyDescent="0.2">
      <c r="AL18397" s="177"/>
    </row>
    <row r="18398" spans="38:38" x14ac:dyDescent="0.2">
      <c r="AL18398" s="177"/>
    </row>
    <row r="18399" spans="38:38" x14ac:dyDescent="0.2">
      <c r="AL18399" s="177"/>
    </row>
    <row r="18400" spans="38:38" x14ac:dyDescent="0.2">
      <c r="AL18400" s="177"/>
    </row>
    <row r="18401" spans="38:38" x14ac:dyDescent="0.2">
      <c r="AL18401" s="177"/>
    </row>
    <row r="18402" spans="38:38" x14ac:dyDescent="0.2">
      <c r="AL18402" s="177"/>
    </row>
    <row r="18403" spans="38:38" x14ac:dyDescent="0.2">
      <c r="AL18403" s="177"/>
    </row>
    <row r="18404" spans="38:38" x14ac:dyDescent="0.2">
      <c r="AL18404" s="177"/>
    </row>
    <row r="18405" spans="38:38" x14ac:dyDescent="0.2">
      <c r="AL18405" s="177"/>
    </row>
    <row r="18406" spans="38:38" x14ac:dyDescent="0.2">
      <c r="AL18406" s="177"/>
    </row>
    <row r="18407" spans="38:38" x14ac:dyDescent="0.2">
      <c r="AL18407" s="177"/>
    </row>
    <row r="18408" spans="38:38" x14ac:dyDescent="0.2">
      <c r="AL18408" s="177"/>
    </row>
    <row r="18409" spans="38:38" x14ac:dyDescent="0.2">
      <c r="AL18409" s="177"/>
    </row>
    <row r="18410" spans="38:38" x14ac:dyDescent="0.2">
      <c r="AL18410" s="177"/>
    </row>
    <row r="18411" spans="38:38" x14ac:dyDescent="0.2">
      <c r="AL18411" s="177"/>
    </row>
    <row r="18412" spans="38:38" x14ac:dyDescent="0.2">
      <c r="AL18412" s="177"/>
    </row>
    <row r="18413" spans="38:38" x14ac:dyDescent="0.2">
      <c r="AL18413" s="177"/>
    </row>
    <row r="18414" spans="38:38" x14ac:dyDescent="0.2">
      <c r="AL18414" s="177"/>
    </row>
    <row r="18415" spans="38:38" x14ac:dyDescent="0.2">
      <c r="AL18415" s="177"/>
    </row>
    <row r="18416" spans="38:38" x14ac:dyDescent="0.2">
      <c r="AL18416" s="177"/>
    </row>
    <row r="18417" spans="38:38" x14ac:dyDescent="0.2">
      <c r="AL18417" s="177"/>
    </row>
    <row r="18418" spans="38:38" x14ac:dyDescent="0.2">
      <c r="AL18418" s="177"/>
    </row>
    <row r="18419" spans="38:38" x14ac:dyDescent="0.2">
      <c r="AL18419" s="177"/>
    </row>
    <row r="18420" spans="38:38" x14ac:dyDescent="0.2">
      <c r="AL18420" s="177"/>
    </row>
    <row r="18421" spans="38:38" x14ac:dyDescent="0.2">
      <c r="AL18421" s="177"/>
    </row>
    <row r="18422" spans="38:38" x14ac:dyDescent="0.2">
      <c r="AL18422" s="177"/>
    </row>
    <row r="18423" spans="38:38" x14ac:dyDescent="0.2">
      <c r="AL18423" s="177"/>
    </row>
    <row r="18424" spans="38:38" x14ac:dyDescent="0.2">
      <c r="AL18424" s="177"/>
    </row>
    <row r="18425" spans="38:38" x14ac:dyDescent="0.2">
      <c r="AL18425" s="177"/>
    </row>
    <row r="18426" spans="38:38" x14ac:dyDescent="0.2">
      <c r="AL18426" s="177"/>
    </row>
    <row r="18427" spans="38:38" x14ac:dyDescent="0.2">
      <c r="AL18427" s="177"/>
    </row>
    <row r="18428" spans="38:38" x14ac:dyDescent="0.2">
      <c r="AL18428" s="177"/>
    </row>
    <row r="18429" spans="38:38" x14ac:dyDescent="0.2">
      <c r="AL18429" s="177"/>
    </row>
    <row r="18430" spans="38:38" x14ac:dyDescent="0.2">
      <c r="AL18430" s="177"/>
    </row>
    <row r="18431" spans="38:38" x14ac:dyDescent="0.2">
      <c r="AL18431" s="177"/>
    </row>
    <row r="18432" spans="38:38" x14ac:dyDescent="0.2">
      <c r="AL18432" s="177"/>
    </row>
    <row r="18433" spans="38:38" x14ac:dyDescent="0.2">
      <c r="AL18433" s="177"/>
    </row>
    <row r="18434" spans="38:38" x14ac:dyDescent="0.2">
      <c r="AL18434" s="177"/>
    </row>
    <row r="18435" spans="38:38" x14ac:dyDescent="0.2">
      <c r="AL18435" s="177"/>
    </row>
    <row r="18436" spans="38:38" x14ac:dyDescent="0.2">
      <c r="AL18436" s="177"/>
    </row>
    <row r="18437" spans="38:38" x14ac:dyDescent="0.2">
      <c r="AL18437" s="177"/>
    </row>
    <row r="18438" spans="38:38" x14ac:dyDescent="0.2">
      <c r="AL18438" s="177"/>
    </row>
    <row r="18439" spans="38:38" x14ac:dyDescent="0.2">
      <c r="AL18439" s="177"/>
    </row>
    <row r="18440" spans="38:38" x14ac:dyDescent="0.2">
      <c r="AL18440" s="177"/>
    </row>
    <row r="18441" spans="38:38" x14ac:dyDescent="0.2">
      <c r="AL18441" s="177"/>
    </row>
    <row r="18442" spans="38:38" x14ac:dyDescent="0.2">
      <c r="AL18442" s="177"/>
    </row>
    <row r="18443" spans="38:38" x14ac:dyDescent="0.2">
      <c r="AL18443" s="177"/>
    </row>
    <row r="18444" spans="38:38" x14ac:dyDescent="0.2">
      <c r="AL18444" s="177"/>
    </row>
    <row r="18445" spans="38:38" x14ac:dyDescent="0.2">
      <c r="AL18445" s="177"/>
    </row>
    <row r="18446" spans="38:38" x14ac:dyDescent="0.2">
      <c r="AL18446" s="177"/>
    </row>
    <row r="18447" spans="38:38" x14ac:dyDescent="0.2">
      <c r="AL18447" s="177"/>
    </row>
    <row r="18448" spans="38:38" x14ac:dyDescent="0.2">
      <c r="AL18448" s="177"/>
    </row>
    <row r="18449" spans="38:38" x14ac:dyDescent="0.2">
      <c r="AL18449" s="177"/>
    </row>
    <row r="18450" spans="38:38" x14ac:dyDescent="0.2">
      <c r="AL18450" s="177"/>
    </row>
    <row r="18451" spans="38:38" x14ac:dyDescent="0.2">
      <c r="AL18451" s="177"/>
    </row>
    <row r="18452" spans="38:38" x14ac:dyDescent="0.2">
      <c r="AL18452" s="177"/>
    </row>
    <row r="18453" spans="38:38" x14ac:dyDescent="0.2">
      <c r="AL18453" s="177"/>
    </row>
    <row r="18454" spans="38:38" x14ac:dyDescent="0.2">
      <c r="AL18454" s="177"/>
    </row>
    <row r="18455" spans="38:38" x14ac:dyDescent="0.2">
      <c r="AL18455" s="177"/>
    </row>
    <row r="18456" spans="38:38" x14ac:dyDescent="0.2">
      <c r="AL18456" s="177"/>
    </row>
    <row r="18457" spans="38:38" x14ac:dyDescent="0.2">
      <c r="AL18457" s="177"/>
    </row>
    <row r="18458" spans="38:38" x14ac:dyDescent="0.2">
      <c r="AL18458" s="177"/>
    </row>
    <row r="18459" spans="38:38" x14ac:dyDescent="0.2">
      <c r="AL18459" s="177"/>
    </row>
    <row r="18460" spans="38:38" x14ac:dyDescent="0.2">
      <c r="AL18460" s="177"/>
    </row>
    <row r="18461" spans="38:38" x14ac:dyDescent="0.2">
      <c r="AL18461" s="177"/>
    </row>
    <row r="18462" spans="38:38" x14ac:dyDescent="0.2">
      <c r="AL18462" s="177"/>
    </row>
    <row r="18463" spans="38:38" x14ac:dyDescent="0.2">
      <c r="AL18463" s="177"/>
    </row>
    <row r="18464" spans="38:38" x14ac:dyDescent="0.2">
      <c r="AL18464" s="177"/>
    </row>
    <row r="18465" spans="38:38" x14ac:dyDescent="0.2">
      <c r="AL18465" s="177"/>
    </row>
    <row r="18466" spans="38:38" x14ac:dyDescent="0.2">
      <c r="AL18466" s="177"/>
    </row>
    <row r="18467" spans="38:38" x14ac:dyDescent="0.2">
      <c r="AL18467" s="177"/>
    </row>
    <row r="18468" spans="38:38" x14ac:dyDescent="0.2">
      <c r="AL18468" s="177"/>
    </row>
    <row r="18469" spans="38:38" x14ac:dyDescent="0.2">
      <c r="AL18469" s="177"/>
    </row>
    <row r="18470" spans="38:38" x14ac:dyDescent="0.2">
      <c r="AL18470" s="177"/>
    </row>
    <row r="18471" spans="38:38" x14ac:dyDescent="0.2">
      <c r="AL18471" s="177"/>
    </row>
    <row r="18472" spans="38:38" x14ac:dyDescent="0.2">
      <c r="AL18472" s="177"/>
    </row>
    <row r="18473" spans="38:38" x14ac:dyDescent="0.2">
      <c r="AL18473" s="177"/>
    </row>
    <row r="18474" spans="38:38" x14ac:dyDescent="0.2">
      <c r="AL18474" s="177"/>
    </row>
    <row r="18475" spans="38:38" x14ac:dyDescent="0.2">
      <c r="AL18475" s="177"/>
    </row>
    <row r="18476" spans="38:38" x14ac:dyDescent="0.2">
      <c r="AL18476" s="177"/>
    </row>
    <row r="18477" spans="38:38" x14ac:dyDescent="0.2">
      <c r="AL18477" s="177"/>
    </row>
    <row r="18478" spans="38:38" x14ac:dyDescent="0.2">
      <c r="AL18478" s="177"/>
    </row>
    <row r="18479" spans="38:38" x14ac:dyDescent="0.2">
      <c r="AL18479" s="177"/>
    </row>
    <row r="18480" spans="38:38" x14ac:dyDescent="0.2">
      <c r="AL18480" s="177"/>
    </row>
    <row r="18481" spans="38:38" x14ac:dyDescent="0.2">
      <c r="AL18481" s="177"/>
    </row>
    <row r="18482" spans="38:38" x14ac:dyDescent="0.2">
      <c r="AL18482" s="177"/>
    </row>
    <row r="18483" spans="38:38" x14ac:dyDescent="0.2">
      <c r="AL18483" s="177"/>
    </row>
    <row r="18484" spans="38:38" x14ac:dyDescent="0.2">
      <c r="AL18484" s="177"/>
    </row>
    <row r="18485" spans="38:38" x14ac:dyDescent="0.2">
      <c r="AL18485" s="177"/>
    </row>
    <row r="18486" spans="38:38" x14ac:dyDescent="0.2">
      <c r="AL18486" s="177"/>
    </row>
    <row r="18487" spans="38:38" x14ac:dyDescent="0.2">
      <c r="AL18487" s="177"/>
    </row>
    <row r="18488" spans="38:38" x14ac:dyDescent="0.2">
      <c r="AL18488" s="177"/>
    </row>
    <row r="18489" spans="38:38" x14ac:dyDescent="0.2">
      <c r="AL18489" s="177"/>
    </row>
    <row r="18490" spans="38:38" x14ac:dyDescent="0.2">
      <c r="AL18490" s="177"/>
    </row>
    <row r="18491" spans="38:38" x14ac:dyDescent="0.2">
      <c r="AL18491" s="177"/>
    </row>
    <row r="18492" spans="38:38" x14ac:dyDescent="0.2">
      <c r="AL18492" s="177"/>
    </row>
    <row r="18493" spans="38:38" x14ac:dyDescent="0.2">
      <c r="AL18493" s="177"/>
    </row>
    <row r="18494" spans="38:38" x14ac:dyDescent="0.2">
      <c r="AL18494" s="177"/>
    </row>
    <row r="18495" spans="38:38" x14ac:dyDescent="0.2">
      <c r="AL18495" s="177"/>
    </row>
    <row r="18496" spans="38:38" x14ac:dyDescent="0.2">
      <c r="AL18496" s="177"/>
    </row>
    <row r="18497" spans="38:38" x14ac:dyDescent="0.2">
      <c r="AL18497" s="177"/>
    </row>
    <row r="18498" spans="38:38" x14ac:dyDescent="0.2">
      <c r="AL18498" s="177"/>
    </row>
    <row r="18499" spans="38:38" x14ac:dyDescent="0.2">
      <c r="AL18499" s="177"/>
    </row>
    <row r="18500" spans="38:38" x14ac:dyDescent="0.2">
      <c r="AL18500" s="177"/>
    </row>
    <row r="18501" spans="38:38" x14ac:dyDescent="0.2">
      <c r="AL18501" s="177"/>
    </row>
    <row r="18502" spans="38:38" x14ac:dyDescent="0.2">
      <c r="AL18502" s="177"/>
    </row>
    <row r="18503" spans="38:38" x14ac:dyDescent="0.2">
      <c r="AL18503" s="177"/>
    </row>
    <row r="18504" spans="38:38" x14ac:dyDescent="0.2">
      <c r="AL18504" s="177"/>
    </row>
    <row r="18505" spans="38:38" x14ac:dyDescent="0.2">
      <c r="AL18505" s="177"/>
    </row>
    <row r="18506" spans="38:38" x14ac:dyDescent="0.2">
      <c r="AL18506" s="177"/>
    </row>
    <row r="18507" spans="38:38" x14ac:dyDescent="0.2">
      <c r="AL18507" s="177"/>
    </row>
    <row r="18508" spans="38:38" x14ac:dyDescent="0.2">
      <c r="AL18508" s="177"/>
    </row>
    <row r="18509" spans="38:38" x14ac:dyDescent="0.2">
      <c r="AL18509" s="177"/>
    </row>
    <row r="18510" spans="38:38" x14ac:dyDescent="0.2">
      <c r="AL18510" s="177"/>
    </row>
    <row r="18511" spans="38:38" x14ac:dyDescent="0.2">
      <c r="AL18511" s="177"/>
    </row>
    <row r="18512" spans="38:38" x14ac:dyDescent="0.2">
      <c r="AL18512" s="177"/>
    </row>
    <row r="18513" spans="38:38" x14ac:dyDescent="0.2">
      <c r="AL18513" s="177"/>
    </row>
    <row r="18514" spans="38:38" x14ac:dyDescent="0.2">
      <c r="AL18514" s="177"/>
    </row>
    <row r="18515" spans="38:38" x14ac:dyDescent="0.2">
      <c r="AL18515" s="177"/>
    </row>
    <row r="18516" spans="38:38" x14ac:dyDescent="0.2">
      <c r="AL18516" s="177"/>
    </row>
    <row r="18517" spans="38:38" x14ac:dyDescent="0.2">
      <c r="AL18517" s="177"/>
    </row>
    <row r="18518" spans="38:38" x14ac:dyDescent="0.2">
      <c r="AL18518" s="177"/>
    </row>
    <row r="18519" spans="38:38" x14ac:dyDescent="0.2">
      <c r="AL18519" s="177"/>
    </row>
    <row r="18520" spans="38:38" x14ac:dyDescent="0.2">
      <c r="AL18520" s="177"/>
    </row>
    <row r="18521" spans="38:38" x14ac:dyDescent="0.2">
      <c r="AL18521" s="177"/>
    </row>
    <row r="18522" spans="38:38" x14ac:dyDescent="0.2">
      <c r="AL18522" s="177"/>
    </row>
    <row r="18523" spans="38:38" x14ac:dyDescent="0.2">
      <c r="AL18523" s="177"/>
    </row>
    <row r="18524" spans="38:38" x14ac:dyDescent="0.2">
      <c r="AL18524" s="177"/>
    </row>
    <row r="18525" spans="38:38" x14ac:dyDescent="0.2">
      <c r="AL18525" s="177"/>
    </row>
    <row r="18526" spans="38:38" x14ac:dyDescent="0.2">
      <c r="AL18526" s="177"/>
    </row>
    <row r="18527" spans="38:38" x14ac:dyDescent="0.2">
      <c r="AL18527" s="177"/>
    </row>
    <row r="18528" spans="38:38" x14ac:dyDescent="0.2">
      <c r="AL18528" s="177"/>
    </row>
    <row r="18529" spans="38:38" x14ac:dyDescent="0.2">
      <c r="AL18529" s="177"/>
    </row>
    <row r="18530" spans="38:38" x14ac:dyDescent="0.2">
      <c r="AL18530" s="177"/>
    </row>
    <row r="18531" spans="38:38" x14ac:dyDescent="0.2">
      <c r="AL18531" s="177"/>
    </row>
    <row r="18532" spans="38:38" x14ac:dyDescent="0.2">
      <c r="AL18532" s="177"/>
    </row>
    <row r="18533" spans="38:38" x14ac:dyDescent="0.2">
      <c r="AL18533" s="177"/>
    </row>
    <row r="18534" spans="38:38" x14ac:dyDescent="0.2">
      <c r="AL18534" s="177"/>
    </row>
    <row r="18535" spans="38:38" x14ac:dyDescent="0.2">
      <c r="AL18535" s="177"/>
    </row>
    <row r="18536" spans="38:38" x14ac:dyDescent="0.2">
      <c r="AL18536" s="177"/>
    </row>
    <row r="18537" spans="38:38" x14ac:dyDescent="0.2">
      <c r="AL18537" s="177"/>
    </row>
    <row r="18538" spans="38:38" x14ac:dyDescent="0.2">
      <c r="AL18538" s="177"/>
    </row>
    <row r="18539" spans="38:38" x14ac:dyDescent="0.2">
      <c r="AL18539" s="177"/>
    </row>
    <row r="18540" spans="38:38" x14ac:dyDescent="0.2">
      <c r="AL18540" s="177"/>
    </row>
    <row r="18541" spans="38:38" x14ac:dyDescent="0.2">
      <c r="AL18541" s="177"/>
    </row>
    <row r="18542" spans="38:38" x14ac:dyDescent="0.2">
      <c r="AL18542" s="177"/>
    </row>
    <row r="18543" spans="38:38" x14ac:dyDescent="0.2">
      <c r="AL18543" s="177"/>
    </row>
    <row r="18544" spans="38:38" x14ac:dyDescent="0.2">
      <c r="AL18544" s="177"/>
    </row>
    <row r="18545" spans="38:38" x14ac:dyDescent="0.2">
      <c r="AL18545" s="177"/>
    </row>
    <row r="18546" spans="38:38" x14ac:dyDescent="0.2">
      <c r="AL18546" s="177"/>
    </row>
    <row r="18547" spans="38:38" x14ac:dyDescent="0.2">
      <c r="AL18547" s="177"/>
    </row>
    <row r="18548" spans="38:38" x14ac:dyDescent="0.2">
      <c r="AL18548" s="177"/>
    </row>
    <row r="18549" spans="38:38" x14ac:dyDescent="0.2">
      <c r="AL18549" s="177"/>
    </row>
    <row r="18550" spans="38:38" x14ac:dyDescent="0.2">
      <c r="AL18550" s="177"/>
    </row>
    <row r="18551" spans="38:38" x14ac:dyDescent="0.2">
      <c r="AL18551" s="177"/>
    </row>
    <row r="18552" spans="38:38" x14ac:dyDescent="0.2">
      <c r="AL18552" s="177"/>
    </row>
    <row r="18553" spans="38:38" x14ac:dyDescent="0.2">
      <c r="AL18553" s="177"/>
    </row>
    <row r="18554" spans="38:38" x14ac:dyDescent="0.2">
      <c r="AL18554" s="177"/>
    </row>
    <row r="18555" spans="38:38" x14ac:dyDescent="0.2">
      <c r="AL18555" s="177"/>
    </row>
    <row r="18556" spans="38:38" x14ac:dyDescent="0.2">
      <c r="AL18556" s="177"/>
    </row>
    <row r="18557" spans="38:38" x14ac:dyDescent="0.2">
      <c r="AL18557" s="177"/>
    </row>
    <row r="18558" spans="38:38" x14ac:dyDescent="0.2">
      <c r="AL18558" s="177"/>
    </row>
    <row r="18559" spans="38:38" x14ac:dyDescent="0.2">
      <c r="AL18559" s="177"/>
    </row>
    <row r="18560" spans="38:38" x14ac:dyDescent="0.2">
      <c r="AL18560" s="177"/>
    </row>
    <row r="18561" spans="38:38" x14ac:dyDescent="0.2">
      <c r="AL18561" s="177"/>
    </row>
    <row r="18562" spans="38:38" x14ac:dyDescent="0.2">
      <c r="AL18562" s="177"/>
    </row>
    <row r="18563" spans="38:38" x14ac:dyDescent="0.2">
      <c r="AL18563" s="177"/>
    </row>
    <row r="18564" spans="38:38" x14ac:dyDescent="0.2">
      <c r="AL18564" s="177"/>
    </row>
    <row r="18565" spans="38:38" x14ac:dyDescent="0.2">
      <c r="AL18565" s="177"/>
    </row>
    <row r="18566" spans="38:38" x14ac:dyDescent="0.2">
      <c r="AL18566" s="177"/>
    </row>
    <row r="18567" spans="38:38" x14ac:dyDescent="0.2">
      <c r="AL18567" s="177"/>
    </row>
    <row r="18568" spans="38:38" x14ac:dyDescent="0.2">
      <c r="AL18568" s="177"/>
    </row>
    <row r="18569" spans="38:38" x14ac:dyDescent="0.2">
      <c r="AL18569" s="177"/>
    </row>
    <row r="18570" spans="38:38" x14ac:dyDescent="0.2">
      <c r="AL18570" s="177"/>
    </row>
    <row r="18571" spans="38:38" x14ac:dyDescent="0.2">
      <c r="AL18571" s="177"/>
    </row>
    <row r="18572" spans="38:38" x14ac:dyDescent="0.2">
      <c r="AL18572" s="177"/>
    </row>
    <row r="18573" spans="38:38" x14ac:dyDescent="0.2">
      <c r="AL18573" s="177"/>
    </row>
    <row r="18574" spans="38:38" x14ac:dyDescent="0.2">
      <c r="AL18574" s="177"/>
    </row>
    <row r="18575" spans="38:38" x14ac:dyDescent="0.2">
      <c r="AL18575" s="177"/>
    </row>
    <row r="18576" spans="38:38" x14ac:dyDescent="0.2">
      <c r="AL18576" s="177"/>
    </row>
    <row r="18577" spans="38:38" x14ac:dyDescent="0.2">
      <c r="AL18577" s="177"/>
    </row>
    <row r="18578" spans="38:38" x14ac:dyDescent="0.2">
      <c r="AL18578" s="177"/>
    </row>
    <row r="18579" spans="38:38" x14ac:dyDescent="0.2">
      <c r="AL18579" s="177"/>
    </row>
    <row r="18580" spans="38:38" x14ac:dyDescent="0.2">
      <c r="AL18580" s="177"/>
    </row>
    <row r="18581" spans="38:38" x14ac:dyDescent="0.2">
      <c r="AL18581" s="177"/>
    </row>
    <row r="18582" spans="38:38" x14ac:dyDescent="0.2">
      <c r="AL18582" s="177"/>
    </row>
    <row r="18583" spans="38:38" x14ac:dyDescent="0.2">
      <c r="AL18583" s="177"/>
    </row>
    <row r="18584" spans="38:38" x14ac:dyDescent="0.2">
      <c r="AL18584" s="177"/>
    </row>
    <row r="18585" spans="38:38" x14ac:dyDescent="0.2">
      <c r="AL18585" s="177"/>
    </row>
    <row r="18586" spans="38:38" x14ac:dyDescent="0.2">
      <c r="AL18586" s="177"/>
    </row>
    <row r="18587" spans="38:38" x14ac:dyDescent="0.2">
      <c r="AL18587" s="177"/>
    </row>
    <row r="18588" spans="38:38" x14ac:dyDescent="0.2">
      <c r="AL18588" s="177"/>
    </row>
    <row r="18589" spans="38:38" x14ac:dyDescent="0.2">
      <c r="AL18589" s="177"/>
    </row>
    <row r="18590" spans="38:38" x14ac:dyDescent="0.2">
      <c r="AL18590" s="177"/>
    </row>
    <row r="18591" spans="38:38" x14ac:dyDescent="0.2">
      <c r="AL18591" s="177"/>
    </row>
    <row r="18592" spans="38:38" x14ac:dyDescent="0.2">
      <c r="AL18592" s="177"/>
    </row>
    <row r="18593" spans="38:38" x14ac:dyDescent="0.2">
      <c r="AL18593" s="177"/>
    </row>
    <row r="18594" spans="38:38" x14ac:dyDescent="0.2">
      <c r="AL18594" s="177"/>
    </row>
    <row r="18595" spans="38:38" x14ac:dyDescent="0.2">
      <c r="AL18595" s="177"/>
    </row>
    <row r="18596" spans="38:38" x14ac:dyDescent="0.2">
      <c r="AL18596" s="177"/>
    </row>
    <row r="18597" spans="38:38" x14ac:dyDescent="0.2">
      <c r="AL18597" s="177"/>
    </row>
    <row r="18598" spans="38:38" x14ac:dyDescent="0.2">
      <c r="AL18598" s="177"/>
    </row>
    <row r="18599" spans="38:38" x14ac:dyDescent="0.2">
      <c r="AL18599" s="177"/>
    </row>
    <row r="18600" spans="38:38" x14ac:dyDescent="0.2">
      <c r="AL18600" s="177"/>
    </row>
    <row r="18601" spans="38:38" x14ac:dyDescent="0.2">
      <c r="AL18601" s="177"/>
    </row>
    <row r="18602" spans="38:38" x14ac:dyDescent="0.2">
      <c r="AL18602" s="177"/>
    </row>
    <row r="18603" spans="38:38" x14ac:dyDescent="0.2">
      <c r="AL18603" s="177"/>
    </row>
    <row r="18604" spans="38:38" x14ac:dyDescent="0.2">
      <c r="AL18604" s="177"/>
    </row>
    <row r="18605" spans="38:38" x14ac:dyDescent="0.2">
      <c r="AL18605" s="177"/>
    </row>
    <row r="18606" spans="38:38" x14ac:dyDescent="0.2">
      <c r="AL18606" s="177"/>
    </row>
    <row r="18607" spans="38:38" x14ac:dyDescent="0.2">
      <c r="AL18607" s="177"/>
    </row>
    <row r="18608" spans="38:38" x14ac:dyDescent="0.2">
      <c r="AL18608" s="177"/>
    </row>
    <row r="18609" spans="38:38" x14ac:dyDescent="0.2">
      <c r="AL18609" s="177"/>
    </row>
    <row r="18610" spans="38:38" x14ac:dyDescent="0.2">
      <c r="AL18610" s="177"/>
    </row>
    <row r="18611" spans="38:38" x14ac:dyDescent="0.2">
      <c r="AL18611" s="177"/>
    </row>
    <row r="18612" spans="38:38" x14ac:dyDescent="0.2">
      <c r="AL18612" s="177"/>
    </row>
    <row r="18613" spans="38:38" x14ac:dyDescent="0.2">
      <c r="AL18613" s="177"/>
    </row>
    <row r="18614" spans="38:38" x14ac:dyDescent="0.2">
      <c r="AL18614" s="177"/>
    </row>
    <row r="18615" spans="38:38" x14ac:dyDescent="0.2">
      <c r="AL18615" s="177"/>
    </row>
    <row r="18616" spans="38:38" x14ac:dyDescent="0.2">
      <c r="AL18616" s="177"/>
    </row>
    <row r="18617" spans="38:38" x14ac:dyDescent="0.2">
      <c r="AL18617" s="177"/>
    </row>
    <row r="18618" spans="38:38" x14ac:dyDescent="0.2">
      <c r="AL18618" s="177"/>
    </row>
    <row r="18619" spans="38:38" x14ac:dyDescent="0.2">
      <c r="AL18619" s="177"/>
    </row>
    <row r="18620" spans="38:38" x14ac:dyDescent="0.2">
      <c r="AL18620" s="177"/>
    </row>
    <row r="18621" spans="38:38" x14ac:dyDescent="0.2">
      <c r="AL18621" s="177"/>
    </row>
    <row r="18622" spans="38:38" x14ac:dyDescent="0.2">
      <c r="AL18622" s="177"/>
    </row>
    <row r="18623" spans="38:38" x14ac:dyDescent="0.2">
      <c r="AL18623" s="177"/>
    </row>
    <row r="18624" spans="38:38" x14ac:dyDescent="0.2">
      <c r="AL18624" s="177"/>
    </row>
    <row r="18625" spans="38:38" x14ac:dyDescent="0.2">
      <c r="AL18625" s="177"/>
    </row>
    <row r="18626" spans="38:38" x14ac:dyDescent="0.2">
      <c r="AL18626" s="177"/>
    </row>
    <row r="18627" spans="38:38" x14ac:dyDescent="0.2">
      <c r="AL18627" s="177"/>
    </row>
    <row r="18628" spans="38:38" x14ac:dyDescent="0.2">
      <c r="AL18628" s="177"/>
    </row>
    <row r="18629" spans="38:38" x14ac:dyDescent="0.2">
      <c r="AL18629" s="177"/>
    </row>
    <row r="18630" spans="38:38" x14ac:dyDescent="0.2">
      <c r="AL18630" s="177"/>
    </row>
    <row r="18631" spans="38:38" x14ac:dyDescent="0.2">
      <c r="AL18631" s="177"/>
    </row>
    <row r="18632" spans="38:38" x14ac:dyDescent="0.2">
      <c r="AL18632" s="177"/>
    </row>
    <row r="18633" spans="38:38" x14ac:dyDescent="0.2">
      <c r="AL18633" s="177"/>
    </row>
    <row r="18634" spans="38:38" x14ac:dyDescent="0.2">
      <c r="AL18634" s="177"/>
    </row>
    <row r="18635" spans="38:38" x14ac:dyDescent="0.2">
      <c r="AL18635" s="177"/>
    </row>
    <row r="18636" spans="38:38" x14ac:dyDescent="0.2">
      <c r="AL18636" s="177"/>
    </row>
    <row r="18637" spans="38:38" x14ac:dyDescent="0.2">
      <c r="AL18637" s="177"/>
    </row>
    <row r="18638" spans="38:38" x14ac:dyDescent="0.2">
      <c r="AL18638" s="177"/>
    </row>
    <row r="18639" spans="38:38" x14ac:dyDescent="0.2">
      <c r="AL18639" s="177"/>
    </row>
    <row r="18640" spans="38:38" x14ac:dyDescent="0.2">
      <c r="AL18640" s="177"/>
    </row>
    <row r="18641" spans="38:38" x14ac:dyDescent="0.2">
      <c r="AL18641" s="177"/>
    </row>
    <row r="18642" spans="38:38" x14ac:dyDescent="0.2">
      <c r="AL18642" s="177"/>
    </row>
    <row r="18643" spans="38:38" x14ac:dyDescent="0.2">
      <c r="AL18643" s="177"/>
    </row>
    <row r="18644" spans="38:38" x14ac:dyDescent="0.2">
      <c r="AL18644" s="177"/>
    </row>
    <row r="18645" spans="38:38" x14ac:dyDescent="0.2">
      <c r="AL18645" s="177"/>
    </row>
    <row r="18646" spans="38:38" x14ac:dyDescent="0.2">
      <c r="AL18646" s="177"/>
    </row>
    <row r="18647" spans="38:38" x14ac:dyDescent="0.2">
      <c r="AL18647" s="177"/>
    </row>
    <row r="18648" spans="38:38" x14ac:dyDescent="0.2">
      <c r="AL18648" s="177"/>
    </row>
    <row r="18649" spans="38:38" x14ac:dyDescent="0.2">
      <c r="AL18649" s="177"/>
    </row>
    <row r="18650" spans="38:38" x14ac:dyDescent="0.2">
      <c r="AL18650" s="177"/>
    </row>
    <row r="18651" spans="38:38" x14ac:dyDescent="0.2">
      <c r="AL18651" s="177"/>
    </row>
    <row r="18652" spans="38:38" x14ac:dyDescent="0.2">
      <c r="AL18652" s="177"/>
    </row>
    <row r="18653" spans="38:38" x14ac:dyDescent="0.2">
      <c r="AL18653" s="177"/>
    </row>
    <row r="18654" spans="38:38" x14ac:dyDescent="0.2">
      <c r="AL18654" s="177"/>
    </row>
    <row r="18655" spans="38:38" x14ac:dyDescent="0.2">
      <c r="AL18655" s="177"/>
    </row>
    <row r="18656" spans="38:38" x14ac:dyDescent="0.2">
      <c r="AL18656" s="177"/>
    </row>
    <row r="18657" spans="38:38" x14ac:dyDescent="0.2">
      <c r="AL18657" s="177"/>
    </row>
    <row r="18658" spans="38:38" x14ac:dyDescent="0.2">
      <c r="AL18658" s="177"/>
    </row>
    <row r="18659" spans="38:38" x14ac:dyDescent="0.2">
      <c r="AL18659" s="177"/>
    </row>
    <row r="18660" spans="38:38" x14ac:dyDescent="0.2">
      <c r="AL18660" s="177"/>
    </row>
    <row r="18661" spans="38:38" x14ac:dyDescent="0.2">
      <c r="AL18661" s="177"/>
    </row>
    <row r="18662" spans="38:38" x14ac:dyDescent="0.2">
      <c r="AL18662" s="177"/>
    </row>
    <row r="18663" spans="38:38" x14ac:dyDescent="0.2">
      <c r="AL18663" s="177"/>
    </row>
    <row r="18664" spans="38:38" x14ac:dyDescent="0.2">
      <c r="AL18664" s="177"/>
    </row>
    <row r="18665" spans="38:38" x14ac:dyDescent="0.2">
      <c r="AL18665" s="177"/>
    </row>
    <row r="18666" spans="38:38" x14ac:dyDescent="0.2">
      <c r="AL18666" s="177"/>
    </row>
    <row r="18667" spans="38:38" x14ac:dyDescent="0.2">
      <c r="AL18667" s="177"/>
    </row>
    <row r="18668" spans="38:38" x14ac:dyDescent="0.2">
      <c r="AL18668" s="177"/>
    </row>
    <row r="18669" spans="38:38" x14ac:dyDescent="0.2">
      <c r="AL18669" s="177"/>
    </row>
    <row r="18670" spans="38:38" x14ac:dyDescent="0.2">
      <c r="AL18670" s="177"/>
    </row>
    <row r="18671" spans="38:38" x14ac:dyDescent="0.2">
      <c r="AL18671" s="177"/>
    </row>
    <row r="18672" spans="38:38" x14ac:dyDescent="0.2">
      <c r="AL18672" s="177"/>
    </row>
    <row r="18673" spans="38:38" x14ac:dyDescent="0.2">
      <c r="AL18673" s="177"/>
    </row>
    <row r="18674" spans="38:38" x14ac:dyDescent="0.2">
      <c r="AL18674" s="177"/>
    </row>
    <row r="18675" spans="38:38" x14ac:dyDescent="0.2">
      <c r="AL18675" s="177"/>
    </row>
    <row r="18676" spans="38:38" x14ac:dyDescent="0.2">
      <c r="AL18676" s="177"/>
    </row>
    <row r="18677" spans="38:38" x14ac:dyDescent="0.2">
      <c r="AL18677" s="177"/>
    </row>
    <row r="18678" spans="38:38" x14ac:dyDescent="0.2">
      <c r="AL18678" s="177"/>
    </row>
    <row r="18679" spans="38:38" x14ac:dyDescent="0.2">
      <c r="AL18679" s="177"/>
    </row>
    <row r="18680" spans="38:38" x14ac:dyDescent="0.2">
      <c r="AL18680" s="177"/>
    </row>
    <row r="18681" spans="38:38" x14ac:dyDescent="0.2">
      <c r="AL18681" s="177"/>
    </row>
    <row r="18682" spans="38:38" x14ac:dyDescent="0.2">
      <c r="AL18682" s="177"/>
    </row>
    <row r="18683" spans="38:38" x14ac:dyDescent="0.2">
      <c r="AL18683" s="177"/>
    </row>
    <row r="18684" spans="38:38" x14ac:dyDescent="0.2">
      <c r="AL18684" s="177"/>
    </row>
    <row r="18685" spans="38:38" x14ac:dyDescent="0.2">
      <c r="AL18685" s="177"/>
    </row>
    <row r="18686" spans="38:38" x14ac:dyDescent="0.2">
      <c r="AL18686" s="177"/>
    </row>
    <row r="18687" spans="38:38" x14ac:dyDescent="0.2">
      <c r="AL18687" s="177"/>
    </row>
    <row r="18688" spans="38:38" x14ac:dyDescent="0.2">
      <c r="AL18688" s="177"/>
    </row>
    <row r="18689" spans="38:38" x14ac:dyDescent="0.2">
      <c r="AL18689" s="177"/>
    </row>
    <row r="18690" spans="38:38" x14ac:dyDescent="0.2">
      <c r="AL18690" s="177"/>
    </row>
    <row r="18691" spans="38:38" x14ac:dyDescent="0.2">
      <c r="AL18691" s="177"/>
    </row>
    <row r="18692" spans="38:38" x14ac:dyDescent="0.2">
      <c r="AL18692" s="177"/>
    </row>
    <row r="18693" spans="38:38" x14ac:dyDescent="0.2">
      <c r="AL18693" s="177"/>
    </row>
    <row r="18694" spans="38:38" x14ac:dyDescent="0.2">
      <c r="AL18694" s="177"/>
    </row>
    <row r="18695" spans="38:38" x14ac:dyDescent="0.2">
      <c r="AL18695" s="177"/>
    </row>
    <row r="18696" spans="38:38" x14ac:dyDescent="0.2">
      <c r="AL18696" s="177"/>
    </row>
    <row r="18697" spans="38:38" x14ac:dyDescent="0.2">
      <c r="AL18697" s="177"/>
    </row>
    <row r="18698" spans="38:38" x14ac:dyDescent="0.2">
      <c r="AL18698" s="177"/>
    </row>
    <row r="18699" spans="38:38" x14ac:dyDescent="0.2">
      <c r="AL18699" s="177"/>
    </row>
    <row r="18700" spans="38:38" x14ac:dyDescent="0.2">
      <c r="AL18700" s="177"/>
    </row>
    <row r="18701" spans="38:38" x14ac:dyDescent="0.2">
      <c r="AL18701" s="177"/>
    </row>
    <row r="18702" spans="38:38" x14ac:dyDescent="0.2">
      <c r="AL18702" s="177"/>
    </row>
    <row r="18703" spans="38:38" x14ac:dyDescent="0.2">
      <c r="AL18703" s="177"/>
    </row>
    <row r="18704" spans="38:38" x14ac:dyDescent="0.2">
      <c r="AL18704" s="177"/>
    </row>
    <row r="18705" spans="38:38" x14ac:dyDescent="0.2">
      <c r="AL18705" s="177"/>
    </row>
    <row r="18706" spans="38:38" x14ac:dyDescent="0.2">
      <c r="AL18706" s="177"/>
    </row>
    <row r="18707" spans="38:38" x14ac:dyDescent="0.2">
      <c r="AL18707" s="177"/>
    </row>
    <row r="18708" spans="38:38" x14ac:dyDescent="0.2">
      <c r="AL18708" s="177"/>
    </row>
    <row r="18709" spans="38:38" x14ac:dyDescent="0.2">
      <c r="AL18709" s="177"/>
    </row>
    <row r="18710" spans="38:38" x14ac:dyDescent="0.2">
      <c r="AL18710" s="177"/>
    </row>
    <row r="18711" spans="38:38" x14ac:dyDescent="0.2">
      <c r="AL18711" s="177"/>
    </row>
    <row r="18712" spans="38:38" x14ac:dyDescent="0.2">
      <c r="AL18712" s="177"/>
    </row>
    <row r="18713" spans="38:38" x14ac:dyDescent="0.2">
      <c r="AL18713" s="177"/>
    </row>
    <row r="18714" spans="38:38" x14ac:dyDescent="0.2">
      <c r="AL18714" s="177"/>
    </row>
    <row r="18715" spans="38:38" x14ac:dyDescent="0.2">
      <c r="AL18715" s="177"/>
    </row>
    <row r="18716" spans="38:38" x14ac:dyDescent="0.2">
      <c r="AL18716" s="177"/>
    </row>
    <row r="18717" spans="38:38" x14ac:dyDescent="0.2">
      <c r="AL18717" s="177"/>
    </row>
    <row r="18718" spans="38:38" x14ac:dyDescent="0.2">
      <c r="AL18718" s="177"/>
    </row>
    <row r="18719" spans="38:38" x14ac:dyDescent="0.2">
      <c r="AL18719" s="177"/>
    </row>
    <row r="18720" spans="38:38" x14ac:dyDescent="0.2">
      <c r="AL18720" s="177"/>
    </row>
    <row r="18721" spans="38:38" x14ac:dyDescent="0.2">
      <c r="AL18721" s="177"/>
    </row>
    <row r="18722" spans="38:38" x14ac:dyDescent="0.2">
      <c r="AL18722" s="177"/>
    </row>
    <row r="18723" spans="38:38" x14ac:dyDescent="0.2">
      <c r="AL18723" s="177"/>
    </row>
    <row r="18724" spans="38:38" x14ac:dyDescent="0.2">
      <c r="AL18724" s="177"/>
    </row>
    <row r="18725" spans="38:38" x14ac:dyDescent="0.2">
      <c r="AL18725" s="177"/>
    </row>
    <row r="18726" spans="38:38" x14ac:dyDescent="0.2">
      <c r="AL18726" s="177"/>
    </row>
    <row r="18727" spans="38:38" x14ac:dyDescent="0.2">
      <c r="AL18727" s="177"/>
    </row>
    <row r="18728" spans="38:38" x14ac:dyDescent="0.2">
      <c r="AL18728" s="177"/>
    </row>
    <row r="18729" spans="38:38" x14ac:dyDescent="0.2">
      <c r="AL18729" s="177"/>
    </row>
    <row r="18730" spans="38:38" x14ac:dyDescent="0.2">
      <c r="AL18730" s="177"/>
    </row>
    <row r="18731" spans="38:38" x14ac:dyDescent="0.2">
      <c r="AL18731" s="177"/>
    </row>
    <row r="18732" spans="38:38" x14ac:dyDescent="0.2">
      <c r="AL18732" s="177"/>
    </row>
    <row r="18733" spans="38:38" x14ac:dyDescent="0.2">
      <c r="AL18733" s="177"/>
    </row>
    <row r="18734" spans="38:38" x14ac:dyDescent="0.2">
      <c r="AL18734" s="177"/>
    </row>
    <row r="18735" spans="38:38" x14ac:dyDescent="0.2">
      <c r="AL18735" s="177"/>
    </row>
    <row r="18736" spans="38:38" x14ac:dyDescent="0.2">
      <c r="AL18736" s="177"/>
    </row>
    <row r="18737" spans="38:38" x14ac:dyDescent="0.2">
      <c r="AL18737" s="177"/>
    </row>
    <row r="18738" spans="38:38" x14ac:dyDescent="0.2">
      <c r="AL18738" s="177"/>
    </row>
    <row r="18739" spans="38:38" x14ac:dyDescent="0.2">
      <c r="AL18739" s="177"/>
    </row>
    <row r="18740" spans="38:38" x14ac:dyDescent="0.2">
      <c r="AL18740" s="177"/>
    </row>
    <row r="18741" spans="38:38" x14ac:dyDescent="0.2">
      <c r="AL18741" s="177"/>
    </row>
    <row r="18742" spans="38:38" x14ac:dyDescent="0.2">
      <c r="AL18742" s="177"/>
    </row>
    <row r="18743" spans="38:38" x14ac:dyDescent="0.2">
      <c r="AL18743" s="177"/>
    </row>
    <row r="18744" spans="38:38" x14ac:dyDescent="0.2">
      <c r="AL18744" s="177"/>
    </row>
    <row r="18745" spans="38:38" x14ac:dyDescent="0.2">
      <c r="AL18745" s="177"/>
    </row>
    <row r="18746" spans="38:38" x14ac:dyDescent="0.2">
      <c r="AL18746" s="177"/>
    </row>
    <row r="18747" spans="38:38" x14ac:dyDescent="0.2">
      <c r="AL18747" s="177"/>
    </row>
    <row r="18748" spans="38:38" x14ac:dyDescent="0.2">
      <c r="AL18748" s="177"/>
    </row>
    <row r="18749" spans="38:38" x14ac:dyDescent="0.2">
      <c r="AL18749" s="177"/>
    </row>
    <row r="18750" spans="38:38" x14ac:dyDescent="0.2">
      <c r="AL18750" s="177"/>
    </row>
    <row r="18751" spans="38:38" x14ac:dyDescent="0.2">
      <c r="AL18751" s="177"/>
    </row>
    <row r="18752" spans="38:38" x14ac:dyDescent="0.2">
      <c r="AL18752" s="177"/>
    </row>
    <row r="18753" spans="38:38" x14ac:dyDescent="0.2">
      <c r="AL18753" s="177"/>
    </row>
    <row r="18754" spans="38:38" x14ac:dyDescent="0.2">
      <c r="AL18754" s="177"/>
    </row>
    <row r="18755" spans="38:38" x14ac:dyDescent="0.2">
      <c r="AL18755" s="177"/>
    </row>
    <row r="18756" spans="38:38" x14ac:dyDescent="0.2">
      <c r="AL18756" s="177"/>
    </row>
    <row r="18757" spans="38:38" x14ac:dyDescent="0.2">
      <c r="AL18757" s="177"/>
    </row>
    <row r="18758" spans="38:38" x14ac:dyDescent="0.2">
      <c r="AL18758" s="177"/>
    </row>
    <row r="18759" spans="38:38" x14ac:dyDescent="0.2">
      <c r="AL18759" s="177"/>
    </row>
    <row r="18760" spans="38:38" x14ac:dyDescent="0.2">
      <c r="AL18760" s="177"/>
    </row>
    <row r="18761" spans="38:38" x14ac:dyDescent="0.2">
      <c r="AL18761" s="177"/>
    </row>
    <row r="18762" spans="38:38" x14ac:dyDescent="0.2">
      <c r="AL18762" s="177"/>
    </row>
    <row r="18763" spans="38:38" x14ac:dyDescent="0.2">
      <c r="AL18763" s="177"/>
    </row>
    <row r="18764" spans="38:38" x14ac:dyDescent="0.2">
      <c r="AL18764" s="177"/>
    </row>
    <row r="18765" spans="38:38" x14ac:dyDescent="0.2">
      <c r="AL18765" s="177"/>
    </row>
    <row r="18766" spans="38:38" x14ac:dyDescent="0.2">
      <c r="AL18766" s="177"/>
    </row>
    <row r="18767" spans="38:38" x14ac:dyDescent="0.2">
      <c r="AL18767" s="177"/>
    </row>
    <row r="18768" spans="38:38" x14ac:dyDescent="0.2">
      <c r="AL18768" s="177"/>
    </row>
    <row r="18769" spans="38:38" x14ac:dyDescent="0.2">
      <c r="AL18769" s="177"/>
    </row>
    <row r="18770" spans="38:38" x14ac:dyDescent="0.2">
      <c r="AL18770" s="177"/>
    </row>
    <row r="18771" spans="38:38" x14ac:dyDescent="0.2">
      <c r="AL18771" s="177"/>
    </row>
    <row r="18772" spans="38:38" x14ac:dyDescent="0.2">
      <c r="AL18772" s="177"/>
    </row>
    <row r="18773" spans="38:38" x14ac:dyDescent="0.2">
      <c r="AL18773" s="177"/>
    </row>
    <row r="18774" spans="38:38" x14ac:dyDescent="0.2">
      <c r="AL18774" s="177"/>
    </row>
    <row r="18775" spans="38:38" x14ac:dyDescent="0.2">
      <c r="AL18775" s="177"/>
    </row>
    <row r="18776" spans="38:38" x14ac:dyDescent="0.2">
      <c r="AL18776" s="177"/>
    </row>
    <row r="18777" spans="38:38" x14ac:dyDescent="0.2">
      <c r="AL18777" s="177"/>
    </row>
    <row r="18778" spans="38:38" x14ac:dyDescent="0.2">
      <c r="AL18778" s="177"/>
    </row>
    <row r="18779" spans="38:38" x14ac:dyDescent="0.2">
      <c r="AL18779" s="177"/>
    </row>
    <row r="18780" spans="38:38" x14ac:dyDescent="0.2">
      <c r="AL18780" s="177"/>
    </row>
    <row r="18781" spans="38:38" x14ac:dyDescent="0.2">
      <c r="AL18781" s="177"/>
    </row>
    <row r="18782" spans="38:38" x14ac:dyDescent="0.2">
      <c r="AL18782" s="177"/>
    </row>
    <row r="18783" spans="38:38" x14ac:dyDescent="0.2">
      <c r="AL18783" s="177"/>
    </row>
    <row r="18784" spans="38:38" x14ac:dyDescent="0.2">
      <c r="AL18784" s="177"/>
    </row>
    <row r="18785" spans="38:38" x14ac:dyDescent="0.2">
      <c r="AL18785" s="177"/>
    </row>
    <row r="18786" spans="38:38" x14ac:dyDescent="0.2">
      <c r="AL18786" s="177"/>
    </row>
    <row r="18787" spans="38:38" x14ac:dyDescent="0.2">
      <c r="AL18787" s="177"/>
    </row>
    <row r="18788" spans="38:38" x14ac:dyDescent="0.2">
      <c r="AL18788" s="177"/>
    </row>
    <row r="18789" spans="38:38" x14ac:dyDescent="0.2">
      <c r="AL18789" s="177"/>
    </row>
    <row r="18790" spans="38:38" x14ac:dyDescent="0.2">
      <c r="AL18790" s="177"/>
    </row>
    <row r="18791" spans="38:38" x14ac:dyDescent="0.2">
      <c r="AL18791" s="177"/>
    </row>
    <row r="18792" spans="38:38" x14ac:dyDescent="0.2">
      <c r="AL18792" s="177"/>
    </row>
    <row r="18793" spans="38:38" x14ac:dyDescent="0.2">
      <c r="AL18793" s="177"/>
    </row>
    <row r="18794" spans="38:38" x14ac:dyDescent="0.2">
      <c r="AL18794" s="177"/>
    </row>
    <row r="18795" spans="38:38" x14ac:dyDescent="0.2">
      <c r="AL18795" s="177"/>
    </row>
    <row r="18796" spans="38:38" x14ac:dyDescent="0.2">
      <c r="AL18796" s="177"/>
    </row>
    <row r="18797" spans="38:38" x14ac:dyDescent="0.2">
      <c r="AL18797" s="177"/>
    </row>
    <row r="18798" spans="38:38" x14ac:dyDescent="0.2">
      <c r="AL18798" s="177"/>
    </row>
    <row r="18799" spans="38:38" x14ac:dyDescent="0.2">
      <c r="AL18799" s="177"/>
    </row>
    <row r="18800" spans="38:38" x14ac:dyDescent="0.2">
      <c r="AL18800" s="177"/>
    </row>
    <row r="18801" spans="38:38" x14ac:dyDescent="0.2">
      <c r="AL18801" s="177"/>
    </row>
    <row r="18802" spans="38:38" x14ac:dyDescent="0.2">
      <c r="AL18802" s="177"/>
    </row>
    <row r="18803" spans="38:38" x14ac:dyDescent="0.2">
      <c r="AL18803" s="177"/>
    </row>
    <row r="18804" spans="38:38" x14ac:dyDescent="0.2">
      <c r="AL18804" s="177"/>
    </row>
    <row r="18805" spans="38:38" x14ac:dyDescent="0.2">
      <c r="AL18805" s="177"/>
    </row>
    <row r="18806" spans="38:38" x14ac:dyDescent="0.2">
      <c r="AL18806" s="177"/>
    </row>
    <row r="18807" spans="38:38" x14ac:dyDescent="0.2">
      <c r="AL18807" s="177"/>
    </row>
    <row r="18808" spans="38:38" x14ac:dyDescent="0.2">
      <c r="AL18808" s="177"/>
    </row>
    <row r="18809" spans="38:38" x14ac:dyDescent="0.2">
      <c r="AL18809" s="177"/>
    </row>
    <row r="18810" spans="38:38" x14ac:dyDescent="0.2">
      <c r="AL18810" s="177"/>
    </row>
    <row r="18811" spans="38:38" x14ac:dyDescent="0.2">
      <c r="AL18811" s="177"/>
    </row>
    <row r="18812" spans="38:38" x14ac:dyDescent="0.2">
      <c r="AL18812" s="177"/>
    </row>
    <row r="18813" spans="38:38" x14ac:dyDescent="0.2">
      <c r="AL18813" s="177"/>
    </row>
    <row r="18814" spans="38:38" x14ac:dyDescent="0.2">
      <c r="AL18814" s="177"/>
    </row>
    <row r="18815" spans="38:38" x14ac:dyDescent="0.2">
      <c r="AL18815" s="177"/>
    </row>
    <row r="18816" spans="38:38" x14ac:dyDescent="0.2">
      <c r="AL18816" s="177"/>
    </row>
    <row r="18817" spans="38:38" x14ac:dyDescent="0.2">
      <c r="AL18817" s="177"/>
    </row>
    <row r="18818" spans="38:38" x14ac:dyDescent="0.2">
      <c r="AL18818" s="177"/>
    </row>
    <row r="18819" spans="38:38" x14ac:dyDescent="0.2">
      <c r="AL18819" s="177"/>
    </row>
    <row r="18820" spans="38:38" x14ac:dyDescent="0.2">
      <c r="AL18820" s="177"/>
    </row>
    <row r="18821" spans="38:38" x14ac:dyDescent="0.2">
      <c r="AL18821" s="177"/>
    </row>
    <row r="18822" spans="38:38" x14ac:dyDescent="0.2">
      <c r="AL18822" s="177"/>
    </row>
    <row r="18823" spans="38:38" x14ac:dyDescent="0.2">
      <c r="AL18823" s="177"/>
    </row>
    <row r="18824" spans="38:38" x14ac:dyDescent="0.2">
      <c r="AL18824" s="177"/>
    </row>
    <row r="18825" spans="38:38" x14ac:dyDescent="0.2">
      <c r="AL18825" s="177"/>
    </row>
    <row r="18826" spans="38:38" x14ac:dyDescent="0.2">
      <c r="AL18826" s="177"/>
    </row>
    <row r="18827" spans="38:38" x14ac:dyDescent="0.2">
      <c r="AL18827" s="177"/>
    </row>
    <row r="18828" spans="38:38" x14ac:dyDescent="0.2">
      <c r="AL18828" s="177"/>
    </row>
    <row r="18829" spans="38:38" x14ac:dyDescent="0.2">
      <c r="AL18829" s="177"/>
    </row>
    <row r="18830" spans="38:38" x14ac:dyDescent="0.2">
      <c r="AL18830" s="177"/>
    </row>
    <row r="18831" spans="38:38" x14ac:dyDescent="0.2">
      <c r="AL18831" s="177"/>
    </row>
    <row r="18832" spans="38:38" x14ac:dyDescent="0.2">
      <c r="AL18832" s="177"/>
    </row>
    <row r="18833" spans="38:38" x14ac:dyDescent="0.2">
      <c r="AL18833" s="177"/>
    </row>
    <row r="18834" spans="38:38" x14ac:dyDescent="0.2">
      <c r="AL18834" s="177"/>
    </row>
    <row r="18835" spans="38:38" x14ac:dyDescent="0.2">
      <c r="AL18835" s="177"/>
    </row>
    <row r="18836" spans="38:38" x14ac:dyDescent="0.2">
      <c r="AL18836" s="177"/>
    </row>
    <row r="18837" spans="38:38" x14ac:dyDescent="0.2">
      <c r="AL18837" s="177"/>
    </row>
    <row r="18838" spans="38:38" x14ac:dyDescent="0.2">
      <c r="AL18838" s="177"/>
    </row>
    <row r="18839" spans="38:38" x14ac:dyDescent="0.2">
      <c r="AL18839" s="177"/>
    </row>
    <row r="18840" spans="38:38" x14ac:dyDescent="0.2">
      <c r="AL18840" s="177"/>
    </row>
    <row r="18841" spans="38:38" x14ac:dyDescent="0.2">
      <c r="AL18841" s="177"/>
    </row>
    <row r="18842" spans="38:38" x14ac:dyDescent="0.2">
      <c r="AL18842" s="177"/>
    </row>
    <row r="18843" spans="38:38" x14ac:dyDescent="0.2">
      <c r="AL18843" s="177"/>
    </row>
    <row r="18844" spans="38:38" x14ac:dyDescent="0.2">
      <c r="AL18844" s="177"/>
    </row>
    <row r="18845" spans="38:38" x14ac:dyDescent="0.2">
      <c r="AL18845" s="177"/>
    </row>
    <row r="18846" spans="38:38" x14ac:dyDescent="0.2">
      <c r="AL18846" s="177"/>
    </row>
    <row r="18847" spans="38:38" x14ac:dyDescent="0.2">
      <c r="AL18847" s="177"/>
    </row>
    <row r="18848" spans="38:38" x14ac:dyDescent="0.2">
      <c r="AL18848" s="177"/>
    </row>
    <row r="18849" spans="38:38" x14ac:dyDescent="0.2">
      <c r="AL18849" s="177"/>
    </row>
    <row r="18850" spans="38:38" x14ac:dyDescent="0.2">
      <c r="AL18850" s="177"/>
    </row>
    <row r="18851" spans="38:38" x14ac:dyDescent="0.2">
      <c r="AL18851" s="177"/>
    </row>
    <row r="18852" spans="38:38" x14ac:dyDescent="0.2">
      <c r="AL18852" s="177"/>
    </row>
    <row r="18853" spans="38:38" x14ac:dyDescent="0.2">
      <c r="AL18853" s="177"/>
    </row>
    <row r="18854" spans="38:38" x14ac:dyDescent="0.2">
      <c r="AL18854" s="177"/>
    </row>
    <row r="18855" spans="38:38" x14ac:dyDescent="0.2">
      <c r="AL18855" s="177"/>
    </row>
    <row r="18856" spans="38:38" x14ac:dyDescent="0.2">
      <c r="AL18856" s="177"/>
    </row>
    <row r="18857" spans="38:38" x14ac:dyDescent="0.2">
      <c r="AL18857" s="177"/>
    </row>
    <row r="18858" spans="38:38" x14ac:dyDescent="0.2">
      <c r="AL18858" s="177"/>
    </row>
    <row r="18859" spans="38:38" x14ac:dyDescent="0.2">
      <c r="AL18859" s="177"/>
    </row>
    <row r="18860" spans="38:38" x14ac:dyDescent="0.2">
      <c r="AL18860" s="177"/>
    </row>
    <row r="18861" spans="38:38" x14ac:dyDescent="0.2">
      <c r="AL18861" s="177"/>
    </row>
    <row r="18862" spans="38:38" x14ac:dyDescent="0.2">
      <c r="AL18862" s="177"/>
    </row>
    <row r="18863" spans="38:38" x14ac:dyDescent="0.2">
      <c r="AL18863" s="177"/>
    </row>
    <row r="18864" spans="38:38" x14ac:dyDescent="0.2">
      <c r="AL18864" s="177"/>
    </row>
    <row r="18865" spans="38:38" x14ac:dyDescent="0.2">
      <c r="AL18865" s="177"/>
    </row>
    <row r="18866" spans="38:38" x14ac:dyDescent="0.2">
      <c r="AL18866" s="177"/>
    </row>
    <row r="18867" spans="38:38" x14ac:dyDescent="0.2">
      <c r="AL18867" s="177"/>
    </row>
    <row r="18868" spans="38:38" x14ac:dyDescent="0.2">
      <c r="AL18868" s="177"/>
    </row>
    <row r="18869" spans="38:38" x14ac:dyDescent="0.2">
      <c r="AL18869" s="177"/>
    </row>
    <row r="18870" spans="38:38" x14ac:dyDescent="0.2">
      <c r="AL18870" s="177"/>
    </row>
    <row r="18871" spans="38:38" x14ac:dyDescent="0.2">
      <c r="AL18871" s="177"/>
    </row>
    <row r="18872" spans="38:38" x14ac:dyDescent="0.2">
      <c r="AL18872" s="177"/>
    </row>
    <row r="18873" spans="38:38" x14ac:dyDescent="0.2">
      <c r="AL18873" s="177"/>
    </row>
    <row r="18874" spans="38:38" x14ac:dyDescent="0.2">
      <c r="AL18874" s="177"/>
    </row>
    <row r="18875" spans="38:38" x14ac:dyDescent="0.2">
      <c r="AL18875" s="177"/>
    </row>
    <row r="18876" spans="38:38" x14ac:dyDescent="0.2">
      <c r="AL18876" s="177"/>
    </row>
    <row r="18877" spans="38:38" x14ac:dyDescent="0.2">
      <c r="AL18877" s="177"/>
    </row>
    <row r="18878" spans="38:38" x14ac:dyDescent="0.2">
      <c r="AL18878" s="177"/>
    </row>
    <row r="18879" spans="38:38" x14ac:dyDescent="0.2">
      <c r="AL18879" s="177"/>
    </row>
    <row r="18880" spans="38:38" x14ac:dyDescent="0.2">
      <c r="AL18880" s="177"/>
    </row>
    <row r="18881" spans="38:38" x14ac:dyDescent="0.2">
      <c r="AL18881" s="177"/>
    </row>
    <row r="18882" spans="38:38" x14ac:dyDescent="0.2">
      <c r="AL18882" s="177"/>
    </row>
    <row r="18883" spans="38:38" x14ac:dyDescent="0.2">
      <c r="AL18883" s="177"/>
    </row>
    <row r="18884" spans="38:38" x14ac:dyDescent="0.2">
      <c r="AL18884" s="177"/>
    </row>
    <row r="18885" spans="38:38" x14ac:dyDescent="0.2">
      <c r="AL18885" s="177"/>
    </row>
    <row r="18886" spans="38:38" x14ac:dyDescent="0.2">
      <c r="AL18886" s="177"/>
    </row>
    <row r="18887" spans="38:38" x14ac:dyDescent="0.2">
      <c r="AL18887" s="177"/>
    </row>
    <row r="18888" spans="38:38" x14ac:dyDescent="0.2">
      <c r="AL18888" s="177"/>
    </row>
    <row r="18889" spans="38:38" x14ac:dyDescent="0.2">
      <c r="AL18889" s="177"/>
    </row>
    <row r="18890" spans="38:38" x14ac:dyDescent="0.2">
      <c r="AL18890" s="177"/>
    </row>
    <row r="18891" spans="38:38" x14ac:dyDescent="0.2">
      <c r="AL18891" s="177"/>
    </row>
    <row r="18892" spans="38:38" x14ac:dyDescent="0.2">
      <c r="AL18892" s="177"/>
    </row>
    <row r="18893" spans="38:38" x14ac:dyDescent="0.2">
      <c r="AL18893" s="177"/>
    </row>
    <row r="18894" spans="38:38" x14ac:dyDescent="0.2">
      <c r="AL18894" s="177"/>
    </row>
    <row r="18895" spans="38:38" x14ac:dyDescent="0.2">
      <c r="AL18895" s="177"/>
    </row>
    <row r="18896" spans="38:38" x14ac:dyDescent="0.2">
      <c r="AL18896" s="177"/>
    </row>
    <row r="18897" spans="38:38" x14ac:dyDescent="0.2">
      <c r="AL18897" s="177"/>
    </row>
    <row r="18898" spans="38:38" x14ac:dyDescent="0.2">
      <c r="AL18898" s="177"/>
    </row>
    <row r="18899" spans="38:38" x14ac:dyDescent="0.2">
      <c r="AL18899" s="177"/>
    </row>
    <row r="18900" spans="38:38" x14ac:dyDescent="0.2">
      <c r="AL18900" s="177"/>
    </row>
    <row r="18901" spans="38:38" x14ac:dyDescent="0.2">
      <c r="AL18901" s="177"/>
    </row>
    <row r="18902" spans="38:38" x14ac:dyDescent="0.2">
      <c r="AL18902" s="177"/>
    </row>
    <row r="18903" spans="38:38" x14ac:dyDescent="0.2">
      <c r="AL18903" s="177"/>
    </row>
    <row r="18904" spans="38:38" x14ac:dyDescent="0.2">
      <c r="AL18904" s="177"/>
    </row>
    <row r="18905" spans="38:38" x14ac:dyDescent="0.2">
      <c r="AL18905" s="177"/>
    </row>
    <row r="18906" spans="38:38" x14ac:dyDescent="0.2">
      <c r="AL18906" s="177"/>
    </row>
    <row r="18907" spans="38:38" x14ac:dyDescent="0.2">
      <c r="AL18907" s="177"/>
    </row>
    <row r="18908" spans="38:38" x14ac:dyDescent="0.2">
      <c r="AL18908" s="177"/>
    </row>
    <row r="18909" spans="38:38" x14ac:dyDescent="0.2">
      <c r="AL18909" s="177"/>
    </row>
    <row r="18910" spans="38:38" x14ac:dyDescent="0.2">
      <c r="AL18910" s="177"/>
    </row>
    <row r="18911" spans="38:38" x14ac:dyDescent="0.2">
      <c r="AL18911" s="177"/>
    </row>
    <row r="18912" spans="38:38" x14ac:dyDescent="0.2">
      <c r="AL18912" s="177"/>
    </row>
    <row r="18913" spans="38:38" x14ac:dyDescent="0.2">
      <c r="AL18913" s="177"/>
    </row>
    <row r="18914" spans="38:38" x14ac:dyDescent="0.2">
      <c r="AL18914" s="177"/>
    </row>
    <row r="18915" spans="38:38" x14ac:dyDescent="0.2">
      <c r="AL18915" s="177"/>
    </row>
    <row r="18916" spans="38:38" x14ac:dyDescent="0.2">
      <c r="AL18916" s="177"/>
    </row>
    <row r="18917" spans="38:38" x14ac:dyDescent="0.2">
      <c r="AL18917" s="177"/>
    </row>
    <row r="18918" spans="38:38" x14ac:dyDescent="0.2">
      <c r="AL18918" s="177"/>
    </row>
    <row r="18919" spans="38:38" x14ac:dyDescent="0.2">
      <c r="AL18919" s="177"/>
    </row>
    <row r="18920" spans="38:38" x14ac:dyDescent="0.2">
      <c r="AL18920" s="177"/>
    </row>
    <row r="18921" spans="38:38" x14ac:dyDescent="0.2">
      <c r="AL18921" s="177"/>
    </row>
    <row r="18922" spans="38:38" x14ac:dyDescent="0.2">
      <c r="AL18922" s="177"/>
    </row>
    <row r="18923" spans="38:38" x14ac:dyDescent="0.2">
      <c r="AL18923" s="177"/>
    </row>
    <row r="18924" spans="38:38" x14ac:dyDescent="0.2">
      <c r="AL18924" s="177"/>
    </row>
    <row r="18925" spans="38:38" x14ac:dyDescent="0.2">
      <c r="AL18925" s="177"/>
    </row>
    <row r="18926" spans="38:38" x14ac:dyDescent="0.2">
      <c r="AL18926" s="177"/>
    </row>
    <row r="18927" spans="38:38" x14ac:dyDescent="0.2">
      <c r="AL18927" s="177"/>
    </row>
    <row r="18928" spans="38:38" x14ac:dyDescent="0.2">
      <c r="AL18928" s="177"/>
    </row>
    <row r="18929" spans="38:38" x14ac:dyDescent="0.2">
      <c r="AL18929" s="177"/>
    </row>
    <row r="18930" spans="38:38" x14ac:dyDescent="0.2">
      <c r="AL18930" s="177"/>
    </row>
    <row r="18931" spans="38:38" x14ac:dyDescent="0.2">
      <c r="AL18931" s="177"/>
    </row>
    <row r="18932" spans="38:38" x14ac:dyDescent="0.2">
      <c r="AL18932" s="177"/>
    </row>
    <row r="18933" spans="38:38" x14ac:dyDescent="0.2">
      <c r="AL18933" s="177"/>
    </row>
    <row r="18934" spans="38:38" x14ac:dyDescent="0.2">
      <c r="AL18934" s="177"/>
    </row>
    <row r="18935" spans="38:38" x14ac:dyDescent="0.2">
      <c r="AL18935" s="177"/>
    </row>
    <row r="18936" spans="38:38" x14ac:dyDescent="0.2">
      <c r="AL18936" s="177"/>
    </row>
    <row r="18937" spans="38:38" x14ac:dyDescent="0.2">
      <c r="AL18937" s="177"/>
    </row>
    <row r="18938" spans="38:38" x14ac:dyDescent="0.2">
      <c r="AL18938" s="177"/>
    </row>
    <row r="18939" spans="38:38" x14ac:dyDescent="0.2">
      <c r="AL18939" s="177"/>
    </row>
    <row r="18940" spans="38:38" x14ac:dyDescent="0.2">
      <c r="AL18940" s="177"/>
    </row>
    <row r="18941" spans="38:38" x14ac:dyDescent="0.2">
      <c r="AL18941" s="177"/>
    </row>
    <row r="18942" spans="38:38" x14ac:dyDescent="0.2">
      <c r="AL18942" s="177"/>
    </row>
    <row r="18943" spans="38:38" x14ac:dyDescent="0.2">
      <c r="AL18943" s="177"/>
    </row>
    <row r="18944" spans="38:38" x14ac:dyDescent="0.2">
      <c r="AL18944" s="177"/>
    </row>
    <row r="18945" spans="38:38" x14ac:dyDescent="0.2">
      <c r="AL18945" s="177"/>
    </row>
    <row r="18946" spans="38:38" x14ac:dyDescent="0.2">
      <c r="AL18946" s="177"/>
    </row>
    <row r="18947" spans="38:38" x14ac:dyDescent="0.2">
      <c r="AL18947" s="177"/>
    </row>
    <row r="18948" spans="38:38" x14ac:dyDescent="0.2">
      <c r="AL18948" s="177"/>
    </row>
    <row r="18949" spans="38:38" x14ac:dyDescent="0.2">
      <c r="AL18949" s="177"/>
    </row>
    <row r="18950" spans="38:38" x14ac:dyDescent="0.2">
      <c r="AL18950" s="177"/>
    </row>
    <row r="18951" spans="38:38" x14ac:dyDescent="0.2">
      <c r="AL18951" s="177"/>
    </row>
    <row r="18952" spans="38:38" x14ac:dyDescent="0.2">
      <c r="AL18952" s="177"/>
    </row>
    <row r="18953" spans="38:38" x14ac:dyDescent="0.2">
      <c r="AL18953" s="177"/>
    </row>
    <row r="18954" spans="38:38" x14ac:dyDescent="0.2">
      <c r="AL18954" s="177"/>
    </row>
    <row r="18955" spans="38:38" x14ac:dyDescent="0.2">
      <c r="AL18955" s="177"/>
    </row>
    <row r="18956" spans="38:38" x14ac:dyDescent="0.2">
      <c r="AL18956" s="177"/>
    </row>
    <row r="18957" spans="38:38" x14ac:dyDescent="0.2">
      <c r="AL18957" s="177"/>
    </row>
    <row r="18958" spans="38:38" x14ac:dyDescent="0.2">
      <c r="AL18958" s="177"/>
    </row>
    <row r="18959" spans="38:38" x14ac:dyDescent="0.2">
      <c r="AL18959" s="177"/>
    </row>
    <row r="18960" spans="38:38" x14ac:dyDescent="0.2">
      <c r="AL18960" s="177"/>
    </row>
    <row r="18961" spans="38:38" x14ac:dyDescent="0.2">
      <c r="AL18961" s="177"/>
    </row>
    <row r="18962" spans="38:38" x14ac:dyDescent="0.2">
      <c r="AL18962" s="177"/>
    </row>
    <row r="18963" spans="38:38" x14ac:dyDescent="0.2">
      <c r="AL18963" s="177"/>
    </row>
    <row r="18964" spans="38:38" x14ac:dyDescent="0.2">
      <c r="AL18964" s="177"/>
    </row>
    <row r="18965" spans="38:38" x14ac:dyDescent="0.2">
      <c r="AL18965" s="177"/>
    </row>
    <row r="18966" spans="38:38" x14ac:dyDescent="0.2">
      <c r="AL18966" s="177"/>
    </row>
    <row r="18967" spans="38:38" x14ac:dyDescent="0.2">
      <c r="AL18967" s="177"/>
    </row>
    <row r="18968" spans="38:38" x14ac:dyDescent="0.2">
      <c r="AL18968" s="177"/>
    </row>
    <row r="18969" spans="38:38" x14ac:dyDescent="0.2">
      <c r="AL18969" s="177"/>
    </row>
    <row r="18970" spans="38:38" x14ac:dyDescent="0.2">
      <c r="AL18970" s="177"/>
    </row>
    <row r="18971" spans="38:38" x14ac:dyDescent="0.2">
      <c r="AL18971" s="177"/>
    </row>
    <row r="18972" spans="38:38" x14ac:dyDescent="0.2">
      <c r="AL18972" s="177"/>
    </row>
    <row r="18973" spans="38:38" x14ac:dyDescent="0.2">
      <c r="AL18973" s="177"/>
    </row>
    <row r="18974" spans="38:38" x14ac:dyDescent="0.2">
      <c r="AL18974" s="177"/>
    </row>
    <row r="18975" spans="38:38" x14ac:dyDescent="0.2">
      <c r="AL18975" s="177"/>
    </row>
    <row r="18976" spans="38:38" x14ac:dyDescent="0.2">
      <c r="AL18976" s="177"/>
    </row>
    <row r="18977" spans="38:38" x14ac:dyDescent="0.2">
      <c r="AL18977" s="177"/>
    </row>
    <row r="18978" spans="38:38" x14ac:dyDescent="0.2">
      <c r="AL18978" s="177"/>
    </row>
    <row r="18979" spans="38:38" x14ac:dyDescent="0.2">
      <c r="AL18979" s="177"/>
    </row>
    <row r="18980" spans="38:38" x14ac:dyDescent="0.2">
      <c r="AL18980" s="177"/>
    </row>
    <row r="18981" spans="38:38" x14ac:dyDescent="0.2">
      <c r="AL18981" s="177"/>
    </row>
    <row r="18982" spans="38:38" x14ac:dyDescent="0.2">
      <c r="AL18982" s="177"/>
    </row>
    <row r="18983" spans="38:38" x14ac:dyDescent="0.2">
      <c r="AL18983" s="177"/>
    </row>
    <row r="18984" spans="38:38" x14ac:dyDescent="0.2">
      <c r="AL18984" s="177"/>
    </row>
    <row r="18985" spans="38:38" x14ac:dyDescent="0.2">
      <c r="AL18985" s="177"/>
    </row>
    <row r="18986" spans="38:38" x14ac:dyDescent="0.2">
      <c r="AL18986" s="177"/>
    </row>
    <row r="18987" spans="38:38" x14ac:dyDescent="0.2">
      <c r="AL18987" s="177"/>
    </row>
    <row r="18988" spans="38:38" x14ac:dyDescent="0.2">
      <c r="AL18988" s="177"/>
    </row>
    <row r="18989" spans="38:38" x14ac:dyDescent="0.2">
      <c r="AL18989" s="177"/>
    </row>
    <row r="18990" spans="38:38" x14ac:dyDescent="0.2">
      <c r="AL18990" s="177"/>
    </row>
    <row r="18991" spans="38:38" x14ac:dyDescent="0.2">
      <c r="AL18991" s="177"/>
    </row>
    <row r="18992" spans="38:38" x14ac:dyDescent="0.2">
      <c r="AL18992" s="177"/>
    </row>
    <row r="18993" spans="38:38" x14ac:dyDescent="0.2">
      <c r="AL18993" s="177"/>
    </row>
    <row r="18994" spans="38:38" x14ac:dyDescent="0.2">
      <c r="AL18994" s="177"/>
    </row>
    <row r="18995" spans="38:38" x14ac:dyDescent="0.2">
      <c r="AL18995" s="177"/>
    </row>
    <row r="18996" spans="38:38" x14ac:dyDescent="0.2">
      <c r="AL18996" s="177"/>
    </row>
    <row r="18997" spans="38:38" x14ac:dyDescent="0.2">
      <c r="AL18997" s="177"/>
    </row>
    <row r="18998" spans="38:38" x14ac:dyDescent="0.2">
      <c r="AL18998" s="177"/>
    </row>
    <row r="18999" spans="38:38" x14ac:dyDescent="0.2">
      <c r="AL18999" s="177"/>
    </row>
    <row r="19000" spans="38:38" x14ac:dyDescent="0.2">
      <c r="AL19000" s="177"/>
    </row>
    <row r="19001" spans="38:38" x14ac:dyDescent="0.2">
      <c r="AL19001" s="177"/>
    </row>
    <row r="19002" spans="38:38" x14ac:dyDescent="0.2">
      <c r="AL19002" s="177"/>
    </row>
    <row r="19003" spans="38:38" x14ac:dyDescent="0.2">
      <c r="AL19003" s="177"/>
    </row>
    <row r="19004" spans="38:38" x14ac:dyDescent="0.2">
      <c r="AL19004" s="177"/>
    </row>
    <row r="19005" spans="38:38" x14ac:dyDescent="0.2">
      <c r="AL19005" s="177"/>
    </row>
    <row r="19006" spans="38:38" x14ac:dyDescent="0.2">
      <c r="AL19006" s="177"/>
    </row>
    <row r="19007" spans="38:38" x14ac:dyDescent="0.2">
      <c r="AL19007" s="177"/>
    </row>
    <row r="19008" spans="38:38" x14ac:dyDescent="0.2">
      <c r="AL19008" s="177"/>
    </row>
    <row r="19009" spans="38:38" x14ac:dyDescent="0.2">
      <c r="AL19009" s="177"/>
    </row>
    <row r="19010" spans="38:38" x14ac:dyDescent="0.2">
      <c r="AL19010" s="177"/>
    </row>
    <row r="19011" spans="38:38" x14ac:dyDescent="0.2">
      <c r="AL19011" s="177"/>
    </row>
    <row r="19012" spans="38:38" x14ac:dyDescent="0.2">
      <c r="AL19012" s="177"/>
    </row>
    <row r="19013" spans="38:38" x14ac:dyDescent="0.2">
      <c r="AL19013" s="177"/>
    </row>
    <row r="19014" spans="38:38" x14ac:dyDescent="0.2">
      <c r="AL19014" s="177"/>
    </row>
    <row r="19015" spans="38:38" x14ac:dyDescent="0.2">
      <c r="AL19015" s="177"/>
    </row>
    <row r="19016" spans="38:38" x14ac:dyDescent="0.2">
      <c r="AL19016" s="177"/>
    </row>
    <row r="19017" spans="38:38" x14ac:dyDescent="0.2">
      <c r="AL19017" s="177"/>
    </row>
    <row r="19018" spans="38:38" x14ac:dyDescent="0.2">
      <c r="AL19018" s="177"/>
    </row>
    <row r="19019" spans="38:38" x14ac:dyDescent="0.2">
      <c r="AL19019" s="177"/>
    </row>
    <row r="19020" spans="38:38" x14ac:dyDescent="0.2">
      <c r="AL19020" s="177"/>
    </row>
    <row r="19021" spans="38:38" x14ac:dyDescent="0.2">
      <c r="AL19021" s="177"/>
    </row>
    <row r="19022" spans="38:38" x14ac:dyDescent="0.2">
      <c r="AL19022" s="177"/>
    </row>
    <row r="19023" spans="38:38" x14ac:dyDescent="0.2">
      <c r="AL19023" s="177"/>
    </row>
    <row r="19024" spans="38:38" x14ac:dyDescent="0.2">
      <c r="AL19024" s="177"/>
    </row>
    <row r="19025" spans="38:38" x14ac:dyDescent="0.2">
      <c r="AL19025" s="177"/>
    </row>
    <row r="19026" spans="38:38" x14ac:dyDescent="0.2">
      <c r="AL19026" s="177"/>
    </row>
    <row r="19027" spans="38:38" x14ac:dyDescent="0.2">
      <c r="AL19027" s="177"/>
    </row>
    <row r="19028" spans="38:38" x14ac:dyDescent="0.2">
      <c r="AL19028" s="177"/>
    </row>
    <row r="19029" spans="38:38" x14ac:dyDescent="0.2">
      <c r="AL19029" s="177"/>
    </row>
    <row r="19030" spans="38:38" x14ac:dyDescent="0.2">
      <c r="AL19030" s="177"/>
    </row>
    <row r="19031" spans="38:38" x14ac:dyDescent="0.2">
      <c r="AL19031" s="177"/>
    </row>
    <row r="19032" spans="38:38" x14ac:dyDescent="0.2">
      <c r="AL19032" s="177"/>
    </row>
    <row r="19033" spans="38:38" x14ac:dyDescent="0.2">
      <c r="AL19033" s="177"/>
    </row>
    <row r="19034" spans="38:38" x14ac:dyDescent="0.2">
      <c r="AL19034" s="177"/>
    </row>
    <row r="19035" spans="38:38" x14ac:dyDescent="0.2">
      <c r="AL19035" s="177"/>
    </row>
    <row r="19036" spans="38:38" x14ac:dyDescent="0.2">
      <c r="AL19036" s="177"/>
    </row>
    <row r="19037" spans="38:38" x14ac:dyDescent="0.2">
      <c r="AL19037" s="177"/>
    </row>
    <row r="19038" spans="38:38" x14ac:dyDescent="0.2">
      <c r="AL19038" s="177"/>
    </row>
    <row r="19039" spans="38:38" x14ac:dyDescent="0.2">
      <c r="AL19039" s="177"/>
    </row>
    <row r="19040" spans="38:38" x14ac:dyDescent="0.2">
      <c r="AL19040" s="177"/>
    </row>
    <row r="19041" spans="38:38" x14ac:dyDescent="0.2">
      <c r="AL19041" s="177"/>
    </row>
    <row r="19042" spans="38:38" x14ac:dyDescent="0.2">
      <c r="AL19042" s="177"/>
    </row>
    <row r="19043" spans="38:38" x14ac:dyDescent="0.2">
      <c r="AL19043" s="177"/>
    </row>
    <row r="19044" spans="38:38" x14ac:dyDescent="0.2">
      <c r="AL19044" s="177"/>
    </row>
    <row r="19045" spans="38:38" x14ac:dyDescent="0.2">
      <c r="AL19045" s="177"/>
    </row>
    <row r="19046" spans="38:38" x14ac:dyDescent="0.2">
      <c r="AL19046" s="177"/>
    </row>
    <row r="19047" spans="38:38" x14ac:dyDescent="0.2">
      <c r="AL19047" s="177"/>
    </row>
    <row r="19048" spans="38:38" x14ac:dyDescent="0.2">
      <c r="AL19048" s="177"/>
    </row>
    <row r="19049" spans="38:38" x14ac:dyDescent="0.2">
      <c r="AL19049" s="177"/>
    </row>
    <row r="19050" spans="38:38" x14ac:dyDescent="0.2">
      <c r="AL19050" s="177"/>
    </row>
    <row r="19051" spans="38:38" x14ac:dyDescent="0.2">
      <c r="AL19051" s="177"/>
    </row>
    <row r="19052" spans="38:38" x14ac:dyDescent="0.2">
      <c r="AL19052" s="177"/>
    </row>
    <row r="19053" spans="38:38" x14ac:dyDescent="0.2">
      <c r="AL19053" s="177"/>
    </row>
    <row r="19054" spans="38:38" x14ac:dyDescent="0.2">
      <c r="AL19054" s="177"/>
    </row>
    <row r="19055" spans="38:38" x14ac:dyDescent="0.2">
      <c r="AL19055" s="177"/>
    </row>
    <row r="19056" spans="38:38" x14ac:dyDescent="0.2">
      <c r="AL19056" s="177"/>
    </row>
    <row r="19057" spans="38:38" x14ac:dyDescent="0.2">
      <c r="AL19057" s="177"/>
    </row>
    <row r="19058" spans="38:38" x14ac:dyDescent="0.2">
      <c r="AL19058" s="177"/>
    </row>
    <row r="19059" spans="38:38" x14ac:dyDescent="0.2">
      <c r="AL19059" s="177"/>
    </row>
    <row r="19060" spans="38:38" x14ac:dyDescent="0.2">
      <c r="AL19060" s="177"/>
    </row>
    <row r="19061" spans="38:38" x14ac:dyDescent="0.2">
      <c r="AL19061" s="177"/>
    </row>
    <row r="19062" spans="38:38" x14ac:dyDescent="0.2">
      <c r="AL19062" s="177"/>
    </row>
    <row r="19063" spans="38:38" x14ac:dyDescent="0.2">
      <c r="AL19063" s="177"/>
    </row>
    <row r="19064" spans="38:38" x14ac:dyDescent="0.2">
      <c r="AL19064" s="177"/>
    </row>
    <row r="19065" spans="38:38" x14ac:dyDescent="0.2">
      <c r="AL19065" s="177"/>
    </row>
    <row r="19066" spans="38:38" x14ac:dyDescent="0.2">
      <c r="AL19066" s="177"/>
    </row>
    <row r="19067" spans="38:38" x14ac:dyDescent="0.2">
      <c r="AL19067" s="177"/>
    </row>
    <row r="19068" spans="38:38" x14ac:dyDescent="0.2">
      <c r="AL19068" s="177"/>
    </row>
    <row r="19069" spans="38:38" x14ac:dyDescent="0.2">
      <c r="AL19069" s="177"/>
    </row>
    <row r="19070" spans="38:38" x14ac:dyDescent="0.2">
      <c r="AL19070" s="177"/>
    </row>
    <row r="19071" spans="38:38" x14ac:dyDescent="0.2">
      <c r="AL19071" s="177"/>
    </row>
    <row r="19072" spans="38:38" x14ac:dyDescent="0.2">
      <c r="AL19072" s="177"/>
    </row>
    <row r="19073" spans="38:38" x14ac:dyDescent="0.2">
      <c r="AL19073" s="177"/>
    </row>
    <row r="19074" spans="38:38" x14ac:dyDescent="0.2">
      <c r="AL19074" s="177"/>
    </row>
    <row r="19075" spans="38:38" x14ac:dyDescent="0.2">
      <c r="AL19075" s="177"/>
    </row>
    <row r="19076" spans="38:38" x14ac:dyDescent="0.2">
      <c r="AL19076" s="177"/>
    </row>
    <row r="19077" spans="38:38" x14ac:dyDescent="0.2">
      <c r="AL19077" s="177"/>
    </row>
    <row r="19078" spans="38:38" x14ac:dyDescent="0.2">
      <c r="AL19078" s="177"/>
    </row>
    <row r="19079" spans="38:38" x14ac:dyDescent="0.2">
      <c r="AL19079" s="177"/>
    </row>
    <row r="19080" spans="38:38" x14ac:dyDescent="0.2">
      <c r="AL19080" s="177"/>
    </row>
    <row r="19081" spans="38:38" x14ac:dyDescent="0.2">
      <c r="AL19081" s="177"/>
    </row>
    <row r="19082" spans="38:38" x14ac:dyDescent="0.2">
      <c r="AL19082" s="177"/>
    </row>
    <row r="19083" spans="38:38" x14ac:dyDescent="0.2">
      <c r="AL19083" s="177"/>
    </row>
    <row r="19084" spans="38:38" x14ac:dyDescent="0.2">
      <c r="AL19084" s="177"/>
    </row>
    <row r="19085" spans="38:38" x14ac:dyDescent="0.2">
      <c r="AL19085" s="177"/>
    </row>
    <row r="19086" spans="38:38" x14ac:dyDescent="0.2">
      <c r="AL19086" s="177"/>
    </row>
    <row r="19087" spans="38:38" x14ac:dyDescent="0.2">
      <c r="AL19087" s="177"/>
    </row>
    <row r="19088" spans="38:38" x14ac:dyDescent="0.2">
      <c r="AL19088" s="177"/>
    </row>
    <row r="19089" spans="38:38" x14ac:dyDescent="0.2">
      <c r="AL19089" s="177"/>
    </row>
    <row r="19090" spans="38:38" x14ac:dyDescent="0.2">
      <c r="AL19090" s="177"/>
    </row>
    <row r="19091" spans="38:38" x14ac:dyDescent="0.2">
      <c r="AL19091" s="177"/>
    </row>
    <row r="19092" spans="38:38" x14ac:dyDescent="0.2">
      <c r="AL19092" s="177"/>
    </row>
    <row r="19093" spans="38:38" x14ac:dyDescent="0.2">
      <c r="AL19093" s="177"/>
    </row>
    <row r="19094" spans="38:38" x14ac:dyDescent="0.2">
      <c r="AL19094" s="177"/>
    </row>
    <row r="19095" spans="38:38" x14ac:dyDescent="0.2">
      <c r="AL19095" s="177"/>
    </row>
    <row r="19096" spans="38:38" x14ac:dyDescent="0.2">
      <c r="AL19096" s="177"/>
    </row>
    <row r="19097" spans="38:38" x14ac:dyDescent="0.2">
      <c r="AL19097" s="177"/>
    </row>
    <row r="19098" spans="38:38" x14ac:dyDescent="0.2">
      <c r="AL19098" s="177"/>
    </row>
    <row r="19099" spans="38:38" x14ac:dyDescent="0.2">
      <c r="AL19099" s="177"/>
    </row>
    <row r="19100" spans="38:38" x14ac:dyDescent="0.2">
      <c r="AL19100" s="177"/>
    </row>
    <row r="19101" spans="38:38" x14ac:dyDescent="0.2">
      <c r="AL19101" s="177"/>
    </row>
    <row r="19102" spans="38:38" x14ac:dyDescent="0.2">
      <c r="AL19102" s="177"/>
    </row>
    <row r="19103" spans="38:38" x14ac:dyDescent="0.2">
      <c r="AL19103" s="177"/>
    </row>
    <row r="19104" spans="38:38" x14ac:dyDescent="0.2">
      <c r="AL19104" s="177"/>
    </row>
    <row r="19105" spans="38:38" x14ac:dyDescent="0.2">
      <c r="AL19105" s="177"/>
    </row>
    <row r="19106" spans="38:38" x14ac:dyDescent="0.2">
      <c r="AL19106" s="177"/>
    </row>
    <row r="19107" spans="38:38" x14ac:dyDescent="0.2">
      <c r="AL19107" s="177"/>
    </row>
    <row r="19108" spans="38:38" x14ac:dyDescent="0.2">
      <c r="AL19108" s="177"/>
    </row>
    <row r="19109" spans="38:38" x14ac:dyDescent="0.2">
      <c r="AL19109" s="177"/>
    </row>
    <row r="19110" spans="38:38" x14ac:dyDescent="0.2">
      <c r="AL19110" s="177"/>
    </row>
    <row r="19111" spans="38:38" x14ac:dyDescent="0.2">
      <c r="AL19111" s="177"/>
    </row>
    <row r="19112" spans="38:38" x14ac:dyDescent="0.2">
      <c r="AL19112" s="177"/>
    </row>
    <row r="19113" spans="38:38" x14ac:dyDescent="0.2">
      <c r="AL19113" s="177"/>
    </row>
    <row r="19114" spans="38:38" x14ac:dyDescent="0.2">
      <c r="AL19114" s="177"/>
    </row>
    <row r="19115" spans="38:38" x14ac:dyDescent="0.2">
      <c r="AL19115" s="177"/>
    </row>
    <row r="19116" spans="38:38" x14ac:dyDescent="0.2">
      <c r="AL19116" s="177"/>
    </row>
    <row r="19117" spans="38:38" x14ac:dyDescent="0.2">
      <c r="AL19117" s="177"/>
    </row>
    <row r="19118" spans="38:38" x14ac:dyDescent="0.2">
      <c r="AL19118" s="177"/>
    </row>
    <row r="19119" spans="38:38" x14ac:dyDescent="0.2">
      <c r="AL19119" s="177"/>
    </row>
    <row r="19120" spans="38:38" x14ac:dyDescent="0.2">
      <c r="AL19120" s="177"/>
    </row>
    <row r="19121" spans="38:38" x14ac:dyDescent="0.2">
      <c r="AL19121" s="177"/>
    </row>
    <row r="19122" spans="38:38" x14ac:dyDescent="0.2">
      <c r="AL19122" s="177"/>
    </row>
    <row r="19123" spans="38:38" x14ac:dyDescent="0.2">
      <c r="AL19123" s="177"/>
    </row>
    <row r="19124" spans="38:38" x14ac:dyDescent="0.2">
      <c r="AL19124" s="177"/>
    </row>
    <row r="19125" spans="38:38" x14ac:dyDescent="0.2">
      <c r="AL19125" s="177"/>
    </row>
    <row r="19126" spans="38:38" x14ac:dyDescent="0.2">
      <c r="AL19126" s="177"/>
    </row>
    <row r="19127" spans="38:38" x14ac:dyDescent="0.2">
      <c r="AL19127" s="177"/>
    </row>
    <row r="19128" spans="38:38" x14ac:dyDescent="0.2">
      <c r="AL19128" s="177"/>
    </row>
    <row r="19129" spans="38:38" x14ac:dyDescent="0.2">
      <c r="AL19129" s="177"/>
    </row>
    <row r="19130" spans="38:38" x14ac:dyDescent="0.2">
      <c r="AL19130" s="177"/>
    </row>
    <row r="19131" spans="38:38" x14ac:dyDescent="0.2">
      <c r="AL19131" s="177"/>
    </row>
    <row r="19132" spans="38:38" x14ac:dyDescent="0.2">
      <c r="AL19132" s="177"/>
    </row>
    <row r="19133" spans="38:38" x14ac:dyDescent="0.2">
      <c r="AL19133" s="177"/>
    </row>
    <row r="19134" spans="38:38" x14ac:dyDescent="0.2">
      <c r="AL19134" s="177"/>
    </row>
    <row r="19135" spans="38:38" x14ac:dyDescent="0.2">
      <c r="AL19135" s="177"/>
    </row>
    <row r="19136" spans="38:38" x14ac:dyDescent="0.2">
      <c r="AL19136" s="177"/>
    </row>
    <row r="19137" spans="38:38" x14ac:dyDescent="0.2">
      <c r="AL19137" s="177"/>
    </row>
    <row r="19138" spans="38:38" x14ac:dyDescent="0.2">
      <c r="AL19138" s="177"/>
    </row>
    <row r="19139" spans="38:38" x14ac:dyDescent="0.2">
      <c r="AL19139" s="177"/>
    </row>
    <row r="19140" spans="38:38" x14ac:dyDescent="0.2">
      <c r="AL19140" s="177"/>
    </row>
    <row r="19141" spans="38:38" x14ac:dyDescent="0.2">
      <c r="AL19141" s="177"/>
    </row>
    <row r="19142" spans="38:38" x14ac:dyDescent="0.2">
      <c r="AL19142" s="177"/>
    </row>
    <row r="19143" spans="38:38" x14ac:dyDescent="0.2">
      <c r="AL19143" s="177"/>
    </row>
    <row r="19144" spans="38:38" x14ac:dyDescent="0.2">
      <c r="AL19144" s="177"/>
    </row>
    <row r="19145" spans="38:38" x14ac:dyDescent="0.2">
      <c r="AL19145" s="177"/>
    </row>
    <row r="19146" spans="38:38" x14ac:dyDescent="0.2">
      <c r="AL19146" s="177"/>
    </row>
    <row r="19147" spans="38:38" x14ac:dyDescent="0.2">
      <c r="AL19147" s="177"/>
    </row>
    <row r="19148" spans="38:38" x14ac:dyDescent="0.2">
      <c r="AL19148" s="177"/>
    </row>
    <row r="19149" spans="38:38" x14ac:dyDescent="0.2">
      <c r="AL19149" s="177"/>
    </row>
    <row r="19150" spans="38:38" x14ac:dyDescent="0.2">
      <c r="AL19150" s="177"/>
    </row>
    <row r="19151" spans="38:38" x14ac:dyDescent="0.2">
      <c r="AL19151" s="177"/>
    </row>
    <row r="19152" spans="38:38" x14ac:dyDescent="0.2">
      <c r="AL19152" s="177"/>
    </row>
    <row r="19153" spans="38:38" x14ac:dyDescent="0.2">
      <c r="AL19153" s="177"/>
    </row>
    <row r="19154" spans="38:38" x14ac:dyDescent="0.2">
      <c r="AL19154" s="177"/>
    </row>
    <row r="19155" spans="38:38" x14ac:dyDescent="0.2">
      <c r="AL19155" s="177"/>
    </row>
    <row r="19156" spans="38:38" x14ac:dyDescent="0.2">
      <c r="AL19156" s="177"/>
    </row>
    <row r="19157" spans="38:38" x14ac:dyDescent="0.2">
      <c r="AL19157" s="177"/>
    </row>
    <row r="19158" spans="38:38" x14ac:dyDescent="0.2">
      <c r="AL19158" s="177"/>
    </row>
    <row r="19159" spans="38:38" x14ac:dyDescent="0.2">
      <c r="AL19159" s="177"/>
    </row>
    <row r="19160" spans="38:38" x14ac:dyDescent="0.2">
      <c r="AL19160" s="177"/>
    </row>
    <row r="19161" spans="38:38" x14ac:dyDescent="0.2">
      <c r="AL19161" s="177"/>
    </row>
    <row r="19162" spans="38:38" x14ac:dyDescent="0.2">
      <c r="AL19162" s="177"/>
    </row>
    <row r="19163" spans="38:38" x14ac:dyDescent="0.2">
      <c r="AL19163" s="177"/>
    </row>
    <row r="19164" spans="38:38" x14ac:dyDescent="0.2">
      <c r="AL19164" s="177"/>
    </row>
    <row r="19165" spans="38:38" x14ac:dyDescent="0.2">
      <c r="AL19165" s="177"/>
    </row>
    <row r="19166" spans="38:38" x14ac:dyDescent="0.2">
      <c r="AL19166" s="177"/>
    </row>
    <row r="19167" spans="38:38" x14ac:dyDescent="0.2">
      <c r="AL19167" s="177"/>
    </row>
    <row r="19168" spans="38:38" x14ac:dyDescent="0.2">
      <c r="AL19168" s="177"/>
    </row>
    <row r="19169" spans="38:38" x14ac:dyDescent="0.2">
      <c r="AL19169" s="177"/>
    </row>
    <row r="19170" spans="38:38" x14ac:dyDescent="0.2">
      <c r="AL19170" s="177"/>
    </row>
    <row r="19171" spans="38:38" x14ac:dyDescent="0.2">
      <c r="AL19171" s="177"/>
    </row>
    <row r="19172" spans="38:38" x14ac:dyDescent="0.2">
      <c r="AL19172" s="177"/>
    </row>
    <row r="19173" spans="38:38" x14ac:dyDescent="0.2">
      <c r="AL19173" s="177"/>
    </row>
    <row r="19174" spans="38:38" x14ac:dyDescent="0.2">
      <c r="AL19174" s="177"/>
    </row>
    <row r="19175" spans="38:38" x14ac:dyDescent="0.2">
      <c r="AL19175" s="177"/>
    </row>
    <row r="19176" spans="38:38" x14ac:dyDescent="0.2">
      <c r="AL19176" s="177"/>
    </row>
    <row r="19177" spans="38:38" x14ac:dyDescent="0.2">
      <c r="AL19177" s="177"/>
    </row>
    <row r="19178" spans="38:38" x14ac:dyDescent="0.2">
      <c r="AL19178" s="177"/>
    </row>
    <row r="19179" spans="38:38" x14ac:dyDescent="0.2">
      <c r="AL19179" s="177"/>
    </row>
    <row r="19180" spans="38:38" x14ac:dyDescent="0.2">
      <c r="AL19180" s="177"/>
    </row>
    <row r="19181" spans="38:38" x14ac:dyDescent="0.2">
      <c r="AL19181" s="177"/>
    </row>
    <row r="19182" spans="38:38" x14ac:dyDescent="0.2">
      <c r="AL19182" s="177"/>
    </row>
    <row r="19183" spans="38:38" x14ac:dyDescent="0.2">
      <c r="AL19183" s="177"/>
    </row>
    <row r="19184" spans="38:38" x14ac:dyDescent="0.2">
      <c r="AL19184" s="177"/>
    </row>
    <row r="19185" spans="38:38" x14ac:dyDescent="0.2">
      <c r="AL19185" s="177"/>
    </row>
    <row r="19186" spans="38:38" x14ac:dyDescent="0.2">
      <c r="AL19186" s="177"/>
    </row>
    <row r="19187" spans="38:38" x14ac:dyDescent="0.2">
      <c r="AL19187" s="177"/>
    </row>
    <row r="19188" spans="38:38" x14ac:dyDescent="0.2">
      <c r="AL19188" s="177"/>
    </row>
    <row r="19189" spans="38:38" x14ac:dyDescent="0.2">
      <c r="AL19189" s="177"/>
    </row>
    <row r="19190" spans="38:38" x14ac:dyDescent="0.2">
      <c r="AL19190" s="177"/>
    </row>
    <row r="19191" spans="38:38" x14ac:dyDescent="0.2">
      <c r="AL19191" s="177"/>
    </row>
    <row r="19192" spans="38:38" x14ac:dyDescent="0.2">
      <c r="AL19192" s="177"/>
    </row>
    <row r="19193" spans="38:38" x14ac:dyDescent="0.2">
      <c r="AL19193" s="177"/>
    </row>
    <row r="19194" spans="38:38" x14ac:dyDescent="0.2">
      <c r="AL19194" s="177"/>
    </row>
    <row r="19195" spans="38:38" x14ac:dyDescent="0.2">
      <c r="AL19195" s="177"/>
    </row>
    <row r="19196" spans="38:38" x14ac:dyDescent="0.2">
      <c r="AL19196" s="177"/>
    </row>
    <row r="19197" spans="38:38" x14ac:dyDescent="0.2">
      <c r="AL19197" s="177"/>
    </row>
    <row r="19198" spans="38:38" x14ac:dyDescent="0.2">
      <c r="AL19198" s="177"/>
    </row>
    <row r="19199" spans="38:38" x14ac:dyDescent="0.2">
      <c r="AL19199" s="177"/>
    </row>
    <row r="19200" spans="38:38" x14ac:dyDescent="0.2">
      <c r="AL19200" s="177"/>
    </row>
    <row r="19201" spans="38:38" x14ac:dyDescent="0.2">
      <c r="AL19201" s="177"/>
    </row>
    <row r="19202" spans="38:38" x14ac:dyDescent="0.2">
      <c r="AL19202" s="177"/>
    </row>
    <row r="19203" spans="38:38" x14ac:dyDescent="0.2">
      <c r="AL19203" s="177"/>
    </row>
    <row r="19204" spans="38:38" x14ac:dyDescent="0.2">
      <c r="AL19204" s="177"/>
    </row>
    <row r="19205" spans="38:38" x14ac:dyDescent="0.2">
      <c r="AL19205" s="177"/>
    </row>
    <row r="19206" spans="38:38" x14ac:dyDescent="0.2">
      <c r="AL19206" s="177"/>
    </row>
    <row r="19207" spans="38:38" x14ac:dyDescent="0.2">
      <c r="AL19207" s="177"/>
    </row>
    <row r="19208" spans="38:38" x14ac:dyDescent="0.2">
      <c r="AL19208" s="177"/>
    </row>
    <row r="19209" spans="38:38" x14ac:dyDescent="0.2">
      <c r="AL19209" s="177"/>
    </row>
    <row r="19210" spans="38:38" x14ac:dyDescent="0.2">
      <c r="AL19210" s="177"/>
    </row>
    <row r="19211" spans="38:38" x14ac:dyDescent="0.2">
      <c r="AL19211" s="177"/>
    </row>
    <row r="19212" spans="38:38" x14ac:dyDescent="0.2">
      <c r="AL19212" s="177"/>
    </row>
    <row r="19213" spans="38:38" x14ac:dyDescent="0.2">
      <c r="AL19213" s="177"/>
    </row>
    <row r="19214" spans="38:38" x14ac:dyDescent="0.2">
      <c r="AL19214" s="177"/>
    </row>
    <row r="19215" spans="38:38" x14ac:dyDescent="0.2">
      <c r="AL19215" s="177"/>
    </row>
    <row r="19216" spans="38:38" x14ac:dyDescent="0.2">
      <c r="AL19216" s="177"/>
    </row>
    <row r="19217" spans="38:38" x14ac:dyDescent="0.2">
      <c r="AL19217" s="177"/>
    </row>
    <row r="19218" spans="38:38" x14ac:dyDescent="0.2">
      <c r="AL19218" s="177"/>
    </row>
    <row r="19219" spans="38:38" x14ac:dyDescent="0.2">
      <c r="AL19219" s="177"/>
    </row>
    <row r="19220" spans="38:38" x14ac:dyDescent="0.2">
      <c r="AL19220" s="177"/>
    </row>
    <row r="19221" spans="38:38" x14ac:dyDescent="0.2">
      <c r="AL19221" s="177"/>
    </row>
    <row r="19222" spans="38:38" x14ac:dyDescent="0.2">
      <c r="AL19222" s="177"/>
    </row>
    <row r="19223" spans="38:38" x14ac:dyDescent="0.2">
      <c r="AL19223" s="177"/>
    </row>
    <row r="19224" spans="38:38" x14ac:dyDescent="0.2">
      <c r="AL19224" s="177"/>
    </row>
    <row r="19225" spans="38:38" x14ac:dyDescent="0.2">
      <c r="AL19225" s="177"/>
    </row>
    <row r="19226" spans="38:38" x14ac:dyDescent="0.2">
      <c r="AL19226" s="177"/>
    </row>
    <row r="19227" spans="38:38" x14ac:dyDescent="0.2">
      <c r="AL19227" s="177"/>
    </row>
    <row r="19228" spans="38:38" x14ac:dyDescent="0.2">
      <c r="AL19228" s="177"/>
    </row>
    <row r="19229" spans="38:38" x14ac:dyDescent="0.2">
      <c r="AL19229" s="177"/>
    </row>
    <row r="19230" spans="38:38" x14ac:dyDescent="0.2">
      <c r="AL19230" s="177"/>
    </row>
    <row r="19231" spans="38:38" x14ac:dyDescent="0.2">
      <c r="AL19231" s="177"/>
    </row>
    <row r="19232" spans="38:38" x14ac:dyDescent="0.2">
      <c r="AL19232" s="177"/>
    </row>
    <row r="19233" spans="38:38" x14ac:dyDescent="0.2">
      <c r="AL19233" s="177"/>
    </row>
    <row r="19234" spans="38:38" x14ac:dyDescent="0.2">
      <c r="AL19234" s="177"/>
    </row>
    <row r="19235" spans="38:38" x14ac:dyDescent="0.2">
      <c r="AL19235" s="177"/>
    </row>
    <row r="19236" spans="38:38" x14ac:dyDescent="0.2">
      <c r="AL19236" s="177"/>
    </row>
    <row r="19237" spans="38:38" x14ac:dyDescent="0.2">
      <c r="AL19237" s="177"/>
    </row>
    <row r="19238" spans="38:38" x14ac:dyDescent="0.2">
      <c r="AL19238" s="177"/>
    </row>
    <row r="19239" spans="38:38" x14ac:dyDescent="0.2">
      <c r="AL19239" s="177"/>
    </row>
    <row r="19240" spans="38:38" x14ac:dyDescent="0.2">
      <c r="AL19240" s="177"/>
    </row>
    <row r="19241" spans="38:38" x14ac:dyDescent="0.2">
      <c r="AL19241" s="177"/>
    </row>
    <row r="19242" spans="38:38" x14ac:dyDescent="0.2">
      <c r="AL19242" s="177"/>
    </row>
    <row r="19243" spans="38:38" x14ac:dyDescent="0.2">
      <c r="AL19243" s="177"/>
    </row>
    <row r="19244" spans="38:38" x14ac:dyDescent="0.2">
      <c r="AL19244" s="177"/>
    </row>
    <row r="19245" spans="38:38" x14ac:dyDescent="0.2">
      <c r="AL19245" s="177"/>
    </row>
    <row r="19246" spans="38:38" x14ac:dyDescent="0.2">
      <c r="AL19246" s="177"/>
    </row>
    <row r="19247" spans="38:38" x14ac:dyDescent="0.2">
      <c r="AL19247" s="177"/>
    </row>
    <row r="19248" spans="38:38" x14ac:dyDescent="0.2">
      <c r="AL19248" s="177"/>
    </row>
    <row r="19249" spans="38:38" x14ac:dyDescent="0.2">
      <c r="AL19249" s="177"/>
    </row>
    <row r="19250" spans="38:38" x14ac:dyDescent="0.2">
      <c r="AL19250" s="177"/>
    </row>
    <row r="19251" spans="38:38" x14ac:dyDescent="0.2">
      <c r="AL19251" s="177"/>
    </row>
    <row r="19252" spans="38:38" x14ac:dyDescent="0.2">
      <c r="AL19252" s="177"/>
    </row>
    <row r="19253" spans="38:38" x14ac:dyDescent="0.2">
      <c r="AL19253" s="177"/>
    </row>
    <row r="19254" spans="38:38" x14ac:dyDescent="0.2">
      <c r="AL19254" s="177"/>
    </row>
    <row r="19255" spans="38:38" x14ac:dyDescent="0.2">
      <c r="AL19255" s="177"/>
    </row>
    <row r="19256" spans="38:38" x14ac:dyDescent="0.2">
      <c r="AL19256" s="177"/>
    </row>
    <row r="19257" spans="38:38" x14ac:dyDescent="0.2">
      <c r="AL19257" s="177"/>
    </row>
    <row r="19258" spans="38:38" x14ac:dyDescent="0.2">
      <c r="AL19258" s="177"/>
    </row>
    <row r="19259" spans="38:38" x14ac:dyDescent="0.2">
      <c r="AL19259" s="177"/>
    </row>
    <row r="19260" spans="38:38" x14ac:dyDescent="0.2">
      <c r="AL19260" s="177"/>
    </row>
    <row r="19261" spans="38:38" x14ac:dyDescent="0.2">
      <c r="AL19261" s="177"/>
    </row>
    <row r="19262" spans="38:38" x14ac:dyDescent="0.2">
      <c r="AL19262" s="177"/>
    </row>
    <row r="19263" spans="38:38" x14ac:dyDescent="0.2">
      <c r="AL19263" s="177"/>
    </row>
    <row r="19264" spans="38:38" x14ac:dyDescent="0.2">
      <c r="AL19264" s="177"/>
    </row>
    <row r="19265" spans="38:38" x14ac:dyDescent="0.2">
      <c r="AL19265" s="177"/>
    </row>
    <row r="19266" spans="38:38" x14ac:dyDescent="0.2">
      <c r="AL19266" s="177"/>
    </row>
    <row r="19267" spans="38:38" x14ac:dyDescent="0.2">
      <c r="AL19267" s="177"/>
    </row>
    <row r="19268" spans="38:38" x14ac:dyDescent="0.2">
      <c r="AL19268" s="177"/>
    </row>
    <row r="19269" spans="38:38" x14ac:dyDescent="0.2">
      <c r="AL19269" s="177"/>
    </row>
    <row r="19270" spans="38:38" x14ac:dyDescent="0.2">
      <c r="AL19270" s="177"/>
    </row>
    <row r="19271" spans="38:38" x14ac:dyDescent="0.2">
      <c r="AL19271" s="177"/>
    </row>
    <row r="19272" spans="38:38" x14ac:dyDescent="0.2">
      <c r="AL19272" s="177"/>
    </row>
    <row r="19273" spans="38:38" x14ac:dyDescent="0.2">
      <c r="AL19273" s="177"/>
    </row>
    <row r="19274" spans="38:38" x14ac:dyDescent="0.2">
      <c r="AL19274" s="177"/>
    </row>
    <row r="19275" spans="38:38" x14ac:dyDescent="0.2">
      <c r="AL19275" s="177"/>
    </row>
    <row r="19276" spans="38:38" x14ac:dyDescent="0.2">
      <c r="AL19276" s="177"/>
    </row>
    <row r="19277" spans="38:38" x14ac:dyDescent="0.2">
      <c r="AL19277" s="177"/>
    </row>
    <row r="19278" spans="38:38" x14ac:dyDescent="0.2">
      <c r="AL19278" s="177"/>
    </row>
    <row r="19279" spans="38:38" x14ac:dyDescent="0.2">
      <c r="AL19279" s="177"/>
    </row>
    <row r="19280" spans="38:38" x14ac:dyDescent="0.2">
      <c r="AL19280" s="177"/>
    </row>
    <row r="19281" spans="38:38" x14ac:dyDescent="0.2">
      <c r="AL19281" s="177"/>
    </row>
    <row r="19282" spans="38:38" x14ac:dyDescent="0.2">
      <c r="AL19282" s="177"/>
    </row>
    <row r="19283" spans="38:38" x14ac:dyDescent="0.2">
      <c r="AL19283" s="177"/>
    </row>
    <row r="19284" spans="38:38" x14ac:dyDescent="0.2">
      <c r="AL19284" s="177"/>
    </row>
    <row r="19285" spans="38:38" x14ac:dyDescent="0.2">
      <c r="AL19285" s="177"/>
    </row>
    <row r="19286" spans="38:38" x14ac:dyDescent="0.2">
      <c r="AL19286" s="177"/>
    </row>
    <row r="19287" spans="38:38" x14ac:dyDescent="0.2">
      <c r="AL19287" s="177"/>
    </row>
    <row r="19288" spans="38:38" x14ac:dyDescent="0.2">
      <c r="AL19288" s="177"/>
    </row>
    <row r="19289" spans="38:38" x14ac:dyDescent="0.2">
      <c r="AL19289" s="177"/>
    </row>
    <row r="19290" spans="38:38" x14ac:dyDescent="0.2">
      <c r="AL19290" s="177"/>
    </row>
    <row r="19291" spans="38:38" x14ac:dyDescent="0.2">
      <c r="AL19291" s="177"/>
    </row>
    <row r="19292" spans="38:38" x14ac:dyDescent="0.2">
      <c r="AL19292" s="177"/>
    </row>
    <row r="19293" spans="38:38" x14ac:dyDescent="0.2">
      <c r="AL19293" s="177"/>
    </row>
    <row r="19294" spans="38:38" x14ac:dyDescent="0.2">
      <c r="AL19294" s="177"/>
    </row>
    <row r="19295" spans="38:38" x14ac:dyDescent="0.2">
      <c r="AL19295" s="177"/>
    </row>
    <row r="19296" spans="38:38" x14ac:dyDescent="0.2">
      <c r="AL19296" s="177"/>
    </row>
    <row r="19297" spans="38:38" x14ac:dyDescent="0.2">
      <c r="AL19297" s="177"/>
    </row>
    <row r="19298" spans="38:38" x14ac:dyDescent="0.2">
      <c r="AL19298" s="177"/>
    </row>
    <row r="19299" spans="38:38" x14ac:dyDescent="0.2">
      <c r="AL19299" s="177"/>
    </row>
    <row r="19300" spans="38:38" x14ac:dyDescent="0.2">
      <c r="AL19300" s="177"/>
    </row>
    <row r="19301" spans="38:38" x14ac:dyDescent="0.2">
      <c r="AL19301" s="177"/>
    </row>
    <row r="19302" spans="38:38" x14ac:dyDescent="0.2">
      <c r="AL19302" s="177"/>
    </row>
    <row r="19303" spans="38:38" x14ac:dyDescent="0.2">
      <c r="AL19303" s="177"/>
    </row>
    <row r="19304" spans="38:38" x14ac:dyDescent="0.2">
      <c r="AL19304" s="177"/>
    </row>
    <row r="19305" spans="38:38" x14ac:dyDescent="0.2">
      <c r="AL19305" s="177"/>
    </row>
    <row r="19306" spans="38:38" x14ac:dyDescent="0.2">
      <c r="AL19306" s="177"/>
    </row>
    <row r="19307" spans="38:38" x14ac:dyDescent="0.2">
      <c r="AL19307" s="177"/>
    </row>
    <row r="19308" spans="38:38" x14ac:dyDescent="0.2">
      <c r="AL19308" s="177"/>
    </row>
    <row r="19309" spans="38:38" x14ac:dyDescent="0.2">
      <c r="AL19309" s="177"/>
    </row>
    <row r="19310" spans="38:38" x14ac:dyDescent="0.2">
      <c r="AL19310" s="177"/>
    </row>
    <row r="19311" spans="38:38" x14ac:dyDescent="0.2">
      <c r="AL19311" s="177"/>
    </row>
    <row r="19312" spans="38:38" x14ac:dyDescent="0.2">
      <c r="AL19312" s="177"/>
    </row>
    <row r="19313" spans="38:38" x14ac:dyDescent="0.2">
      <c r="AL19313" s="177"/>
    </row>
    <row r="19314" spans="38:38" x14ac:dyDescent="0.2">
      <c r="AL19314" s="177"/>
    </row>
    <row r="19315" spans="38:38" x14ac:dyDescent="0.2">
      <c r="AL19315" s="177"/>
    </row>
    <row r="19316" spans="38:38" x14ac:dyDescent="0.2">
      <c r="AL19316" s="177"/>
    </row>
    <row r="19317" spans="38:38" x14ac:dyDescent="0.2">
      <c r="AL19317" s="177"/>
    </row>
    <row r="19318" spans="38:38" x14ac:dyDescent="0.2">
      <c r="AL19318" s="177"/>
    </row>
    <row r="19319" spans="38:38" x14ac:dyDescent="0.2">
      <c r="AL19319" s="177"/>
    </row>
    <row r="19320" spans="38:38" x14ac:dyDescent="0.2">
      <c r="AL19320" s="177"/>
    </row>
    <row r="19321" spans="38:38" x14ac:dyDescent="0.2">
      <c r="AL19321" s="177"/>
    </row>
    <row r="19322" spans="38:38" x14ac:dyDescent="0.2">
      <c r="AL19322" s="177"/>
    </row>
    <row r="19323" spans="38:38" x14ac:dyDescent="0.2">
      <c r="AL19323" s="177"/>
    </row>
    <row r="19324" spans="38:38" x14ac:dyDescent="0.2">
      <c r="AL19324" s="177"/>
    </row>
    <row r="19325" spans="38:38" x14ac:dyDescent="0.2">
      <c r="AL19325" s="177"/>
    </row>
    <row r="19326" spans="38:38" x14ac:dyDescent="0.2">
      <c r="AL19326" s="177"/>
    </row>
    <row r="19327" spans="38:38" x14ac:dyDescent="0.2">
      <c r="AL19327" s="177"/>
    </row>
    <row r="19328" spans="38:38" x14ac:dyDescent="0.2">
      <c r="AL19328" s="177"/>
    </row>
    <row r="19329" spans="38:38" x14ac:dyDescent="0.2">
      <c r="AL19329" s="177"/>
    </row>
    <row r="19330" spans="38:38" x14ac:dyDescent="0.2">
      <c r="AL19330" s="177"/>
    </row>
    <row r="19331" spans="38:38" x14ac:dyDescent="0.2">
      <c r="AL19331" s="177"/>
    </row>
    <row r="19332" spans="38:38" x14ac:dyDescent="0.2">
      <c r="AL19332" s="177"/>
    </row>
    <row r="19333" spans="38:38" x14ac:dyDescent="0.2">
      <c r="AL19333" s="177"/>
    </row>
    <row r="19334" spans="38:38" x14ac:dyDescent="0.2">
      <c r="AL19334" s="177"/>
    </row>
    <row r="19335" spans="38:38" x14ac:dyDescent="0.2">
      <c r="AL19335" s="177"/>
    </row>
    <row r="19336" spans="38:38" x14ac:dyDescent="0.2">
      <c r="AL19336" s="177"/>
    </row>
    <row r="19337" spans="38:38" x14ac:dyDescent="0.2">
      <c r="AL19337" s="177"/>
    </row>
    <row r="19338" spans="38:38" x14ac:dyDescent="0.2">
      <c r="AL19338" s="177"/>
    </row>
    <row r="19339" spans="38:38" x14ac:dyDescent="0.2">
      <c r="AL19339" s="177"/>
    </row>
    <row r="19340" spans="38:38" x14ac:dyDescent="0.2">
      <c r="AL19340" s="177"/>
    </row>
    <row r="19341" spans="38:38" x14ac:dyDescent="0.2">
      <c r="AL19341" s="177"/>
    </row>
    <row r="19342" spans="38:38" x14ac:dyDescent="0.2">
      <c r="AL19342" s="177"/>
    </row>
    <row r="19343" spans="38:38" x14ac:dyDescent="0.2">
      <c r="AL19343" s="177"/>
    </row>
    <row r="19344" spans="38:38" x14ac:dyDescent="0.2">
      <c r="AL19344" s="177"/>
    </row>
    <row r="19345" spans="38:38" x14ac:dyDescent="0.2">
      <c r="AL19345" s="177"/>
    </row>
    <row r="19346" spans="38:38" x14ac:dyDescent="0.2">
      <c r="AL19346" s="177"/>
    </row>
    <row r="19347" spans="38:38" x14ac:dyDescent="0.2">
      <c r="AL19347" s="177"/>
    </row>
    <row r="19348" spans="38:38" x14ac:dyDescent="0.2">
      <c r="AL19348" s="177"/>
    </row>
    <row r="19349" spans="38:38" x14ac:dyDescent="0.2">
      <c r="AL19349" s="177"/>
    </row>
    <row r="19350" spans="38:38" x14ac:dyDescent="0.2">
      <c r="AL19350" s="177"/>
    </row>
    <row r="19351" spans="38:38" x14ac:dyDescent="0.2">
      <c r="AL19351" s="177"/>
    </row>
    <row r="19352" spans="38:38" x14ac:dyDescent="0.2">
      <c r="AL19352" s="177"/>
    </row>
    <row r="19353" spans="38:38" x14ac:dyDescent="0.2">
      <c r="AL19353" s="177"/>
    </row>
    <row r="19354" spans="38:38" x14ac:dyDescent="0.2">
      <c r="AL19354" s="177"/>
    </row>
    <row r="19355" spans="38:38" x14ac:dyDescent="0.2">
      <c r="AL19355" s="177"/>
    </row>
    <row r="19356" spans="38:38" x14ac:dyDescent="0.2">
      <c r="AL19356" s="177"/>
    </row>
    <row r="19357" spans="38:38" x14ac:dyDescent="0.2">
      <c r="AL19357" s="177"/>
    </row>
    <row r="19358" spans="38:38" x14ac:dyDescent="0.2">
      <c r="AL19358" s="177"/>
    </row>
    <row r="19359" spans="38:38" x14ac:dyDescent="0.2">
      <c r="AL19359" s="177"/>
    </row>
    <row r="19360" spans="38:38" x14ac:dyDescent="0.2">
      <c r="AL19360" s="177"/>
    </row>
    <row r="19361" spans="38:38" x14ac:dyDescent="0.2">
      <c r="AL19361" s="177"/>
    </row>
    <row r="19362" spans="38:38" x14ac:dyDescent="0.2">
      <c r="AL19362" s="177"/>
    </row>
    <row r="19363" spans="38:38" x14ac:dyDescent="0.2">
      <c r="AL19363" s="177"/>
    </row>
    <row r="19364" spans="38:38" x14ac:dyDescent="0.2">
      <c r="AL19364" s="177"/>
    </row>
    <row r="19365" spans="38:38" x14ac:dyDescent="0.2">
      <c r="AL19365" s="177"/>
    </row>
    <row r="19366" spans="38:38" x14ac:dyDescent="0.2">
      <c r="AL19366" s="177"/>
    </row>
    <row r="19367" spans="38:38" x14ac:dyDescent="0.2">
      <c r="AL19367" s="177"/>
    </row>
    <row r="19368" spans="38:38" x14ac:dyDescent="0.2">
      <c r="AL19368" s="177"/>
    </row>
    <row r="19369" spans="38:38" x14ac:dyDescent="0.2">
      <c r="AL19369" s="177"/>
    </row>
    <row r="19370" spans="38:38" x14ac:dyDescent="0.2">
      <c r="AL19370" s="177"/>
    </row>
    <row r="19371" spans="38:38" x14ac:dyDescent="0.2">
      <c r="AL19371" s="177"/>
    </row>
    <row r="19372" spans="38:38" x14ac:dyDescent="0.2">
      <c r="AL19372" s="177"/>
    </row>
    <row r="19373" spans="38:38" x14ac:dyDescent="0.2">
      <c r="AL19373" s="177"/>
    </row>
    <row r="19374" spans="38:38" x14ac:dyDescent="0.2">
      <c r="AL19374" s="177"/>
    </row>
    <row r="19375" spans="38:38" x14ac:dyDescent="0.2">
      <c r="AL19375" s="177"/>
    </row>
    <row r="19376" spans="38:38" x14ac:dyDescent="0.2">
      <c r="AL19376" s="177"/>
    </row>
    <row r="19377" spans="38:38" x14ac:dyDescent="0.2">
      <c r="AL19377" s="177"/>
    </row>
    <row r="19378" spans="38:38" x14ac:dyDescent="0.2">
      <c r="AL19378" s="177"/>
    </row>
    <row r="19379" spans="38:38" x14ac:dyDescent="0.2">
      <c r="AL19379" s="177"/>
    </row>
    <row r="19380" spans="38:38" x14ac:dyDescent="0.2">
      <c r="AL19380" s="177"/>
    </row>
    <row r="19381" spans="38:38" x14ac:dyDescent="0.2">
      <c r="AL19381" s="177"/>
    </row>
    <row r="19382" spans="38:38" x14ac:dyDescent="0.2">
      <c r="AL19382" s="177"/>
    </row>
    <row r="19383" spans="38:38" x14ac:dyDescent="0.2">
      <c r="AL19383" s="177"/>
    </row>
    <row r="19384" spans="38:38" x14ac:dyDescent="0.2">
      <c r="AL19384" s="177"/>
    </row>
    <row r="19385" spans="38:38" x14ac:dyDescent="0.2">
      <c r="AL19385" s="177"/>
    </row>
    <row r="19386" spans="38:38" x14ac:dyDescent="0.2">
      <c r="AL19386" s="177"/>
    </row>
    <row r="19387" spans="38:38" x14ac:dyDescent="0.2">
      <c r="AL19387" s="177"/>
    </row>
    <row r="19388" spans="38:38" x14ac:dyDescent="0.2">
      <c r="AL19388" s="177"/>
    </row>
    <row r="19389" spans="38:38" x14ac:dyDescent="0.2">
      <c r="AL19389" s="177"/>
    </row>
    <row r="19390" spans="38:38" x14ac:dyDescent="0.2">
      <c r="AL19390" s="177"/>
    </row>
    <row r="19391" spans="38:38" x14ac:dyDescent="0.2">
      <c r="AL19391" s="177"/>
    </row>
    <row r="19392" spans="38:38" x14ac:dyDescent="0.2">
      <c r="AL19392" s="177"/>
    </row>
    <row r="19393" spans="38:38" x14ac:dyDescent="0.2">
      <c r="AL19393" s="177"/>
    </row>
    <row r="19394" spans="38:38" x14ac:dyDescent="0.2">
      <c r="AL19394" s="177"/>
    </row>
    <row r="19395" spans="38:38" x14ac:dyDescent="0.2">
      <c r="AL19395" s="177"/>
    </row>
    <row r="19396" spans="38:38" x14ac:dyDescent="0.2">
      <c r="AL19396" s="177"/>
    </row>
    <row r="19397" spans="38:38" x14ac:dyDescent="0.2">
      <c r="AL19397" s="177"/>
    </row>
    <row r="19398" spans="38:38" x14ac:dyDescent="0.2">
      <c r="AL19398" s="177"/>
    </row>
    <row r="19399" spans="38:38" x14ac:dyDescent="0.2">
      <c r="AL19399" s="177"/>
    </row>
    <row r="19400" spans="38:38" x14ac:dyDescent="0.2">
      <c r="AL19400" s="177"/>
    </row>
    <row r="19401" spans="38:38" x14ac:dyDescent="0.2">
      <c r="AL19401" s="177"/>
    </row>
    <row r="19402" spans="38:38" x14ac:dyDescent="0.2">
      <c r="AL19402" s="177"/>
    </row>
    <row r="19403" spans="38:38" x14ac:dyDescent="0.2">
      <c r="AL19403" s="177"/>
    </row>
    <row r="19404" spans="38:38" x14ac:dyDescent="0.2">
      <c r="AL19404" s="177"/>
    </row>
    <row r="19405" spans="38:38" x14ac:dyDescent="0.2">
      <c r="AL19405" s="177"/>
    </row>
    <row r="19406" spans="38:38" x14ac:dyDescent="0.2">
      <c r="AL19406" s="177"/>
    </row>
    <row r="19407" spans="38:38" x14ac:dyDescent="0.2">
      <c r="AL19407" s="177"/>
    </row>
    <row r="19408" spans="38:38" x14ac:dyDescent="0.2">
      <c r="AL19408" s="177"/>
    </row>
    <row r="19409" spans="38:38" x14ac:dyDescent="0.2">
      <c r="AL19409" s="177"/>
    </row>
    <row r="19410" spans="38:38" x14ac:dyDescent="0.2">
      <c r="AL19410" s="177"/>
    </row>
    <row r="19411" spans="38:38" x14ac:dyDescent="0.2">
      <c r="AL19411" s="177"/>
    </row>
    <row r="19412" spans="38:38" x14ac:dyDescent="0.2">
      <c r="AL19412" s="177"/>
    </row>
    <row r="19413" spans="38:38" x14ac:dyDescent="0.2">
      <c r="AL19413" s="177"/>
    </row>
    <row r="19414" spans="38:38" x14ac:dyDescent="0.2">
      <c r="AL19414" s="177"/>
    </row>
    <row r="19415" spans="38:38" x14ac:dyDescent="0.2">
      <c r="AL19415" s="177"/>
    </row>
    <row r="19416" spans="38:38" x14ac:dyDescent="0.2">
      <c r="AL19416" s="177"/>
    </row>
    <row r="19417" spans="38:38" x14ac:dyDescent="0.2">
      <c r="AL19417" s="177"/>
    </row>
    <row r="19418" spans="38:38" x14ac:dyDescent="0.2">
      <c r="AL19418" s="177"/>
    </row>
    <row r="19419" spans="38:38" x14ac:dyDescent="0.2">
      <c r="AL19419" s="177"/>
    </row>
    <row r="19420" spans="38:38" x14ac:dyDescent="0.2">
      <c r="AL19420" s="177"/>
    </row>
    <row r="19421" spans="38:38" x14ac:dyDescent="0.2">
      <c r="AL19421" s="177"/>
    </row>
    <row r="19422" spans="38:38" x14ac:dyDescent="0.2">
      <c r="AL19422" s="177"/>
    </row>
    <row r="19423" spans="38:38" x14ac:dyDescent="0.2">
      <c r="AL19423" s="177"/>
    </row>
    <row r="19424" spans="38:38" x14ac:dyDescent="0.2">
      <c r="AL19424" s="177"/>
    </row>
    <row r="19425" spans="38:38" x14ac:dyDescent="0.2">
      <c r="AL19425" s="177"/>
    </row>
    <row r="19426" spans="38:38" x14ac:dyDescent="0.2">
      <c r="AL19426" s="177"/>
    </row>
    <row r="19427" spans="38:38" x14ac:dyDescent="0.2">
      <c r="AL19427" s="177"/>
    </row>
    <row r="19428" spans="38:38" x14ac:dyDescent="0.2">
      <c r="AL19428" s="177"/>
    </row>
    <row r="19429" spans="38:38" x14ac:dyDescent="0.2">
      <c r="AL19429" s="177"/>
    </row>
    <row r="19430" spans="38:38" x14ac:dyDescent="0.2">
      <c r="AL19430" s="177"/>
    </row>
    <row r="19431" spans="38:38" x14ac:dyDescent="0.2">
      <c r="AL19431" s="177"/>
    </row>
    <row r="19432" spans="38:38" x14ac:dyDescent="0.2">
      <c r="AL19432" s="177"/>
    </row>
    <row r="19433" spans="38:38" x14ac:dyDescent="0.2">
      <c r="AL19433" s="177"/>
    </row>
    <row r="19434" spans="38:38" x14ac:dyDescent="0.2">
      <c r="AL19434" s="177"/>
    </row>
    <row r="19435" spans="38:38" x14ac:dyDescent="0.2">
      <c r="AL19435" s="177"/>
    </row>
    <row r="19436" spans="38:38" x14ac:dyDescent="0.2">
      <c r="AL19436" s="177"/>
    </row>
    <row r="19437" spans="38:38" x14ac:dyDescent="0.2">
      <c r="AL19437" s="177"/>
    </row>
    <row r="19438" spans="38:38" x14ac:dyDescent="0.2">
      <c r="AL19438" s="177"/>
    </row>
    <row r="19439" spans="38:38" x14ac:dyDescent="0.2">
      <c r="AL19439" s="177"/>
    </row>
    <row r="19440" spans="38:38" x14ac:dyDescent="0.2">
      <c r="AL19440" s="177"/>
    </row>
    <row r="19441" spans="38:38" x14ac:dyDescent="0.2">
      <c r="AL19441" s="177"/>
    </row>
    <row r="19442" spans="38:38" x14ac:dyDescent="0.2">
      <c r="AL19442" s="177"/>
    </row>
    <row r="19443" spans="38:38" x14ac:dyDescent="0.2">
      <c r="AL19443" s="177"/>
    </row>
    <row r="19444" spans="38:38" x14ac:dyDescent="0.2">
      <c r="AL19444" s="177"/>
    </row>
    <row r="19445" spans="38:38" x14ac:dyDescent="0.2">
      <c r="AL19445" s="177"/>
    </row>
    <row r="19446" spans="38:38" x14ac:dyDescent="0.2">
      <c r="AL19446" s="177"/>
    </row>
    <row r="19447" spans="38:38" x14ac:dyDescent="0.2">
      <c r="AL19447" s="177"/>
    </row>
    <row r="19448" spans="38:38" x14ac:dyDescent="0.2">
      <c r="AL19448" s="177"/>
    </row>
    <row r="19449" spans="38:38" x14ac:dyDescent="0.2">
      <c r="AL19449" s="177"/>
    </row>
    <row r="19450" spans="38:38" x14ac:dyDescent="0.2">
      <c r="AL19450" s="177"/>
    </row>
    <row r="19451" spans="38:38" x14ac:dyDescent="0.2">
      <c r="AL19451" s="177"/>
    </row>
    <row r="19452" spans="38:38" x14ac:dyDescent="0.2">
      <c r="AL19452" s="177"/>
    </row>
    <row r="19453" spans="38:38" x14ac:dyDescent="0.2">
      <c r="AL19453" s="177"/>
    </row>
    <row r="19454" spans="38:38" x14ac:dyDescent="0.2">
      <c r="AL19454" s="177"/>
    </row>
    <row r="19455" spans="38:38" x14ac:dyDescent="0.2">
      <c r="AL19455" s="177"/>
    </row>
    <row r="19456" spans="38:38" x14ac:dyDescent="0.2">
      <c r="AL19456" s="177"/>
    </row>
    <row r="19457" spans="38:38" x14ac:dyDescent="0.2">
      <c r="AL19457" s="177"/>
    </row>
    <row r="19458" spans="38:38" x14ac:dyDescent="0.2">
      <c r="AL19458" s="177"/>
    </row>
    <row r="19459" spans="38:38" x14ac:dyDescent="0.2">
      <c r="AL19459" s="177"/>
    </row>
    <row r="19460" spans="38:38" x14ac:dyDescent="0.2">
      <c r="AL19460" s="177"/>
    </row>
    <row r="19461" spans="38:38" x14ac:dyDescent="0.2">
      <c r="AL19461" s="177"/>
    </row>
    <row r="19462" spans="38:38" x14ac:dyDescent="0.2">
      <c r="AL19462" s="177"/>
    </row>
    <row r="19463" spans="38:38" x14ac:dyDescent="0.2">
      <c r="AL19463" s="177"/>
    </row>
    <row r="19464" spans="38:38" x14ac:dyDescent="0.2">
      <c r="AL19464" s="177"/>
    </row>
    <row r="19465" spans="38:38" x14ac:dyDescent="0.2">
      <c r="AL19465" s="177"/>
    </row>
    <row r="19466" spans="38:38" x14ac:dyDescent="0.2">
      <c r="AL19466" s="177"/>
    </row>
    <row r="19467" spans="38:38" x14ac:dyDescent="0.2">
      <c r="AL19467" s="177"/>
    </row>
    <row r="19468" spans="38:38" x14ac:dyDescent="0.2">
      <c r="AL19468" s="177"/>
    </row>
    <row r="19469" spans="38:38" x14ac:dyDescent="0.2">
      <c r="AL19469" s="177"/>
    </row>
    <row r="19470" spans="38:38" x14ac:dyDescent="0.2">
      <c r="AL19470" s="177"/>
    </row>
    <row r="19471" spans="38:38" x14ac:dyDescent="0.2">
      <c r="AL19471" s="177"/>
    </row>
    <row r="19472" spans="38:38" x14ac:dyDescent="0.2">
      <c r="AL19472" s="177"/>
    </row>
    <row r="19473" spans="38:38" x14ac:dyDescent="0.2">
      <c r="AL19473" s="177"/>
    </row>
    <row r="19474" spans="38:38" x14ac:dyDescent="0.2">
      <c r="AL19474" s="177"/>
    </row>
    <row r="19475" spans="38:38" x14ac:dyDescent="0.2">
      <c r="AL19475" s="177"/>
    </row>
    <row r="19476" spans="38:38" x14ac:dyDescent="0.2">
      <c r="AL19476" s="177"/>
    </row>
    <row r="19477" spans="38:38" x14ac:dyDescent="0.2">
      <c r="AL19477" s="177"/>
    </row>
    <row r="19478" spans="38:38" x14ac:dyDescent="0.2">
      <c r="AL19478" s="177"/>
    </row>
    <row r="19479" spans="38:38" x14ac:dyDescent="0.2">
      <c r="AL19479" s="177"/>
    </row>
    <row r="19480" spans="38:38" x14ac:dyDescent="0.2">
      <c r="AL19480" s="177"/>
    </row>
    <row r="19481" spans="38:38" x14ac:dyDescent="0.2">
      <c r="AL19481" s="177"/>
    </row>
    <row r="19482" spans="38:38" x14ac:dyDescent="0.2">
      <c r="AL19482" s="177"/>
    </row>
    <row r="19483" spans="38:38" x14ac:dyDescent="0.2">
      <c r="AL19483" s="177"/>
    </row>
    <row r="19484" spans="38:38" x14ac:dyDescent="0.2">
      <c r="AL19484" s="177"/>
    </row>
    <row r="19485" spans="38:38" x14ac:dyDescent="0.2">
      <c r="AL19485" s="177"/>
    </row>
    <row r="19486" spans="38:38" x14ac:dyDescent="0.2">
      <c r="AL19486" s="177"/>
    </row>
    <row r="19487" spans="38:38" x14ac:dyDescent="0.2">
      <c r="AL19487" s="177"/>
    </row>
    <row r="19488" spans="38:38" x14ac:dyDescent="0.2">
      <c r="AL19488" s="177"/>
    </row>
    <row r="19489" spans="38:38" x14ac:dyDescent="0.2">
      <c r="AL19489" s="177"/>
    </row>
    <row r="19490" spans="38:38" x14ac:dyDescent="0.2">
      <c r="AL19490" s="177"/>
    </row>
    <row r="19491" spans="38:38" x14ac:dyDescent="0.2">
      <c r="AL19491" s="177"/>
    </row>
    <row r="19492" spans="38:38" x14ac:dyDescent="0.2">
      <c r="AL19492" s="177"/>
    </row>
    <row r="19493" spans="38:38" x14ac:dyDescent="0.2">
      <c r="AL19493" s="177"/>
    </row>
    <row r="19494" spans="38:38" x14ac:dyDescent="0.2">
      <c r="AL19494" s="177"/>
    </row>
    <row r="19495" spans="38:38" x14ac:dyDescent="0.2">
      <c r="AL19495" s="177"/>
    </row>
    <row r="19496" spans="38:38" x14ac:dyDescent="0.2">
      <c r="AL19496" s="177"/>
    </row>
    <row r="19497" spans="38:38" x14ac:dyDescent="0.2">
      <c r="AL19497" s="177"/>
    </row>
    <row r="19498" spans="38:38" x14ac:dyDescent="0.2">
      <c r="AL19498" s="177"/>
    </row>
    <row r="19499" spans="38:38" x14ac:dyDescent="0.2">
      <c r="AL19499" s="177"/>
    </row>
    <row r="19500" spans="38:38" x14ac:dyDescent="0.2">
      <c r="AL19500" s="177"/>
    </row>
    <row r="19501" spans="38:38" x14ac:dyDescent="0.2">
      <c r="AL19501" s="177"/>
    </row>
    <row r="19502" spans="38:38" x14ac:dyDescent="0.2">
      <c r="AL19502" s="177"/>
    </row>
    <row r="19503" spans="38:38" x14ac:dyDescent="0.2">
      <c r="AL19503" s="177"/>
    </row>
    <row r="19504" spans="38:38" x14ac:dyDescent="0.2">
      <c r="AL19504" s="177"/>
    </row>
    <row r="19505" spans="38:38" x14ac:dyDescent="0.2">
      <c r="AL19505" s="177"/>
    </row>
    <row r="19506" spans="38:38" x14ac:dyDescent="0.2">
      <c r="AL19506" s="177"/>
    </row>
    <row r="19507" spans="38:38" x14ac:dyDescent="0.2">
      <c r="AL19507" s="177"/>
    </row>
    <row r="19508" spans="38:38" x14ac:dyDescent="0.2">
      <c r="AL19508" s="177"/>
    </row>
    <row r="19509" spans="38:38" x14ac:dyDescent="0.2">
      <c r="AL19509" s="177"/>
    </row>
    <row r="19510" spans="38:38" x14ac:dyDescent="0.2">
      <c r="AL19510" s="177"/>
    </row>
    <row r="19511" spans="38:38" x14ac:dyDescent="0.2">
      <c r="AL19511" s="177"/>
    </row>
    <row r="19512" spans="38:38" x14ac:dyDescent="0.2">
      <c r="AL19512" s="177"/>
    </row>
    <row r="19513" spans="38:38" x14ac:dyDescent="0.2">
      <c r="AL19513" s="177"/>
    </row>
    <row r="19514" spans="38:38" x14ac:dyDescent="0.2">
      <c r="AL19514" s="177"/>
    </row>
    <row r="19515" spans="38:38" x14ac:dyDescent="0.2">
      <c r="AL19515" s="177"/>
    </row>
    <row r="19516" spans="38:38" x14ac:dyDescent="0.2">
      <c r="AL19516" s="177"/>
    </row>
    <row r="19517" spans="38:38" x14ac:dyDescent="0.2">
      <c r="AL19517" s="177"/>
    </row>
    <row r="19518" spans="38:38" x14ac:dyDescent="0.2">
      <c r="AL19518" s="177"/>
    </row>
    <row r="19519" spans="38:38" x14ac:dyDescent="0.2">
      <c r="AL19519" s="177"/>
    </row>
    <row r="19520" spans="38:38" x14ac:dyDescent="0.2">
      <c r="AL19520" s="177"/>
    </row>
    <row r="19521" spans="38:38" x14ac:dyDescent="0.2">
      <c r="AL19521" s="177"/>
    </row>
    <row r="19522" spans="38:38" x14ac:dyDescent="0.2">
      <c r="AL19522" s="177"/>
    </row>
    <row r="19523" spans="38:38" x14ac:dyDescent="0.2">
      <c r="AL19523" s="177"/>
    </row>
    <row r="19524" spans="38:38" x14ac:dyDescent="0.2">
      <c r="AL19524" s="177"/>
    </row>
    <row r="19525" spans="38:38" x14ac:dyDescent="0.2">
      <c r="AL19525" s="177"/>
    </row>
    <row r="19526" spans="38:38" x14ac:dyDescent="0.2">
      <c r="AL19526" s="177"/>
    </row>
    <row r="19527" spans="38:38" x14ac:dyDescent="0.2">
      <c r="AL19527" s="177"/>
    </row>
    <row r="19528" spans="38:38" x14ac:dyDescent="0.2">
      <c r="AL19528" s="177"/>
    </row>
    <row r="19529" spans="38:38" x14ac:dyDescent="0.2">
      <c r="AL19529" s="177"/>
    </row>
    <row r="19530" spans="38:38" x14ac:dyDescent="0.2">
      <c r="AL19530" s="177"/>
    </row>
    <row r="19531" spans="38:38" x14ac:dyDescent="0.2">
      <c r="AL19531" s="177"/>
    </row>
    <row r="19532" spans="38:38" x14ac:dyDescent="0.2">
      <c r="AL19532" s="177"/>
    </row>
    <row r="19533" spans="38:38" x14ac:dyDescent="0.2">
      <c r="AL19533" s="177"/>
    </row>
    <row r="19534" spans="38:38" x14ac:dyDescent="0.2">
      <c r="AL19534" s="177"/>
    </row>
    <row r="19535" spans="38:38" x14ac:dyDescent="0.2">
      <c r="AL19535" s="177"/>
    </row>
    <row r="19536" spans="38:38" x14ac:dyDescent="0.2">
      <c r="AL19536" s="177"/>
    </row>
    <row r="19537" spans="38:38" x14ac:dyDescent="0.2">
      <c r="AL19537" s="177"/>
    </row>
    <row r="19538" spans="38:38" x14ac:dyDescent="0.2">
      <c r="AL19538" s="177"/>
    </row>
    <row r="19539" spans="38:38" x14ac:dyDescent="0.2">
      <c r="AL19539" s="177"/>
    </row>
    <row r="19540" spans="38:38" x14ac:dyDescent="0.2">
      <c r="AL19540" s="177"/>
    </row>
    <row r="19541" spans="38:38" x14ac:dyDescent="0.2">
      <c r="AL19541" s="177"/>
    </row>
    <row r="19542" spans="38:38" x14ac:dyDescent="0.2">
      <c r="AL19542" s="177"/>
    </row>
    <row r="19543" spans="38:38" x14ac:dyDescent="0.2">
      <c r="AL19543" s="177"/>
    </row>
    <row r="19544" spans="38:38" x14ac:dyDescent="0.2">
      <c r="AL19544" s="177"/>
    </row>
    <row r="19545" spans="38:38" x14ac:dyDescent="0.2">
      <c r="AL19545" s="177"/>
    </row>
    <row r="19546" spans="38:38" x14ac:dyDescent="0.2">
      <c r="AL19546" s="177"/>
    </row>
    <row r="19547" spans="38:38" x14ac:dyDescent="0.2">
      <c r="AL19547" s="177"/>
    </row>
    <row r="19548" spans="38:38" x14ac:dyDescent="0.2">
      <c r="AL19548" s="177"/>
    </row>
    <row r="19549" spans="38:38" x14ac:dyDescent="0.2">
      <c r="AL19549" s="177"/>
    </row>
    <row r="19550" spans="38:38" x14ac:dyDescent="0.2">
      <c r="AL19550" s="177"/>
    </row>
    <row r="19551" spans="38:38" x14ac:dyDescent="0.2">
      <c r="AL19551" s="177"/>
    </row>
    <row r="19552" spans="38:38" x14ac:dyDescent="0.2">
      <c r="AL19552" s="177"/>
    </row>
    <row r="19553" spans="38:38" x14ac:dyDescent="0.2">
      <c r="AL19553" s="177"/>
    </row>
    <row r="19554" spans="38:38" x14ac:dyDescent="0.2">
      <c r="AL19554" s="177"/>
    </row>
    <row r="19555" spans="38:38" x14ac:dyDescent="0.2">
      <c r="AL19555" s="177"/>
    </row>
    <row r="19556" spans="38:38" x14ac:dyDescent="0.2">
      <c r="AL19556" s="177"/>
    </row>
    <row r="19557" spans="38:38" x14ac:dyDescent="0.2">
      <c r="AL19557" s="177"/>
    </row>
    <row r="19558" spans="38:38" x14ac:dyDescent="0.2">
      <c r="AL19558" s="177"/>
    </row>
    <row r="19559" spans="38:38" x14ac:dyDescent="0.2">
      <c r="AL19559" s="177"/>
    </row>
    <row r="19560" spans="38:38" x14ac:dyDescent="0.2">
      <c r="AL19560" s="177"/>
    </row>
    <row r="19561" spans="38:38" x14ac:dyDescent="0.2">
      <c r="AL19561" s="177"/>
    </row>
    <row r="19562" spans="38:38" x14ac:dyDescent="0.2">
      <c r="AL19562" s="177"/>
    </row>
    <row r="19563" spans="38:38" x14ac:dyDescent="0.2">
      <c r="AL19563" s="177"/>
    </row>
    <row r="19564" spans="38:38" x14ac:dyDescent="0.2">
      <c r="AL19564" s="177"/>
    </row>
    <row r="19565" spans="38:38" x14ac:dyDescent="0.2">
      <c r="AL19565" s="177"/>
    </row>
    <row r="19566" spans="38:38" x14ac:dyDescent="0.2">
      <c r="AL19566" s="177"/>
    </row>
    <row r="19567" spans="38:38" x14ac:dyDescent="0.2">
      <c r="AL19567" s="177"/>
    </row>
    <row r="19568" spans="38:38" x14ac:dyDescent="0.2">
      <c r="AL19568" s="177"/>
    </row>
    <row r="19569" spans="38:38" x14ac:dyDescent="0.2">
      <c r="AL19569" s="177"/>
    </row>
    <row r="19570" spans="38:38" x14ac:dyDescent="0.2">
      <c r="AL19570" s="177"/>
    </row>
    <row r="19571" spans="38:38" x14ac:dyDescent="0.2">
      <c r="AL19571" s="177"/>
    </row>
    <row r="19572" spans="38:38" x14ac:dyDescent="0.2">
      <c r="AL19572" s="177"/>
    </row>
    <row r="19573" spans="38:38" x14ac:dyDescent="0.2">
      <c r="AL19573" s="177"/>
    </row>
    <row r="19574" spans="38:38" x14ac:dyDescent="0.2">
      <c r="AL19574" s="177"/>
    </row>
    <row r="19575" spans="38:38" x14ac:dyDescent="0.2">
      <c r="AL19575" s="177"/>
    </row>
    <row r="19576" spans="38:38" x14ac:dyDescent="0.2">
      <c r="AL19576" s="177"/>
    </row>
    <row r="19577" spans="38:38" x14ac:dyDescent="0.2">
      <c r="AL19577" s="177"/>
    </row>
    <row r="19578" spans="38:38" x14ac:dyDescent="0.2">
      <c r="AL19578" s="177"/>
    </row>
    <row r="19579" spans="38:38" x14ac:dyDescent="0.2">
      <c r="AL19579" s="177"/>
    </row>
    <row r="19580" spans="38:38" x14ac:dyDescent="0.2">
      <c r="AL19580" s="177"/>
    </row>
    <row r="19581" spans="38:38" x14ac:dyDescent="0.2">
      <c r="AL19581" s="177"/>
    </row>
    <row r="19582" spans="38:38" x14ac:dyDescent="0.2">
      <c r="AL19582" s="177"/>
    </row>
    <row r="19583" spans="38:38" x14ac:dyDescent="0.2">
      <c r="AL19583" s="177"/>
    </row>
    <row r="19584" spans="38:38" x14ac:dyDescent="0.2">
      <c r="AL19584" s="177"/>
    </row>
    <row r="19585" spans="38:38" x14ac:dyDescent="0.2">
      <c r="AL19585" s="177"/>
    </row>
    <row r="19586" spans="38:38" x14ac:dyDescent="0.2">
      <c r="AL19586" s="177"/>
    </row>
    <row r="19587" spans="38:38" x14ac:dyDescent="0.2">
      <c r="AL19587" s="177"/>
    </row>
    <row r="19588" spans="38:38" x14ac:dyDescent="0.2">
      <c r="AL19588" s="177"/>
    </row>
    <row r="19589" spans="38:38" x14ac:dyDescent="0.2">
      <c r="AL19589" s="177"/>
    </row>
    <row r="19590" spans="38:38" x14ac:dyDescent="0.2">
      <c r="AL19590" s="177"/>
    </row>
    <row r="19591" spans="38:38" x14ac:dyDescent="0.2">
      <c r="AL19591" s="177"/>
    </row>
    <row r="19592" spans="38:38" x14ac:dyDescent="0.2">
      <c r="AL19592" s="177"/>
    </row>
    <row r="19593" spans="38:38" x14ac:dyDescent="0.2">
      <c r="AL19593" s="177"/>
    </row>
    <row r="19594" spans="38:38" x14ac:dyDescent="0.2">
      <c r="AL19594" s="177"/>
    </row>
    <row r="19595" spans="38:38" x14ac:dyDescent="0.2">
      <c r="AL19595" s="177"/>
    </row>
    <row r="19596" spans="38:38" x14ac:dyDescent="0.2">
      <c r="AL19596" s="177"/>
    </row>
    <row r="19597" spans="38:38" x14ac:dyDescent="0.2">
      <c r="AL19597" s="177"/>
    </row>
    <row r="19598" spans="38:38" x14ac:dyDescent="0.2">
      <c r="AL19598" s="177"/>
    </row>
    <row r="19599" spans="38:38" x14ac:dyDescent="0.2">
      <c r="AL19599" s="177"/>
    </row>
    <row r="19600" spans="38:38" x14ac:dyDescent="0.2">
      <c r="AL19600" s="177"/>
    </row>
    <row r="19601" spans="38:38" x14ac:dyDescent="0.2">
      <c r="AL19601" s="177"/>
    </row>
    <row r="19602" spans="38:38" x14ac:dyDescent="0.2">
      <c r="AL19602" s="177"/>
    </row>
    <row r="19603" spans="38:38" x14ac:dyDescent="0.2">
      <c r="AL19603" s="177"/>
    </row>
    <row r="19604" spans="38:38" x14ac:dyDescent="0.2">
      <c r="AL19604" s="177"/>
    </row>
    <row r="19605" spans="38:38" x14ac:dyDescent="0.2">
      <c r="AL19605" s="177"/>
    </row>
    <row r="19606" spans="38:38" x14ac:dyDescent="0.2">
      <c r="AL19606" s="177"/>
    </row>
    <row r="19607" spans="38:38" x14ac:dyDescent="0.2">
      <c r="AL19607" s="177"/>
    </row>
    <row r="19608" spans="38:38" x14ac:dyDescent="0.2">
      <c r="AL19608" s="177"/>
    </row>
    <row r="19609" spans="38:38" x14ac:dyDescent="0.2">
      <c r="AL19609" s="177"/>
    </row>
    <row r="19610" spans="38:38" x14ac:dyDescent="0.2">
      <c r="AL19610" s="177"/>
    </row>
    <row r="19611" spans="38:38" x14ac:dyDescent="0.2">
      <c r="AL19611" s="177"/>
    </row>
    <row r="19612" spans="38:38" x14ac:dyDescent="0.2">
      <c r="AL19612" s="177"/>
    </row>
    <row r="19613" spans="38:38" x14ac:dyDescent="0.2">
      <c r="AL19613" s="177"/>
    </row>
    <row r="19614" spans="38:38" x14ac:dyDescent="0.2">
      <c r="AL19614" s="177"/>
    </row>
    <row r="19615" spans="38:38" x14ac:dyDescent="0.2">
      <c r="AL19615" s="177"/>
    </row>
    <row r="19616" spans="38:38" x14ac:dyDescent="0.2">
      <c r="AL19616" s="177"/>
    </row>
    <row r="19617" spans="38:38" x14ac:dyDescent="0.2">
      <c r="AL19617" s="177"/>
    </row>
    <row r="19618" spans="38:38" x14ac:dyDescent="0.2">
      <c r="AL19618" s="177"/>
    </row>
    <row r="19619" spans="38:38" x14ac:dyDescent="0.2">
      <c r="AL19619" s="177"/>
    </row>
    <row r="19620" spans="38:38" x14ac:dyDescent="0.2">
      <c r="AL19620" s="177"/>
    </row>
    <row r="19621" spans="38:38" x14ac:dyDescent="0.2">
      <c r="AL19621" s="177"/>
    </row>
    <row r="19622" spans="38:38" x14ac:dyDescent="0.2">
      <c r="AL19622" s="177"/>
    </row>
    <row r="19623" spans="38:38" x14ac:dyDescent="0.2">
      <c r="AL19623" s="177"/>
    </row>
    <row r="19624" spans="38:38" x14ac:dyDescent="0.2">
      <c r="AL19624" s="177"/>
    </row>
    <row r="19625" spans="38:38" x14ac:dyDescent="0.2">
      <c r="AL19625" s="177"/>
    </row>
    <row r="19626" spans="38:38" x14ac:dyDescent="0.2">
      <c r="AL19626" s="177"/>
    </row>
    <row r="19627" spans="38:38" x14ac:dyDescent="0.2">
      <c r="AL19627" s="177"/>
    </row>
    <row r="19628" spans="38:38" x14ac:dyDescent="0.2">
      <c r="AL19628" s="177"/>
    </row>
    <row r="19629" spans="38:38" x14ac:dyDescent="0.2">
      <c r="AL19629" s="177"/>
    </row>
    <row r="19630" spans="38:38" x14ac:dyDescent="0.2">
      <c r="AL19630" s="177"/>
    </row>
    <row r="19631" spans="38:38" x14ac:dyDescent="0.2">
      <c r="AL19631" s="177"/>
    </row>
    <row r="19632" spans="38:38" x14ac:dyDescent="0.2">
      <c r="AL19632" s="177"/>
    </row>
    <row r="19633" spans="38:38" x14ac:dyDescent="0.2">
      <c r="AL19633" s="177"/>
    </row>
    <row r="19634" spans="38:38" x14ac:dyDescent="0.2">
      <c r="AL19634" s="177"/>
    </row>
    <row r="19635" spans="38:38" x14ac:dyDescent="0.2">
      <c r="AL19635" s="177"/>
    </row>
    <row r="19636" spans="38:38" x14ac:dyDescent="0.2">
      <c r="AL19636" s="177"/>
    </row>
    <row r="19637" spans="38:38" x14ac:dyDescent="0.2">
      <c r="AL19637" s="177"/>
    </row>
    <row r="19638" spans="38:38" x14ac:dyDescent="0.2">
      <c r="AL19638" s="177"/>
    </row>
    <row r="19639" spans="38:38" x14ac:dyDescent="0.2">
      <c r="AL19639" s="177"/>
    </row>
    <row r="19640" spans="38:38" x14ac:dyDescent="0.2">
      <c r="AL19640" s="177"/>
    </row>
    <row r="19641" spans="38:38" x14ac:dyDescent="0.2">
      <c r="AL19641" s="177"/>
    </row>
    <row r="19642" spans="38:38" x14ac:dyDescent="0.2">
      <c r="AL19642" s="177"/>
    </row>
    <row r="19643" spans="38:38" x14ac:dyDescent="0.2">
      <c r="AL19643" s="177"/>
    </row>
    <row r="19644" spans="38:38" x14ac:dyDescent="0.2">
      <c r="AL19644" s="177"/>
    </row>
    <row r="19645" spans="38:38" x14ac:dyDescent="0.2">
      <c r="AL19645" s="177"/>
    </row>
    <row r="19646" spans="38:38" x14ac:dyDescent="0.2">
      <c r="AL19646" s="177"/>
    </row>
    <row r="19647" spans="38:38" x14ac:dyDescent="0.2">
      <c r="AL19647" s="177"/>
    </row>
    <row r="19648" spans="38:38" x14ac:dyDescent="0.2">
      <c r="AL19648" s="177"/>
    </row>
    <row r="19649" spans="38:38" x14ac:dyDescent="0.2">
      <c r="AL19649" s="177"/>
    </row>
    <row r="19650" spans="38:38" x14ac:dyDescent="0.2">
      <c r="AL19650" s="177"/>
    </row>
    <row r="19651" spans="38:38" x14ac:dyDescent="0.2">
      <c r="AL19651" s="177"/>
    </row>
    <row r="19652" spans="38:38" x14ac:dyDescent="0.2">
      <c r="AL19652" s="177"/>
    </row>
    <row r="19653" spans="38:38" x14ac:dyDescent="0.2">
      <c r="AL19653" s="177"/>
    </row>
    <row r="19654" spans="38:38" x14ac:dyDescent="0.2">
      <c r="AL19654" s="177"/>
    </row>
    <row r="19655" spans="38:38" x14ac:dyDescent="0.2">
      <c r="AL19655" s="177"/>
    </row>
    <row r="19656" spans="38:38" x14ac:dyDescent="0.2">
      <c r="AL19656" s="177"/>
    </row>
    <row r="19657" spans="38:38" x14ac:dyDescent="0.2">
      <c r="AL19657" s="177"/>
    </row>
    <row r="19658" spans="38:38" x14ac:dyDescent="0.2">
      <c r="AL19658" s="177"/>
    </row>
    <row r="19659" spans="38:38" x14ac:dyDescent="0.2">
      <c r="AL19659" s="177"/>
    </row>
    <row r="19660" spans="38:38" x14ac:dyDescent="0.2">
      <c r="AL19660" s="177"/>
    </row>
    <row r="19661" spans="38:38" x14ac:dyDescent="0.2">
      <c r="AL19661" s="177"/>
    </row>
    <row r="19662" spans="38:38" x14ac:dyDescent="0.2">
      <c r="AL19662" s="177"/>
    </row>
    <row r="19663" spans="38:38" x14ac:dyDescent="0.2">
      <c r="AL19663" s="177"/>
    </row>
    <row r="19664" spans="38:38" x14ac:dyDescent="0.2">
      <c r="AL19664" s="177"/>
    </row>
    <row r="19665" spans="38:38" x14ac:dyDescent="0.2">
      <c r="AL19665" s="177"/>
    </row>
    <row r="19666" spans="38:38" x14ac:dyDescent="0.2">
      <c r="AL19666" s="177"/>
    </row>
    <row r="19667" spans="38:38" x14ac:dyDescent="0.2">
      <c r="AL19667" s="177"/>
    </row>
    <row r="19668" spans="38:38" x14ac:dyDescent="0.2">
      <c r="AL19668" s="177"/>
    </row>
    <row r="19669" spans="38:38" x14ac:dyDescent="0.2">
      <c r="AL19669" s="177"/>
    </row>
    <row r="19670" spans="38:38" x14ac:dyDescent="0.2">
      <c r="AL19670" s="177"/>
    </row>
    <row r="19671" spans="38:38" x14ac:dyDescent="0.2">
      <c r="AL19671" s="177"/>
    </row>
    <row r="19672" spans="38:38" x14ac:dyDescent="0.2">
      <c r="AL19672" s="177"/>
    </row>
    <row r="19673" spans="38:38" x14ac:dyDescent="0.2">
      <c r="AL19673" s="177"/>
    </row>
    <row r="19674" spans="38:38" x14ac:dyDescent="0.2">
      <c r="AL19674" s="177"/>
    </row>
    <row r="19675" spans="38:38" x14ac:dyDescent="0.2">
      <c r="AL19675" s="177"/>
    </row>
    <row r="19676" spans="38:38" x14ac:dyDescent="0.2">
      <c r="AL19676" s="177"/>
    </row>
    <row r="19677" spans="38:38" x14ac:dyDescent="0.2">
      <c r="AL19677" s="177"/>
    </row>
    <row r="19678" spans="38:38" x14ac:dyDescent="0.2">
      <c r="AL19678" s="177"/>
    </row>
    <row r="19679" spans="38:38" x14ac:dyDescent="0.2">
      <c r="AL19679" s="177"/>
    </row>
    <row r="19680" spans="38:38" x14ac:dyDescent="0.2">
      <c r="AL19680" s="177"/>
    </row>
    <row r="19681" spans="38:38" x14ac:dyDescent="0.2">
      <c r="AL19681" s="177"/>
    </row>
    <row r="19682" spans="38:38" x14ac:dyDescent="0.2">
      <c r="AL19682" s="177"/>
    </row>
    <row r="19683" spans="38:38" x14ac:dyDescent="0.2">
      <c r="AL19683" s="177"/>
    </row>
    <row r="19684" spans="38:38" x14ac:dyDescent="0.2">
      <c r="AL19684" s="177"/>
    </row>
    <row r="19685" spans="38:38" x14ac:dyDescent="0.2">
      <c r="AL19685" s="177"/>
    </row>
    <row r="19686" spans="38:38" x14ac:dyDescent="0.2">
      <c r="AL19686" s="177"/>
    </row>
    <row r="19687" spans="38:38" x14ac:dyDescent="0.2">
      <c r="AL19687" s="177"/>
    </row>
    <row r="19688" spans="38:38" x14ac:dyDescent="0.2">
      <c r="AL19688" s="177"/>
    </row>
    <row r="19689" spans="38:38" x14ac:dyDescent="0.2">
      <c r="AL19689" s="177"/>
    </row>
    <row r="19690" spans="38:38" x14ac:dyDescent="0.2">
      <c r="AL19690" s="177"/>
    </row>
    <row r="19691" spans="38:38" x14ac:dyDescent="0.2">
      <c r="AL19691" s="177"/>
    </row>
    <row r="19692" spans="38:38" x14ac:dyDescent="0.2">
      <c r="AL19692" s="177"/>
    </row>
    <row r="19693" spans="38:38" x14ac:dyDescent="0.2">
      <c r="AL19693" s="177"/>
    </row>
    <row r="19694" spans="38:38" x14ac:dyDescent="0.2">
      <c r="AL19694" s="177"/>
    </row>
    <row r="19695" spans="38:38" x14ac:dyDescent="0.2">
      <c r="AL19695" s="177"/>
    </row>
    <row r="19696" spans="38:38" x14ac:dyDescent="0.2">
      <c r="AL19696" s="177"/>
    </row>
    <row r="19697" spans="38:38" x14ac:dyDescent="0.2">
      <c r="AL19697" s="177"/>
    </row>
    <row r="19698" spans="38:38" x14ac:dyDescent="0.2">
      <c r="AL19698" s="177"/>
    </row>
    <row r="19699" spans="38:38" x14ac:dyDescent="0.2">
      <c r="AL19699" s="177"/>
    </row>
    <row r="19700" spans="38:38" x14ac:dyDescent="0.2">
      <c r="AL19700" s="177"/>
    </row>
    <row r="19701" spans="38:38" x14ac:dyDescent="0.2">
      <c r="AL19701" s="177"/>
    </row>
    <row r="19702" spans="38:38" x14ac:dyDescent="0.2">
      <c r="AL19702" s="177"/>
    </row>
    <row r="19703" spans="38:38" x14ac:dyDescent="0.2">
      <c r="AL19703" s="177"/>
    </row>
    <row r="19704" spans="38:38" x14ac:dyDescent="0.2">
      <c r="AL19704" s="177"/>
    </row>
    <row r="19705" spans="38:38" x14ac:dyDescent="0.2">
      <c r="AL19705" s="177"/>
    </row>
    <row r="19706" spans="38:38" x14ac:dyDescent="0.2">
      <c r="AL19706" s="177"/>
    </row>
    <row r="19707" spans="38:38" x14ac:dyDescent="0.2">
      <c r="AL19707" s="177"/>
    </row>
    <row r="19708" spans="38:38" x14ac:dyDescent="0.2">
      <c r="AL19708" s="177"/>
    </row>
    <row r="19709" spans="38:38" x14ac:dyDescent="0.2">
      <c r="AL19709" s="177"/>
    </row>
    <row r="19710" spans="38:38" x14ac:dyDescent="0.2">
      <c r="AL19710" s="177"/>
    </row>
    <row r="19711" spans="38:38" x14ac:dyDescent="0.2">
      <c r="AL19711" s="177"/>
    </row>
    <row r="19712" spans="38:38" x14ac:dyDescent="0.2">
      <c r="AL19712" s="177"/>
    </row>
    <row r="19713" spans="38:38" x14ac:dyDescent="0.2">
      <c r="AL19713" s="177"/>
    </row>
    <row r="19714" spans="38:38" x14ac:dyDescent="0.2">
      <c r="AL19714" s="177"/>
    </row>
    <row r="19715" spans="38:38" x14ac:dyDescent="0.2">
      <c r="AL19715" s="177"/>
    </row>
    <row r="19716" spans="38:38" x14ac:dyDescent="0.2">
      <c r="AL19716" s="177"/>
    </row>
    <row r="19717" spans="38:38" x14ac:dyDescent="0.2">
      <c r="AL19717" s="177"/>
    </row>
    <row r="19718" spans="38:38" x14ac:dyDescent="0.2">
      <c r="AL19718" s="177"/>
    </row>
    <row r="19719" spans="38:38" x14ac:dyDescent="0.2">
      <c r="AL19719" s="177"/>
    </row>
    <row r="19720" spans="38:38" x14ac:dyDescent="0.2">
      <c r="AL19720" s="177"/>
    </row>
    <row r="19721" spans="38:38" x14ac:dyDescent="0.2">
      <c r="AL19721" s="177"/>
    </row>
    <row r="19722" spans="38:38" x14ac:dyDescent="0.2">
      <c r="AL19722" s="177"/>
    </row>
    <row r="19723" spans="38:38" x14ac:dyDescent="0.2">
      <c r="AL19723" s="177"/>
    </row>
    <row r="19724" spans="38:38" x14ac:dyDescent="0.2">
      <c r="AL19724" s="177"/>
    </row>
    <row r="19725" spans="38:38" x14ac:dyDescent="0.2">
      <c r="AL19725" s="177"/>
    </row>
    <row r="19726" spans="38:38" x14ac:dyDescent="0.2">
      <c r="AL19726" s="177"/>
    </row>
    <row r="19727" spans="38:38" x14ac:dyDescent="0.2">
      <c r="AL19727" s="177"/>
    </row>
    <row r="19728" spans="38:38" x14ac:dyDescent="0.2">
      <c r="AL19728" s="177"/>
    </row>
    <row r="19729" spans="38:38" x14ac:dyDescent="0.2">
      <c r="AL19729" s="177"/>
    </row>
    <row r="19730" spans="38:38" x14ac:dyDescent="0.2">
      <c r="AL19730" s="177"/>
    </row>
    <row r="19731" spans="38:38" x14ac:dyDescent="0.2">
      <c r="AL19731" s="177"/>
    </row>
    <row r="19732" spans="38:38" x14ac:dyDescent="0.2">
      <c r="AL19732" s="177"/>
    </row>
    <row r="19733" spans="38:38" x14ac:dyDescent="0.2">
      <c r="AL19733" s="177"/>
    </row>
    <row r="19734" spans="38:38" x14ac:dyDescent="0.2">
      <c r="AL19734" s="177"/>
    </row>
    <row r="19735" spans="38:38" x14ac:dyDescent="0.2">
      <c r="AL19735" s="177"/>
    </row>
    <row r="19736" spans="38:38" x14ac:dyDescent="0.2">
      <c r="AL19736" s="177"/>
    </row>
    <row r="19737" spans="38:38" x14ac:dyDescent="0.2">
      <c r="AL19737" s="177"/>
    </row>
    <row r="19738" spans="38:38" x14ac:dyDescent="0.2">
      <c r="AL19738" s="177"/>
    </row>
    <row r="19739" spans="38:38" x14ac:dyDescent="0.2">
      <c r="AL19739" s="177"/>
    </row>
    <row r="19740" spans="38:38" x14ac:dyDescent="0.2">
      <c r="AL19740" s="177"/>
    </row>
    <row r="19741" spans="38:38" x14ac:dyDescent="0.2">
      <c r="AL19741" s="177"/>
    </row>
    <row r="19742" spans="38:38" x14ac:dyDescent="0.2">
      <c r="AL19742" s="177"/>
    </row>
    <row r="19743" spans="38:38" x14ac:dyDescent="0.2">
      <c r="AL19743" s="177"/>
    </row>
    <row r="19744" spans="38:38" x14ac:dyDescent="0.2">
      <c r="AL19744" s="177"/>
    </row>
    <row r="19745" spans="38:38" x14ac:dyDescent="0.2">
      <c r="AL19745" s="177"/>
    </row>
    <row r="19746" spans="38:38" x14ac:dyDescent="0.2">
      <c r="AL19746" s="177"/>
    </row>
    <row r="19747" spans="38:38" x14ac:dyDescent="0.2">
      <c r="AL19747" s="177"/>
    </row>
    <row r="19748" spans="38:38" x14ac:dyDescent="0.2">
      <c r="AL19748" s="177"/>
    </row>
    <row r="19749" spans="38:38" x14ac:dyDescent="0.2">
      <c r="AL19749" s="177"/>
    </row>
    <row r="19750" spans="38:38" x14ac:dyDescent="0.2">
      <c r="AL19750" s="177"/>
    </row>
    <row r="19751" spans="38:38" x14ac:dyDescent="0.2">
      <c r="AL19751" s="177"/>
    </row>
    <row r="19752" spans="38:38" x14ac:dyDescent="0.2">
      <c r="AL19752" s="177"/>
    </row>
    <row r="19753" spans="38:38" x14ac:dyDescent="0.2">
      <c r="AL19753" s="177"/>
    </row>
    <row r="19754" spans="38:38" x14ac:dyDescent="0.2">
      <c r="AL19754" s="177"/>
    </row>
    <row r="19755" spans="38:38" x14ac:dyDescent="0.2">
      <c r="AL19755" s="177"/>
    </row>
    <row r="19756" spans="38:38" x14ac:dyDescent="0.2">
      <c r="AL19756" s="177"/>
    </row>
    <row r="19757" spans="38:38" x14ac:dyDescent="0.2">
      <c r="AL19757" s="177"/>
    </row>
    <row r="19758" spans="38:38" x14ac:dyDescent="0.2">
      <c r="AL19758" s="177"/>
    </row>
    <row r="19759" spans="38:38" x14ac:dyDescent="0.2">
      <c r="AL19759" s="177"/>
    </row>
    <row r="19760" spans="38:38" x14ac:dyDescent="0.2">
      <c r="AL19760" s="177"/>
    </row>
    <row r="19761" spans="38:38" x14ac:dyDescent="0.2">
      <c r="AL19761" s="177"/>
    </row>
    <row r="19762" spans="38:38" x14ac:dyDescent="0.2">
      <c r="AL19762" s="177"/>
    </row>
    <row r="19763" spans="38:38" x14ac:dyDescent="0.2">
      <c r="AL19763" s="177"/>
    </row>
    <row r="19764" spans="38:38" x14ac:dyDescent="0.2">
      <c r="AL19764" s="177"/>
    </row>
    <row r="19765" spans="38:38" x14ac:dyDescent="0.2">
      <c r="AL19765" s="177"/>
    </row>
    <row r="19766" spans="38:38" x14ac:dyDescent="0.2">
      <c r="AL19766" s="177"/>
    </row>
    <row r="19767" spans="38:38" x14ac:dyDescent="0.2">
      <c r="AL19767" s="177"/>
    </row>
    <row r="19768" spans="38:38" x14ac:dyDescent="0.2">
      <c r="AL19768" s="177"/>
    </row>
    <row r="19769" spans="38:38" x14ac:dyDescent="0.2">
      <c r="AL19769" s="177"/>
    </row>
    <row r="19770" spans="38:38" x14ac:dyDescent="0.2">
      <c r="AL19770" s="177"/>
    </row>
    <row r="19771" spans="38:38" x14ac:dyDescent="0.2">
      <c r="AL19771" s="177"/>
    </row>
    <row r="19772" spans="38:38" x14ac:dyDescent="0.2">
      <c r="AL19772" s="177"/>
    </row>
    <row r="19773" spans="38:38" x14ac:dyDescent="0.2">
      <c r="AL19773" s="177"/>
    </row>
    <row r="19774" spans="38:38" x14ac:dyDescent="0.2">
      <c r="AL19774" s="177"/>
    </row>
    <row r="19775" spans="38:38" x14ac:dyDescent="0.2">
      <c r="AL19775" s="177"/>
    </row>
    <row r="19776" spans="38:38" x14ac:dyDescent="0.2">
      <c r="AL19776" s="177"/>
    </row>
    <row r="19777" spans="38:38" x14ac:dyDescent="0.2">
      <c r="AL19777" s="177"/>
    </row>
    <row r="19778" spans="38:38" x14ac:dyDescent="0.2">
      <c r="AL19778" s="177"/>
    </row>
    <row r="19779" spans="38:38" x14ac:dyDescent="0.2">
      <c r="AL19779" s="177"/>
    </row>
    <row r="19780" spans="38:38" x14ac:dyDescent="0.2">
      <c r="AL19780" s="177"/>
    </row>
    <row r="19781" spans="38:38" x14ac:dyDescent="0.2">
      <c r="AL19781" s="177"/>
    </row>
    <row r="19782" spans="38:38" x14ac:dyDescent="0.2">
      <c r="AL19782" s="177"/>
    </row>
    <row r="19783" spans="38:38" x14ac:dyDescent="0.2">
      <c r="AL19783" s="177"/>
    </row>
    <row r="19784" spans="38:38" x14ac:dyDescent="0.2">
      <c r="AL19784" s="177"/>
    </row>
    <row r="19785" spans="38:38" x14ac:dyDescent="0.2">
      <c r="AL19785" s="177"/>
    </row>
    <row r="19786" spans="38:38" x14ac:dyDescent="0.2">
      <c r="AL19786" s="177"/>
    </row>
    <row r="19787" spans="38:38" x14ac:dyDescent="0.2">
      <c r="AL19787" s="177"/>
    </row>
    <row r="19788" spans="38:38" x14ac:dyDescent="0.2">
      <c r="AL19788" s="177"/>
    </row>
    <row r="19789" spans="38:38" x14ac:dyDescent="0.2">
      <c r="AL19789" s="177"/>
    </row>
    <row r="19790" spans="38:38" x14ac:dyDescent="0.2">
      <c r="AL19790" s="177"/>
    </row>
    <row r="19791" spans="38:38" x14ac:dyDescent="0.2">
      <c r="AL19791" s="177"/>
    </row>
    <row r="19792" spans="38:38" x14ac:dyDescent="0.2">
      <c r="AL19792" s="177"/>
    </row>
    <row r="19793" spans="38:38" x14ac:dyDescent="0.2">
      <c r="AL19793" s="177"/>
    </row>
    <row r="19794" spans="38:38" x14ac:dyDescent="0.2">
      <c r="AL19794" s="177"/>
    </row>
    <row r="19795" spans="38:38" x14ac:dyDescent="0.2">
      <c r="AL19795" s="177"/>
    </row>
    <row r="19796" spans="38:38" x14ac:dyDescent="0.2">
      <c r="AL19796" s="177"/>
    </row>
    <row r="19797" spans="38:38" x14ac:dyDescent="0.2">
      <c r="AL19797" s="177"/>
    </row>
    <row r="19798" spans="38:38" x14ac:dyDescent="0.2">
      <c r="AL19798" s="177"/>
    </row>
    <row r="19799" spans="38:38" x14ac:dyDescent="0.2">
      <c r="AL19799" s="177"/>
    </row>
    <row r="19800" spans="38:38" x14ac:dyDescent="0.2">
      <c r="AL19800" s="177"/>
    </row>
    <row r="19801" spans="38:38" x14ac:dyDescent="0.2">
      <c r="AL19801" s="177"/>
    </row>
    <row r="19802" spans="38:38" x14ac:dyDescent="0.2">
      <c r="AL19802" s="177"/>
    </row>
    <row r="19803" spans="38:38" x14ac:dyDescent="0.2">
      <c r="AL19803" s="177"/>
    </row>
    <row r="19804" spans="38:38" x14ac:dyDescent="0.2">
      <c r="AL19804" s="177"/>
    </row>
    <row r="19805" spans="38:38" x14ac:dyDescent="0.2">
      <c r="AL19805" s="177"/>
    </row>
    <row r="19806" spans="38:38" x14ac:dyDescent="0.2">
      <c r="AL19806" s="177"/>
    </row>
    <row r="19807" spans="38:38" x14ac:dyDescent="0.2">
      <c r="AL19807" s="177"/>
    </row>
    <row r="19808" spans="38:38" x14ac:dyDescent="0.2">
      <c r="AL19808" s="177"/>
    </row>
    <row r="19809" spans="38:38" x14ac:dyDescent="0.2">
      <c r="AL19809" s="177"/>
    </row>
    <row r="19810" spans="38:38" x14ac:dyDescent="0.2">
      <c r="AL19810" s="177"/>
    </row>
    <row r="19811" spans="38:38" x14ac:dyDescent="0.2">
      <c r="AL19811" s="177"/>
    </row>
    <row r="19812" spans="38:38" x14ac:dyDescent="0.2">
      <c r="AL19812" s="177"/>
    </row>
    <row r="19813" spans="38:38" x14ac:dyDescent="0.2">
      <c r="AL19813" s="177"/>
    </row>
    <row r="19814" spans="38:38" x14ac:dyDescent="0.2">
      <c r="AL19814" s="177"/>
    </row>
    <row r="19815" spans="38:38" x14ac:dyDescent="0.2">
      <c r="AL19815" s="177"/>
    </row>
    <row r="19816" spans="38:38" x14ac:dyDescent="0.2">
      <c r="AL19816" s="177"/>
    </row>
    <row r="19817" spans="38:38" x14ac:dyDescent="0.2">
      <c r="AL19817" s="177"/>
    </row>
    <row r="19818" spans="38:38" x14ac:dyDescent="0.2">
      <c r="AL19818" s="177"/>
    </row>
    <row r="19819" spans="38:38" x14ac:dyDescent="0.2">
      <c r="AL19819" s="177"/>
    </row>
    <row r="19820" spans="38:38" x14ac:dyDescent="0.2">
      <c r="AL19820" s="177"/>
    </row>
    <row r="19821" spans="38:38" x14ac:dyDescent="0.2">
      <c r="AL19821" s="177"/>
    </row>
    <row r="19822" spans="38:38" x14ac:dyDescent="0.2">
      <c r="AL19822" s="177"/>
    </row>
    <row r="19823" spans="38:38" x14ac:dyDescent="0.2">
      <c r="AL19823" s="177"/>
    </row>
    <row r="19824" spans="38:38" x14ac:dyDescent="0.2">
      <c r="AL19824" s="177"/>
    </row>
    <row r="19825" spans="38:38" x14ac:dyDescent="0.2">
      <c r="AL19825" s="177"/>
    </row>
    <row r="19826" spans="38:38" x14ac:dyDescent="0.2">
      <c r="AL19826" s="177"/>
    </row>
    <row r="19827" spans="38:38" x14ac:dyDescent="0.2">
      <c r="AL19827" s="177"/>
    </row>
    <row r="19828" spans="38:38" x14ac:dyDescent="0.2">
      <c r="AL19828" s="177"/>
    </row>
    <row r="19829" spans="38:38" x14ac:dyDescent="0.2">
      <c r="AL19829" s="177"/>
    </row>
    <row r="19830" spans="38:38" x14ac:dyDescent="0.2">
      <c r="AL19830" s="177"/>
    </row>
    <row r="19831" spans="38:38" x14ac:dyDescent="0.2">
      <c r="AL19831" s="177"/>
    </row>
    <row r="19832" spans="38:38" x14ac:dyDescent="0.2">
      <c r="AL19832" s="177"/>
    </row>
    <row r="19833" spans="38:38" x14ac:dyDescent="0.2">
      <c r="AL19833" s="177"/>
    </row>
    <row r="19834" spans="38:38" x14ac:dyDescent="0.2">
      <c r="AL19834" s="177"/>
    </row>
    <row r="19835" spans="38:38" x14ac:dyDescent="0.2">
      <c r="AL19835" s="177"/>
    </row>
    <row r="19836" spans="38:38" x14ac:dyDescent="0.2">
      <c r="AL19836" s="177"/>
    </row>
    <row r="19837" spans="38:38" x14ac:dyDescent="0.2">
      <c r="AL19837" s="177"/>
    </row>
    <row r="19838" spans="38:38" x14ac:dyDescent="0.2">
      <c r="AL19838" s="177"/>
    </row>
    <row r="19839" spans="38:38" x14ac:dyDescent="0.2">
      <c r="AL19839" s="177"/>
    </row>
    <row r="19840" spans="38:38" x14ac:dyDescent="0.2">
      <c r="AL19840" s="177"/>
    </row>
    <row r="19841" spans="38:38" x14ac:dyDescent="0.2">
      <c r="AL19841" s="177"/>
    </row>
    <row r="19842" spans="38:38" x14ac:dyDescent="0.2">
      <c r="AL19842" s="177"/>
    </row>
    <row r="19843" spans="38:38" x14ac:dyDescent="0.2">
      <c r="AL19843" s="177"/>
    </row>
    <row r="19844" spans="38:38" x14ac:dyDescent="0.2">
      <c r="AL19844" s="177"/>
    </row>
    <row r="19845" spans="38:38" x14ac:dyDescent="0.2">
      <c r="AL19845" s="177"/>
    </row>
    <row r="19846" spans="38:38" x14ac:dyDescent="0.2">
      <c r="AL19846" s="177"/>
    </row>
    <row r="19847" spans="38:38" x14ac:dyDescent="0.2">
      <c r="AL19847" s="177"/>
    </row>
    <row r="19848" spans="38:38" x14ac:dyDescent="0.2">
      <c r="AL19848" s="177"/>
    </row>
    <row r="19849" spans="38:38" x14ac:dyDescent="0.2">
      <c r="AL19849" s="177"/>
    </row>
    <row r="19850" spans="38:38" x14ac:dyDescent="0.2">
      <c r="AL19850" s="177"/>
    </row>
    <row r="19851" spans="38:38" x14ac:dyDescent="0.2">
      <c r="AL19851" s="177"/>
    </row>
    <row r="19852" spans="38:38" x14ac:dyDescent="0.2">
      <c r="AL19852" s="177"/>
    </row>
    <row r="19853" spans="38:38" x14ac:dyDescent="0.2">
      <c r="AL19853" s="177"/>
    </row>
    <row r="19854" spans="38:38" x14ac:dyDescent="0.2">
      <c r="AL19854" s="177"/>
    </row>
    <row r="19855" spans="38:38" x14ac:dyDescent="0.2">
      <c r="AL19855" s="177"/>
    </row>
    <row r="19856" spans="38:38" x14ac:dyDescent="0.2">
      <c r="AL19856" s="177"/>
    </row>
    <row r="19857" spans="38:38" x14ac:dyDescent="0.2">
      <c r="AL19857" s="177"/>
    </row>
    <row r="19858" spans="38:38" x14ac:dyDescent="0.2">
      <c r="AL19858" s="177"/>
    </row>
    <row r="19859" spans="38:38" x14ac:dyDescent="0.2">
      <c r="AL19859" s="177"/>
    </row>
    <row r="19860" spans="38:38" x14ac:dyDescent="0.2">
      <c r="AL19860" s="177"/>
    </row>
    <row r="19861" spans="38:38" x14ac:dyDescent="0.2">
      <c r="AL19861" s="177"/>
    </row>
    <row r="19862" spans="38:38" x14ac:dyDescent="0.2">
      <c r="AL19862" s="177"/>
    </row>
    <row r="19863" spans="38:38" x14ac:dyDescent="0.2">
      <c r="AL19863" s="177"/>
    </row>
    <row r="19864" spans="38:38" x14ac:dyDescent="0.2">
      <c r="AL19864" s="177"/>
    </row>
    <row r="19865" spans="38:38" x14ac:dyDescent="0.2">
      <c r="AL19865" s="177"/>
    </row>
    <row r="19866" spans="38:38" x14ac:dyDescent="0.2">
      <c r="AL19866" s="177"/>
    </row>
    <row r="19867" spans="38:38" x14ac:dyDescent="0.2">
      <c r="AL19867" s="177"/>
    </row>
    <row r="19868" spans="38:38" x14ac:dyDescent="0.2">
      <c r="AL19868" s="177"/>
    </row>
    <row r="19869" spans="38:38" x14ac:dyDescent="0.2">
      <c r="AL19869" s="177"/>
    </row>
    <row r="19870" spans="38:38" x14ac:dyDescent="0.2">
      <c r="AL19870" s="177"/>
    </row>
    <row r="19871" spans="38:38" x14ac:dyDescent="0.2">
      <c r="AL19871" s="177"/>
    </row>
    <row r="19872" spans="38:38" x14ac:dyDescent="0.2">
      <c r="AL19872" s="177"/>
    </row>
    <row r="19873" spans="38:38" x14ac:dyDescent="0.2">
      <c r="AL19873" s="177"/>
    </row>
    <row r="19874" spans="38:38" x14ac:dyDescent="0.2">
      <c r="AL19874" s="177"/>
    </row>
    <row r="19875" spans="38:38" x14ac:dyDescent="0.2">
      <c r="AL19875" s="177"/>
    </row>
    <row r="19876" spans="38:38" x14ac:dyDescent="0.2">
      <c r="AL19876" s="177"/>
    </row>
    <row r="19877" spans="38:38" x14ac:dyDescent="0.2">
      <c r="AL19877" s="177"/>
    </row>
    <row r="19878" spans="38:38" x14ac:dyDescent="0.2">
      <c r="AL19878" s="177"/>
    </row>
    <row r="19879" spans="38:38" x14ac:dyDescent="0.2">
      <c r="AL19879" s="177"/>
    </row>
    <row r="19880" spans="38:38" x14ac:dyDescent="0.2">
      <c r="AL19880" s="177"/>
    </row>
    <row r="19881" spans="38:38" x14ac:dyDescent="0.2">
      <c r="AL19881" s="177"/>
    </row>
    <row r="19882" spans="38:38" x14ac:dyDescent="0.2">
      <c r="AL19882" s="177"/>
    </row>
    <row r="19883" spans="38:38" x14ac:dyDescent="0.2">
      <c r="AL19883" s="177"/>
    </row>
    <row r="19884" spans="38:38" x14ac:dyDescent="0.2">
      <c r="AL19884" s="177"/>
    </row>
    <row r="19885" spans="38:38" x14ac:dyDescent="0.2">
      <c r="AL19885" s="177"/>
    </row>
    <row r="19886" spans="38:38" x14ac:dyDescent="0.2">
      <c r="AL19886" s="177"/>
    </row>
    <row r="19887" spans="38:38" x14ac:dyDescent="0.2">
      <c r="AL19887" s="177"/>
    </row>
    <row r="19888" spans="38:38" x14ac:dyDescent="0.2">
      <c r="AL19888" s="177"/>
    </row>
    <row r="19889" spans="38:38" x14ac:dyDescent="0.2">
      <c r="AL19889" s="177"/>
    </row>
    <row r="19890" spans="38:38" x14ac:dyDescent="0.2">
      <c r="AL19890" s="177"/>
    </row>
    <row r="19891" spans="38:38" x14ac:dyDescent="0.2">
      <c r="AL19891" s="177"/>
    </row>
    <row r="19892" spans="38:38" x14ac:dyDescent="0.2">
      <c r="AL19892" s="177"/>
    </row>
    <row r="19893" spans="38:38" x14ac:dyDescent="0.2">
      <c r="AL19893" s="177"/>
    </row>
    <row r="19894" spans="38:38" x14ac:dyDescent="0.2">
      <c r="AL19894" s="177"/>
    </row>
    <row r="19895" spans="38:38" x14ac:dyDescent="0.2">
      <c r="AL19895" s="177"/>
    </row>
    <row r="19896" spans="38:38" x14ac:dyDescent="0.2">
      <c r="AL19896" s="177"/>
    </row>
    <row r="19897" spans="38:38" x14ac:dyDescent="0.2">
      <c r="AL19897" s="177"/>
    </row>
    <row r="19898" spans="38:38" x14ac:dyDescent="0.2">
      <c r="AL19898" s="177"/>
    </row>
    <row r="19899" spans="38:38" x14ac:dyDescent="0.2">
      <c r="AL19899" s="177"/>
    </row>
    <row r="19900" spans="38:38" x14ac:dyDescent="0.2">
      <c r="AL19900" s="177"/>
    </row>
    <row r="19901" spans="38:38" x14ac:dyDescent="0.2">
      <c r="AL19901" s="177"/>
    </row>
    <row r="19902" spans="38:38" x14ac:dyDescent="0.2">
      <c r="AL19902" s="177"/>
    </row>
    <row r="19903" spans="38:38" x14ac:dyDescent="0.2">
      <c r="AL19903" s="177"/>
    </row>
    <row r="19904" spans="38:38" x14ac:dyDescent="0.2">
      <c r="AL19904" s="177"/>
    </row>
    <row r="19905" spans="38:38" x14ac:dyDescent="0.2">
      <c r="AL19905" s="177"/>
    </row>
    <row r="19906" spans="38:38" x14ac:dyDescent="0.2">
      <c r="AL19906" s="177"/>
    </row>
    <row r="19907" spans="38:38" x14ac:dyDescent="0.2">
      <c r="AL19907" s="177"/>
    </row>
    <row r="19908" spans="38:38" x14ac:dyDescent="0.2">
      <c r="AL19908" s="177"/>
    </row>
    <row r="19909" spans="38:38" x14ac:dyDescent="0.2">
      <c r="AL19909" s="177"/>
    </row>
    <row r="19910" spans="38:38" x14ac:dyDescent="0.2">
      <c r="AL19910" s="177"/>
    </row>
    <row r="19911" spans="38:38" x14ac:dyDescent="0.2">
      <c r="AL19911" s="177"/>
    </row>
    <row r="19912" spans="38:38" x14ac:dyDescent="0.2">
      <c r="AL19912" s="177"/>
    </row>
    <row r="19913" spans="38:38" x14ac:dyDescent="0.2">
      <c r="AL19913" s="177"/>
    </row>
    <row r="19914" spans="38:38" x14ac:dyDescent="0.2">
      <c r="AL19914" s="177"/>
    </row>
    <row r="19915" spans="38:38" x14ac:dyDescent="0.2">
      <c r="AL19915" s="177"/>
    </row>
    <row r="19916" spans="38:38" x14ac:dyDescent="0.2">
      <c r="AL19916" s="177"/>
    </row>
    <row r="19917" spans="38:38" x14ac:dyDescent="0.2">
      <c r="AL19917" s="177"/>
    </row>
    <row r="19918" spans="38:38" x14ac:dyDescent="0.2">
      <c r="AL19918" s="177"/>
    </row>
    <row r="19919" spans="38:38" x14ac:dyDescent="0.2">
      <c r="AL19919" s="177"/>
    </row>
    <row r="19920" spans="38:38" x14ac:dyDescent="0.2">
      <c r="AL19920" s="177"/>
    </row>
    <row r="19921" spans="38:38" x14ac:dyDescent="0.2">
      <c r="AL19921" s="177"/>
    </row>
    <row r="19922" spans="38:38" x14ac:dyDescent="0.2">
      <c r="AL19922" s="177"/>
    </row>
    <row r="19923" spans="38:38" x14ac:dyDescent="0.2">
      <c r="AL19923" s="177"/>
    </row>
    <row r="19924" spans="38:38" x14ac:dyDescent="0.2">
      <c r="AL19924" s="177"/>
    </row>
    <row r="19925" spans="38:38" x14ac:dyDescent="0.2">
      <c r="AL19925" s="177"/>
    </row>
    <row r="19926" spans="38:38" x14ac:dyDescent="0.2">
      <c r="AL19926" s="177"/>
    </row>
    <row r="19927" spans="38:38" x14ac:dyDescent="0.2">
      <c r="AL19927" s="177"/>
    </row>
    <row r="19928" spans="38:38" x14ac:dyDescent="0.2">
      <c r="AL19928" s="177"/>
    </row>
    <row r="19929" spans="38:38" x14ac:dyDescent="0.2">
      <c r="AL19929" s="177"/>
    </row>
    <row r="19930" spans="38:38" x14ac:dyDescent="0.2">
      <c r="AL19930" s="177"/>
    </row>
    <row r="19931" spans="38:38" x14ac:dyDescent="0.2">
      <c r="AL19931" s="177"/>
    </row>
    <row r="19932" spans="38:38" x14ac:dyDescent="0.2">
      <c r="AL19932" s="177"/>
    </row>
    <row r="19933" spans="38:38" x14ac:dyDescent="0.2">
      <c r="AL19933" s="177"/>
    </row>
    <row r="19934" spans="38:38" x14ac:dyDescent="0.2">
      <c r="AL19934" s="177"/>
    </row>
    <row r="19935" spans="38:38" x14ac:dyDescent="0.2">
      <c r="AL19935" s="177"/>
    </row>
    <row r="19936" spans="38:38" x14ac:dyDescent="0.2">
      <c r="AL19936" s="177"/>
    </row>
    <row r="19937" spans="38:38" x14ac:dyDescent="0.2">
      <c r="AL19937" s="177"/>
    </row>
    <row r="19938" spans="38:38" x14ac:dyDescent="0.2">
      <c r="AL19938" s="177"/>
    </row>
    <row r="19939" spans="38:38" x14ac:dyDescent="0.2">
      <c r="AL19939" s="177"/>
    </row>
    <row r="19940" spans="38:38" x14ac:dyDescent="0.2">
      <c r="AL19940" s="177"/>
    </row>
    <row r="19941" spans="38:38" x14ac:dyDescent="0.2">
      <c r="AL19941" s="177"/>
    </row>
    <row r="19942" spans="38:38" x14ac:dyDescent="0.2">
      <c r="AL19942" s="177"/>
    </row>
    <row r="19943" spans="38:38" x14ac:dyDescent="0.2">
      <c r="AL19943" s="177"/>
    </row>
    <row r="19944" spans="38:38" x14ac:dyDescent="0.2">
      <c r="AL19944" s="177"/>
    </row>
    <row r="19945" spans="38:38" x14ac:dyDescent="0.2">
      <c r="AL19945" s="177"/>
    </row>
    <row r="19946" spans="38:38" x14ac:dyDescent="0.2">
      <c r="AL19946" s="177"/>
    </row>
    <row r="19947" spans="38:38" x14ac:dyDescent="0.2">
      <c r="AL19947" s="177"/>
    </row>
    <row r="19948" spans="38:38" x14ac:dyDescent="0.2">
      <c r="AL19948" s="177"/>
    </row>
    <row r="19949" spans="38:38" x14ac:dyDescent="0.2">
      <c r="AL19949" s="177"/>
    </row>
    <row r="19950" spans="38:38" x14ac:dyDescent="0.2">
      <c r="AL19950" s="177"/>
    </row>
    <row r="19951" spans="38:38" x14ac:dyDescent="0.2">
      <c r="AL19951" s="177"/>
    </row>
    <row r="19952" spans="38:38" x14ac:dyDescent="0.2">
      <c r="AL19952" s="177"/>
    </row>
    <row r="19953" spans="38:38" x14ac:dyDescent="0.2">
      <c r="AL19953" s="177"/>
    </row>
    <row r="19954" spans="38:38" x14ac:dyDescent="0.2">
      <c r="AL19954" s="177"/>
    </row>
    <row r="19955" spans="38:38" x14ac:dyDescent="0.2">
      <c r="AL19955" s="177"/>
    </row>
    <row r="19956" spans="38:38" x14ac:dyDescent="0.2">
      <c r="AL19956" s="177"/>
    </row>
    <row r="19957" spans="38:38" x14ac:dyDescent="0.2">
      <c r="AL19957" s="177"/>
    </row>
    <row r="19958" spans="38:38" x14ac:dyDescent="0.2">
      <c r="AL19958" s="177"/>
    </row>
    <row r="19959" spans="38:38" x14ac:dyDescent="0.2">
      <c r="AL19959" s="177"/>
    </row>
    <row r="19960" spans="38:38" x14ac:dyDescent="0.2">
      <c r="AL19960" s="177"/>
    </row>
    <row r="19961" spans="38:38" x14ac:dyDescent="0.2">
      <c r="AL19961" s="177"/>
    </row>
    <row r="19962" spans="38:38" x14ac:dyDescent="0.2">
      <c r="AL19962" s="177"/>
    </row>
    <row r="19963" spans="38:38" x14ac:dyDescent="0.2">
      <c r="AL19963" s="177"/>
    </row>
    <row r="19964" spans="38:38" x14ac:dyDescent="0.2">
      <c r="AL19964" s="177"/>
    </row>
    <row r="19965" spans="38:38" x14ac:dyDescent="0.2">
      <c r="AL19965" s="177"/>
    </row>
    <row r="19966" spans="38:38" x14ac:dyDescent="0.2">
      <c r="AL19966" s="177"/>
    </row>
    <row r="19967" spans="38:38" x14ac:dyDescent="0.2">
      <c r="AL19967" s="177"/>
    </row>
    <row r="19968" spans="38:38" x14ac:dyDescent="0.2">
      <c r="AL19968" s="177"/>
    </row>
    <row r="19969" spans="38:38" x14ac:dyDescent="0.2">
      <c r="AL19969" s="177"/>
    </row>
    <row r="19970" spans="38:38" x14ac:dyDescent="0.2">
      <c r="AL19970" s="177"/>
    </row>
    <row r="19971" spans="38:38" x14ac:dyDescent="0.2">
      <c r="AL19971" s="177"/>
    </row>
    <row r="19972" spans="38:38" x14ac:dyDescent="0.2">
      <c r="AL19972" s="177"/>
    </row>
    <row r="19973" spans="38:38" x14ac:dyDescent="0.2">
      <c r="AL19973" s="177"/>
    </row>
    <row r="19974" spans="38:38" x14ac:dyDescent="0.2">
      <c r="AL19974" s="177"/>
    </row>
    <row r="19975" spans="38:38" x14ac:dyDescent="0.2">
      <c r="AL19975" s="177"/>
    </row>
    <row r="19976" spans="38:38" x14ac:dyDescent="0.2">
      <c r="AL19976" s="177"/>
    </row>
    <row r="19977" spans="38:38" x14ac:dyDescent="0.2">
      <c r="AL19977" s="177"/>
    </row>
    <row r="19978" spans="38:38" x14ac:dyDescent="0.2">
      <c r="AL19978" s="177"/>
    </row>
    <row r="19979" spans="38:38" x14ac:dyDescent="0.2">
      <c r="AL19979" s="177"/>
    </row>
    <row r="19980" spans="38:38" x14ac:dyDescent="0.2">
      <c r="AL19980" s="177"/>
    </row>
    <row r="19981" spans="38:38" x14ac:dyDescent="0.2">
      <c r="AL19981" s="177"/>
    </row>
    <row r="19982" spans="38:38" x14ac:dyDescent="0.2">
      <c r="AL19982" s="177"/>
    </row>
    <row r="19983" spans="38:38" x14ac:dyDescent="0.2">
      <c r="AL19983" s="177"/>
    </row>
    <row r="19984" spans="38:38" x14ac:dyDescent="0.2">
      <c r="AL19984" s="177"/>
    </row>
    <row r="19985" spans="38:38" x14ac:dyDescent="0.2">
      <c r="AL19985" s="177"/>
    </row>
    <row r="19986" spans="38:38" x14ac:dyDescent="0.2">
      <c r="AL19986" s="177"/>
    </row>
    <row r="19987" spans="38:38" x14ac:dyDescent="0.2">
      <c r="AL19987" s="177"/>
    </row>
    <row r="19988" spans="38:38" x14ac:dyDescent="0.2">
      <c r="AL19988" s="177"/>
    </row>
    <row r="19989" spans="38:38" x14ac:dyDescent="0.2">
      <c r="AL19989" s="177"/>
    </row>
    <row r="19990" spans="38:38" x14ac:dyDescent="0.2">
      <c r="AL19990" s="177"/>
    </row>
    <row r="19991" spans="38:38" x14ac:dyDescent="0.2">
      <c r="AL19991" s="177"/>
    </row>
    <row r="19992" spans="38:38" x14ac:dyDescent="0.2">
      <c r="AL19992" s="177"/>
    </row>
    <row r="19993" spans="38:38" x14ac:dyDescent="0.2">
      <c r="AL19993" s="177"/>
    </row>
    <row r="19994" spans="38:38" x14ac:dyDescent="0.2">
      <c r="AL19994" s="177"/>
    </row>
    <row r="19995" spans="38:38" x14ac:dyDescent="0.2">
      <c r="AL19995" s="177"/>
    </row>
    <row r="19996" spans="38:38" x14ac:dyDescent="0.2">
      <c r="AL19996" s="177"/>
    </row>
    <row r="19997" spans="38:38" x14ac:dyDescent="0.2">
      <c r="AL19997" s="177"/>
    </row>
    <row r="19998" spans="38:38" x14ac:dyDescent="0.2">
      <c r="AL19998" s="177"/>
    </row>
    <row r="19999" spans="38:38" x14ac:dyDescent="0.2">
      <c r="AL19999" s="177"/>
    </row>
    <row r="20000" spans="38:38" x14ac:dyDescent="0.2">
      <c r="AL20000" s="177"/>
    </row>
    <row r="20001" spans="38:38" x14ac:dyDescent="0.2">
      <c r="AL20001" s="177"/>
    </row>
    <row r="20002" spans="38:38" x14ac:dyDescent="0.2">
      <c r="AL20002" s="177"/>
    </row>
    <row r="20003" spans="38:38" x14ac:dyDescent="0.2">
      <c r="AL20003" s="177"/>
    </row>
    <row r="20004" spans="38:38" x14ac:dyDescent="0.2">
      <c r="AL20004" s="177"/>
    </row>
    <row r="20005" spans="38:38" x14ac:dyDescent="0.2">
      <c r="AL20005" s="177"/>
    </row>
    <row r="20006" spans="38:38" x14ac:dyDescent="0.2">
      <c r="AL20006" s="177"/>
    </row>
    <row r="20007" spans="38:38" x14ac:dyDescent="0.2">
      <c r="AL20007" s="177"/>
    </row>
    <row r="20008" spans="38:38" x14ac:dyDescent="0.2">
      <c r="AL20008" s="177"/>
    </row>
    <row r="20009" spans="38:38" x14ac:dyDescent="0.2">
      <c r="AL20009" s="177"/>
    </row>
    <row r="20010" spans="38:38" x14ac:dyDescent="0.2">
      <c r="AL20010" s="177"/>
    </row>
    <row r="20011" spans="38:38" x14ac:dyDescent="0.2">
      <c r="AL20011" s="177"/>
    </row>
    <row r="20012" spans="38:38" x14ac:dyDescent="0.2">
      <c r="AL20012" s="177"/>
    </row>
    <row r="20013" spans="38:38" x14ac:dyDescent="0.2">
      <c r="AL20013" s="177"/>
    </row>
    <row r="20014" spans="38:38" x14ac:dyDescent="0.2">
      <c r="AL20014" s="177"/>
    </row>
    <row r="20015" spans="38:38" x14ac:dyDescent="0.2">
      <c r="AL20015" s="177"/>
    </row>
    <row r="20016" spans="38:38" x14ac:dyDescent="0.2">
      <c r="AL20016" s="177"/>
    </row>
    <row r="20017" spans="38:38" x14ac:dyDescent="0.2">
      <c r="AL20017" s="177"/>
    </row>
    <row r="20018" spans="38:38" x14ac:dyDescent="0.2">
      <c r="AL20018" s="177"/>
    </row>
    <row r="20019" spans="38:38" x14ac:dyDescent="0.2">
      <c r="AL20019" s="177"/>
    </row>
    <row r="20020" spans="38:38" x14ac:dyDescent="0.2">
      <c r="AL20020" s="177"/>
    </row>
    <row r="20021" spans="38:38" x14ac:dyDescent="0.2">
      <c r="AL20021" s="177"/>
    </row>
    <row r="20022" spans="38:38" x14ac:dyDescent="0.2">
      <c r="AL20022" s="177"/>
    </row>
    <row r="20023" spans="38:38" x14ac:dyDescent="0.2">
      <c r="AL20023" s="177"/>
    </row>
    <row r="20024" spans="38:38" x14ac:dyDescent="0.2">
      <c r="AL20024" s="177"/>
    </row>
    <row r="20025" spans="38:38" x14ac:dyDescent="0.2">
      <c r="AL20025" s="177"/>
    </row>
    <row r="20026" spans="38:38" x14ac:dyDescent="0.2">
      <c r="AL20026" s="177"/>
    </row>
    <row r="20027" spans="38:38" x14ac:dyDescent="0.2">
      <c r="AL20027" s="177"/>
    </row>
    <row r="20028" spans="38:38" x14ac:dyDescent="0.2">
      <c r="AL20028" s="177"/>
    </row>
    <row r="20029" spans="38:38" x14ac:dyDescent="0.2">
      <c r="AL20029" s="177"/>
    </row>
    <row r="20030" spans="38:38" x14ac:dyDescent="0.2">
      <c r="AL20030" s="177"/>
    </row>
    <row r="20031" spans="38:38" x14ac:dyDescent="0.2">
      <c r="AL20031" s="177"/>
    </row>
    <row r="20032" spans="38:38" x14ac:dyDescent="0.2">
      <c r="AL20032" s="177"/>
    </row>
    <row r="20033" spans="38:38" x14ac:dyDescent="0.2">
      <c r="AL20033" s="177"/>
    </row>
    <row r="20034" spans="38:38" x14ac:dyDescent="0.2">
      <c r="AL20034" s="177"/>
    </row>
    <row r="20035" spans="38:38" x14ac:dyDescent="0.2">
      <c r="AL20035" s="177"/>
    </row>
    <row r="20036" spans="38:38" x14ac:dyDescent="0.2">
      <c r="AL20036" s="177"/>
    </row>
    <row r="20037" spans="38:38" x14ac:dyDescent="0.2">
      <c r="AL20037" s="177"/>
    </row>
    <row r="20038" spans="38:38" x14ac:dyDescent="0.2">
      <c r="AL20038" s="177"/>
    </row>
    <row r="20039" spans="38:38" x14ac:dyDescent="0.2">
      <c r="AL20039" s="177"/>
    </row>
    <row r="20040" spans="38:38" x14ac:dyDescent="0.2">
      <c r="AL20040" s="177"/>
    </row>
    <row r="20041" spans="38:38" x14ac:dyDescent="0.2">
      <c r="AL20041" s="177"/>
    </row>
    <row r="20042" spans="38:38" x14ac:dyDescent="0.2">
      <c r="AL20042" s="177"/>
    </row>
    <row r="20043" spans="38:38" x14ac:dyDescent="0.2">
      <c r="AL20043" s="177"/>
    </row>
    <row r="20044" spans="38:38" x14ac:dyDescent="0.2">
      <c r="AL20044" s="177"/>
    </row>
    <row r="20045" spans="38:38" x14ac:dyDescent="0.2">
      <c r="AL20045" s="177"/>
    </row>
    <row r="20046" spans="38:38" x14ac:dyDescent="0.2">
      <c r="AL20046" s="177"/>
    </row>
    <row r="20047" spans="38:38" x14ac:dyDescent="0.2">
      <c r="AL20047" s="177"/>
    </row>
    <row r="20048" spans="38:38" x14ac:dyDescent="0.2">
      <c r="AL20048" s="177"/>
    </row>
    <row r="20049" spans="38:38" x14ac:dyDescent="0.2">
      <c r="AL20049" s="177"/>
    </row>
    <row r="20050" spans="38:38" x14ac:dyDescent="0.2">
      <c r="AL20050" s="177"/>
    </row>
    <row r="20051" spans="38:38" x14ac:dyDescent="0.2">
      <c r="AL20051" s="177"/>
    </row>
    <row r="20052" spans="38:38" x14ac:dyDescent="0.2">
      <c r="AL20052" s="177"/>
    </row>
    <row r="20053" spans="38:38" x14ac:dyDescent="0.2">
      <c r="AL20053" s="177"/>
    </row>
    <row r="20054" spans="38:38" x14ac:dyDescent="0.2">
      <c r="AL20054" s="177"/>
    </row>
    <row r="20055" spans="38:38" x14ac:dyDescent="0.2">
      <c r="AL20055" s="177"/>
    </row>
    <row r="20056" spans="38:38" x14ac:dyDescent="0.2">
      <c r="AL20056" s="177"/>
    </row>
    <row r="20057" spans="38:38" x14ac:dyDescent="0.2">
      <c r="AL20057" s="177"/>
    </row>
    <row r="20058" spans="38:38" x14ac:dyDescent="0.2">
      <c r="AL20058" s="177"/>
    </row>
    <row r="20059" spans="38:38" x14ac:dyDescent="0.2">
      <c r="AL20059" s="177"/>
    </row>
    <row r="20060" spans="38:38" x14ac:dyDescent="0.2">
      <c r="AL20060" s="177"/>
    </row>
    <row r="20061" spans="38:38" x14ac:dyDescent="0.2">
      <c r="AL20061" s="177"/>
    </row>
    <row r="20062" spans="38:38" x14ac:dyDescent="0.2">
      <c r="AL20062" s="177"/>
    </row>
    <row r="20063" spans="38:38" x14ac:dyDescent="0.2">
      <c r="AL20063" s="177"/>
    </row>
    <row r="20064" spans="38:38" x14ac:dyDescent="0.2">
      <c r="AL20064" s="177"/>
    </row>
    <row r="20065" spans="38:38" x14ac:dyDescent="0.2">
      <c r="AL20065" s="177"/>
    </row>
    <row r="20066" spans="38:38" x14ac:dyDescent="0.2">
      <c r="AL20066" s="177"/>
    </row>
    <row r="20067" spans="38:38" x14ac:dyDescent="0.2">
      <c r="AL20067" s="177"/>
    </row>
    <row r="20068" spans="38:38" x14ac:dyDescent="0.2">
      <c r="AL20068" s="177"/>
    </row>
    <row r="20069" spans="38:38" x14ac:dyDescent="0.2">
      <c r="AL20069" s="177"/>
    </row>
    <row r="20070" spans="38:38" x14ac:dyDescent="0.2">
      <c r="AL20070" s="177"/>
    </row>
    <row r="20071" spans="38:38" x14ac:dyDescent="0.2">
      <c r="AL20071" s="177"/>
    </row>
    <row r="20072" spans="38:38" x14ac:dyDescent="0.2">
      <c r="AL20072" s="177"/>
    </row>
    <row r="20073" spans="38:38" x14ac:dyDescent="0.2">
      <c r="AL20073" s="177"/>
    </row>
    <row r="20074" spans="38:38" x14ac:dyDescent="0.2">
      <c r="AL20074" s="177"/>
    </row>
    <row r="20075" spans="38:38" x14ac:dyDescent="0.2">
      <c r="AL20075" s="177"/>
    </row>
    <row r="20076" spans="38:38" x14ac:dyDescent="0.2">
      <c r="AL20076" s="177"/>
    </row>
    <row r="20077" spans="38:38" x14ac:dyDescent="0.2">
      <c r="AL20077" s="177"/>
    </row>
    <row r="20078" spans="38:38" x14ac:dyDescent="0.2">
      <c r="AL20078" s="177"/>
    </row>
    <row r="20079" spans="38:38" x14ac:dyDescent="0.2">
      <c r="AL20079" s="177"/>
    </row>
    <row r="20080" spans="38:38" x14ac:dyDescent="0.2">
      <c r="AL20080" s="177"/>
    </row>
    <row r="20081" spans="38:38" x14ac:dyDescent="0.2">
      <c r="AL20081" s="177"/>
    </row>
    <row r="20082" spans="38:38" x14ac:dyDescent="0.2">
      <c r="AL20082" s="177"/>
    </row>
    <row r="20083" spans="38:38" x14ac:dyDescent="0.2">
      <c r="AL20083" s="177"/>
    </row>
    <row r="20084" spans="38:38" x14ac:dyDescent="0.2">
      <c r="AL20084" s="177"/>
    </row>
    <row r="20085" spans="38:38" x14ac:dyDescent="0.2">
      <c r="AL20085" s="177"/>
    </row>
    <row r="20086" spans="38:38" x14ac:dyDescent="0.2">
      <c r="AL20086" s="177"/>
    </row>
    <row r="20087" spans="38:38" x14ac:dyDescent="0.2">
      <c r="AL20087" s="177"/>
    </row>
    <row r="20088" spans="38:38" x14ac:dyDescent="0.2">
      <c r="AL20088" s="177"/>
    </row>
    <row r="20089" spans="38:38" x14ac:dyDescent="0.2">
      <c r="AL20089" s="177"/>
    </row>
    <row r="20090" spans="38:38" x14ac:dyDescent="0.2">
      <c r="AL20090" s="177"/>
    </row>
    <row r="20091" spans="38:38" x14ac:dyDescent="0.2">
      <c r="AL20091" s="177"/>
    </row>
    <row r="20092" spans="38:38" x14ac:dyDescent="0.2">
      <c r="AL20092" s="177"/>
    </row>
    <row r="20093" spans="38:38" x14ac:dyDescent="0.2">
      <c r="AL20093" s="177"/>
    </row>
    <row r="20094" spans="38:38" x14ac:dyDescent="0.2">
      <c r="AL20094" s="177"/>
    </row>
    <row r="20095" spans="38:38" x14ac:dyDescent="0.2">
      <c r="AL20095" s="177"/>
    </row>
    <row r="20096" spans="38:38" x14ac:dyDescent="0.2">
      <c r="AL20096" s="177"/>
    </row>
    <row r="20097" spans="38:38" x14ac:dyDescent="0.2">
      <c r="AL20097" s="177"/>
    </row>
    <row r="20098" spans="38:38" x14ac:dyDescent="0.2">
      <c r="AL20098" s="177"/>
    </row>
    <row r="20099" spans="38:38" x14ac:dyDescent="0.2">
      <c r="AL20099" s="177"/>
    </row>
    <row r="20100" spans="38:38" x14ac:dyDescent="0.2">
      <c r="AL20100" s="177"/>
    </row>
    <row r="20101" spans="38:38" x14ac:dyDescent="0.2">
      <c r="AL20101" s="177"/>
    </row>
    <row r="20102" spans="38:38" x14ac:dyDescent="0.2">
      <c r="AL20102" s="177"/>
    </row>
    <row r="20103" spans="38:38" x14ac:dyDescent="0.2">
      <c r="AL20103" s="177"/>
    </row>
    <row r="20104" spans="38:38" x14ac:dyDescent="0.2">
      <c r="AL20104" s="177"/>
    </row>
    <row r="20105" spans="38:38" x14ac:dyDescent="0.2">
      <c r="AL20105" s="177"/>
    </row>
    <row r="20106" spans="38:38" x14ac:dyDescent="0.2">
      <c r="AL20106" s="177"/>
    </row>
    <row r="20107" spans="38:38" x14ac:dyDescent="0.2">
      <c r="AL20107" s="177"/>
    </row>
    <row r="20108" spans="38:38" x14ac:dyDescent="0.2">
      <c r="AL20108" s="177"/>
    </row>
    <row r="20109" spans="38:38" x14ac:dyDescent="0.2">
      <c r="AL20109" s="177"/>
    </row>
    <row r="20110" spans="38:38" x14ac:dyDescent="0.2">
      <c r="AL20110" s="177"/>
    </row>
    <row r="20111" spans="38:38" x14ac:dyDescent="0.2">
      <c r="AL20111" s="177"/>
    </row>
    <row r="20112" spans="38:38" x14ac:dyDescent="0.2">
      <c r="AL20112" s="177"/>
    </row>
    <row r="20113" spans="38:38" x14ac:dyDescent="0.2">
      <c r="AL20113" s="177"/>
    </row>
    <row r="20114" spans="38:38" x14ac:dyDescent="0.2">
      <c r="AL20114" s="177"/>
    </row>
    <row r="20115" spans="38:38" x14ac:dyDescent="0.2">
      <c r="AL20115" s="177"/>
    </row>
    <row r="20116" spans="38:38" x14ac:dyDescent="0.2">
      <c r="AL20116" s="177"/>
    </row>
    <row r="20117" spans="38:38" x14ac:dyDescent="0.2">
      <c r="AL20117" s="177"/>
    </row>
    <row r="20118" spans="38:38" x14ac:dyDescent="0.2">
      <c r="AL20118" s="177"/>
    </row>
    <row r="20119" spans="38:38" x14ac:dyDescent="0.2">
      <c r="AL20119" s="177"/>
    </row>
    <row r="20120" spans="38:38" x14ac:dyDescent="0.2">
      <c r="AL20120" s="177"/>
    </row>
    <row r="20121" spans="38:38" x14ac:dyDescent="0.2">
      <c r="AL20121" s="177"/>
    </row>
    <row r="20122" spans="38:38" x14ac:dyDescent="0.2">
      <c r="AL20122" s="177"/>
    </row>
    <row r="20123" spans="38:38" x14ac:dyDescent="0.2">
      <c r="AL20123" s="177"/>
    </row>
    <row r="20124" spans="38:38" x14ac:dyDescent="0.2">
      <c r="AL20124" s="177"/>
    </row>
    <row r="20125" spans="38:38" x14ac:dyDescent="0.2">
      <c r="AL20125" s="177"/>
    </row>
    <row r="20126" spans="38:38" x14ac:dyDescent="0.2">
      <c r="AL20126" s="177"/>
    </row>
    <row r="20127" spans="38:38" x14ac:dyDescent="0.2">
      <c r="AL20127" s="177"/>
    </row>
    <row r="20128" spans="38:38" x14ac:dyDescent="0.2">
      <c r="AL20128" s="177"/>
    </row>
    <row r="20129" spans="38:38" x14ac:dyDescent="0.2">
      <c r="AL20129" s="177"/>
    </row>
    <row r="20130" spans="38:38" x14ac:dyDescent="0.2">
      <c r="AL20130" s="177"/>
    </row>
    <row r="20131" spans="38:38" x14ac:dyDescent="0.2">
      <c r="AL20131" s="177"/>
    </row>
    <row r="20132" spans="38:38" x14ac:dyDescent="0.2">
      <c r="AL20132" s="177"/>
    </row>
    <row r="20133" spans="38:38" x14ac:dyDescent="0.2">
      <c r="AL20133" s="177"/>
    </row>
    <row r="20134" spans="38:38" x14ac:dyDescent="0.2">
      <c r="AL20134" s="177"/>
    </row>
    <row r="20135" spans="38:38" x14ac:dyDescent="0.2">
      <c r="AL20135" s="177"/>
    </row>
    <row r="20136" spans="38:38" x14ac:dyDescent="0.2">
      <c r="AL20136" s="177"/>
    </row>
    <row r="20137" spans="38:38" x14ac:dyDescent="0.2">
      <c r="AL20137" s="177"/>
    </row>
    <row r="20138" spans="38:38" x14ac:dyDescent="0.2">
      <c r="AL20138" s="177"/>
    </row>
    <row r="20139" spans="38:38" x14ac:dyDescent="0.2">
      <c r="AL20139" s="177"/>
    </row>
    <row r="20140" spans="38:38" x14ac:dyDescent="0.2">
      <c r="AL20140" s="177"/>
    </row>
    <row r="20141" spans="38:38" x14ac:dyDescent="0.2">
      <c r="AL20141" s="177"/>
    </row>
    <row r="20142" spans="38:38" x14ac:dyDescent="0.2">
      <c r="AL20142" s="177"/>
    </row>
    <row r="20143" spans="38:38" x14ac:dyDescent="0.2">
      <c r="AL20143" s="177"/>
    </row>
    <row r="20144" spans="38:38" x14ac:dyDescent="0.2">
      <c r="AL20144" s="177"/>
    </row>
    <row r="20145" spans="38:38" x14ac:dyDescent="0.2">
      <c r="AL20145" s="177"/>
    </row>
    <row r="20146" spans="38:38" x14ac:dyDescent="0.2">
      <c r="AL20146" s="177"/>
    </row>
    <row r="20147" spans="38:38" x14ac:dyDescent="0.2">
      <c r="AL20147" s="177"/>
    </row>
    <row r="20148" spans="38:38" x14ac:dyDescent="0.2">
      <c r="AL20148" s="177"/>
    </row>
    <row r="20149" spans="38:38" x14ac:dyDescent="0.2">
      <c r="AL20149" s="177"/>
    </row>
    <row r="20150" spans="38:38" x14ac:dyDescent="0.2">
      <c r="AL20150" s="177"/>
    </row>
    <row r="20151" spans="38:38" x14ac:dyDescent="0.2">
      <c r="AL20151" s="177"/>
    </row>
    <row r="20152" spans="38:38" x14ac:dyDescent="0.2">
      <c r="AL20152" s="177"/>
    </row>
    <row r="20153" spans="38:38" x14ac:dyDescent="0.2">
      <c r="AL20153" s="177"/>
    </row>
    <row r="20154" spans="38:38" x14ac:dyDescent="0.2">
      <c r="AL20154" s="177"/>
    </row>
    <row r="20155" spans="38:38" x14ac:dyDescent="0.2">
      <c r="AL20155" s="177"/>
    </row>
    <row r="20156" spans="38:38" x14ac:dyDescent="0.2">
      <c r="AL20156" s="177"/>
    </row>
    <row r="20157" spans="38:38" x14ac:dyDescent="0.2">
      <c r="AL20157" s="177"/>
    </row>
    <row r="20158" spans="38:38" x14ac:dyDescent="0.2">
      <c r="AL20158" s="177"/>
    </row>
    <row r="20159" spans="38:38" x14ac:dyDescent="0.2">
      <c r="AL20159" s="177"/>
    </row>
    <row r="20160" spans="38:38" x14ac:dyDescent="0.2">
      <c r="AL20160" s="177"/>
    </row>
    <row r="20161" spans="38:38" x14ac:dyDescent="0.2">
      <c r="AL20161" s="177"/>
    </row>
    <row r="20162" spans="38:38" x14ac:dyDescent="0.2">
      <c r="AL20162" s="177"/>
    </row>
    <row r="20163" spans="38:38" x14ac:dyDescent="0.2">
      <c r="AL20163" s="177"/>
    </row>
    <row r="20164" spans="38:38" x14ac:dyDescent="0.2">
      <c r="AL20164" s="177"/>
    </row>
    <row r="20165" spans="38:38" x14ac:dyDescent="0.2">
      <c r="AL20165" s="177"/>
    </row>
    <row r="20166" spans="38:38" x14ac:dyDescent="0.2">
      <c r="AL20166" s="177"/>
    </row>
    <row r="20167" spans="38:38" x14ac:dyDescent="0.2">
      <c r="AL20167" s="177"/>
    </row>
    <row r="20168" spans="38:38" x14ac:dyDescent="0.2">
      <c r="AL20168" s="177"/>
    </row>
    <row r="20169" spans="38:38" x14ac:dyDescent="0.2">
      <c r="AL20169" s="177"/>
    </row>
    <row r="20170" spans="38:38" x14ac:dyDescent="0.2">
      <c r="AL20170" s="177"/>
    </row>
    <row r="20171" spans="38:38" x14ac:dyDescent="0.2">
      <c r="AL20171" s="177"/>
    </row>
    <row r="20172" spans="38:38" x14ac:dyDescent="0.2">
      <c r="AL20172" s="177"/>
    </row>
    <row r="20173" spans="38:38" x14ac:dyDescent="0.2">
      <c r="AL20173" s="177"/>
    </row>
    <row r="20174" spans="38:38" x14ac:dyDescent="0.2">
      <c r="AL20174" s="177"/>
    </row>
    <row r="20175" spans="38:38" x14ac:dyDescent="0.2">
      <c r="AL20175" s="177"/>
    </row>
    <row r="20176" spans="38:38" x14ac:dyDescent="0.2">
      <c r="AL20176" s="177"/>
    </row>
    <row r="20177" spans="38:38" x14ac:dyDescent="0.2">
      <c r="AL20177" s="177"/>
    </row>
    <row r="20178" spans="38:38" x14ac:dyDescent="0.2">
      <c r="AL20178" s="177"/>
    </row>
    <row r="20179" spans="38:38" x14ac:dyDescent="0.2">
      <c r="AL20179" s="177"/>
    </row>
    <row r="20180" spans="38:38" x14ac:dyDescent="0.2">
      <c r="AL20180" s="177"/>
    </row>
    <row r="20181" spans="38:38" x14ac:dyDescent="0.2">
      <c r="AL20181" s="177"/>
    </row>
    <row r="20182" spans="38:38" x14ac:dyDescent="0.2">
      <c r="AL20182" s="177"/>
    </row>
    <row r="20183" spans="38:38" x14ac:dyDescent="0.2">
      <c r="AL20183" s="177"/>
    </row>
    <row r="20184" spans="38:38" x14ac:dyDescent="0.2">
      <c r="AL20184" s="177"/>
    </row>
    <row r="20185" spans="38:38" x14ac:dyDescent="0.2">
      <c r="AL20185" s="177"/>
    </row>
    <row r="20186" spans="38:38" x14ac:dyDescent="0.2">
      <c r="AL20186" s="177"/>
    </row>
    <row r="20187" spans="38:38" x14ac:dyDescent="0.2">
      <c r="AL20187" s="177"/>
    </row>
    <row r="20188" spans="38:38" x14ac:dyDescent="0.2">
      <c r="AL20188" s="177"/>
    </row>
    <row r="20189" spans="38:38" x14ac:dyDescent="0.2">
      <c r="AL20189" s="177"/>
    </row>
    <row r="20190" spans="38:38" x14ac:dyDescent="0.2">
      <c r="AL20190" s="177"/>
    </row>
    <row r="20191" spans="38:38" x14ac:dyDescent="0.2">
      <c r="AL20191" s="177"/>
    </row>
    <row r="20192" spans="38:38" x14ac:dyDescent="0.2">
      <c r="AL20192" s="177"/>
    </row>
    <row r="20193" spans="38:38" x14ac:dyDescent="0.2">
      <c r="AL20193" s="177"/>
    </row>
    <row r="20194" spans="38:38" x14ac:dyDescent="0.2">
      <c r="AL20194" s="177"/>
    </row>
    <row r="20195" spans="38:38" x14ac:dyDescent="0.2">
      <c r="AL20195" s="177"/>
    </row>
    <row r="20196" spans="38:38" x14ac:dyDescent="0.2">
      <c r="AL20196" s="177"/>
    </row>
    <row r="20197" spans="38:38" x14ac:dyDescent="0.2">
      <c r="AL20197" s="177"/>
    </row>
    <row r="20198" spans="38:38" x14ac:dyDescent="0.2">
      <c r="AL20198" s="177"/>
    </row>
    <row r="20199" spans="38:38" x14ac:dyDescent="0.2">
      <c r="AL20199" s="177"/>
    </row>
    <row r="20200" spans="38:38" x14ac:dyDescent="0.2">
      <c r="AL20200" s="177"/>
    </row>
    <row r="20201" spans="38:38" x14ac:dyDescent="0.2">
      <c r="AL20201" s="177"/>
    </row>
    <row r="20202" spans="38:38" x14ac:dyDescent="0.2">
      <c r="AL20202" s="177"/>
    </row>
    <row r="20203" spans="38:38" x14ac:dyDescent="0.2">
      <c r="AL20203" s="177"/>
    </row>
    <row r="20204" spans="38:38" x14ac:dyDescent="0.2">
      <c r="AL20204" s="177"/>
    </row>
    <row r="20205" spans="38:38" x14ac:dyDescent="0.2">
      <c r="AL20205" s="177"/>
    </row>
    <row r="20206" spans="38:38" x14ac:dyDescent="0.2">
      <c r="AL20206" s="177"/>
    </row>
    <row r="20207" spans="38:38" x14ac:dyDescent="0.2">
      <c r="AL20207" s="177"/>
    </row>
    <row r="20208" spans="38:38" x14ac:dyDescent="0.2">
      <c r="AL20208" s="177"/>
    </row>
    <row r="20209" spans="38:38" x14ac:dyDescent="0.2">
      <c r="AL20209" s="177"/>
    </row>
    <row r="20210" spans="38:38" x14ac:dyDescent="0.2">
      <c r="AL20210" s="177"/>
    </row>
    <row r="20211" spans="38:38" x14ac:dyDescent="0.2">
      <c r="AL20211" s="177"/>
    </row>
    <row r="20212" spans="38:38" x14ac:dyDescent="0.2">
      <c r="AL20212" s="177"/>
    </row>
    <row r="20213" spans="38:38" x14ac:dyDescent="0.2">
      <c r="AL20213" s="177"/>
    </row>
    <row r="20214" spans="38:38" x14ac:dyDescent="0.2">
      <c r="AL20214" s="177"/>
    </row>
    <row r="20215" spans="38:38" x14ac:dyDescent="0.2">
      <c r="AL20215" s="177"/>
    </row>
    <row r="20216" spans="38:38" x14ac:dyDescent="0.2">
      <c r="AL20216" s="177"/>
    </row>
    <row r="20217" spans="38:38" x14ac:dyDescent="0.2">
      <c r="AL20217" s="177"/>
    </row>
    <row r="20218" spans="38:38" x14ac:dyDescent="0.2">
      <c r="AL20218" s="177"/>
    </row>
    <row r="20219" spans="38:38" x14ac:dyDescent="0.2">
      <c r="AL20219" s="177"/>
    </row>
    <row r="20220" spans="38:38" x14ac:dyDescent="0.2">
      <c r="AL20220" s="177"/>
    </row>
    <row r="20221" spans="38:38" x14ac:dyDescent="0.2">
      <c r="AL20221" s="177"/>
    </row>
    <row r="20222" spans="38:38" x14ac:dyDescent="0.2">
      <c r="AL20222" s="177"/>
    </row>
    <row r="20223" spans="38:38" x14ac:dyDescent="0.2">
      <c r="AL20223" s="177"/>
    </row>
    <row r="20224" spans="38:38" x14ac:dyDescent="0.2">
      <c r="AL20224" s="177"/>
    </row>
    <row r="20225" spans="38:38" x14ac:dyDescent="0.2">
      <c r="AL20225" s="177"/>
    </row>
    <row r="20226" spans="38:38" x14ac:dyDescent="0.2">
      <c r="AL20226" s="177"/>
    </row>
    <row r="20227" spans="38:38" x14ac:dyDescent="0.2">
      <c r="AL20227" s="177"/>
    </row>
    <row r="20228" spans="38:38" x14ac:dyDescent="0.2">
      <c r="AL20228" s="177"/>
    </row>
    <row r="20229" spans="38:38" x14ac:dyDescent="0.2">
      <c r="AL20229" s="177"/>
    </row>
    <row r="20230" spans="38:38" x14ac:dyDescent="0.2">
      <c r="AL20230" s="177"/>
    </row>
    <row r="20231" spans="38:38" x14ac:dyDescent="0.2">
      <c r="AL20231" s="177"/>
    </row>
    <row r="20232" spans="38:38" x14ac:dyDescent="0.2">
      <c r="AL20232" s="177"/>
    </row>
    <row r="20233" spans="38:38" x14ac:dyDescent="0.2">
      <c r="AL20233" s="177"/>
    </row>
    <row r="20234" spans="38:38" x14ac:dyDescent="0.2">
      <c r="AL20234" s="177"/>
    </row>
    <row r="20235" spans="38:38" x14ac:dyDescent="0.2">
      <c r="AL20235" s="177"/>
    </row>
    <row r="20236" spans="38:38" x14ac:dyDescent="0.2">
      <c r="AL20236" s="177"/>
    </row>
    <row r="20237" spans="38:38" x14ac:dyDescent="0.2">
      <c r="AL20237" s="177"/>
    </row>
    <row r="20238" spans="38:38" x14ac:dyDescent="0.2">
      <c r="AL20238" s="177"/>
    </row>
    <row r="20239" spans="38:38" x14ac:dyDescent="0.2">
      <c r="AL20239" s="177"/>
    </row>
    <row r="20240" spans="38:38" x14ac:dyDescent="0.2">
      <c r="AL20240" s="177"/>
    </row>
    <row r="20241" spans="38:38" x14ac:dyDescent="0.2">
      <c r="AL20241" s="177"/>
    </row>
    <row r="20242" spans="38:38" x14ac:dyDescent="0.2">
      <c r="AL20242" s="177"/>
    </row>
    <row r="20243" spans="38:38" x14ac:dyDescent="0.2">
      <c r="AL20243" s="177"/>
    </row>
    <row r="20244" spans="38:38" x14ac:dyDescent="0.2">
      <c r="AL20244" s="177"/>
    </row>
    <row r="20245" spans="38:38" x14ac:dyDescent="0.2">
      <c r="AL20245" s="177"/>
    </row>
    <row r="20246" spans="38:38" x14ac:dyDescent="0.2">
      <c r="AL20246" s="177"/>
    </row>
    <row r="20247" spans="38:38" x14ac:dyDescent="0.2">
      <c r="AL20247" s="177"/>
    </row>
    <row r="20248" spans="38:38" x14ac:dyDescent="0.2">
      <c r="AL20248" s="177"/>
    </row>
    <row r="20249" spans="38:38" x14ac:dyDescent="0.2">
      <c r="AL20249" s="177"/>
    </row>
    <row r="20250" spans="38:38" x14ac:dyDescent="0.2">
      <c r="AL20250" s="177"/>
    </row>
    <row r="20251" spans="38:38" x14ac:dyDescent="0.2">
      <c r="AL20251" s="177"/>
    </row>
    <row r="20252" spans="38:38" x14ac:dyDescent="0.2">
      <c r="AL20252" s="177"/>
    </row>
    <row r="20253" spans="38:38" x14ac:dyDescent="0.2">
      <c r="AL20253" s="177"/>
    </row>
    <row r="20254" spans="38:38" x14ac:dyDescent="0.2">
      <c r="AL20254" s="177"/>
    </row>
    <row r="20255" spans="38:38" x14ac:dyDescent="0.2">
      <c r="AL20255" s="177"/>
    </row>
    <row r="20256" spans="38:38" x14ac:dyDescent="0.2">
      <c r="AL20256" s="177"/>
    </row>
    <row r="20257" spans="38:38" x14ac:dyDescent="0.2">
      <c r="AL20257" s="177"/>
    </row>
    <row r="20258" spans="38:38" x14ac:dyDescent="0.2">
      <c r="AL20258" s="177"/>
    </row>
    <row r="20259" spans="38:38" x14ac:dyDescent="0.2">
      <c r="AL20259" s="177"/>
    </row>
    <row r="20260" spans="38:38" x14ac:dyDescent="0.2">
      <c r="AL20260" s="177"/>
    </row>
    <row r="20261" spans="38:38" x14ac:dyDescent="0.2">
      <c r="AL20261" s="177"/>
    </row>
    <row r="20262" spans="38:38" x14ac:dyDescent="0.2">
      <c r="AL20262" s="177"/>
    </row>
    <row r="20263" spans="38:38" x14ac:dyDescent="0.2">
      <c r="AL20263" s="177"/>
    </row>
    <row r="20264" spans="38:38" x14ac:dyDescent="0.2">
      <c r="AL20264" s="177"/>
    </row>
    <row r="20265" spans="38:38" x14ac:dyDescent="0.2">
      <c r="AL20265" s="177"/>
    </row>
    <row r="20266" spans="38:38" x14ac:dyDescent="0.2">
      <c r="AL20266" s="177"/>
    </row>
    <row r="20267" spans="38:38" x14ac:dyDescent="0.2">
      <c r="AL20267" s="177"/>
    </row>
    <row r="20268" spans="38:38" x14ac:dyDescent="0.2">
      <c r="AL20268" s="177"/>
    </row>
    <row r="20269" spans="38:38" x14ac:dyDescent="0.2">
      <c r="AL20269" s="177"/>
    </row>
    <row r="20270" spans="38:38" x14ac:dyDescent="0.2">
      <c r="AL20270" s="177"/>
    </row>
    <row r="20271" spans="38:38" x14ac:dyDescent="0.2">
      <c r="AL20271" s="177"/>
    </row>
    <row r="20272" spans="38:38" x14ac:dyDescent="0.2">
      <c r="AL20272" s="177"/>
    </row>
    <row r="20273" spans="38:38" x14ac:dyDescent="0.2">
      <c r="AL20273" s="177"/>
    </row>
    <row r="20274" spans="38:38" x14ac:dyDescent="0.2">
      <c r="AL20274" s="177"/>
    </row>
    <row r="20275" spans="38:38" x14ac:dyDescent="0.2">
      <c r="AL20275" s="177"/>
    </row>
    <row r="20276" spans="38:38" x14ac:dyDescent="0.2">
      <c r="AL20276" s="177"/>
    </row>
    <row r="20277" spans="38:38" x14ac:dyDescent="0.2">
      <c r="AL20277" s="177"/>
    </row>
    <row r="20278" spans="38:38" x14ac:dyDescent="0.2">
      <c r="AL20278" s="177"/>
    </row>
    <row r="20279" spans="38:38" x14ac:dyDescent="0.2">
      <c r="AL20279" s="177"/>
    </row>
    <row r="20280" spans="38:38" x14ac:dyDescent="0.2">
      <c r="AL20280" s="177"/>
    </row>
    <row r="20281" spans="38:38" x14ac:dyDescent="0.2">
      <c r="AL20281" s="177"/>
    </row>
    <row r="20282" spans="38:38" x14ac:dyDescent="0.2">
      <c r="AL20282" s="177"/>
    </row>
    <row r="20283" spans="38:38" x14ac:dyDescent="0.2">
      <c r="AL20283" s="177"/>
    </row>
    <row r="20284" spans="38:38" x14ac:dyDescent="0.2">
      <c r="AL20284" s="177"/>
    </row>
    <row r="20285" spans="38:38" x14ac:dyDescent="0.2">
      <c r="AL20285" s="177"/>
    </row>
    <row r="20286" spans="38:38" x14ac:dyDescent="0.2">
      <c r="AL20286" s="177"/>
    </row>
    <row r="20287" spans="38:38" x14ac:dyDescent="0.2">
      <c r="AL20287" s="177"/>
    </row>
    <row r="20288" spans="38:38" x14ac:dyDescent="0.2">
      <c r="AL20288" s="177"/>
    </row>
    <row r="20289" spans="38:38" x14ac:dyDescent="0.2">
      <c r="AL20289" s="177"/>
    </row>
    <row r="20290" spans="38:38" x14ac:dyDescent="0.2">
      <c r="AL20290" s="177"/>
    </row>
    <row r="20291" spans="38:38" x14ac:dyDescent="0.2">
      <c r="AL20291" s="177"/>
    </row>
    <row r="20292" spans="38:38" x14ac:dyDescent="0.2">
      <c r="AL20292" s="177"/>
    </row>
    <row r="20293" spans="38:38" x14ac:dyDescent="0.2">
      <c r="AL20293" s="177"/>
    </row>
    <row r="20294" spans="38:38" x14ac:dyDescent="0.2">
      <c r="AL20294" s="177"/>
    </row>
    <row r="20295" spans="38:38" x14ac:dyDescent="0.2">
      <c r="AL20295" s="177"/>
    </row>
    <row r="20296" spans="38:38" x14ac:dyDescent="0.2">
      <c r="AL20296" s="177"/>
    </row>
    <row r="20297" spans="38:38" x14ac:dyDescent="0.2">
      <c r="AL20297" s="177"/>
    </row>
    <row r="20298" spans="38:38" x14ac:dyDescent="0.2">
      <c r="AL20298" s="177"/>
    </row>
    <row r="20299" spans="38:38" x14ac:dyDescent="0.2">
      <c r="AL20299" s="177"/>
    </row>
    <row r="20300" spans="38:38" x14ac:dyDescent="0.2">
      <c r="AL20300" s="177"/>
    </row>
    <row r="20301" spans="38:38" x14ac:dyDescent="0.2">
      <c r="AL20301" s="177"/>
    </row>
    <row r="20302" spans="38:38" x14ac:dyDescent="0.2">
      <c r="AL20302" s="177"/>
    </row>
    <row r="20303" spans="38:38" x14ac:dyDescent="0.2">
      <c r="AL20303" s="177"/>
    </row>
    <row r="20304" spans="38:38" x14ac:dyDescent="0.2">
      <c r="AL20304" s="177"/>
    </row>
    <row r="20305" spans="38:38" x14ac:dyDescent="0.2">
      <c r="AL20305" s="177"/>
    </row>
    <row r="20306" spans="38:38" x14ac:dyDescent="0.2">
      <c r="AL20306" s="177"/>
    </row>
    <row r="20307" spans="38:38" x14ac:dyDescent="0.2">
      <c r="AL20307" s="177"/>
    </row>
    <row r="20308" spans="38:38" x14ac:dyDescent="0.2">
      <c r="AL20308" s="177"/>
    </row>
    <row r="20309" spans="38:38" x14ac:dyDescent="0.2">
      <c r="AL20309" s="177"/>
    </row>
    <row r="20310" spans="38:38" x14ac:dyDescent="0.2">
      <c r="AL20310" s="177"/>
    </row>
    <row r="20311" spans="38:38" x14ac:dyDescent="0.2">
      <c r="AL20311" s="177"/>
    </row>
    <row r="20312" spans="38:38" x14ac:dyDescent="0.2">
      <c r="AL20312" s="177"/>
    </row>
    <row r="20313" spans="38:38" x14ac:dyDescent="0.2">
      <c r="AL20313" s="177"/>
    </row>
    <row r="20314" spans="38:38" x14ac:dyDescent="0.2">
      <c r="AL20314" s="177"/>
    </row>
    <row r="20315" spans="38:38" x14ac:dyDescent="0.2">
      <c r="AL20315" s="177"/>
    </row>
    <row r="20316" spans="38:38" x14ac:dyDescent="0.2">
      <c r="AL20316" s="177"/>
    </row>
    <row r="20317" spans="38:38" x14ac:dyDescent="0.2">
      <c r="AL20317" s="177"/>
    </row>
    <row r="20318" spans="38:38" x14ac:dyDescent="0.2">
      <c r="AL20318" s="177"/>
    </row>
    <row r="20319" spans="38:38" x14ac:dyDescent="0.2">
      <c r="AL20319" s="177"/>
    </row>
    <row r="20320" spans="38:38" x14ac:dyDescent="0.2">
      <c r="AL20320" s="177"/>
    </row>
    <row r="20321" spans="38:38" x14ac:dyDescent="0.2">
      <c r="AL20321" s="177"/>
    </row>
    <row r="20322" spans="38:38" x14ac:dyDescent="0.2">
      <c r="AL20322" s="177"/>
    </row>
    <row r="20323" spans="38:38" x14ac:dyDescent="0.2">
      <c r="AL20323" s="177"/>
    </row>
    <row r="20324" spans="38:38" x14ac:dyDescent="0.2">
      <c r="AL20324" s="177"/>
    </row>
    <row r="20325" spans="38:38" x14ac:dyDescent="0.2">
      <c r="AL20325" s="177"/>
    </row>
    <row r="20326" spans="38:38" x14ac:dyDescent="0.2">
      <c r="AL20326" s="177"/>
    </row>
    <row r="20327" spans="38:38" x14ac:dyDescent="0.2">
      <c r="AL20327" s="177"/>
    </row>
    <row r="20328" spans="38:38" x14ac:dyDescent="0.2">
      <c r="AL20328" s="177"/>
    </row>
    <row r="20329" spans="38:38" x14ac:dyDescent="0.2">
      <c r="AL20329" s="177"/>
    </row>
    <row r="20330" spans="38:38" x14ac:dyDescent="0.2">
      <c r="AL20330" s="177"/>
    </row>
    <row r="20331" spans="38:38" x14ac:dyDescent="0.2">
      <c r="AL20331" s="177"/>
    </row>
    <row r="20332" spans="38:38" x14ac:dyDescent="0.2">
      <c r="AL20332" s="177"/>
    </row>
    <row r="20333" spans="38:38" x14ac:dyDescent="0.2">
      <c r="AL20333" s="177"/>
    </row>
    <row r="20334" spans="38:38" x14ac:dyDescent="0.2">
      <c r="AL20334" s="177"/>
    </row>
    <row r="20335" spans="38:38" x14ac:dyDescent="0.2">
      <c r="AL20335" s="177"/>
    </row>
    <row r="20336" spans="38:38" x14ac:dyDescent="0.2">
      <c r="AL20336" s="177"/>
    </row>
    <row r="20337" spans="38:38" x14ac:dyDescent="0.2">
      <c r="AL20337" s="177"/>
    </row>
    <row r="20338" spans="38:38" x14ac:dyDescent="0.2">
      <c r="AL20338" s="177"/>
    </row>
    <row r="20339" spans="38:38" x14ac:dyDescent="0.2">
      <c r="AL20339" s="177"/>
    </row>
    <row r="20340" spans="38:38" x14ac:dyDescent="0.2">
      <c r="AL20340" s="177"/>
    </row>
    <row r="20341" spans="38:38" x14ac:dyDescent="0.2">
      <c r="AL20341" s="177"/>
    </row>
    <row r="20342" spans="38:38" x14ac:dyDescent="0.2">
      <c r="AL20342" s="177"/>
    </row>
    <row r="20343" spans="38:38" x14ac:dyDescent="0.2">
      <c r="AL20343" s="177"/>
    </row>
    <row r="20344" spans="38:38" x14ac:dyDescent="0.2">
      <c r="AL20344" s="177"/>
    </row>
    <row r="20345" spans="38:38" x14ac:dyDescent="0.2">
      <c r="AL20345" s="177"/>
    </row>
    <row r="20346" spans="38:38" x14ac:dyDescent="0.2">
      <c r="AL20346" s="177"/>
    </row>
    <row r="20347" spans="38:38" x14ac:dyDescent="0.2">
      <c r="AL20347" s="177"/>
    </row>
    <row r="20348" spans="38:38" x14ac:dyDescent="0.2">
      <c r="AL20348" s="177"/>
    </row>
    <row r="20349" spans="38:38" x14ac:dyDescent="0.2">
      <c r="AL20349" s="177"/>
    </row>
    <row r="20350" spans="38:38" x14ac:dyDescent="0.2">
      <c r="AL20350" s="177"/>
    </row>
    <row r="20351" spans="38:38" x14ac:dyDescent="0.2">
      <c r="AL20351" s="177"/>
    </row>
    <row r="20352" spans="38:38" x14ac:dyDescent="0.2">
      <c r="AL20352" s="177"/>
    </row>
    <row r="20353" spans="38:38" x14ac:dyDescent="0.2">
      <c r="AL20353" s="177"/>
    </row>
    <row r="20354" spans="38:38" x14ac:dyDescent="0.2">
      <c r="AL20354" s="177"/>
    </row>
    <row r="20355" spans="38:38" x14ac:dyDescent="0.2">
      <c r="AL20355" s="177"/>
    </row>
    <row r="20356" spans="38:38" x14ac:dyDescent="0.2">
      <c r="AL20356" s="177"/>
    </row>
    <row r="20357" spans="38:38" x14ac:dyDescent="0.2">
      <c r="AL20357" s="177"/>
    </row>
    <row r="20358" spans="38:38" x14ac:dyDescent="0.2">
      <c r="AL20358" s="177"/>
    </row>
    <row r="20359" spans="38:38" x14ac:dyDescent="0.2">
      <c r="AL20359" s="177"/>
    </row>
    <row r="20360" spans="38:38" x14ac:dyDescent="0.2">
      <c r="AL20360" s="177"/>
    </row>
    <row r="20361" spans="38:38" x14ac:dyDescent="0.2">
      <c r="AL20361" s="177"/>
    </row>
    <row r="20362" spans="38:38" x14ac:dyDescent="0.2">
      <c r="AL20362" s="177"/>
    </row>
    <row r="20363" spans="38:38" x14ac:dyDescent="0.2">
      <c r="AL20363" s="177"/>
    </row>
    <row r="20364" spans="38:38" x14ac:dyDescent="0.2">
      <c r="AL20364" s="177"/>
    </row>
    <row r="20365" spans="38:38" x14ac:dyDescent="0.2">
      <c r="AL20365" s="177"/>
    </row>
    <row r="20366" spans="38:38" x14ac:dyDescent="0.2">
      <c r="AL20366" s="177"/>
    </row>
    <row r="20367" spans="38:38" x14ac:dyDescent="0.2">
      <c r="AL20367" s="177"/>
    </row>
    <row r="20368" spans="38:38" x14ac:dyDescent="0.2">
      <c r="AL20368" s="177"/>
    </row>
    <row r="20369" spans="38:38" x14ac:dyDescent="0.2">
      <c r="AL20369" s="177"/>
    </row>
    <row r="20370" spans="38:38" x14ac:dyDescent="0.2">
      <c r="AL20370" s="177"/>
    </row>
    <row r="20371" spans="38:38" x14ac:dyDescent="0.2">
      <c r="AL20371" s="177"/>
    </row>
    <row r="20372" spans="38:38" x14ac:dyDescent="0.2">
      <c r="AL20372" s="177"/>
    </row>
    <row r="20373" spans="38:38" x14ac:dyDescent="0.2">
      <c r="AL20373" s="177"/>
    </row>
    <row r="20374" spans="38:38" x14ac:dyDescent="0.2">
      <c r="AL20374" s="177"/>
    </row>
    <row r="20375" spans="38:38" x14ac:dyDescent="0.2">
      <c r="AL20375" s="177"/>
    </row>
    <row r="20376" spans="38:38" x14ac:dyDescent="0.2">
      <c r="AL20376" s="177"/>
    </row>
    <row r="20377" spans="38:38" x14ac:dyDescent="0.2">
      <c r="AL20377" s="177"/>
    </row>
    <row r="20378" spans="38:38" x14ac:dyDescent="0.2">
      <c r="AL20378" s="177"/>
    </row>
    <row r="20379" spans="38:38" x14ac:dyDescent="0.2">
      <c r="AL20379" s="177"/>
    </row>
    <row r="20380" spans="38:38" x14ac:dyDescent="0.2">
      <c r="AL20380" s="177"/>
    </row>
    <row r="20381" spans="38:38" x14ac:dyDescent="0.2">
      <c r="AL20381" s="177"/>
    </row>
    <row r="20382" spans="38:38" x14ac:dyDescent="0.2">
      <c r="AL20382" s="177"/>
    </row>
    <row r="20383" spans="38:38" x14ac:dyDescent="0.2">
      <c r="AL20383" s="177"/>
    </row>
    <row r="20384" spans="38:38" x14ac:dyDescent="0.2">
      <c r="AL20384" s="177"/>
    </row>
    <row r="20385" spans="38:38" x14ac:dyDescent="0.2">
      <c r="AL20385" s="177"/>
    </row>
    <row r="20386" spans="38:38" x14ac:dyDescent="0.2">
      <c r="AL20386" s="177"/>
    </row>
    <row r="20387" spans="38:38" x14ac:dyDescent="0.2">
      <c r="AL20387" s="177"/>
    </row>
    <row r="20388" spans="38:38" x14ac:dyDescent="0.2">
      <c r="AL20388" s="177"/>
    </row>
    <row r="20389" spans="38:38" x14ac:dyDescent="0.2">
      <c r="AL20389" s="177"/>
    </row>
    <row r="20390" spans="38:38" x14ac:dyDescent="0.2">
      <c r="AL20390" s="177"/>
    </row>
    <row r="20391" spans="38:38" x14ac:dyDescent="0.2">
      <c r="AL20391" s="177"/>
    </row>
    <row r="20392" spans="38:38" x14ac:dyDescent="0.2">
      <c r="AL20392" s="177"/>
    </row>
    <row r="20393" spans="38:38" x14ac:dyDescent="0.2">
      <c r="AL20393" s="177"/>
    </row>
    <row r="20394" spans="38:38" x14ac:dyDescent="0.2">
      <c r="AL20394" s="177"/>
    </row>
    <row r="20395" spans="38:38" x14ac:dyDescent="0.2">
      <c r="AL20395" s="177"/>
    </row>
    <row r="20396" spans="38:38" x14ac:dyDescent="0.2">
      <c r="AL20396" s="177"/>
    </row>
    <row r="20397" spans="38:38" x14ac:dyDescent="0.2">
      <c r="AL20397" s="177"/>
    </row>
    <row r="20398" spans="38:38" x14ac:dyDescent="0.2">
      <c r="AL20398" s="177"/>
    </row>
    <row r="20399" spans="38:38" x14ac:dyDescent="0.2">
      <c r="AL20399" s="177"/>
    </row>
    <row r="20400" spans="38:38" x14ac:dyDescent="0.2">
      <c r="AL20400" s="177"/>
    </row>
    <row r="20401" spans="38:38" x14ac:dyDescent="0.2">
      <c r="AL20401" s="177"/>
    </row>
    <row r="20402" spans="38:38" x14ac:dyDescent="0.2">
      <c r="AL20402" s="177"/>
    </row>
    <row r="20403" spans="38:38" x14ac:dyDescent="0.2">
      <c r="AL20403" s="177"/>
    </row>
    <row r="20404" spans="38:38" x14ac:dyDescent="0.2">
      <c r="AL20404" s="177"/>
    </row>
    <row r="20405" spans="38:38" x14ac:dyDescent="0.2">
      <c r="AL20405" s="177"/>
    </row>
    <row r="20406" spans="38:38" x14ac:dyDescent="0.2">
      <c r="AL20406" s="177"/>
    </row>
    <row r="20407" spans="38:38" x14ac:dyDescent="0.2">
      <c r="AL20407" s="177"/>
    </row>
    <row r="20408" spans="38:38" x14ac:dyDescent="0.2">
      <c r="AL20408" s="177"/>
    </row>
    <row r="20409" spans="38:38" x14ac:dyDescent="0.2">
      <c r="AL20409" s="177"/>
    </row>
    <row r="20410" spans="38:38" x14ac:dyDescent="0.2">
      <c r="AL20410" s="177"/>
    </row>
    <row r="20411" spans="38:38" x14ac:dyDescent="0.2">
      <c r="AL20411" s="177"/>
    </row>
    <row r="20412" spans="38:38" x14ac:dyDescent="0.2">
      <c r="AL20412" s="177"/>
    </row>
    <row r="20413" spans="38:38" x14ac:dyDescent="0.2">
      <c r="AL20413" s="177"/>
    </row>
    <row r="20414" spans="38:38" x14ac:dyDescent="0.2">
      <c r="AL20414" s="177"/>
    </row>
    <row r="20415" spans="38:38" x14ac:dyDescent="0.2">
      <c r="AL20415" s="177"/>
    </row>
    <row r="20416" spans="38:38" x14ac:dyDescent="0.2">
      <c r="AL20416" s="177"/>
    </row>
    <row r="20417" spans="38:38" x14ac:dyDescent="0.2">
      <c r="AL20417" s="177"/>
    </row>
    <row r="20418" spans="38:38" x14ac:dyDescent="0.2">
      <c r="AL20418" s="177"/>
    </row>
    <row r="20419" spans="38:38" x14ac:dyDescent="0.2">
      <c r="AL20419" s="177"/>
    </row>
    <row r="20420" spans="38:38" x14ac:dyDescent="0.2">
      <c r="AL20420" s="177"/>
    </row>
    <row r="20421" spans="38:38" x14ac:dyDescent="0.2">
      <c r="AL20421" s="177"/>
    </row>
    <row r="20422" spans="38:38" x14ac:dyDescent="0.2">
      <c r="AL20422" s="177"/>
    </row>
    <row r="20423" spans="38:38" x14ac:dyDescent="0.2">
      <c r="AL20423" s="177"/>
    </row>
    <row r="20424" spans="38:38" x14ac:dyDescent="0.2">
      <c r="AL20424" s="177"/>
    </row>
    <row r="20425" spans="38:38" x14ac:dyDescent="0.2">
      <c r="AL20425" s="177"/>
    </row>
    <row r="20426" spans="38:38" x14ac:dyDescent="0.2">
      <c r="AL20426" s="177"/>
    </row>
    <row r="20427" spans="38:38" x14ac:dyDescent="0.2">
      <c r="AL20427" s="177"/>
    </row>
    <row r="20428" spans="38:38" x14ac:dyDescent="0.2">
      <c r="AL20428" s="177"/>
    </row>
    <row r="20429" spans="38:38" x14ac:dyDescent="0.2">
      <c r="AL20429" s="177"/>
    </row>
    <row r="20430" spans="38:38" x14ac:dyDescent="0.2">
      <c r="AL20430" s="177"/>
    </row>
    <row r="20431" spans="38:38" x14ac:dyDescent="0.2">
      <c r="AL20431" s="177"/>
    </row>
    <row r="20432" spans="38:38" x14ac:dyDescent="0.2">
      <c r="AL20432" s="177"/>
    </row>
    <row r="20433" spans="38:38" x14ac:dyDescent="0.2">
      <c r="AL20433" s="177"/>
    </row>
    <row r="20434" spans="38:38" x14ac:dyDescent="0.2">
      <c r="AL20434" s="177"/>
    </row>
    <row r="20435" spans="38:38" x14ac:dyDescent="0.2">
      <c r="AL20435" s="177"/>
    </row>
    <row r="20436" spans="38:38" x14ac:dyDescent="0.2">
      <c r="AL20436" s="177"/>
    </row>
    <row r="20437" spans="38:38" x14ac:dyDescent="0.2">
      <c r="AL20437" s="177"/>
    </row>
    <row r="20438" spans="38:38" x14ac:dyDescent="0.2">
      <c r="AL20438" s="177"/>
    </row>
    <row r="20439" spans="38:38" x14ac:dyDescent="0.2">
      <c r="AL20439" s="177"/>
    </row>
    <row r="20440" spans="38:38" x14ac:dyDescent="0.2">
      <c r="AL20440" s="177"/>
    </row>
    <row r="20441" spans="38:38" x14ac:dyDescent="0.2">
      <c r="AL20441" s="177"/>
    </row>
    <row r="20442" spans="38:38" x14ac:dyDescent="0.2">
      <c r="AL20442" s="177"/>
    </row>
    <row r="20443" spans="38:38" x14ac:dyDescent="0.2">
      <c r="AL20443" s="177"/>
    </row>
    <row r="20444" spans="38:38" x14ac:dyDescent="0.2">
      <c r="AL20444" s="177"/>
    </row>
    <row r="20445" spans="38:38" x14ac:dyDescent="0.2">
      <c r="AL20445" s="177"/>
    </row>
    <row r="20446" spans="38:38" x14ac:dyDescent="0.2">
      <c r="AL20446" s="177"/>
    </row>
    <row r="20447" spans="38:38" x14ac:dyDescent="0.2">
      <c r="AL20447" s="177"/>
    </row>
    <row r="20448" spans="38:38" x14ac:dyDescent="0.2">
      <c r="AL20448" s="177"/>
    </row>
    <row r="20449" spans="38:38" x14ac:dyDescent="0.2">
      <c r="AL20449" s="177"/>
    </row>
    <row r="20450" spans="38:38" x14ac:dyDescent="0.2">
      <c r="AL20450" s="177"/>
    </row>
    <row r="20451" spans="38:38" x14ac:dyDescent="0.2">
      <c r="AL20451" s="177"/>
    </row>
    <row r="20452" spans="38:38" x14ac:dyDescent="0.2">
      <c r="AL20452" s="177"/>
    </row>
    <row r="20453" spans="38:38" x14ac:dyDescent="0.2">
      <c r="AL20453" s="177"/>
    </row>
    <row r="20454" spans="38:38" x14ac:dyDescent="0.2">
      <c r="AL20454" s="177"/>
    </row>
    <row r="20455" spans="38:38" x14ac:dyDescent="0.2">
      <c r="AL20455" s="177"/>
    </row>
    <row r="20456" spans="38:38" x14ac:dyDescent="0.2">
      <c r="AL20456" s="177"/>
    </row>
    <row r="20457" spans="38:38" x14ac:dyDescent="0.2">
      <c r="AL20457" s="177"/>
    </row>
    <row r="20458" spans="38:38" x14ac:dyDescent="0.2">
      <c r="AL20458" s="177"/>
    </row>
    <row r="20459" spans="38:38" x14ac:dyDescent="0.2">
      <c r="AL20459" s="177"/>
    </row>
    <row r="20460" spans="38:38" x14ac:dyDescent="0.2">
      <c r="AL20460" s="177"/>
    </row>
    <row r="20461" spans="38:38" x14ac:dyDescent="0.2">
      <c r="AL20461" s="177"/>
    </row>
    <row r="20462" spans="38:38" x14ac:dyDescent="0.2">
      <c r="AL20462" s="177"/>
    </row>
    <row r="20463" spans="38:38" x14ac:dyDescent="0.2">
      <c r="AL20463" s="177"/>
    </row>
    <row r="20464" spans="38:38" x14ac:dyDescent="0.2">
      <c r="AL20464" s="177"/>
    </row>
    <row r="20465" spans="38:38" x14ac:dyDescent="0.2">
      <c r="AL20465" s="177"/>
    </row>
    <row r="20466" spans="38:38" x14ac:dyDescent="0.2">
      <c r="AL20466" s="177"/>
    </row>
    <row r="20467" spans="38:38" x14ac:dyDescent="0.2">
      <c r="AL20467" s="177"/>
    </row>
    <row r="20468" spans="38:38" x14ac:dyDescent="0.2">
      <c r="AL20468" s="177"/>
    </row>
    <row r="20469" spans="38:38" x14ac:dyDescent="0.2">
      <c r="AL20469" s="177"/>
    </row>
    <row r="20470" spans="38:38" x14ac:dyDescent="0.2">
      <c r="AL20470" s="177"/>
    </row>
    <row r="20471" spans="38:38" x14ac:dyDescent="0.2">
      <c r="AL20471" s="177"/>
    </row>
    <row r="20472" spans="38:38" x14ac:dyDescent="0.2">
      <c r="AL20472" s="177"/>
    </row>
    <row r="20473" spans="38:38" x14ac:dyDescent="0.2">
      <c r="AL20473" s="177"/>
    </row>
    <row r="20474" spans="38:38" x14ac:dyDescent="0.2">
      <c r="AL20474" s="177"/>
    </row>
    <row r="20475" spans="38:38" x14ac:dyDescent="0.2">
      <c r="AL20475" s="177"/>
    </row>
    <row r="20476" spans="38:38" x14ac:dyDescent="0.2">
      <c r="AL20476" s="177"/>
    </row>
    <row r="20477" spans="38:38" x14ac:dyDescent="0.2">
      <c r="AL20477" s="177"/>
    </row>
    <row r="20478" spans="38:38" x14ac:dyDescent="0.2">
      <c r="AL20478" s="177"/>
    </row>
    <row r="20479" spans="38:38" x14ac:dyDescent="0.2">
      <c r="AL20479" s="177"/>
    </row>
    <row r="20480" spans="38:38" x14ac:dyDescent="0.2">
      <c r="AL20480" s="177"/>
    </row>
    <row r="20481" spans="38:38" x14ac:dyDescent="0.2">
      <c r="AL20481" s="177"/>
    </row>
    <row r="20482" spans="38:38" x14ac:dyDescent="0.2">
      <c r="AL20482" s="177"/>
    </row>
    <row r="20483" spans="38:38" x14ac:dyDescent="0.2">
      <c r="AL20483" s="177"/>
    </row>
    <row r="20484" spans="38:38" x14ac:dyDescent="0.2">
      <c r="AL20484" s="177"/>
    </row>
    <row r="20485" spans="38:38" x14ac:dyDescent="0.2">
      <c r="AL20485" s="177"/>
    </row>
    <row r="20486" spans="38:38" x14ac:dyDescent="0.2">
      <c r="AL20486" s="177"/>
    </row>
    <row r="20487" spans="38:38" x14ac:dyDescent="0.2">
      <c r="AL20487" s="177"/>
    </row>
    <row r="20488" spans="38:38" x14ac:dyDescent="0.2">
      <c r="AL20488" s="177"/>
    </row>
    <row r="20489" spans="38:38" x14ac:dyDescent="0.2">
      <c r="AL20489" s="177"/>
    </row>
    <row r="20490" spans="38:38" x14ac:dyDescent="0.2">
      <c r="AL20490" s="177"/>
    </row>
    <row r="20491" spans="38:38" x14ac:dyDescent="0.2">
      <c r="AL20491" s="177"/>
    </row>
    <row r="20492" spans="38:38" x14ac:dyDescent="0.2">
      <c r="AL20492" s="177"/>
    </row>
    <row r="20493" spans="38:38" x14ac:dyDescent="0.2">
      <c r="AL20493" s="177"/>
    </row>
    <row r="20494" spans="38:38" x14ac:dyDescent="0.2">
      <c r="AL20494" s="177"/>
    </row>
    <row r="20495" spans="38:38" x14ac:dyDescent="0.2">
      <c r="AL20495" s="177"/>
    </row>
    <row r="20496" spans="38:38" x14ac:dyDescent="0.2">
      <c r="AL20496" s="177"/>
    </row>
    <row r="20497" spans="38:38" x14ac:dyDescent="0.2">
      <c r="AL20497" s="177"/>
    </row>
    <row r="20498" spans="38:38" x14ac:dyDescent="0.2">
      <c r="AL20498" s="177"/>
    </row>
    <row r="20499" spans="38:38" x14ac:dyDescent="0.2">
      <c r="AL20499" s="177"/>
    </row>
    <row r="20500" spans="38:38" x14ac:dyDescent="0.2">
      <c r="AL20500" s="177"/>
    </row>
    <row r="20501" spans="38:38" x14ac:dyDescent="0.2">
      <c r="AL20501" s="177"/>
    </row>
    <row r="20502" spans="38:38" x14ac:dyDescent="0.2">
      <c r="AL20502" s="177"/>
    </row>
    <row r="20503" spans="38:38" x14ac:dyDescent="0.2">
      <c r="AL20503" s="177"/>
    </row>
    <row r="20504" spans="38:38" x14ac:dyDescent="0.2">
      <c r="AL20504" s="177"/>
    </row>
    <row r="20505" spans="38:38" x14ac:dyDescent="0.2">
      <c r="AL20505" s="177"/>
    </row>
    <row r="20506" spans="38:38" x14ac:dyDescent="0.2">
      <c r="AL20506" s="177"/>
    </row>
    <row r="20507" spans="38:38" x14ac:dyDescent="0.2">
      <c r="AL20507" s="177"/>
    </row>
    <row r="20508" spans="38:38" x14ac:dyDescent="0.2">
      <c r="AL20508" s="177"/>
    </row>
    <row r="20509" spans="38:38" x14ac:dyDescent="0.2">
      <c r="AL20509" s="177"/>
    </row>
    <row r="20510" spans="38:38" x14ac:dyDescent="0.2">
      <c r="AL20510" s="177"/>
    </row>
    <row r="20511" spans="38:38" x14ac:dyDescent="0.2">
      <c r="AL20511" s="177"/>
    </row>
    <row r="20512" spans="38:38" x14ac:dyDescent="0.2">
      <c r="AL20512" s="177"/>
    </row>
    <row r="20513" spans="38:38" x14ac:dyDescent="0.2">
      <c r="AL20513" s="177"/>
    </row>
    <row r="20514" spans="38:38" x14ac:dyDescent="0.2">
      <c r="AL20514" s="177"/>
    </row>
    <row r="20515" spans="38:38" x14ac:dyDescent="0.2">
      <c r="AL20515" s="177"/>
    </row>
    <row r="20516" spans="38:38" x14ac:dyDescent="0.2">
      <c r="AL20516" s="177"/>
    </row>
    <row r="20517" spans="38:38" x14ac:dyDescent="0.2">
      <c r="AL20517" s="177"/>
    </row>
    <row r="20518" spans="38:38" x14ac:dyDescent="0.2">
      <c r="AL20518" s="177"/>
    </row>
    <row r="20519" spans="38:38" x14ac:dyDescent="0.2">
      <c r="AL20519" s="177"/>
    </row>
    <row r="20520" spans="38:38" x14ac:dyDescent="0.2">
      <c r="AL20520" s="177"/>
    </row>
    <row r="20521" spans="38:38" x14ac:dyDescent="0.2">
      <c r="AL20521" s="177"/>
    </row>
    <row r="20522" spans="38:38" x14ac:dyDescent="0.2">
      <c r="AL20522" s="177"/>
    </row>
    <row r="20523" spans="38:38" x14ac:dyDescent="0.2">
      <c r="AL20523" s="177"/>
    </row>
    <row r="20524" spans="38:38" x14ac:dyDescent="0.2">
      <c r="AL20524" s="177"/>
    </row>
    <row r="20525" spans="38:38" x14ac:dyDescent="0.2">
      <c r="AL20525" s="177"/>
    </row>
    <row r="20526" spans="38:38" x14ac:dyDescent="0.2">
      <c r="AL20526" s="177"/>
    </row>
    <row r="20527" spans="38:38" x14ac:dyDescent="0.2">
      <c r="AL20527" s="177"/>
    </row>
    <row r="20528" spans="38:38" x14ac:dyDescent="0.2">
      <c r="AL20528" s="177"/>
    </row>
    <row r="20529" spans="38:38" x14ac:dyDescent="0.2">
      <c r="AL20529" s="177"/>
    </row>
    <row r="20530" spans="38:38" x14ac:dyDescent="0.2">
      <c r="AL20530" s="177"/>
    </row>
    <row r="20531" spans="38:38" x14ac:dyDescent="0.2">
      <c r="AL20531" s="177"/>
    </row>
    <row r="20532" spans="38:38" x14ac:dyDescent="0.2">
      <c r="AL20532" s="177"/>
    </row>
    <row r="20533" spans="38:38" x14ac:dyDescent="0.2">
      <c r="AL20533" s="177"/>
    </row>
    <row r="20534" spans="38:38" x14ac:dyDescent="0.2">
      <c r="AL20534" s="177"/>
    </row>
    <row r="20535" spans="38:38" x14ac:dyDescent="0.2">
      <c r="AL20535" s="177"/>
    </row>
    <row r="20536" spans="38:38" x14ac:dyDescent="0.2">
      <c r="AL20536" s="177"/>
    </row>
    <row r="20537" spans="38:38" x14ac:dyDescent="0.2">
      <c r="AL20537" s="177"/>
    </row>
    <row r="20538" spans="38:38" x14ac:dyDescent="0.2">
      <c r="AL20538" s="177"/>
    </row>
    <row r="20539" spans="38:38" x14ac:dyDescent="0.2">
      <c r="AL20539" s="177"/>
    </row>
    <row r="20540" spans="38:38" x14ac:dyDescent="0.2">
      <c r="AL20540" s="177"/>
    </row>
    <row r="20541" spans="38:38" x14ac:dyDescent="0.2">
      <c r="AL20541" s="177"/>
    </row>
    <row r="20542" spans="38:38" x14ac:dyDescent="0.2">
      <c r="AL20542" s="177"/>
    </row>
    <row r="20543" spans="38:38" x14ac:dyDescent="0.2">
      <c r="AL20543" s="177"/>
    </row>
    <row r="20544" spans="38:38" x14ac:dyDescent="0.2">
      <c r="AL20544" s="177"/>
    </row>
    <row r="20545" spans="38:38" x14ac:dyDescent="0.2">
      <c r="AL20545" s="177"/>
    </row>
    <row r="20546" spans="38:38" x14ac:dyDescent="0.2">
      <c r="AL20546" s="177"/>
    </row>
    <row r="20547" spans="38:38" x14ac:dyDescent="0.2">
      <c r="AL20547" s="177"/>
    </row>
    <row r="20548" spans="38:38" x14ac:dyDescent="0.2">
      <c r="AL20548" s="177"/>
    </row>
    <row r="20549" spans="38:38" x14ac:dyDescent="0.2">
      <c r="AL20549" s="177"/>
    </row>
    <row r="20550" spans="38:38" x14ac:dyDescent="0.2">
      <c r="AL20550" s="177"/>
    </row>
    <row r="20551" spans="38:38" x14ac:dyDescent="0.2">
      <c r="AL20551" s="177"/>
    </row>
    <row r="20552" spans="38:38" x14ac:dyDescent="0.2">
      <c r="AL20552" s="177"/>
    </row>
    <row r="20553" spans="38:38" x14ac:dyDescent="0.2">
      <c r="AL20553" s="177"/>
    </row>
    <row r="20554" spans="38:38" x14ac:dyDescent="0.2">
      <c r="AL20554" s="177"/>
    </row>
    <row r="20555" spans="38:38" x14ac:dyDescent="0.2">
      <c r="AL20555" s="177"/>
    </row>
    <row r="20556" spans="38:38" x14ac:dyDescent="0.2">
      <c r="AL20556" s="177"/>
    </row>
    <row r="20557" spans="38:38" x14ac:dyDescent="0.2">
      <c r="AL20557" s="177"/>
    </row>
    <row r="20558" spans="38:38" x14ac:dyDescent="0.2">
      <c r="AL20558" s="177"/>
    </row>
    <row r="20559" spans="38:38" x14ac:dyDescent="0.2">
      <c r="AL20559" s="177"/>
    </row>
    <row r="20560" spans="38:38" x14ac:dyDescent="0.2">
      <c r="AL20560" s="177"/>
    </row>
    <row r="20561" spans="38:38" x14ac:dyDescent="0.2">
      <c r="AL20561" s="177"/>
    </row>
    <row r="20562" spans="38:38" x14ac:dyDescent="0.2">
      <c r="AL20562" s="177"/>
    </row>
    <row r="20563" spans="38:38" x14ac:dyDescent="0.2">
      <c r="AL20563" s="177"/>
    </row>
    <row r="20564" spans="38:38" x14ac:dyDescent="0.2">
      <c r="AL20564" s="177"/>
    </row>
    <row r="20565" spans="38:38" x14ac:dyDescent="0.2">
      <c r="AL20565" s="177"/>
    </row>
    <row r="20566" spans="38:38" x14ac:dyDescent="0.2">
      <c r="AL20566" s="177"/>
    </row>
    <row r="20567" spans="38:38" x14ac:dyDescent="0.2">
      <c r="AL20567" s="177"/>
    </row>
    <row r="20568" spans="38:38" x14ac:dyDescent="0.2">
      <c r="AL20568" s="177"/>
    </row>
    <row r="20569" spans="38:38" x14ac:dyDescent="0.2">
      <c r="AL20569" s="177"/>
    </row>
    <row r="20570" spans="38:38" x14ac:dyDescent="0.2">
      <c r="AL20570" s="177"/>
    </row>
    <row r="20571" spans="38:38" x14ac:dyDescent="0.2">
      <c r="AL20571" s="177"/>
    </row>
    <row r="20572" spans="38:38" x14ac:dyDescent="0.2">
      <c r="AL20572" s="177"/>
    </row>
    <row r="20573" spans="38:38" x14ac:dyDescent="0.2">
      <c r="AL20573" s="177"/>
    </row>
    <row r="20574" spans="38:38" x14ac:dyDescent="0.2">
      <c r="AL20574" s="177"/>
    </row>
    <row r="20575" spans="38:38" x14ac:dyDescent="0.2">
      <c r="AL20575" s="177"/>
    </row>
    <row r="20576" spans="38:38" x14ac:dyDescent="0.2">
      <c r="AL20576" s="177"/>
    </row>
    <row r="20577" spans="38:38" x14ac:dyDescent="0.2">
      <c r="AL20577" s="177"/>
    </row>
    <row r="20578" spans="38:38" x14ac:dyDescent="0.2">
      <c r="AL20578" s="177"/>
    </row>
    <row r="20579" spans="38:38" x14ac:dyDescent="0.2">
      <c r="AL20579" s="177"/>
    </row>
    <row r="20580" spans="38:38" x14ac:dyDescent="0.2">
      <c r="AL20580" s="177"/>
    </row>
    <row r="20581" spans="38:38" x14ac:dyDescent="0.2">
      <c r="AL20581" s="177"/>
    </row>
    <row r="20582" spans="38:38" x14ac:dyDescent="0.2">
      <c r="AL20582" s="177"/>
    </row>
    <row r="20583" spans="38:38" x14ac:dyDescent="0.2">
      <c r="AL20583" s="177"/>
    </row>
    <row r="20584" spans="38:38" x14ac:dyDescent="0.2">
      <c r="AL20584" s="177"/>
    </row>
    <row r="20585" spans="38:38" x14ac:dyDescent="0.2">
      <c r="AL20585" s="177"/>
    </row>
    <row r="20586" spans="38:38" x14ac:dyDescent="0.2">
      <c r="AL20586" s="177"/>
    </row>
    <row r="20587" spans="38:38" x14ac:dyDescent="0.2">
      <c r="AL20587" s="177"/>
    </row>
    <row r="20588" spans="38:38" x14ac:dyDescent="0.2">
      <c r="AL20588" s="177"/>
    </row>
    <row r="20589" spans="38:38" x14ac:dyDescent="0.2">
      <c r="AL20589" s="177"/>
    </row>
    <row r="20590" spans="38:38" x14ac:dyDescent="0.2">
      <c r="AL20590" s="177"/>
    </row>
    <row r="20591" spans="38:38" x14ac:dyDescent="0.2">
      <c r="AL20591" s="177"/>
    </row>
    <row r="20592" spans="38:38" x14ac:dyDescent="0.2">
      <c r="AL20592" s="177"/>
    </row>
    <row r="20593" spans="38:38" x14ac:dyDescent="0.2">
      <c r="AL20593" s="177"/>
    </row>
    <row r="20594" spans="38:38" x14ac:dyDescent="0.2">
      <c r="AL20594" s="177"/>
    </row>
    <row r="20595" spans="38:38" x14ac:dyDescent="0.2">
      <c r="AL20595" s="177"/>
    </row>
    <row r="20596" spans="38:38" x14ac:dyDescent="0.2">
      <c r="AL20596" s="177"/>
    </row>
    <row r="20597" spans="38:38" x14ac:dyDescent="0.2">
      <c r="AL20597" s="177"/>
    </row>
    <row r="20598" spans="38:38" x14ac:dyDescent="0.2">
      <c r="AL20598" s="177"/>
    </row>
    <row r="20599" spans="38:38" x14ac:dyDescent="0.2">
      <c r="AL20599" s="177"/>
    </row>
    <row r="20600" spans="38:38" x14ac:dyDescent="0.2">
      <c r="AL20600" s="177"/>
    </row>
    <row r="20601" spans="38:38" x14ac:dyDescent="0.2">
      <c r="AL20601" s="177"/>
    </row>
    <row r="20602" spans="38:38" x14ac:dyDescent="0.2">
      <c r="AL20602" s="177"/>
    </row>
    <row r="20603" spans="38:38" x14ac:dyDescent="0.2">
      <c r="AL20603" s="177"/>
    </row>
    <row r="20604" spans="38:38" x14ac:dyDescent="0.2">
      <c r="AL20604" s="177"/>
    </row>
    <row r="20605" spans="38:38" x14ac:dyDescent="0.2">
      <c r="AL20605" s="177"/>
    </row>
    <row r="20606" spans="38:38" x14ac:dyDescent="0.2">
      <c r="AL20606" s="177"/>
    </row>
    <row r="20607" spans="38:38" x14ac:dyDescent="0.2">
      <c r="AL20607" s="177"/>
    </row>
    <row r="20608" spans="38:38" x14ac:dyDescent="0.2">
      <c r="AL20608" s="177"/>
    </row>
    <row r="20609" spans="38:38" x14ac:dyDescent="0.2">
      <c r="AL20609" s="177"/>
    </row>
    <row r="20610" spans="38:38" x14ac:dyDescent="0.2">
      <c r="AL20610" s="177"/>
    </row>
    <row r="20611" spans="38:38" x14ac:dyDescent="0.2">
      <c r="AL20611" s="177"/>
    </row>
    <row r="20612" spans="38:38" x14ac:dyDescent="0.2">
      <c r="AL20612" s="177"/>
    </row>
    <row r="20613" spans="38:38" x14ac:dyDescent="0.2">
      <c r="AL20613" s="177"/>
    </row>
    <row r="20614" spans="38:38" x14ac:dyDescent="0.2">
      <c r="AL20614" s="177"/>
    </row>
    <row r="20615" spans="38:38" x14ac:dyDescent="0.2">
      <c r="AL20615" s="177"/>
    </row>
    <row r="20616" spans="38:38" x14ac:dyDescent="0.2">
      <c r="AL20616" s="177"/>
    </row>
    <row r="20617" spans="38:38" x14ac:dyDescent="0.2">
      <c r="AL20617" s="177"/>
    </row>
    <row r="20618" spans="38:38" x14ac:dyDescent="0.2">
      <c r="AL20618" s="177"/>
    </row>
    <row r="20619" spans="38:38" x14ac:dyDescent="0.2">
      <c r="AL20619" s="177"/>
    </row>
    <row r="20620" spans="38:38" x14ac:dyDescent="0.2">
      <c r="AL20620" s="177"/>
    </row>
    <row r="20621" spans="38:38" x14ac:dyDescent="0.2">
      <c r="AL20621" s="177"/>
    </row>
    <row r="20622" spans="38:38" x14ac:dyDescent="0.2">
      <c r="AL20622" s="177"/>
    </row>
    <row r="20623" spans="38:38" x14ac:dyDescent="0.2">
      <c r="AL20623" s="177"/>
    </row>
    <row r="20624" spans="38:38" x14ac:dyDescent="0.2">
      <c r="AL20624" s="177"/>
    </row>
    <row r="20625" spans="38:38" x14ac:dyDescent="0.2">
      <c r="AL20625" s="177"/>
    </row>
    <row r="20626" spans="38:38" x14ac:dyDescent="0.2">
      <c r="AL20626" s="177"/>
    </row>
    <row r="20627" spans="38:38" x14ac:dyDescent="0.2">
      <c r="AL20627" s="177"/>
    </row>
    <row r="20628" spans="38:38" x14ac:dyDescent="0.2">
      <c r="AL20628" s="177"/>
    </row>
    <row r="20629" spans="38:38" x14ac:dyDescent="0.2">
      <c r="AL20629" s="177"/>
    </row>
    <row r="20630" spans="38:38" x14ac:dyDescent="0.2">
      <c r="AL20630" s="177"/>
    </row>
    <row r="20631" spans="38:38" x14ac:dyDescent="0.2">
      <c r="AL20631" s="177"/>
    </row>
    <row r="20632" spans="38:38" x14ac:dyDescent="0.2">
      <c r="AL20632" s="177"/>
    </row>
    <row r="20633" spans="38:38" x14ac:dyDescent="0.2">
      <c r="AL20633" s="177"/>
    </row>
    <row r="20634" spans="38:38" x14ac:dyDescent="0.2">
      <c r="AL20634" s="177"/>
    </row>
    <row r="20635" spans="38:38" x14ac:dyDescent="0.2">
      <c r="AL20635" s="177"/>
    </row>
    <row r="20636" spans="38:38" x14ac:dyDescent="0.2">
      <c r="AL20636" s="177"/>
    </row>
    <row r="20637" spans="38:38" x14ac:dyDescent="0.2">
      <c r="AL20637" s="177"/>
    </row>
    <row r="20638" spans="38:38" x14ac:dyDescent="0.2">
      <c r="AL20638" s="177"/>
    </row>
    <row r="20639" spans="38:38" x14ac:dyDescent="0.2">
      <c r="AL20639" s="177"/>
    </row>
    <row r="20640" spans="38:38" x14ac:dyDescent="0.2">
      <c r="AL20640" s="177"/>
    </row>
    <row r="20641" spans="38:38" x14ac:dyDescent="0.2">
      <c r="AL20641" s="177"/>
    </row>
    <row r="20642" spans="38:38" x14ac:dyDescent="0.2">
      <c r="AL20642" s="177"/>
    </row>
    <row r="20643" spans="38:38" x14ac:dyDescent="0.2">
      <c r="AL20643" s="177"/>
    </row>
    <row r="20644" spans="38:38" x14ac:dyDescent="0.2">
      <c r="AL20644" s="177"/>
    </row>
    <row r="20645" spans="38:38" x14ac:dyDescent="0.2">
      <c r="AL20645" s="177"/>
    </row>
    <row r="20646" spans="38:38" x14ac:dyDescent="0.2">
      <c r="AL20646" s="177"/>
    </row>
    <row r="20647" spans="38:38" x14ac:dyDescent="0.2">
      <c r="AL20647" s="177"/>
    </row>
    <row r="20648" spans="38:38" x14ac:dyDescent="0.2">
      <c r="AL20648" s="177"/>
    </row>
    <row r="20649" spans="38:38" x14ac:dyDescent="0.2">
      <c r="AL20649" s="177"/>
    </row>
    <row r="20650" spans="38:38" x14ac:dyDescent="0.2">
      <c r="AL20650" s="177"/>
    </row>
    <row r="20651" spans="38:38" x14ac:dyDescent="0.2">
      <c r="AL20651" s="177"/>
    </row>
    <row r="20652" spans="38:38" x14ac:dyDescent="0.2">
      <c r="AL20652" s="177"/>
    </row>
    <row r="20653" spans="38:38" x14ac:dyDescent="0.2">
      <c r="AL20653" s="177"/>
    </row>
    <row r="20654" spans="38:38" x14ac:dyDescent="0.2">
      <c r="AL20654" s="177"/>
    </row>
    <row r="20655" spans="38:38" x14ac:dyDescent="0.2">
      <c r="AL20655" s="177"/>
    </row>
    <row r="20656" spans="38:38" x14ac:dyDescent="0.2">
      <c r="AL20656" s="177"/>
    </row>
    <row r="20657" spans="38:38" x14ac:dyDescent="0.2">
      <c r="AL20657" s="177"/>
    </row>
    <row r="20658" spans="38:38" x14ac:dyDescent="0.2">
      <c r="AL20658" s="177"/>
    </row>
    <row r="20659" spans="38:38" x14ac:dyDescent="0.2">
      <c r="AL20659" s="177"/>
    </row>
    <row r="20660" spans="38:38" x14ac:dyDescent="0.2">
      <c r="AL20660" s="177"/>
    </row>
    <row r="20661" spans="38:38" x14ac:dyDescent="0.2">
      <c r="AL20661" s="177"/>
    </row>
    <row r="20662" spans="38:38" x14ac:dyDescent="0.2">
      <c r="AL20662" s="177"/>
    </row>
    <row r="20663" spans="38:38" x14ac:dyDescent="0.2">
      <c r="AL20663" s="177"/>
    </row>
    <row r="20664" spans="38:38" x14ac:dyDescent="0.2">
      <c r="AL20664" s="177"/>
    </row>
    <row r="20665" spans="38:38" x14ac:dyDescent="0.2">
      <c r="AL20665" s="177"/>
    </row>
    <row r="20666" spans="38:38" x14ac:dyDescent="0.2">
      <c r="AL20666" s="177"/>
    </row>
    <row r="20667" spans="38:38" x14ac:dyDescent="0.2">
      <c r="AL20667" s="177"/>
    </row>
    <row r="20668" spans="38:38" x14ac:dyDescent="0.2">
      <c r="AL20668" s="177"/>
    </row>
    <row r="20669" spans="38:38" x14ac:dyDescent="0.2">
      <c r="AL20669" s="177"/>
    </row>
    <row r="20670" spans="38:38" x14ac:dyDescent="0.2">
      <c r="AL20670" s="177"/>
    </row>
    <row r="20671" spans="38:38" x14ac:dyDescent="0.2">
      <c r="AL20671" s="177"/>
    </row>
    <row r="20672" spans="38:38" x14ac:dyDescent="0.2">
      <c r="AL20672" s="177"/>
    </row>
    <row r="20673" spans="38:38" x14ac:dyDescent="0.2">
      <c r="AL20673" s="177"/>
    </row>
    <row r="20674" spans="38:38" x14ac:dyDescent="0.2">
      <c r="AL20674" s="177"/>
    </row>
    <row r="20675" spans="38:38" x14ac:dyDescent="0.2">
      <c r="AL20675" s="177"/>
    </row>
    <row r="20676" spans="38:38" x14ac:dyDescent="0.2">
      <c r="AL20676" s="177"/>
    </row>
    <row r="20677" spans="38:38" x14ac:dyDescent="0.2">
      <c r="AL20677" s="177"/>
    </row>
    <row r="20678" spans="38:38" x14ac:dyDescent="0.2">
      <c r="AL20678" s="177"/>
    </row>
    <row r="20679" spans="38:38" x14ac:dyDescent="0.2">
      <c r="AL20679" s="177"/>
    </row>
    <row r="20680" spans="38:38" x14ac:dyDescent="0.2">
      <c r="AL20680" s="177"/>
    </row>
    <row r="20681" spans="38:38" x14ac:dyDescent="0.2">
      <c r="AL20681" s="177"/>
    </row>
    <row r="20682" spans="38:38" x14ac:dyDescent="0.2">
      <c r="AL20682" s="177"/>
    </row>
    <row r="20683" spans="38:38" x14ac:dyDescent="0.2">
      <c r="AL20683" s="177"/>
    </row>
    <row r="20684" spans="38:38" x14ac:dyDescent="0.2">
      <c r="AL20684" s="177"/>
    </row>
    <row r="20685" spans="38:38" x14ac:dyDescent="0.2">
      <c r="AL20685" s="177"/>
    </row>
    <row r="20686" spans="38:38" x14ac:dyDescent="0.2">
      <c r="AL20686" s="177"/>
    </row>
    <row r="20687" spans="38:38" x14ac:dyDescent="0.2">
      <c r="AL20687" s="177"/>
    </row>
    <row r="20688" spans="38:38" x14ac:dyDescent="0.2">
      <c r="AL20688" s="177"/>
    </row>
    <row r="20689" spans="38:38" x14ac:dyDescent="0.2">
      <c r="AL20689" s="177"/>
    </row>
    <row r="20690" spans="38:38" x14ac:dyDescent="0.2">
      <c r="AL20690" s="177"/>
    </row>
    <row r="20691" spans="38:38" x14ac:dyDescent="0.2">
      <c r="AL20691" s="177"/>
    </row>
    <row r="20692" spans="38:38" x14ac:dyDescent="0.2">
      <c r="AL20692" s="177"/>
    </row>
    <row r="20693" spans="38:38" x14ac:dyDescent="0.2">
      <c r="AL20693" s="177"/>
    </row>
    <row r="20694" spans="38:38" x14ac:dyDescent="0.2">
      <c r="AL20694" s="177"/>
    </row>
    <row r="20695" spans="38:38" x14ac:dyDescent="0.2">
      <c r="AL20695" s="177"/>
    </row>
    <row r="20696" spans="38:38" x14ac:dyDescent="0.2">
      <c r="AL20696" s="177"/>
    </row>
    <row r="20697" spans="38:38" x14ac:dyDescent="0.2">
      <c r="AL20697" s="177"/>
    </row>
    <row r="20698" spans="38:38" x14ac:dyDescent="0.2">
      <c r="AL20698" s="177"/>
    </row>
    <row r="20699" spans="38:38" x14ac:dyDescent="0.2">
      <c r="AL20699" s="177"/>
    </row>
    <row r="20700" spans="38:38" x14ac:dyDescent="0.2">
      <c r="AL20700" s="177"/>
    </row>
    <row r="20701" spans="38:38" x14ac:dyDescent="0.2">
      <c r="AL20701" s="177"/>
    </row>
    <row r="20702" spans="38:38" x14ac:dyDescent="0.2">
      <c r="AL20702" s="177"/>
    </row>
    <row r="20703" spans="38:38" x14ac:dyDescent="0.2">
      <c r="AL20703" s="177"/>
    </row>
    <row r="20704" spans="38:38" x14ac:dyDescent="0.2">
      <c r="AL20704" s="177"/>
    </row>
    <row r="20705" spans="38:38" x14ac:dyDescent="0.2">
      <c r="AL20705" s="177"/>
    </row>
    <row r="20706" spans="38:38" x14ac:dyDescent="0.2">
      <c r="AL20706" s="177"/>
    </row>
    <row r="20707" spans="38:38" x14ac:dyDescent="0.2">
      <c r="AL20707" s="177"/>
    </row>
    <row r="20708" spans="38:38" x14ac:dyDescent="0.2">
      <c r="AL20708" s="177"/>
    </row>
    <row r="20709" spans="38:38" x14ac:dyDescent="0.2">
      <c r="AL20709" s="177"/>
    </row>
    <row r="20710" spans="38:38" x14ac:dyDescent="0.2">
      <c r="AL20710" s="177"/>
    </row>
    <row r="20711" spans="38:38" x14ac:dyDescent="0.2">
      <c r="AL20711" s="177"/>
    </row>
    <row r="20712" spans="38:38" x14ac:dyDescent="0.2">
      <c r="AL20712" s="177"/>
    </row>
    <row r="20713" spans="38:38" x14ac:dyDescent="0.2">
      <c r="AL20713" s="177"/>
    </row>
    <row r="20714" spans="38:38" x14ac:dyDescent="0.2">
      <c r="AL20714" s="177"/>
    </row>
    <row r="20715" spans="38:38" x14ac:dyDescent="0.2">
      <c r="AL20715" s="177"/>
    </row>
    <row r="20716" spans="38:38" x14ac:dyDescent="0.2">
      <c r="AL20716" s="177"/>
    </row>
    <row r="20717" spans="38:38" x14ac:dyDescent="0.2">
      <c r="AL20717" s="177"/>
    </row>
    <row r="20718" spans="38:38" x14ac:dyDescent="0.2">
      <c r="AL20718" s="177"/>
    </row>
    <row r="20719" spans="38:38" x14ac:dyDescent="0.2">
      <c r="AL20719" s="177"/>
    </row>
    <row r="20720" spans="38:38" x14ac:dyDescent="0.2">
      <c r="AL20720" s="177"/>
    </row>
    <row r="20721" spans="38:38" x14ac:dyDescent="0.2">
      <c r="AL20721" s="177"/>
    </row>
    <row r="20722" spans="38:38" x14ac:dyDescent="0.2">
      <c r="AL20722" s="177"/>
    </row>
    <row r="20723" spans="38:38" x14ac:dyDescent="0.2">
      <c r="AL20723" s="177"/>
    </row>
    <row r="20724" spans="38:38" x14ac:dyDescent="0.2">
      <c r="AL20724" s="177"/>
    </row>
    <row r="20725" spans="38:38" x14ac:dyDescent="0.2">
      <c r="AL20725" s="177"/>
    </row>
    <row r="20726" spans="38:38" x14ac:dyDescent="0.2">
      <c r="AL20726" s="177"/>
    </row>
    <row r="20727" spans="38:38" x14ac:dyDescent="0.2">
      <c r="AL20727" s="177"/>
    </row>
    <row r="20728" spans="38:38" x14ac:dyDescent="0.2">
      <c r="AL20728" s="177"/>
    </row>
    <row r="20729" spans="38:38" x14ac:dyDescent="0.2">
      <c r="AL20729" s="177"/>
    </row>
    <row r="20730" spans="38:38" x14ac:dyDescent="0.2">
      <c r="AL20730" s="177"/>
    </row>
    <row r="20731" spans="38:38" x14ac:dyDescent="0.2">
      <c r="AL20731" s="177"/>
    </row>
    <row r="20732" spans="38:38" x14ac:dyDescent="0.2">
      <c r="AL20732" s="177"/>
    </row>
    <row r="20733" spans="38:38" x14ac:dyDescent="0.2">
      <c r="AL20733" s="177"/>
    </row>
    <row r="20734" spans="38:38" x14ac:dyDescent="0.2">
      <c r="AL20734" s="177"/>
    </row>
    <row r="20735" spans="38:38" x14ac:dyDescent="0.2">
      <c r="AL20735" s="177"/>
    </row>
    <row r="20736" spans="38:38" x14ac:dyDescent="0.2">
      <c r="AL20736" s="177"/>
    </row>
    <row r="20737" spans="38:38" x14ac:dyDescent="0.2">
      <c r="AL20737" s="177"/>
    </row>
    <row r="20738" spans="38:38" x14ac:dyDescent="0.2">
      <c r="AL20738" s="177"/>
    </row>
    <row r="20739" spans="38:38" x14ac:dyDescent="0.2">
      <c r="AL20739" s="177"/>
    </row>
    <row r="20740" spans="38:38" x14ac:dyDescent="0.2">
      <c r="AL20740" s="177"/>
    </row>
    <row r="20741" spans="38:38" x14ac:dyDescent="0.2">
      <c r="AL20741" s="177"/>
    </row>
    <row r="20742" spans="38:38" x14ac:dyDescent="0.2">
      <c r="AL20742" s="177"/>
    </row>
    <row r="20743" spans="38:38" x14ac:dyDescent="0.2">
      <c r="AL20743" s="177"/>
    </row>
    <row r="20744" spans="38:38" x14ac:dyDescent="0.2">
      <c r="AL20744" s="177"/>
    </row>
    <row r="20745" spans="38:38" x14ac:dyDescent="0.2">
      <c r="AL20745" s="177"/>
    </row>
    <row r="20746" spans="38:38" x14ac:dyDescent="0.2">
      <c r="AL20746" s="177"/>
    </row>
    <row r="20747" spans="38:38" x14ac:dyDescent="0.2">
      <c r="AL20747" s="177"/>
    </row>
    <row r="20748" spans="38:38" x14ac:dyDescent="0.2">
      <c r="AL20748" s="177"/>
    </row>
    <row r="20749" spans="38:38" x14ac:dyDescent="0.2">
      <c r="AL20749" s="177"/>
    </row>
    <row r="20750" spans="38:38" x14ac:dyDescent="0.2">
      <c r="AL20750" s="177"/>
    </row>
    <row r="20751" spans="38:38" x14ac:dyDescent="0.2">
      <c r="AL20751" s="177"/>
    </row>
    <row r="20752" spans="38:38" x14ac:dyDescent="0.2">
      <c r="AL20752" s="177"/>
    </row>
    <row r="20753" spans="38:38" x14ac:dyDescent="0.2">
      <c r="AL20753" s="177"/>
    </row>
    <row r="20754" spans="38:38" x14ac:dyDescent="0.2">
      <c r="AL20754" s="177"/>
    </row>
    <row r="20755" spans="38:38" x14ac:dyDescent="0.2">
      <c r="AL20755" s="177"/>
    </row>
    <row r="20756" spans="38:38" x14ac:dyDescent="0.2">
      <c r="AL20756" s="177"/>
    </row>
    <row r="20757" spans="38:38" x14ac:dyDescent="0.2">
      <c r="AL20757" s="177"/>
    </row>
    <row r="20758" spans="38:38" x14ac:dyDescent="0.2">
      <c r="AL20758" s="177"/>
    </row>
    <row r="20759" spans="38:38" x14ac:dyDescent="0.2">
      <c r="AL20759" s="177"/>
    </row>
    <row r="20760" spans="38:38" x14ac:dyDescent="0.2">
      <c r="AL20760" s="177"/>
    </row>
    <row r="20761" spans="38:38" x14ac:dyDescent="0.2">
      <c r="AL20761" s="177"/>
    </row>
    <row r="20762" spans="38:38" x14ac:dyDescent="0.2">
      <c r="AL20762" s="177"/>
    </row>
    <row r="20763" spans="38:38" x14ac:dyDescent="0.2">
      <c r="AL20763" s="177"/>
    </row>
    <row r="20764" spans="38:38" x14ac:dyDescent="0.2">
      <c r="AL20764" s="177"/>
    </row>
    <row r="20765" spans="38:38" x14ac:dyDescent="0.2">
      <c r="AL20765" s="177"/>
    </row>
    <row r="20766" spans="38:38" x14ac:dyDescent="0.2">
      <c r="AL20766" s="177"/>
    </row>
    <row r="20767" spans="38:38" x14ac:dyDescent="0.2">
      <c r="AL20767" s="177"/>
    </row>
    <row r="20768" spans="38:38" x14ac:dyDescent="0.2">
      <c r="AL20768" s="177"/>
    </row>
    <row r="20769" spans="38:38" x14ac:dyDescent="0.2">
      <c r="AL20769" s="177"/>
    </row>
    <row r="20770" spans="38:38" x14ac:dyDescent="0.2">
      <c r="AL20770" s="177"/>
    </row>
    <row r="20771" spans="38:38" x14ac:dyDescent="0.2">
      <c r="AL20771" s="177"/>
    </row>
    <row r="20772" spans="38:38" x14ac:dyDescent="0.2">
      <c r="AL20772" s="177"/>
    </row>
    <row r="20773" spans="38:38" x14ac:dyDescent="0.2">
      <c r="AL20773" s="177"/>
    </row>
    <row r="20774" spans="38:38" x14ac:dyDescent="0.2">
      <c r="AL20774" s="177"/>
    </row>
    <row r="20775" spans="38:38" x14ac:dyDescent="0.2">
      <c r="AL20775" s="177"/>
    </row>
    <row r="20776" spans="38:38" x14ac:dyDescent="0.2">
      <c r="AL20776" s="177"/>
    </row>
    <row r="20777" spans="38:38" x14ac:dyDescent="0.2">
      <c r="AL20777" s="177"/>
    </row>
    <row r="20778" spans="38:38" x14ac:dyDescent="0.2">
      <c r="AL20778" s="177"/>
    </row>
    <row r="20779" spans="38:38" x14ac:dyDescent="0.2">
      <c r="AL20779" s="177"/>
    </row>
    <row r="20780" spans="38:38" x14ac:dyDescent="0.2">
      <c r="AL20780" s="177"/>
    </row>
    <row r="20781" spans="38:38" x14ac:dyDescent="0.2">
      <c r="AL20781" s="177"/>
    </row>
    <row r="20782" spans="38:38" x14ac:dyDescent="0.2">
      <c r="AL20782" s="177"/>
    </row>
    <row r="20783" spans="38:38" x14ac:dyDescent="0.2">
      <c r="AL20783" s="177"/>
    </row>
    <row r="20784" spans="38:38" x14ac:dyDescent="0.2">
      <c r="AL20784" s="177"/>
    </row>
    <row r="20785" spans="38:38" x14ac:dyDescent="0.2">
      <c r="AL20785" s="177"/>
    </row>
    <row r="20786" spans="38:38" x14ac:dyDescent="0.2">
      <c r="AL20786" s="177"/>
    </row>
    <row r="20787" spans="38:38" x14ac:dyDescent="0.2">
      <c r="AL20787" s="177"/>
    </row>
    <row r="20788" spans="38:38" x14ac:dyDescent="0.2">
      <c r="AL20788" s="177"/>
    </row>
    <row r="20789" spans="38:38" x14ac:dyDescent="0.2">
      <c r="AL20789" s="177"/>
    </row>
    <row r="20790" spans="38:38" x14ac:dyDescent="0.2">
      <c r="AL20790" s="177"/>
    </row>
    <row r="20791" spans="38:38" x14ac:dyDescent="0.2">
      <c r="AL20791" s="177"/>
    </row>
    <row r="20792" spans="38:38" x14ac:dyDescent="0.2">
      <c r="AL20792" s="177"/>
    </row>
    <row r="20793" spans="38:38" x14ac:dyDescent="0.2">
      <c r="AL20793" s="177"/>
    </row>
    <row r="20794" spans="38:38" x14ac:dyDescent="0.2">
      <c r="AL20794" s="177"/>
    </row>
    <row r="20795" spans="38:38" x14ac:dyDescent="0.2">
      <c r="AL20795" s="177"/>
    </row>
    <row r="20796" spans="38:38" x14ac:dyDescent="0.2">
      <c r="AL20796" s="177"/>
    </row>
    <row r="20797" spans="38:38" x14ac:dyDescent="0.2">
      <c r="AL20797" s="177"/>
    </row>
    <row r="20798" spans="38:38" x14ac:dyDescent="0.2">
      <c r="AL20798" s="177"/>
    </row>
    <row r="20799" spans="38:38" x14ac:dyDescent="0.2">
      <c r="AL20799" s="177"/>
    </row>
    <row r="20800" spans="38:38" x14ac:dyDescent="0.2">
      <c r="AL20800" s="177"/>
    </row>
    <row r="20801" spans="38:38" x14ac:dyDescent="0.2">
      <c r="AL20801" s="177"/>
    </row>
    <row r="20802" spans="38:38" x14ac:dyDescent="0.2">
      <c r="AL20802" s="177"/>
    </row>
    <row r="20803" spans="38:38" x14ac:dyDescent="0.2">
      <c r="AL20803" s="177"/>
    </row>
    <row r="20804" spans="38:38" x14ac:dyDescent="0.2">
      <c r="AL20804" s="177"/>
    </row>
    <row r="20805" spans="38:38" x14ac:dyDescent="0.2">
      <c r="AL20805" s="177"/>
    </row>
    <row r="20806" spans="38:38" x14ac:dyDescent="0.2">
      <c r="AL20806" s="177"/>
    </row>
    <row r="20807" spans="38:38" x14ac:dyDescent="0.2">
      <c r="AL20807" s="177"/>
    </row>
    <row r="20808" spans="38:38" x14ac:dyDescent="0.2">
      <c r="AL20808" s="177"/>
    </row>
    <row r="20809" spans="38:38" x14ac:dyDescent="0.2">
      <c r="AL20809" s="177"/>
    </row>
    <row r="20810" spans="38:38" x14ac:dyDescent="0.2">
      <c r="AL20810" s="177"/>
    </row>
    <row r="20811" spans="38:38" x14ac:dyDescent="0.2">
      <c r="AL20811" s="177"/>
    </row>
    <row r="20812" spans="38:38" x14ac:dyDescent="0.2">
      <c r="AL20812" s="177"/>
    </row>
    <row r="20813" spans="38:38" x14ac:dyDescent="0.2">
      <c r="AL20813" s="177"/>
    </row>
    <row r="20814" spans="38:38" x14ac:dyDescent="0.2">
      <c r="AL20814" s="177"/>
    </row>
    <row r="20815" spans="38:38" x14ac:dyDescent="0.2">
      <c r="AL20815" s="177"/>
    </row>
    <row r="20816" spans="38:38" x14ac:dyDescent="0.2">
      <c r="AL20816" s="177"/>
    </row>
    <row r="20817" spans="38:38" x14ac:dyDescent="0.2">
      <c r="AL20817" s="177"/>
    </row>
    <row r="20818" spans="38:38" x14ac:dyDescent="0.2">
      <c r="AL20818" s="177"/>
    </row>
    <row r="20819" spans="38:38" x14ac:dyDescent="0.2">
      <c r="AL20819" s="177"/>
    </row>
    <row r="20820" spans="38:38" x14ac:dyDescent="0.2">
      <c r="AL20820" s="177"/>
    </row>
    <row r="20821" spans="38:38" x14ac:dyDescent="0.2">
      <c r="AL20821" s="177"/>
    </row>
    <row r="20822" spans="38:38" x14ac:dyDescent="0.2">
      <c r="AL20822" s="177"/>
    </row>
    <row r="20823" spans="38:38" x14ac:dyDescent="0.2">
      <c r="AL20823" s="177"/>
    </row>
    <row r="20824" spans="38:38" x14ac:dyDescent="0.2">
      <c r="AL20824" s="177"/>
    </row>
    <row r="20825" spans="38:38" x14ac:dyDescent="0.2">
      <c r="AL20825" s="177"/>
    </row>
    <row r="20826" spans="38:38" x14ac:dyDescent="0.2">
      <c r="AL20826" s="177"/>
    </row>
    <row r="20827" spans="38:38" x14ac:dyDescent="0.2">
      <c r="AL20827" s="177"/>
    </row>
    <row r="20828" spans="38:38" x14ac:dyDescent="0.2">
      <c r="AL20828" s="177"/>
    </row>
    <row r="20829" spans="38:38" x14ac:dyDescent="0.2">
      <c r="AL20829" s="177"/>
    </row>
    <row r="20830" spans="38:38" x14ac:dyDescent="0.2">
      <c r="AL20830" s="177"/>
    </row>
    <row r="20831" spans="38:38" x14ac:dyDescent="0.2">
      <c r="AL20831" s="177"/>
    </row>
    <row r="20832" spans="38:38" x14ac:dyDescent="0.2">
      <c r="AL20832" s="177"/>
    </row>
    <row r="20833" spans="38:38" x14ac:dyDescent="0.2">
      <c r="AL20833" s="177"/>
    </row>
    <row r="20834" spans="38:38" x14ac:dyDescent="0.2">
      <c r="AL20834" s="177"/>
    </row>
    <row r="20835" spans="38:38" x14ac:dyDescent="0.2">
      <c r="AL20835" s="177"/>
    </row>
    <row r="20836" spans="38:38" x14ac:dyDescent="0.2">
      <c r="AL20836" s="177"/>
    </row>
    <row r="20837" spans="38:38" x14ac:dyDescent="0.2">
      <c r="AL20837" s="177"/>
    </row>
    <row r="20838" spans="38:38" x14ac:dyDescent="0.2">
      <c r="AL20838" s="177"/>
    </row>
    <row r="20839" spans="38:38" x14ac:dyDescent="0.2">
      <c r="AL20839" s="177"/>
    </row>
    <row r="20840" spans="38:38" x14ac:dyDescent="0.2">
      <c r="AL20840" s="177"/>
    </row>
    <row r="20841" spans="38:38" x14ac:dyDescent="0.2">
      <c r="AL20841" s="177"/>
    </row>
    <row r="20842" spans="38:38" x14ac:dyDescent="0.2">
      <c r="AL20842" s="177"/>
    </row>
    <row r="20843" spans="38:38" x14ac:dyDescent="0.2">
      <c r="AL20843" s="177"/>
    </row>
    <row r="20844" spans="38:38" x14ac:dyDescent="0.2">
      <c r="AL20844" s="177"/>
    </row>
    <row r="20845" spans="38:38" x14ac:dyDescent="0.2">
      <c r="AL20845" s="177"/>
    </row>
    <row r="20846" spans="38:38" x14ac:dyDescent="0.2">
      <c r="AL20846" s="177"/>
    </row>
    <row r="20847" spans="38:38" x14ac:dyDescent="0.2">
      <c r="AL20847" s="177"/>
    </row>
    <row r="20848" spans="38:38" x14ac:dyDescent="0.2">
      <c r="AL20848" s="177"/>
    </row>
    <row r="20849" spans="38:38" x14ac:dyDescent="0.2">
      <c r="AL20849" s="177"/>
    </row>
    <row r="20850" spans="38:38" x14ac:dyDescent="0.2">
      <c r="AL20850" s="177"/>
    </row>
    <row r="20851" spans="38:38" x14ac:dyDescent="0.2">
      <c r="AL20851" s="177"/>
    </row>
    <row r="20852" spans="38:38" x14ac:dyDescent="0.2">
      <c r="AL20852" s="177"/>
    </row>
    <row r="20853" spans="38:38" x14ac:dyDescent="0.2">
      <c r="AL20853" s="177"/>
    </row>
    <row r="20854" spans="38:38" x14ac:dyDescent="0.2">
      <c r="AL20854" s="177"/>
    </row>
    <row r="20855" spans="38:38" x14ac:dyDescent="0.2">
      <c r="AL20855" s="177"/>
    </row>
    <row r="20856" spans="38:38" x14ac:dyDescent="0.2">
      <c r="AL20856" s="177"/>
    </row>
    <row r="20857" spans="38:38" x14ac:dyDescent="0.2">
      <c r="AL20857" s="177"/>
    </row>
    <row r="20858" spans="38:38" x14ac:dyDescent="0.2">
      <c r="AL20858" s="177"/>
    </row>
    <row r="20859" spans="38:38" x14ac:dyDescent="0.2">
      <c r="AL20859" s="177"/>
    </row>
    <row r="20860" spans="38:38" x14ac:dyDescent="0.2">
      <c r="AL20860" s="177"/>
    </row>
    <row r="20861" spans="38:38" x14ac:dyDescent="0.2">
      <c r="AL20861" s="177"/>
    </row>
    <row r="20862" spans="38:38" x14ac:dyDescent="0.2">
      <c r="AL20862" s="177"/>
    </row>
    <row r="20863" spans="38:38" x14ac:dyDescent="0.2">
      <c r="AL20863" s="177"/>
    </row>
    <row r="20864" spans="38:38" x14ac:dyDescent="0.2">
      <c r="AL20864" s="177"/>
    </row>
    <row r="20865" spans="38:38" x14ac:dyDescent="0.2">
      <c r="AL20865" s="177"/>
    </row>
    <row r="20866" spans="38:38" x14ac:dyDescent="0.2">
      <c r="AL20866" s="177"/>
    </row>
    <row r="20867" spans="38:38" x14ac:dyDescent="0.2">
      <c r="AL20867" s="177"/>
    </row>
    <row r="20868" spans="38:38" x14ac:dyDescent="0.2">
      <c r="AL20868" s="177"/>
    </row>
    <row r="20869" spans="38:38" x14ac:dyDescent="0.2">
      <c r="AL20869" s="177"/>
    </row>
    <row r="20870" spans="38:38" x14ac:dyDescent="0.2">
      <c r="AL20870" s="177"/>
    </row>
    <row r="20871" spans="38:38" x14ac:dyDescent="0.2">
      <c r="AL20871" s="177"/>
    </row>
    <row r="20872" spans="38:38" x14ac:dyDescent="0.2">
      <c r="AL20872" s="177"/>
    </row>
    <row r="20873" spans="38:38" x14ac:dyDescent="0.2">
      <c r="AL20873" s="177"/>
    </row>
    <row r="20874" spans="38:38" x14ac:dyDescent="0.2">
      <c r="AL20874" s="177"/>
    </row>
    <row r="20875" spans="38:38" x14ac:dyDescent="0.2">
      <c r="AL20875" s="177"/>
    </row>
    <row r="20876" spans="38:38" x14ac:dyDescent="0.2">
      <c r="AL20876" s="177"/>
    </row>
    <row r="20877" spans="38:38" x14ac:dyDescent="0.2">
      <c r="AL20877" s="177"/>
    </row>
    <row r="20878" spans="38:38" x14ac:dyDescent="0.2">
      <c r="AL20878" s="177"/>
    </row>
    <row r="20879" spans="38:38" x14ac:dyDescent="0.2">
      <c r="AL20879" s="177"/>
    </row>
    <row r="20880" spans="38:38" x14ac:dyDescent="0.2">
      <c r="AL20880" s="177"/>
    </row>
    <row r="20881" spans="38:38" x14ac:dyDescent="0.2">
      <c r="AL20881" s="177"/>
    </row>
    <row r="20882" spans="38:38" x14ac:dyDescent="0.2">
      <c r="AL20882" s="177"/>
    </row>
    <row r="20883" spans="38:38" x14ac:dyDescent="0.2">
      <c r="AL20883" s="177"/>
    </row>
    <row r="20884" spans="38:38" x14ac:dyDescent="0.2">
      <c r="AL20884" s="177"/>
    </row>
    <row r="20885" spans="38:38" x14ac:dyDescent="0.2">
      <c r="AL20885" s="177"/>
    </row>
    <row r="20886" spans="38:38" x14ac:dyDescent="0.2">
      <c r="AL20886" s="177"/>
    </row>
    <row r="20887" spans="38:38" x14ac:dyDescent="0.2">
      <c r="AL20887" s="177"/>
    </row>
    <row r="20888" spans="38:38" x14ac:dyDescent="0.2">
      <c r="AL20888" s="177"/>
    </row>
    <row r="20889" spans="38:38" x14ac:dyDescent="0.2">
      <c r="AL20889" s="177"/>
    </row>
    <row r="20890" spans="38:38" x14ac:dyDescent="0.2">
      <c r="AL20890" s="177"/>
    </row>
    <row r="20891" spans="38:38" x14ac:dyDescent="0.2">
      <c r="AL20891" s="177"/>
    </row>
    <row r="20892" spans="38:38" x14ac:dyDescent="0.2">
      <c r="AL20892" s="177"/>
    </row>
    <row r="20893" spans="38:38" x14ac:dyDescent="0.2">
      <c r="AL20893" s="177"/>
    </row>
    <row r="20894" spans="38:38" x14ac:dyDescent="0.2">
      <c r="AL20894" s="177"/>
    </row>
    <row r="20895" spans="38:38" x14ac:dyDescent="0.2">
      <c r="AL20895" s="177"/>
    </row>
    <row r="20896" spans="38:38" x14ac:dyDescent="0.2">
      <c r="AL20896" s="177"/>
    </row>
    <row r="20897" spans="38:38" x14ac:dyDescent="0.2">
      <c r="AL20897" s="177"/>
    </row>
    <row r="20898" spans="38:38" x14ac:dyDescent="0.2">
      <c r="AL20898" s="177"/>
    </row>
    <row r="20899" spans="38:38" x14ac:dyDescent="0.2">
      <c r="AL20899" s="177"/>
    </row>
    <row r="20900" spans="38:38" x14ac:dyDescent="0.2">
      <c r="AL20900" s="177"/>
    </row>
    <row r="20901" spans="38:38" x14ac:dyDescent="0.2">
      <c r="AL20901" s="177"/>
    </row>
    <row r="20902" spans="38:38" x14ac:dyDescent="0.2">
      <c r="AL20902" s="177"/>
    </row>
    <row r="20903" spans="38:38" x14ac:dyDescent="0.2">
      <c r="AL20903" s="177"/>
    </row>
    <row r="20904" spans="38:38" x14ac:dyDescent="0.2">
      <c r="AL20904" s="177"/>
    </row>
    <row r="20905" spans="38:38" x14ac:dyDescent="0.2">
      <c r="AL20905" s="177"/>
    </row>
    <row r="20906" spans="38:38" x14ac:dyDescent="0.2">
      <c r="AL20906" s="177"/>
    </row>
    <row r="20907" spans="38:38" x14ac:dyDescent="0.2">
      <c r="AL20907" s="177"/>
    </row>
    <row r="20908" spans="38:38" x14ac:dyDescent="0.2">
      <c r="AL20908" s="177"/>
    </row>
    <row r="20909" spans="38:38" x14ac:dyDescent="0.2">
      <c r="AL20909" s="177"/>
    </row>
    <row r="20910" spans="38:38" x14ac:dyDescent="0.2">
      <c r="AL20910" s="177"/>
    </row>
    <row r="20911" spans="38:38" x14ac:dyDescent="0.2">
      <c r="AL20911" s="177"/>
    </row>
    <row r="20912" spans="38:38" x14ac:dyDescent="0.2">
      <c r="AL20912" s="177"/>
    </row>
    <row r="20913" spans="38:38" x14ac:dyDescent="0.2">
      <c r="AL20913" s="177"/>
    </row>
    <row r="20914" spans="38:38" x14ac:dyDescent="0.2">
      <c r="AL20914" s="177"/>
    </row>
    <row r="20915" spans="38:38" x14ac:dyDescent="0.2">
      <c r="AL20915" s="177"/>
    </row>
    <row r="20916" spans="38:38" x14ac:dyDescent="0.2">
      <c r="AL20916" s="177"/>
    </row>
    <row r="20917" spans="38:38" x14ac:dyDescent="0.2">
      <c r="AL20917" s="177"/>
    </row>
    <row r="20918" spans="38:38" x14ac:dyDescent="0.2">
      <c r="AL20918" s="177"/>
    </row>
    <row r="20919" spans="38:38" x14ac:dyDescent="0.2">
      <c r="AL20919" s="177"/>
    </row>
    <row r="20920" spans="38:38" x14ac:dyDescent="0.2">
      <c r="AL20920" s="177"/>
    </row>
    <row r="20921" spans="38:38" x14ac:dyDescent="0.2">
      <c r="AL20921" s="177"/>
    </row>
    <row r="20922" spans="38:38" x14ac:dyDescent="0.2">
      <c r="AL20922" s="177"/>
    </row>
    <row r="20923" spans="38:38" x14ac:dyDescent="0.2">
      <c r="AL20923" s="177"/>
    </row>
    <row r="20924" spans="38:38" x14ac:dyDescent="0.2">
      <c r="AL20924" s="177"/>
    </row>
    <row r="20925" spans="38:38" x14ac:dyDescent="0.2">
      <c r="AL20925" s="177"/>
    </row>
    <row r="20926" spans="38:38" x14ac:dyDescent="0.2">
      <c r="AL20926" s="177"/>
    </row>
    <row r="20927" spans="38:38" x14ac:dyDescent="0.2">
      <c r="AL20927" s="177"/>
    </row>
    <row r="20928" spans="38:38" x14ac:dyDescent="0.2">
      <c r="AL20928" s="177"/>
    </row>
    <row r="20929" spans="38:38" x14ac:dyDescent="0.2">
      <c r="AL20929" s="177"/>
    </row>
    <row r="20930" spans="38:38" x14ac:dyDescent="0.2">
      <c r="AL20930" s="177"/>
    </row>
    <row r="20931" spans="38:38" x14ac:dyDescent="0.2">
      <c r="AL20931" s="177"/>
    </row>
    <row r="20932" spans="38:38" x14ac:dyDescent="0.2">
      <c r="AL20932" s="177"/>
    </row>
    <row r="20933" spans="38:38" x14ac:dyDescent="0.2">
      <c r="AL20933" s="177"/>
    </row>
    <row r="20934" spans="38:38" x14ac:dyDescent="0.2">
      <c r="AL20934" s="177"/>
    </row>
    <row r="20935" spans="38:38" x14ac:dyDescent="0.2">
      <c r="AL20935" s="177"/>
    </row>
    <row r="20936" spans="38:38" x14ac:dyDescent="0.2">
      <c r="AL20936" s="177"/>
    </row>
    <row r="20937" spans="38:38" x14ac:dyDescent="0.2">
      <c r="AL20937" s="177"/>
    </row>
    <row r="20938" spans="38:38" x14ac:dyDescent="0.2">
      <c r="AL20938" s="177"/>
    </row>
    <row r="20939" spans="38:38" x14ac:dyDescent="0.2">
      <c r="AL20939" s="177"/>
    </row>
    <row r="20940" spans="38:38" x14ac:dyDescent="0.2">
      <c r="AL20940" s="177"/>
    </row>
    <row r="20941" spans="38:38" x14ac:dyDescent="0.2">
      <c r="AL20941" s="177"/>
    </row>
    <row r="20942" spans="38:38" x14ac:dyDescent="0.2">
      <c r="AL20942" s="177"/>
    </row>
    <row r="20943" spans="38:38" x14ac:dyDescent="0.2">
      <c r="AL20943" s="177"/>
    </row>
    <row r="20944" spans="38:38" x14ac:dyDescent="0.2">
      <c r="AL20944" s="177"/>
    </row>
    <row r="20945" spans="38:38" x14ac:dyDescent="0.2">
      <c r="AL20945" s="177"/>
    </row>
    <row r="20946" spans="38:38" x14ac:dyDescent="0.2">
      <c r="AL20946" s="177"/>
    </row>
    <row r="20947" spans="38:38" x14ac:dyDescent="0.2">
      <c r="AL20947" s="177"/>
    </row>
    <row r="20948" spans="38:38" x14ac:dyDescent="0.2">
      <c r="AL20948" s="177"/>
    </row>
    <row r="20949" spans="38:38" x14ac:dyDescent="0.2">
      <c r="AL20949" s="177"/>
    </row>
    <row r="20950" spans="38:38" x14ac:dyDescent="0.2">
      <c r="AL20950" s="177"/>
    </row>
    <row r="20951" spans="38:38" x14ac:dyDescent="0.2">
      <c r="AL20951" s="177"/>
    </row>
    <row r="20952" spans="38:38" x14ac:dyDescent="0.2">
      <c r="AL20952" s="177"/>
    </row>
    <row r="20953" spans="38:38" x14ac:dyDescent="0.2">
      <c r="AL20953" s="177"/>
    </row>
    <row r="20954" spans="38:38" x14ac:dyDescent="0.2">
      <c r="AL20954" s="177"/>
    </row>
    <row r="20955" spans="38:38" x14ac:dyDescent="0.2">
      <c r="AL20955" s="177"/>
    </row>
    <row r="20956" spans="38:38" x14ac:dyDescent="0.2">
      <c r="AL20956" s="177"/>
    </row>
    <row r="20957" spans="38:38" x14ac:dyDescent="0.2">
      <c r="AL20957" s="177"/>
    </row>
    <row r="20958" spans="38:38" x14ac:dyDescent="0.2">
      <c r="AL20958" s="177"/>
    </row>
    <row r="20959" spans="38:38" x14ac:dyDescent="0.2">
      <c r="AL20959" s="177"/>
    </row>
    <row r="20960" spans="38:38" x14ac:dyDescent="0.2">
      <c r="AL20960" s="177"/>
    </row>
    <row r="20961" spans="38:38" x14ac:dyDescent="0.2">
      <c r="AL20961" s="177"/>
    </row>
    <row r="20962" spans="38:38" x14ac:dyDescent="0.2">
      <c r="AL20962" s="177"/>
    </row>
    <row r="20963" spans="38:38" x14ac:dyDescent="0.2">
      <c r="AL20963" s="177"/>
    </row>
    <row r="20964" spans="38:38" x14ac:dyDescent="0.2">
      <c r="AL20964" s="177"/>
    </row>
    <row r="20965" spans="38:38" x14ac:dyDescent="0.2">
      <c r="AL20965" s="177"/>
    </row>
    <row r="20966" spans="38:38" x14ac:dyDescent="0.2">
      <c r="AL20966" s="177"/>
    </row>
    <row r="20967" spans="38:38" x14ac:dyDescent="0.2">
      <c r="AL20967" s="177"/>
    </row>
    <row r="20968" spans="38:38" x14ac:dyDescent="0.2">
      <c r="AL20968" s="177"/>
    </row>
    <row r="20969" spans="38:38" x14ac:dyDescent="0.2">
      <c r="AL20969" s="177"/>
    </row>
    <row r="20970" spans="38:38" x14ac:dyDescent="0.2">
      <c r="AL20970" s="177"/>
    </row>
    <row r="20971" spans="38:38" x14ac:dyDescent="0.2">
      <c r="AL20971" s="177"/>
    </row>
    <row r="20972" spans="38:38" x14ac:dyDescent="0.2">
      <c r="AL20972" s="177"/>
    </row>
    <row r="20973" spans="38:38" x14ac:dyDescent="0.2">
      <c r="AL20973" s="177"/>
    </row>
    <row r="20974" spans="38:38" x14ac:dyDescent="0.2">
      <c r="AL20974" s="177"/>
    </row>
    <row r="20975" spans="38:38" x14ac:dyDescent="0.2">
      <c r="AL20975" s="177"/>
    </row>
    <row r="20976" spans="38:38" x14ac:dyDescent="0.2">
      <c r="AL20976" s="177"/>
    </row>
    <row r="20977" spans="38:38" x14ac:dyDescent="0.2">
      <c r="AL20977" s="177"/>
    </row>
    <row r="20978" spans="38:38" x14ac:dyDescent="0.2">
      <c r="AL20978" s="177"/>
    </row>
    <row r="20979" spans="38:38" x14ac:dyDescent="0.2">
      <c r="AL20979" s="177"/>
    </row>
    <row r="20980" spans="38:38" x14ac:dyDescent="0.2">
      <c r="AL20980" s="177"/>
    </row>
    <row r="20981" spans="38:38" x14ac:dyDescent="0.2">
      <c r="AL20981" s="177"/>
    </row>
    <row r="20982" spans="38:38" x14ac:dyDescent="0.2">
      <c r="AL20982" s="177"/>
    </row>
    <row r="20983" spans="38:38" x14ac:dyDescent="0.2">
      <c r="AL20983" s="177"/>
    </row>
    <row r="20984" spans="38:38" x14ac:dyDescent="0.2">
      <c r="AL20984" s="177"/>
    </row>
    <row r="20985" spans="38:38" x14ac:dyDescent="0.2">
      <c r="AL20985" s="177"/>
    </row>
    <row r="20986" spans="38:38" x14ac:dyDescent="0.2">
      <c r="AL20986" s="177"/>
    </row>
    <row r="20987" spans="38:38" x14ac:dyDescent="0.2">
      <c r="AL20987" s="177"/>
    </row>
    <row r="20988" spans="38:38" x14ac:dyDescent="0.2">
      <c r="AL20988" s="177"/>
    </row>
    <row r="20989" spans="38:38" x14ac:dyDescent="0.2">
      <c r="AL20989" s="177"/>
    </row>
    <row r="20990" spans="38:38" x14ac:dyDescent="0.2">
      <c r="AL20990" s="177"/>
    </row>
    <row r="20991" spans="38:38" x14ac:dyDescent="0.2">
      <c r="AL20991" s="177"/>
    </row>
    <row r="20992" spans="38:38" x14ac:dyDescent="0.2">
      <c r="AL20992" s="177"/>
    </row>
    <row r="20993" spans="38:38" x14ac:dyDescent="0.2">
      <c r="AL20993" s="177"/>
    </row>
    <row r="20994" spans="38:38" x14ac:dyDescent="0.2">
      <c r="AL20994" s="177"/>
    </row>
    <row r="20995" spans="38:38" x14ac:dyDescent="0.2">
      <c r="AL20995" s="177"/>
    </row>
    <row r="20996" spans="38:38" x14ac:dyDescent="0.2">
      <c r="AL20996" s="177"/>
    </row>
    <row r="20997" spans="38:38" x14ac:dyDescent="0.2">
      <c r="AL20997" s="177"/>
    </row>
    <row r="20998" spans="38:38" x14ac:dyDescent="0.2">
      <c r="AL20998" s="177"/>
    </row>
    <row r="20999" spans="38:38" x14ac:dyDescent="0.2">
      <c r="AL20999" s="177"/>
    </row>
    <row r="21000" spans="38:38" x14ac:dyDescent="0.2">
      <c r="AL21000" s="177"/>
    </row>
    <row r="21001" spans="38:38" x14ac:dyDescent="0.2">
      <c r="AL21001" s="177"/>
    </row>
    <row r="21002" spans="38:38" x14ac:dyDescent="0.2">
      <c r="AL21002" s="177"/>
    </row>
    <row r="21003" spans="38:38" x14ac:dyDescent="0.2">
      <c r="AL21003" s="177"/>
    </row>
    <row r="21004" spans="38:38" x14ac:dyDescent="0.2">
      <c r="AL21004" s="177"/>
    </row>
    <row r="21005" spans="38:38" x14ac:dyDescent="0.2">
      <c r="AL21005" s="177"/>
    </row>
    <row r="21006" spans="38:38" x14ac:dyDescent="0.2">
      <c r="AL21006" s="177"/>
    </row>
    <row r="21007" spans="38:38" x14ac:dyDescent="0.2">
      <c r="AL21007" s="177"/>
    </row>
    <row r="21008" spans="38:38" x14ac:dyDescent="0.2">
      <c r="AL21008" s="177"/>
    </row>
    <row r="21009" spans="38:38" x14ac:dyDescent="0.2">
      <c r="AL21009" s="177"/>
    </row>
    <row r="21010" spans="38:38" x14ac:dyDescent="0.2">
      <c r="AL21010" s="177"/>
    </row>
    <row r="21011" spans="38:38" x14ac:dyDescent="0.2">
      <c r="AL21011" s="177"/>
    </row>
    <row r="21012" spans="38:38" x14ac:dyDescent="0.2">
      <c r="AL21012" s="177"/>
    </row>
    <row r="21013" spans="38:38" x14ac:dyDescent="0.2">
      <c r="AL21013" s="177"/>
    </row>
    <row r="21014" spans="38:38" x14ac:dyDescent="0.2">
      <c r="AL21014" s="177"/>
    </row>
    <row r="21015" spans="38:38" x14ac:dyDescent="0.2">
      <c r="AL21015" s="177"/>
    </row>
    <row r="21016" spans="38:38" x14ac:dyDescent="0.2">
      <c r="AL21016" s="177"/>
    </row>
    <row r="21017" spans="38:38" x14ac:dyDescent="0.2">
      <c r="AL21017" s="177"/>
    </row>
    <row r="21018" spans="38:38" x14ac:dyDescent="0.2">
      <c r="AL21018" s="177"/>
    </row>
    <row r="21019" spans="38:38" x14ac:dyDescent="0.2">
      <c r="AL21019" s="177"/>
    </row>
    <row r="21020" spans="38:38" x14ac:dyDescent="0.2">
      <c r="AL21020" s="177"/>
    </row>
    <row r="21021" spans="38:38" x14ac:dyDescent="0.2">
      <c r="AL21021" s="177"/>
    </row>
    <row r="21022" spans="38:38" x14ac:dyDescent="0.2">
      <c r="AL21022" s="177"/>
    </row>
    <row r="21023" spans="38:38" x14ac:dyDescent="0.2">
      <c r="AL21023" s="177"/>
    </row>
    <row r="21024" spans="38:38" x14ac:dyDescent="0.2">
      <c r="AL21024" s="177"/>
    </row>
    <row r="21025" spans="38:38" x14ac:dyDescent="0.2">
      <c r="AL21025" s="177"/>
    </row>
    <row r="21026" spans="38:38" x14ac:dyDescent="0.2">
      <c r="AL21026" s="177"/>
    </row>
    <row r="21027" spans="38:38" x14ac:dyDescent="0.2">
      <c r="AL21027" s="177"/>
    </row>
    <row r="21028" spans="38:38" x14ac:dyDescent="0.2">
      <c r="AL21028" s="177"/>
    </row>
    <row r="21029" spans="38:38" x14ac:dyDescent="0.2">
      <c r="AL21029" s="177"/>
    </row>
    <row r="21030" spans="38:38" x14ac:dyDescent="0.2">
      <c r="AL21030" s="177"/>
    </row>
    <row r="21031" spans="38:38" x14ac:dyDescent="0.2">
      <c r="AL21031" s="177"/>
    </row>
    <row r="21032" spans="38:38" x14ac:dyDescent="0.2">
      <c r="AL21032" s="177"/>
    </row>
    <row r="21033" spans="38:38" x14ac:dyDescent="0.2">
      <c r="AL21033" s="177"/>
    </row>
    <row r="21034" spans="38:38" x14ac:dyDescent="0.2">
      <c r="AL21034" s="177"/>
    </row>
    <row r="21035" spans="38:38" x14ac:dyDescent="0.2">
      <c r="AL21035" s="177"/>
    </row>
    <row r="21036" spans="38:38" x14ac:dyDescent="0.2">
      <c r="AL21036" s="177"/>
    </row>
    <row r="21037" spans="38:38" x14ac:dyDescent="0.2">
      <c r="AL21037" s="177"/>
    </row>
    <row r="21038" spans="38:38" x14ac:dyDescent="0.2">
      <c r="AL21038" s="177"/>
    </row>
    <row r="21039" spans="38:38" x14ac:dyDescent="0.2">
      <c r="AL21039" s="177"/>
    </row>
    <row r="21040" spans="38:38" x14ac:dyDescent="0.2">
      <c r="AL21040" s="177"/>
    </row>
    <row r="21041" spans="38:38" x14ac:dyDescent="0.2">
      <c r="AL21041" s="177"/>
    </row>
    <row r="21042" spans="38:38" x14ac:dyDescent="0.2">
      <c r="AL21042" s="177"/>
    </row>
    <row r="21043" spans="38:38" x14ac:dyDescent="0.2">
      <c r="AL21043" s="177"/>
    </row>
    <row r="21044" spans="38:38" x14ac:dyDescent="0.2">
      <c r="AL21044" s="177"/>
    </row>
    <row r="21045" spans="38:38" x14ac:dyDescent="0.2">
      <c r="AL21045" s="177"/>
    </row>
    <row r="21046" spans="38:38" x14ac:dyDescent="0.2">
      <c r="AL21046" s="177"/>
    </row>
    <row r="21047" spans="38:38" x14ac:dyDescent="0.2">
      <c r="AL21047" s="177"/>
    </row>
    <row r="21048" spans="38:38" x14ac:dyDescent="0.2">
      <c r="AL21048" s="177"/>
    </row>
    <row r="21049" spans="38:38" x14ac:dyDescent="0.2">
      <c r="AL21049" s="177"/>
    </row>
    <row r="21050" spans="38:38" x14ac:dyDescent="0.2">
      <c r="AL21050" s="177"/>
    </row>
    <row r="21051" spans="38:38" x14ac:dyDescent="0.2">
      <c r="AL21051" s="177"/>
    </row>
    <row r="21052" spans="38:38" x14ac:dyDescent="0.2">
      <c r="AL21052" s="177"/>
    </row>
    <row r="21053" spans="38:38" x14ac:dyDescent="0.2">
      <c r="AL21053" s="177"/>
    </row>
    <row r="21054" spans="38:38" x14ac:dyDescent="0.2">
      <c r="AL21054" s="177"/>
    </row>
    <row r="21055" spans="38:38" x14ac:dyDescent="0.2">
      <c r="AL21055" s="177"/>
    </row>
    <row r="21056" spans="38:38" x14ac:dyDescent="0.2">
      <c r="AL21056" s="177"/>
    </row>
    <row r="21057" spans="38:38" x14ac:dyDescent="0.2">
      <c r="AL21057" s="177"/>
    </row>
    <row r="21058" spans="38:38" x14ac:dyDescent="0.2">
      <c r="AL21058" s="177"/>
    </row>
    <row r="21059" spans="38:38" x14ac:dyDescent="0.2">
      <c r="AL21059" s="177"/>
    </row>
    <row r="21060" spans="38:38" x14ac:dyDescent="0.2">
      <c r="AL21060" s="177"/>
    </row>
    <row r="21061" spans="38:38" x14ac:dyDescent="0.2">
      <c r="AL21061" s="177"/>
    </row>
    <row r="21062" spans="38:38" x14ac:dyDescent="0.2">
      <c r="AL21062" s="177"/>
    </row>
    <row r="21063" spans="38:38" x14ac:dyDescent="0.2">
      <c r="AL21063" s="177"/>
    </row>
    <row r="21064" spans="38:38" x14ac:dyDescent="0.2">
      <c r="AL21064" s="177"/>
    </row>
    <row r="21065" spans="38:38" x14ac:dyDescent="0.2">
      <c r="AL21065" s="177"/>
    </row>
    <row r="21066" spans="38:38" x14ac:dyDescent="0.2">
      <c r="AL21066" s="177"/>
    </row>
    <row r="21067" spans="38:38" x14ac:dyDescent="0.2">
      <c r="AL21067" s="177"/>
    </row>
    <row r="21068" spans="38:38" x14ac:dyDescent="0.2">
      <c r="AL21068" s="177"/>
    </row>
    <row r="21069" spans="38:38" x14ac:dyDescent="0.2">
      <c r="AL21069" s="177"/>
    </row>
    <row r="21070" spans="38:38" x14ac:dyDescent="0.2">
      <c r="AL21070" s="177"/>
    </row>
    <row r="21071" spans="38:38" x14ac:dyDescent="0.2">
      <c r="AL21071" s="177"/>
    </row>
    <row r="21072" spans="38:38" x14ac:dyDescent="0.2">
      <c r="AL21072" s="177"/>
    </row>
    <row r="21073" spans="38:38" x14ac:dyDescent="0.2">
      <c r="AL21073" s="177"/>
    </row>
    <row r="21074" spans="38:38" x14ac:dyDescent="0.2">
      <c r="AL21074" s="177"/>
    </row>
    <row r="21075" spans="38:38" x14ac:dyDescent="0.2">
      <c r="AL21075" s="177"/>
    </row>
    <row r="21076" spans="38:38" x14ac:dyDescent="0.2">
      <c r="AL21076" s="177"/>
    </row>
    <row r="21077" spans="38:38" x14ac:dyDescent="0.2">
      <c r="AL21077" s="177"/>
    </row>
    <row r="21078" spans="38:38" x14ac:dyDescent="0.2">
      <c r="AL21078" s="177"/>
    </row>
    <row r="21079" spans="38:38" x14ac:dyDescent="0.2">
      <c r="AL21079" s="177"/>
    </row>
    <row r="21080" spans="38:38" x14ac:dyDescent="0.2">
      <c r="AL21080" s="177"/>
    </row>
    <row r="21081" spans="38:38" x14ac:dyDescent="0.2">
      <c r="AL21081" s="177"/>
    </row>
    <row r="21082" spans="38:38" x14ac:dyDescent="0.2">
      <c r="AL21082" s="177"/>
    </row>
    <row r="21083" spans="38:38" x14ac:dyDescent="0.2">
      <c r="AL21083" s="177"/>
    </row>
    <row r="21084" spans="38:38" x14ac:dyDescent="0.2">
      <c r="AL21084" s="177"/>
    </row>
    <row r="21085" spans="38:38" x14ac:dyDescent="0.2">
      <c r="AL21085" s="177"/>
    </row>
    <row r="21086" spans="38:38" x14ac:dyDescent="0.2">
      <c r="AL21086" s="177"/>
    </row>
    <row r="21087" spans="38:38" x14ac:dyDescent="0.2">
      <c r="AL21087" s="177"/>
    </row>
    <row r="21088" spans="38:38" x14ac:dyDescent="0.2">
      <c r="AL21088" s="177"/>
    </row>
    <row r="21089" spans="38:38" x14ac:dyDescent="0.2">
      <c r="AL21089" s="177"/>
    </row>
    <row r="21090" spans="38:38" x14ac:dyDescent="0.2">
      <c r="AL21090" s="177"/>
    </row>
    <row r="21091" spans="38:38" x14ac:dyDescent="0.2">
      <c r="AL21091" s="177"/>
    </row>
    <row r="21092" spans="38:38" x14ac:dyDescent="0.2">
      <c r="AL21092" s="177"/>
    </row>
    <row r="21093" spans="38:38" x14ac:dyDescent="0.2">
      <c r="AL21093" s="177"/>
    </row>
    <row r="21094" spans="38:38" x14ac:dyDescent="0.2">
      <c r="AL21094" s="177"/>
    </row>
    <row r="21095" spans="38:38" x14ac:dyDescent="0.2">
      <c r="AL21095" s="177"/>
    </row>
    <row r="21096" spans="38:38" x14ac:dyDescent="0.2">
      <c r="AL21096" s="177"/>
    </row>
    <row r="21097" spans="38:38" x14ac:dyDescent="0.2">
      <c r="AL21097" s="177"/>
    </row>
    <row r="21098" spans="38:38" x14ac:dyDescent="0.2">
      <c r="AL21098" s="177"/>
    </row>
    <row r="21099" spans="38:38" x14ac:dyDescent="0.2">
      <c r="AL21099" s="177"/>
    </row>
    <row r="21100" spans="38:38" x14ac:dyDescent="0.2">
      <c r="AL21100" s="177"/>
    </row>
    <row r="21101" spans="38:38" x14ac:dyDescent="0.2">
      <c r="AL21101" s="177"/>
    </row>
    <row r="21102" spans="38:38" x14ac:dyDescent="0.2">
      <c r="AL21102" s="177"/>
    </row>
    <row r="21103" spans="38:38" x14ac:dyDescent="0.2">
      <c r="AL21103" s="177"/>
    </row>
    <row r="21104" spans="38:38" x14ac:dyDescent="0.2">
      <c r="AL21104" s="177"/>
    </row>
    <row r="21105" spans="38:38" x14ac:dyDescent="0.2">
      <c r="AL21105" s="177"/>
    </row>
    <row r="21106" spans="38:38" x14ac:dyDescent="0.2">
      <c r="AL21106" s="177"/>
    </row>
    <row r="21107" spans="38:38" x14ac:dyDescent="0.2">
      <c r="AL21107" s="177"/>
    </row>
    <row r="21108" spans="38:38" x14ac:dyDescent="0.2">
      <c r="AL21108" s="177"/>
    </row>
    <row r="21109" spans="38:38" x14ac:dyDescent="0.2">
      <c r="AL21109" s="177"/>
    </row>
    <row r="21110" spans="38:38" x14ac:dyDescent="0.2">
      <c r="AL21110" s="177"/>
    </row>
    <row r="21111" spans="38:38" x14ac:dyDescent="0.2">
      <c r="AL21111" s="177"/>
    </row>
    <row r="21112" spans="38:38" x14ac:dyDescent="0.2">
      <c r="AL21112" s="177"/>
    </row>
    <row r="21113" spans="38:38" x14ac:dyDescent="0.2">
      <c r="AL21113" s="177"/>
    </row>
    <row r="21114" spans="38:38" x14ac:dyDescent="0.2">
      <c r="AL21114" s="177"/>
    </row>
    <row r="21115" spans="38:38" x14ac:dyDescent="0.2">
      <c r="AL21115" s="177"/>
    </row>
    <row r="21116" spans="38:38" x14ac:dyDescent="0.2">
      <c r="AL21116" s="177"/>
    </row>
    <row r="21117" spans="38:38" x14ac:dyDescent="0.2">
      <c r="AL21117" s="177"/>
    </row>
    <row r="21118" spans="38:38" x14ac:dyDescent="0.2">
      <c r="AL21118" s="177"/>
    </row>
    <row r="21119" spans="38:38" x14ac:dyDescent="0.2">
      <c r="AL21119" s="177"/>
    </row>
    <row r="21120" spans="38:38" x14ac:dyDescent="0.2">
      <c r="AL21120" s="177"/>
    </row>
    <row r="21121" spans="38:38" x14ac:dyDescent="0.2">
      <c r="AL21121" s="177"/>
    </row>
    <row r="21122" spans="38:38" x14ac:dyDescent="0.2">
      <c r="AL21122" s="177"/>
    </row>
    <row r="21123" spans="38:38" x14ac:dyDescent="0.2">
      <c r="AL21123" s="177"/>
    </row>
    <row r="21124" spans="38:38" x14ac:dyDescent="0.2">
      <c r="AL21124" s="177"/>
    </row>
    <row r="21125" spans="38:38" x14ac:dyDescent="0.2">
      <c r="AL21125" s="177"/>
    </row>
    <row r="21126" spans="38:38" x14ac:dyDescent="0.2">
      <c r="AL21126" s="177"/>
    </row>
    <row r="21127" spans="38:38" x14ac:dyDescent="0.2">
      <c r="AL21127" s="177"/>
    </row>
    <row r="21128" spans="38:38" x14ac:dyDescent="0.2">
      <c r="AL21128" s="177"/>
    </row>
    <row r="21129" spans="38:38" x14ac:dyDescent="0.2">
      <c r="AL21129" s="177"/>
    </row>
    <row r="21130" spans="38:38" x14ac:dyDescent="0.2">
      <c r="AL21130" s="177"/>
    </row>
    <row r="21131" spans="38:38" x14ac:dyDescent="0.2">
      <c r="AL21131" s="177"/>
    </row>
    <row r="21132" spans="38:38" x14ac:dyDescent="0.2">
      <c r="AL21132" s="177"/>
    </row>
    <row r="21133" spans="38:38" x14ac:dyDescent="0.2">
      <c r="AL21133" s="177"/>
    </row>
    <row r="21134" spans="38:38" x14ac:dyDescent="0.2">
      <c r="AL21134" s="177"/>
    </row>
    <row r="21135" spans="38:38" x14ac:dyDescent="0.2">
      <c r="AL21135" s="177"/>
    </row>
    <row r="21136" spans="38:38" x14ac:dyDescent="0.2">
      <c r="AL21136" s="177"/>
    </row>
    <row r="21137" spans="38:38" x14ac:dyDescent="0.2">
      <c r="AL21137" s="177"/>
    </row>
    <row r="21138" spans="38:38" x14ac:dyDescent="0.2">
      <c r="AL21138" s="177"/>
    </row>
    <row r="21139" spans="38:38" x14ac:dyDescent="0.2">
      <c r="AL21139" s="177"/>
    </row>
    <row r="21140" spans="38:38" x14ac:dyDescent="0.2">
      <c r="AL21140" s="177"/>
    </row>
    <row r="21141" spans="38:38" x14ac:dyDescent="0.2">
      <c r="AL21141" s="177"/>
    </row>
    <row r="21142" spans="38:38" x14ac:dyDescent="0.2">
      <c r="AL21142" s="177"/>
    </row>
    <row r="21143" spans="38:38" x14ac:dyDescent="0.2">
      <c r="AL21143" s="177"/>
    </row>
    <row r="21144" spans="38:38" x14ac:dyDescent="0.2">
      <c r="AL21144" s="177"/>
    </row>
    <row r="21145" spans="38:38" x14ac:dyDescent="0.2">
      <c r="AL21145" s="177"/>
    </row>
    <row r="21146" spans="38:38" x14ac:dyDescent="0.2">
      <c r="AL21146" s="177"/>
    </row>
    <row r="21147" spans="38:38" x14ac:dyDescent="0.2">
      <c r="AL21147" s="177"/>
    </row>
    <row r="21148" spans="38:38" x14ac:dyDescent="0.2">
      <c r="AL21148" s="177"/>
    </row>
    <row r="21149" spans="38:38" x14ac:dyDescent="0.2">
      <c r="AL21149" s="177"/>
    </row>
    <row r="21150" spans="38:38" x14ac:dyDescent="0.2">
      <c r="AL21150" s="177"/>
    </row>
    <row r="21151" spans="38:38" x14ac:dyDescent="0.2">
      <c r="AL21151" s="177"/>
    </row>
    <row r="21152" spans="38:38" x14ac:dyDescent="0.2">
      <c r="AL21152" s="177"/>
    </row>
    <row r="21153" spans="38:38" x14ac:dyDescent="0.2">
      <c r="AL21153" s="177"/>
    </row>
    <row r="21154" spans="38:38" x14ac:dyDescent="0.2">
      <c r="AL21154" s="177"/>
    </row>
    <row r="21155" spans="38:38" x14ac:dyDescent="0.2">
      <c r="AL21155" s="177"/>
    </row>
    <row r="21156" spans="38:38" x14ac:dyDescent="0.2">
      <c r="AL21156" s="177"/>
    </row>
    <row r="21157" spans="38:38" x14ac:dyDescent="0.2">
      <c r="AL21157" s="177"/>
    </row>
    <row r="21158" spans="38:38" x14ac:dyDescent="0.2">
      <c r="AL21158" s="177"/>
    </row>
    <row r="21159" spans="38:38" x14ac:dyDescent="0.2">
      <c r="AL21159" s="177"/>
    </row>
    <row r="21160" spans="38:38" x14ac:dyDescent="0.2">
      <c r="AL21160" s="177"/>
    </row>
    <row r="21161" spans="38:38" x14ac:dyDescent="0.2">
      <c r="AL21161" s="177"/>
    </row>
    <row r="21162" spans="38:38" x14ac:dyDescent="0.2">
      <c r="AL21162" s="177"/>
    </row>
    <row r="21163" spans="38:38" x14ac:dyDescent="0.2">
      <c r="AL21163" s="177"/>
    </row>
    <row r="21164" spans="38:38" x14ac:dyDescent="0.2">
      <c r="AL21164" s="177"/>
    </row>
    <row r="21165" spans="38:38" x14ac:dyDescent="0.2">
      <c r="AL21165" s="177"/>
    </row>
    <row r="21166" spans="38:38" x14ac:dyDescent="0.2">
      <c r="AL21166" s="177"/>
    </row>
    <row r="21167" spans="38:38" x14ac:dyDescent="0.2">
      <c r="AL21167" s="177"/>
    </row>
    <row r="21168" spans="38:38" x14ac:dyDescent="0.2">
      <c r="AL21168" s="177"/>
    </row>
    <row r="21169" spans="38:38" x14ac:dyDescent="0.2">
      <c r="AL21169" s="177"/>
    </row>
    <row r="21170" spans="38:38" x14ac:dyDescent="0.2">
      <c r="AL21170" s="177"/>
    </row>
    <row r="21171" spans="38:38" x14ac:dyDescent="0.2">
      <c r="AL21171" s="177"/>
    </row>
  </sheetData>
  <sheetProtection formatCells="0" formatColumns="0" formatRows="0" insertColumns="0" insertRows="0" insertHyperlinks="0" deleteColumns="0" deleteRows="0" sort="0" autoFilter="0" pivotTables="0"/>
  <mergeCells count="3">
    <mergeCell ref="A1:A3"/>
    <mergeCell ref="B1:AI1"/>
    <mergeCell ref="AJ1:AY1"/>
  </mergeCells>
  <pageMargins left="0.75" right="0.75" top="1.7149999999999999" bottom="1" header="0.5" footer="0.5"/>
  <pageSetup paperSize="9" scale="84" orientation="landscape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Prod.</vt:lpstr>
      <vt:lpstr>'Daily Prod.'!Print_Area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Triet</dc:creator>
  <cp:lastModifiedBy>Le Minh Triet</cp:lastModifiedBy>
  <dcterms:created xsi:type="dcterms:W3CDTF">2025-08-16T06:54:25Z</dcterms:created>
  <dcterms:modified xsi:type="dcterms:W3CDTF">2025-08-16T07:00:42Z</dcterms:modified>
</cp:coreProperties>
</file>