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cellimages.xml" ContentType="application/vnd.wps-officedocument.cellimag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低桩承台桩内力计 算" sheetId="5" r:id="rId1"/>
    <sheet name="数据库(勿改）" sheetId="6" r:id="rId2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7" name="ID_588A8BE349DD4BA8822D30F9A2354BDE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172200" y="5829300"/>
          <a:ext cx="552450" cy="342900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9" name="ID_9A8A882FC69549499792F0A559BBFBD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172200" y="6210300"/>
          <a:ext cx="524510" cy="334010"/>
        </a:xfrm>
        <a:prstGeom prst="rect">
          <a:avLst/>
        </a:prstGeom>
        <a:noFill/>
        <a:ln w="9525">
          <a:noFill/>
        </a:ln>
      </xdr:spPr>
    </xdr:pic>
  </etc:cellImage>
  <etc:cellImage>
    <xdr:pic>
      <xdr:nvPicPr>
        <xdr:cNvPr id="10" name="ID_4FB2F1711CC84DA7BA704B8D8CA60EE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6172200" y="6578600"/>
          <a:ext cx="524510" cy="342900"/>
        </a:xfrm>
        <a:prstGeom prst="rect">
          <a:avLst/>
        </a:prstGeom>
        <a:noFill/>
        <a:ln w="9525">
          <a:noFill/>
        </a:ln>
      </xdr:spPr>
    </xdr:pic>
  </etc:cellImage>
</etc:cellImages>
</file>

<file path=xl/sharedStrings.xml><?xml version="1.0" encoding="utf-8"?>
<sst xmlns="http://schemas.openxmlformats.org/spreadsheetml/2006/main" count="148" uniqueCount="125">
  <si>
    <t>承台长L</t>
  </si>
  <si>
    <t>m</t>
  </si>
  <si>
    <t>下压力+承台重</t>
  </si>
  <si>
    <t>kN</t>
  </si>
  <si>
    <t>影响深度hm</t>
  </si>
  <si>
    <t>承台宽B</t>
  </si>
  <si>
    <t>水平荷载</t>
  </si>
  <si>
    <t>配筋率</t>
  </si>
  <si>
    <t>承台埋深hn</t>
  </si>
  <si>
    <t>承台弯矩</t>
  </si>
  <si>
    <t>kN*m</t>
  </si>
  <si>
    <t>钢筋弹性模量Es</t>
  </si>
  <si>
    <t>Mpa</t>
  </si>
  <si>
    <t>承台效应系数ηc</t>
  </si>
  <si>
    <t>混凝土弹性模量Ec</t>
  </si>
  <si>
    <t>承台底部摩擦系数</t>
  </si>
  <si>
    <t>钢筋与混凝土弹性模量比值e</t>
  </si>
  <si>
    <t>扣除保护层桩径d0</t>
  </si>
  <si>
    <t>截面模量Wo</t>
  </si>
  <si>
    <t>截面惯性矩Io</t>
  </si>
  <si>
    <t>桩径</t>
  </si>
  <si>
    <t>说明：灰色填充框为需要输入的项，
橙色填充框为中间参数，
蓝色填充框为计算结果
桩数目只支持n*n方式</t>
  </si>
  <si>
    <t>抗弯刚度EI</t>
  </si>
  <si>
    <t>保护层</t>
  </si>
  <si>
    <t>计算宽度Bo</t>
  </si>
  <si>
    <t>桩埋深</t>
  </si>
  <si>
    <t>水平变形系数α</t>
  </si>
  <si>
    <t>混凝土等级</t>
  </si>
  <si>
    <t>C30</t>
  </si>
  <si>
    <t>桩底面地基竖向抗力系数 C0</t>
  </si>
  <si>
    <t>主筋等级</t>
  </si>
  <si>
    <t>HRB400</t>
  </si>
  <si>
    <t>主筋直径</t>
  </si>
  <si>
    <t>mm</t>
  </si>
  <si>
    <t>αh</t>
  </si>
  <si>
    <t>主筋数目</t>
  </si>
  <si>
    <t>B3D4-B4D3</t>
  </si>
  <si>
    <t>桩类型</t>
  </si>
  <si>
    <t>摩擦桩</t>
  </si>
  <si>
    <t>A3B4-A4B3</t>
  </si>
  <si>
    <t>支撑类型</t>
  </si>
  <si>
    <t>非岩石类土中</t>
  </si>
  <si>
    <t>B2D4-B4D2</t>
  </si>
  <si>
    <t>桩数目</t>
  </si>
  <si>
    <t>A2B4-A4B2</t>
  </si>
  <si>
    <t>桩间距s</t>
  </si>
  <si>
    <t>A3D4-A4D3</t>
  </si>
  <si>
    <t>A2D4-A4D2</t>
  </si>
  <si>
    <t>A3C4-A4C3</t>
  </si>
  <si>
    <t>A2C4-A4C2</t>
  </si>
  <si>
    <t>m值</t>
  </si>
  <si>
    <t>MN/m^4</t>
  </si>
  <si>
    <t>内摩擦角</t>
  </si>
  <si>
    <t>°</t>
  </si>
  <si>
    <t>Kh</t>
  </si>
  <si>
    <t>δHH</t>
  </si>
  <si>
    <t>δMH=δHM</t>
  </si>
  <si>
    <t>桩号</t>
  </si>
  <si>
    <t>x</t>
  </si>
  <si>
    <t>y</t>
  </si>
  <si>
    <t>0.拔/1.压</t>
  </si>
  <si>
    <t>ρNN</t>
  </si>
  <si>
    <t>N</t>
  </si>
  <si>
    <t>H</t>
  </si>
  <si>
    <t>M</t>
  </si>
  <si>
    <t>δMM</t>
  </si>
  <si>
    <t>ξN</t>
  </si>
  <si>
    <t>A0</t>
  </si>
  <si>
    <t>EA</t>
  </si>
  <si>
    <t>ρHH</t>
  </si>
  <si>
    <t>ρMH</t>
  </si>
  <si>
    <t>ρHM</t>
  </si>
  <si>
    <t>ρMM</t>
  </si>
  <si>
    <t>B0</t>
  </si>
  <si>
    <t>Cn</t>
  </si>
  <si>
    <t>Cb</t>
  </si>
  <si>
    <t>Fc</t>
  </si>
  <si>
    <t>Sc</t>
  </si>
  <si>
    <t>Ic</t>
  </si>
  <si>
    <t>Σki*x^2</t>
  </si>
  <si>
    <t>Ib</t>
  </si>
  <si>
    <t>Ab</t>
  </si>
  <si>
    <t>γVV</t>
  </si>
  <si>
    <t>γUV</t>
  </si>
  <si>
    <t>γUU</t>
  </si>
  <si>
    <t>γβU</t>
  </si>
  <si>
    <t>γUβ</t>
  </si>
  <si>
    <t>γββ</t>
  </si>
  <si>
    <t>V</t>
  </si>
  <si>
    <t>U</t>
  </si>
  <si>
    <t>β</t>
  </si>
  <si>
    <t>ay</t>
  </si>
  <si>
    <t>A3</t>
  </si>
  <si>
    <t>B3</t>
  </si>
  <si>
    <t>C3</t>
  </si>
  <si>
    <t>D3</t>
  </si>
  <si>
    <t>A4</t>
  </si>
  <si>
    <t>B4</t>
  </si>
  <si>
    <t>C4</t>
  </si>
  <si>
    <t>D4</t>
  </si>
  <si>
    <t>Af</t>
  </si>
  <si>
    <t>Bf</t>
  </si>
  <si>
    <t>Cf</t>
  </si>
  <si>
    <t>∞</t>
  </si>
  <si>
    <t>C15</t>
  </si>
  <si>
    <t>HPB235</t>
  </si>
  <si>
    <t>C20</t>
  </si>
  <si>
    <t>HRB335</t>
  </si>
  <si>
    <t>C25</t>
  </si>
  <si>
    <t>RRB400</t>
  </si>
  <si>
    <t>C35</t>
  </si>
  <si>
    <t>HPB300</t>
  </si>
  <si>
    <t>C40</t>
  </si>
  <si>
    <t>HRB500</t>
  </si>
  <si>
    <t>C45</t>
  </si>
  <si>
    <t>HRBF335</t>
  </si>
  <si>
    <t>C50</t>
  </si>
  <si>
    <t>HRBF400</t>
  </si>
  <si>
    <t>C55</t>
  </si>
  <si>
    <t>HRBF500</t>
  </si>
  <si>
    <t>C60</t>
  </si>
  <si>
    <t>C65</t>
  </si>
  <si>
    <t>C70</t>
  </si>
  <si>
    <t>C75</t>
  </si>
  <si>
    <t>C80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</si>
</sst>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15" fillId="17" borderId="13" applyNumberFormat="0" applyAlignment="0" applyProtection="0">
      <alignment vertical="center"/>
    </xf>
    <xf numFmtId="0" fontId="6" fillId="8" borderId="1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5" borderId="0" xfId="0" applyFill="1">
      <alignment vertical="center"/>
    </xf>
    <xf numFmtId="0" fontId="0" fillId="3" borderId="1" xfId="0" applyFill="1" applyBorder="1" applyAlignment="1">
      <alignment horizontal="right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4" Type="http://schemas.openxmlformats.org/officeDocument/2006/relationships/image" Target="media/image4.png"/><Relationship Id="rId3" Type="http://schemas.openxmlformats.org/officeDocument/2006/relationships/image" Target="media/image3.png"/><Relationship Id="rId2" Type="http://schemas.openxmlformats.org/officeDocument/2006/relationships/image" Target="NULL" TargetMode="External"/><Relationship Id="rId1" Type="http://schemas.openxmlformats.org/officeDocument/2006/relationships/image" Target="media/image2.png"/></Relationships>
</file>

<file path=xl/_rels/workbook.xml.rels><?xml version="1.0" encoding="UTF-8" standalone="yes"?>
<Relationships xmlns="http://schemas.openxmlformats.org/package/2006/relationships"><Relationship Id="rId6" Type="http://www.wps.cn/officeDocument/2020/cellImage" Target="cellimages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r:id="rId1" ax:persistence="persistStreamInit"/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NULL" TargetMode="External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26670</xdr:colOff>
      <xdr:row>4</xdr:row>
      <xdr:rowOff>8890</xdr:rowOff>
    </xdr:to>
    <xdr:sp>
      <xdr:nvSpPr>
        <xdr:cNvPr id="2" name="Text Box 334"/>
        <xdr:cNvSpPr txBox="1"/>
      </xdr:nvSpPr>
      <xdr:spPr>
        <a:xfrm>
          <a:off x="685800" y="171450"/>
          <a:ext cx="15707360" cy="523240"/>
        </a:xfrm>
        <a:prstGeom prst="rect">
          <a:avLst/>
        </a:prstGeom>
        <a:solidFill>
          <a:srgbClr val="92D050"/>
        </a:solidFill>
        <a:ln w="9525">
          <a:noFill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800" b="1" u="dbl">
              <a:solidFill>
                <a:srgbClr val="000000"/>
              </a:solidFill>
              <a:latin typeface="华文隶书" panose="02010800040101010101" charset="-122"/>
              <a:ea typeface="华文隶书" panose="02010800040101010101" charset="-122"/>
              <a:cs typeface="华文隶书" panose="02010800040101010101" charset="-122"/>
              <a:sym typeface="华文隶书" panose="02010800040101010101" charset="-122"/>
            </a:rPr>
            <a:t>低桩承台桩内力计 算</a:t>
          </a:r>
          <a:endParaRPr lang="zh-CN" altLang="en-US" sz="1800" b="1" u="dbl">
            <a:solidFill>
              <a:srgbClr val="000000"/>
            </a:solidFill>
            <a:latin typeface="华文隶书" panose="02010800040101010101" charset="-122"/>
            <a:ea typeface="华文隶书" panose="02010800040101010101" charset="-122"/>
            <a:cs typeface="华文隶书" panose="02010800040101010101" charset="-122"/>
            <a:sym typeface="华文隶书" panose="02010800040101010101" charset="-122"/>
          </a:endParaRPr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10795</xdr:colOff>
      <xdr:row>7</xdr:row>
      <xdr:rowOff>19050</xdr:rowOff>
    </xdr:to>
    <xdr:sp>
      <xdr:nvSpPr>
        <xdr:cNvPr id="3" name="Text Box 426"/>
        <xdr:cNvSpPr txBox="1"/>
      </xdr:nvSpPr>
      <xdr:spPr>
        <a:xfrm>
          <a:off x="685800" y="857250"/>
          <a:ext cx="6095365" cy="361950"/>
        </a:xfrm>
        <a:prstGeom prst="rect">
          <a:avLst/>
        </a:prstGeom>
        <a:solidFill>
          <a:schemeClr val="bg1">
            <a:lumMod val="65000"/>
          </a:schemeClr>
        </a:solidFill>
        <a:ln w="9525">
          <a:noFill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承台信息</a:t>
          </a:r>
          <a:endParaRPr lang="zh-CN" altLang="en-US" sz="1200" b="1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8</xdr:col>
      <xdr:colOff>1905</xdr:colOff>
      <xdr:row>15</xdr:row>
      <xdr:rowOff>0</xdr:rowOff>
    </xdr:to>
    <xdr:sp>
      <xdr:nvSpPr>
        <xdr:cNvPr id="4" name="Text Box 426"/>
        <xdr:cNvSpPr txBox="1"/>
      </xdr:nvSpPr>
      <xdr:spPr>
        <a:xfrm>
          <a:off x="685800" y="2228850"/>
          <a:ext cx="6086475" cy="342900"/>
        </a:xfrm>
        <a:prstGeom prst="rect">
          <a:avLst/>
        </a:prstGeom>
        <a:solidFill>
          <a:schemeClr val="bg1">
            <a:lumMod val="75000"/>
          </a:schemeClr>
        </a:solidFill>
        <a:ln w="9525">
          <a:noFill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桩信息</a:t>
          </a:r>
          <a:endParaRPr lang="zh-CN" altLang="en-US" sz="1200" b="1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9</xdr:col>
      <xdr:colOff>0</xdr:colOff>
      <xdr:row>5</xdr:row>
      <xdr:rowOff>0</xdr:rowOff>
    </xdr:from>
    <xdr:to>
      <xdr:col>14</xdr:col>
      <xdr:colOff>7620</xdr:colOff>
      <xdr:row>7</xdr:row>
      <xdr:rowOff>0</xdr:rowOff>
    </xdr:to>
    <xdr:sp>
      <xdr:nvSpPr>
        <xdr:cNvPr id="5" name="Text Box 426"/>
        <xdr:cNvSpPr txBox="1"/>
      </xdr:nvSpPr>
      <xdr:spPr>
        <a:xfrm>
          <a:off x="7821930" y="857250"/>
          <a:ext cx="3798570" cy="342900"/>
        </a:xfrm>
        <a:prstGeom prst="rect">
          <a:avLst/>
        </a:prstGeom>
        <a:solidFill>
          <a:schemeClr val="bg1">
            <a:lumMod val="65000"/>
          </a:schemeClr>
        </a:solidFill>
        <a:ln w="9525">
          <a:noFill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荷载信息</a:t>
          </a:r>
          <a:endParaRPr lang="zh-CN" altLang="en-US" sz="1200" b="1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8</xdr:col>
      <xdr:colOff>17780</xdr:colOff>
      <xdr:row>29</xdr:row>
      <xdr:rowOff>19050</xdr:rowOff>
    </xdr:to>
    <xdr:sp>
      <xdr:nvSpPr>
        <xdr:cNvPr id="6" name="Text Box 426"/>
        <xdr:cNvSpPr txBox="1"/>
      </xdr:nvSpPr>
      <xdr:spPr>
        <a:xfrm>
          <a:off x="685800" y="4629150"/>
          <a:ext cx="6102350" cy="361950"/>
        </a:xfrm>
        <a:prstGeom prst="rect">
          <a:avLst/>
        </a:prstGeom>
        <a:solidFill>
          <a:schemeClr val="bg1">
            <a:lumMod val="75000"/>
          </a:schemeClr>
        </a:solidFill>
        <a:ln w="9525">
          <a:noFill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土壤信息</a:t>
          </a:r>
          <a:endParaRPr lang="zh-CN" altLang="en-US" sz="1200" b="1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15</xdr:col>
      <xdr:colOff>28575</xdr:colOff>
      <xdr:row>4</xdr:row>
      <xdr:rowOff>142875</xdr:rowOff>
    </xdr:from>
    <xdr:to>
      <xdr:col>20</xdr:col>
      <xdr:colOff>45720</xdr:colOff>
      <xdr:row>6</xdr:row>
      <xdr:rowOff>161925</xdr:rowOff>
    </xdr:to>
    <xdr:sp>
      <xdr:nvSpPr>
        <xdr:cNvPr id="8" name="Text Box 426"/>
        <xdr:cNvSpPr txBox="1"/>
      </xdr:nvSpPr>
      <xdr:spPr>
        <a:xfrm>
          <a:off x="12327255" y="828675"/>
          <a:ext cx="4084955" cy="361950"/>
        </a:xfrm>
        <a:prstGeom prst="rect">
          <a:avLst/>
        </a:prstGeom>
        <a:solidFill>
          <a:srgbClr val="92D050"/>
        </a:solidFill>
        <a:ln w="9525">
          <a:noFill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中间参数</a:t>
          </a:r>
          <a:endParaRPr lang="zh-CN" altLang="en-US" sz="1200" b="1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 editAs="oneCell">
    <xdr:from>
      <xdr:col>0</xdr:col>
      <xdr:colOff>676275</xdr:colOff>
      <xdr:row>32</xdr:row>
      <xdr:rowOff>19050</xdr:rowOff>
    </xdr:from>
    <xdr:to>
      <xdr:col>10</xdr:col>
      <xdr:colOff>17780</xdr:colOff>
      <xdr:row>34</xdr:row>
      <xdr:rowOff>161925</xdr:rowOff>
    </xdr:to>
    <xdr:sp>
      <xdr:nvSpPr>
        <xdr:cNvPr id="12" name="Text Box 426"/>
        <xdr:cNvSpPr txBox="1"/>
      </xdr:nvSpPr>
      <xdr:spPr>
        <a:xfrm>
          <a:off x="676275" y="6217285"/>
          <a:ext cx="7849235" cy="485775"/>
        </a:xfrm>
        <a:prstGeom prst="rect">
          <a:avLst/>
        </a:prstGeom>
        <a:solidFill>
          <a:srgbClr val="92D050"/>
        </a:solidFill>
        <a:ln w="9525">
          <a:noFill/>
        </a:ln>
      </xdr:spPr>
      <xdr:txBody>
        <a:bodyPr vertOverflow="clip" vert="horz" wrap="square" lIns="27432" tIns="18288" rIns="27432" bIns="18288" anchor="ctr" anchorCtr="0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桩位信息</a:t>
          </a:r>
          <a:r>
            <a:rPr lang="en-US" altLang="zh-CN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&amp;</a:t>
          </a:r>
          <a:r>
            <a:rPr lang="zh-CN" altLang="en-US" sz="1200" b="1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计算结果</a:t>
          </a:r>
          <a:endParaRPr lang="en-US" altLang="zh-CN" sz="1200" b="1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32</xdr:row>
          <xdr:rowOff>114300</xdr:rowOff>
        </xdr:from>
        <xdr:to>
          <xdr:col>9</xdr:col>
          <xdr:colOff>481965</xdr:colOff>
          <xdr:row>34</xdr:row>
          <xdr:rowOff>57150</xdr:rowOff>
        </xdr:to>
        <xdr:sp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7198995" y="6312535"/>
              <a:ext cx="11049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20</xdr:col>
      <xdr:colOff>0</xdr:colOff>
      <xdr:row>0</xdr:row>
      <xdr:rowOff>0</xdr:rowOff>
    </xdr:from>
    <xdr:to>
      <xdr:col>20</xdr:col>
      <xdr:colOff>552450</xdr:colOff>
      <xdr:row>0</xdr:row>
      <xdr:rowOff>342900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090140" y="0"/>
          <a:ext cx="55245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524510</xdr:colOff>
      <xdr:row>0</xdr:row>
      <xdr:rowOff>334010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5775940" y="0"/>
          <a:ext cx="524510" cy="3340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524510</xdr:colOff>
      <xdr:row>0</xdr:row>
      <xdr:rowOff>342900</xdr:rowOff>
    </xdr:to>
    <xdr:pic>
      <xdr:nvPicPr>
        <xdr:cNvPr id="4" name="图片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16461740" y="0"/>
          <a:ext cx="524510" cy="342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B5:U62"/>
  <sheetViews>
    <sheetView tabSelected="1" topLeftCell="B1" workbookViewId="0">
      <selection activeCell="I12" sqref="I12"/>
    </sheetView>
  </sheetViews>
  <sheetFormatPr defaultColWidth="9" defaultRowHeight="13.5"/>
  <cols>
    <col min="5" max="5" width="13.75"/>
    <col min="6" max="6" width="12.6333333333333"/>
    <col min="7" max="7" width="13.75"/>
    <col min="8" max="8" width="12.7166666666667" customWidth="1"/>
    <col min="9" max="9" width="13.8" customWidth="1"/>
    <col min="13" max="13" width="13.75"/>
    <col min="19" max="19" width="13.75"/>
    <col min="20" max="20" width="12.6333333333333"/>
    <col min="21" max="21" width="15.55" customWidth="1"/>
    <col min="22" max="23" width="12.6333333333333"/>
  </cols>
  <sheetData>
    <row r="5" spans="2:10">
      <c r="B5" s="6"/>
      <c r="C5" s="6"/>
      <c r="D5" s="6"/>
      <c r="E5" s="6"/>
      <c r="F5" s="6"/>
      <c r="G5" s="6"/>
      <c r="H5" s="6"/>
      <c r="I5" s="6"/>
      <c r="J5" s="6"/>
    </row>
    <row r="6" spans="2:10">
      <c r="B6" s="6"/>
      <c r="C6" s="6"/>
      <c r="D6" s="6"/>
      <c r="E6" s="6"/>
      <c r="F6" s="6"/>
      <c r="G6" s="6"/>
      <c r="H6" s="6"/>
      <c r="I6" s="6"/>
      <c r="J6" s="6"/>
    </row>
    <row r="7" spans="2:10">
      <c r="B7" s="6"/>
      <c r="C7" s="6"/>
      <c r="D7" s="6"/>
      <c r="E7" s="6"/>
      <c r="F7" s="6"/>
      <c r="G7" s="6"/>
      <c r="H7" s="6"/>
      <c r="I7" s="6"/>
      <c r="J7" s="6"/>
    </row>
    <row r="8" spans="2:20">
      <c r="B8" s="7" t="s">
        <v>0</v>
      </c>
      <c r="C8" s="7"/>
      <c r="D8" s="8">
        <v>8</v>
      </c>
      <c r="E8" s="8"/>
      <c r="F8" s="8"/>
      <c r="G8" s="8"/>
      <c r="H8" s="9" t="s">
        <v>1</v>
      </c>
      <c r="I8" s="6"/>
      <c r="J8" s="10" t="s">
        <v>2</v>
      </c>
      <c r="K8" s="12"/>
      <c r="L8" s="8">
        <v>0</v>
      </c>
      <c r="M8" s="8"/>
      <c r="N8" s="18" t="s">
        <v>3</v>
      </c>
      <c r="P8" s="10" t="s">
        <v>4</v>
      </c>
      <c r="Q8" s="12"/>
      <c r="R8" s="12"/>
      <c r="S8" s="30">
        <f>2*(D16+1)</f>
        <v>4</v>
      </c>
      <c r="T8" s="18" t="s">
        <v>1</v>
      </c>
    </row>
    <row r="9" spans="2:20">
      <c r="B9" s="7" t="s">
        <v>5</v>
      </c>
      <c r="C9" s="7"/>
      <c r="D9" s="8">
        <v>8</v>
      </c>
      <c r="E9" s="8"/>
      <c r="F9" s="8"/>
      <c r="G9" s="8"/>
      <c r="H9" s="9" t="s">
        <v>1</v>
      </c>
      <c r="I9" s="6"/>
      <c r="J9" s="10" t="s">
        <v>6</v>
      </c>
      <c r="K9" s="12"/>
      <c r="L9" s="8">
        <v>0</v>
      </c>
      <c r="M9" s="8"/>
      <c r="N9" s="18" t="s">
        <v>3</v>
      </c>
      <c r="P9" s="19" t="s">
        <v>7</v>
      </c>
      <c r="Q9" s="29"/>
      <c r="R9" s="29"/>
      <c r="S9" s="30">
        <f>D22*D21*D21/(D16*D16*1000000)</f>
        <v>0.008</v>
      </c>
      <c r="T9" s="29"/>
    </row>
    <row r="10" spans="2:20">
      <c r="B10" s="7" t="s">
        <v>8</v>
      </c>
      <c r="C10" s="7"/>
      <c r="D10" s="8">
        <v>2.3</v>
      </c>
      <c r="E10" s="8"/>
      <c r="F10" s="8"/>
      <c r="G10" s="8"/>
      <c r="H10" s="9" t="s">
        <v>1</v>
      </c>
      <c r="I10" s="6"/>
      <c r="J10" s="10" t="s">
        <v>9</v>
      </c>
      <c r="K10" s="12"/>
      <c r="L10" s="8">
        <v>2474.09</v>
      </c>
      <c r="M10" s="8"/>
      <c r="N10" s="18" t="s">
        <v>10</v>
      </c>
      <c r="P10" s="10" t="s">
        <v>11</v>
      </c>
      <c r="Q10" s="12"/>
      <c r="R10" s="12"/>
      <c r="S10" s="30">
        <f>VLOOKUP(D20,'数据库(勿改）'!D32:E40,2,0)</f>
        <v>200000</v>
      </c>
      <c r="T10" s="18" t="s">
        <v>12</v>
      </c>
    </row>
    <row r="11" spans="2:20">
      <c r="B11" s="7" t="s">
        <v>13</v>
      </c>
      <c r="C11" s="7"/>
      <c r="D11" s="8">
        <v>0</v>
      </c>
      <c r="E11" s="8"/>
      <c r="F11" s="8"/>
      <c r="G11" s="8"/>
      <c r="H11" s="9"/>
      <c r="I11" s="6"/>
      <c r="J11" s="10"/>
      <c r="K11" s="12"/>
      <c r="L11" s="12"/>
      <c r="M11" s="12"/>
      <c r="N11" s="12"/>
      <c r="P11" s="19" t="s">
        <v>14</v>
      </c>
      <c r="Q11" s="29"/>
      <c r="R11" s="29"/>
      <c r="S11" s="30">
        <f>VLOOKUP(D19,'数据库(勿改）'!A32:B45,2)</f>
        <v>30000</v>
      </c>
      <c r="T11" s="31" t="s">
        <v>12</v>
      </c>
    </row>
    <row r="12" spans="2:20">
      <c r="B12" s="7" t="s">
        <v>15</v>
      </c>
      <c r="C12" s="7"/>
      <c r="D12" s="8">
        <v>0</v>
      </c>
      <c r="E12" s="8"/>
      <c r="F12" s="8"/>
      <c r="G12" s="8"/>
      <c r="H12" s="9"/>
      <c r="I12" s="6"/>
      <c r="J12" s="6"/>
      <c r="P12" s="10" t="s">
        <v>16</v>
      </c>
      <c r="Q12" s="12"/>
      <c r="R12" s="12"/>
      <c r="S12" s="30">
        <f>S10/S11</f>
        <v>6.66666666666667</v>
      </c>
      <c r="T12" s="12"/>
    </row>
    <row r="13" spans="2:20">
      <c r="B13" s="10"/>
      <c r="C13" s="10"/>
      <c r="D13" s="10"/>
      <c r="E13" s="10"/>
      <c r="F13" s="10"/>
      <c r="G13" s="10"/>
      <c r="H13" s="10"/>
      <c r="I13" s="6"/>
      <c r="J13" s="6"/>
      <c r="P13" s="19" t="s">
        <v>17</v>
      </c>
      <c r="Q13" s="29"/>
      <c r="R13" s="29"/>
      <c r="S13" s="30">
        <f>D16-2*D17-2*8*0.001</f>
        <v>0.864</v>
      </c>
      <c r="T13" s="29"/>
    </row>
    <row r="14" spans="2:20">
      <c r="B14" s="6"/>
      <c r="C14" s="6"/>
      <c r="D14" s="6"/>
      <c r="E14" s="6"/>
      <c r="F14" s="6"/>
      <c r="G14" s="6"/>
      <c r="H14" s="6"/>
      <c r="I14" s="6"/>
      <c r="P14" s="10" t="s">
        <v>18</v>
      </c>
      <c r="Q14" s="12"/>
      <c r="R14" s="12"/>
      <c r="S14" s="30">
        <f>PI()*D16*(POWER(D16,2)+2*(S12-1)*S9*S13*S13)/32</f>
        <v>0.104819465081695</v>
      </c>
      <c r="T14" s="12"/>
    </row>
    <row r="15" spans="2:20">
      <c r="B15" s="6"/>
      <c r="C15" s="6"/>
      <c r="D15" s="6"/>
      <c r="E15" s="6"/>
      <c r="F15" s="6"/>
      <c r="G15" s="6"/>
      <c r="H15" s="6"/>
      <c r="I15" s="6"/>
      <c r="P15" s="19" t="s">
        <v>19</v>
      </c>
      <c r="Q15" s="29"/>
      <c r="R15" s="29"/>
      <c r="S15" s="30">
        <f>S14*D16/2</f>
        <v>0.0524097325408473</v>
      </c>
      <c r="T15" s="29"/>
    </row>
    <row r="16" spans="2:20">
      <c r="B16" s="11" t="s">
        <v>20</v>
      </c>
      <c r="C16" s="11"/>
      <c r="D16" s="8">
        <v>1</v>
      </c>
      <c r="E16" s="8"/>
      <c r="F16" s="8"/>
      <c r="G16" s="8"/>
      <c r="H16" s="9" t="s">
        <v>1</v>
      </c>
      <c r="I16" s="6"/>
      <c r="J16" s="20" t="s">
        <v>21</v>
      </c>
      <c r="K16" s="21"/>
      <c r="L16" s="21"/>
      <c r="M16" s="21"/>
      <c r="N16" s="22"/>
      <c r="P16" s="10" t="s">
        <v>22</v>
      </c>
      <c r="Q16" s="12"/>
      <c r="R16" s="12"/>
      <c r="S16" s="30">
        <f>0.85*S11*S15</f>
        <v>1336.44817979161</v>
      </c>
      <c r="T16" s="12"/>
    </row>
    <row r="17" spans="2:20">
      <c r="B17" s="11" t="s">
        <v>23</v>
      </c>
      <c r="C17" s="11"/>
      <c r="D17" s="8">
        <v>0.06</v>
      </c>
      <c r="E17" s="8"/>
      <c r="F17" s="8"/>
      <c r="G17" s="8"/>
      <c r="H17" s="9" t="s">
        <v>1</v>
      </c>
      <c r="I17" s="6"/>
      <c r="J17" s="23"/>
      <c r="K17" s="24"/>
      <c r="L17" s="24"/>
      <c r="M17" s="24"/>
      <c r="N17" s="25"/>
      <c r="P17" s="19" t="s">
        <v>24</v>
      </c>
      <c r="Q17" s="29"/>
      <c r="R17" s="29"/>
      <c r="S17" s="30">
        <f>IF(D16&gt;1,0.9*(D16+1),0.9*(1.5*D16+0.5))</f>
        <v>1.8</v>
      </c>
      <c r="T17" s="31" t="s">
        <v>1</v>
      </c>
    </row>
    <row r="18" spans="2:20">
      <c r="B18" s="11" t="s">
        <v>25</v>
      </c>
      <c r="C18" s="11"/>
      <c r="D18" s="8">
        <v>15.5</v>
      </c>
      <c r="E18" s="8"/>
      <c r="F18" s="8"/>
      <c r="G18" s="8"/>
      <c r="H18" s="9" t="s">
        <v>1</v>
      </c>
      <c r="I18" s="6"/>
      <c r="J18" s="23"/>
      <c r="K18" s="24"/>
      <c r="L18" s="24"/>
      <c r="M18" s="24"/>
      <c r="N18" s="25"/>
      <c r="P18" s="10" t="s">
        <v>26</v>
      </c>
      <c r="Q18" s="12"/>
      <c r="R18" s="12"/>
      <c r="S18" s="30">
        <f>POWER(C30*S17/(S16),0.2)</f>
        <v>0.404093694417312</v>
      </c>
      <c r="T18" s="12"/>
    </row>
    <row r="19" spans="2:20">
      <c r="B19" s="11" t="s">
        <v>27</v>
      </c>
      <c r="C19" s="11"/>
      <c r="D19" s="8" t="s">
        <v>28</v>
      </c>
      <c r="E19" s="8"/>
      <c r="F19" s="8"/>
      <c r="G19" s="8"/>
      <c r="H19" s="12"/>
      <c r="I19" s="6"/>
      <c r="J19" s="23"/>
      <c r="K19" s="24"/>
      <c r="L19" s="24"/>
      <c r="M19" s="24"/>
      <c r="N19" s="25"/>
      <c r="P19" s="19" t="s">
        <v>29</v>
      </c>
      <c r="Q19" s="29"/>
      <c r="R19" s="29"/>
      <c r="S19" s="30">
        <f>IF(D18&lt;10,10*C30,D18*C30)*1000</f>
        <v>124000</v>
      </c>
      <c r="T19" s="29"/>
    </row>
    <row r="20" spans="2:20">
      <c r="B20" s="11" t="s">
        <v>30</v>
      </c>
      <c r="C20" s="11"/>
      <c r="D20" s="13" t="s">
        <v>31</v>
      </c>
      <c r="E20" s="13"/>
      <c r="F20" s="13"/>
      <c r="G20" s="13"/>
      <c r="H20" s="10"/>
      <c r="I20" s="6"/>
      <c r="J20" s="23"/>
      <c r="K20" s="24"/>
      <c r="L20" s="24"/>
      <c r="M20" s="24"/>
      <c r="N20" s="25"/>
      <c r="P20" s="10"/>
      <c r="Q20" s="12"/>
      <c r="R20" s="12"/>
      <c r="S20" s="30"/>
      <c r="T20" s="12"/>
    </row>
    <row r="21" spans="2:20">
      <c r="B21" s="11" t="s">
        <v>32</v>
      </c>
      <c r="C21" s="11"/>
      <c r="D21" s="8">
        <v>20</v>
      </c>
      <c r="E21" s="8"/>
      <c r="F21" s="8"/>
      <c r="G21" s="8"/>
      <c r="H21" s="9" t="s">
        <v>33</v>
      </c>
      <c r="I21" s="6"/>
      <c r="J21" s="23"/>
      <c r="K21" s="24"/>
      <c r="L21" s="24"/>
      <c r="M21" s="24"/>
      <c r="N21" s="25"/>
      <c r="P21" s="10" t="s">
        <v>34</v>
      </c>
      <c r="Q21" s="12"/>
      <c r="R21" s="12"/>
      <c r="S21" s="30">
        <f>S18*D18</f>
        <v>6.26345226346833</v>
      </c>
      <c r="T21" s="12"/>
    </row>
    <row r="22" spans="2:20">
      <c r="B22" s="11" t="s">
        <v>35</v>
      </c>
      <c r="C22" s="11"/>
      <c r="D22" s="8">
        <v>20</v>
      </c>
      <c r="E22" s="8"/>
      <c r="F22" s="8"/>
      <c r="G22" s="8"/>
      <c r="H22" s="10"/>
      <c r="I22" s="6"/>
      <c r="J22" s="23"/>
      <c r="K22" s="24"/>
      <c r="L22" s="24"/>
      <c r="M22" s="24"/>
      <c r="N22" s="25"/>
      <c r="P22" s="19" t="s">
        <v>36</v>
      </c>
      <c r="Q22" s="29"/>
      <c r="R22" s="29"/>
      <c r="S22" s="30">
        <f>IF(D24="嵌固岩层",0,GetInsertValue(S21,'数据库(勿改）'!A2:A29,'数据库(勿改）'!J2:J29))</f>
        <v>266.061</v>
      </c>
      <c r="T22" s="29"/>
    </row>
    <row r="23" spans="2:20">
      <c r="B23" s="11" t="s">
        <v>37</v>
      </c>
      <c r="C23" s="11"/>
      <c r="D23" s="8" t="s">
        <v>38</v>
      </c>
      <c r="E23" s="8"/>
      <c r="F23" s="8"/>
      <c r="G23" s="8"/>
      <c r="H23" s="10"/>
      <c r="I23" s="6"/>
      <c r="J23" s="23"/>
      <c r="K23" s="24"/>
      <c r="L23" s="24"/>
      <c r="M23" s="24"/>
      <c r="N23" s="25"/>
      <c r="P23" s="10" t="s">
        <v>39</v>
      </c>
      <c r="Q23" s="12"/>
      <c r="R23" s="12"/>
      <c r="S23" s="30">
        <f>IF(D24="嵌固岩层",0,GetInsertValue(S21,'数据库(勿改）'!A2:A29,'数据库(勿改）'!K2:K29))</f>
        <v>109.012</v>
      </c>
      <c r="T23" s="12"/>
    </row>
    <row r="24" spans="2:20">
      <c r="B24" s="11" t="s">
        <v>40</v>
      </c>
      <c r="C24" s="11"/>
      <c r="D24" s="8" t="s">
        <v>41</v>
      </c>
      <c r="E24" s="8"/>
      <c r="F24" s="8"/>
      <c r="G24" s="8"/>
      <c r="H24" s="10"/>
      <c r="I24" s="6"/>
      <c r="J24" s="23"/>
      <c r="K24" s="24"/>
      <c r="L24" s="24"/>
      <c r="M24" s="24"/>
      <c r="N24" s="25"/>
      <c r="P24" s="19" t="s">
        <v>42</v>
      </c>
      <c r="Q24" s="29"/>
      <c r="R24" s="29"/>
      <c r="S24" s="30">
        <f>IF(D24="嵌固岩层",0,GetInsertValue(S21,'数据库(勿改）'!A2:A29,'数据库(勿改）'!L2:L29))</f>
        <v>279.996</v>
      </c>
      <c r="T24" s="29"/>
    </row>
    <row r="25" spans="2:20">
      <c r="B25" s="11" t="s">
        <v>43</v>
      </c>
      <c r="C25" s="11"/>
      <c r="D25" s="8">
        <v>9</v>
      </c>
      <c r="E25" s="8"/>
      <c r="F25" s="8"/>
      <c r="G25" s="8"/>
      <c r="H25" s="10"/>
      <c r="I25" s="6"/>
      <c r="J25" s="23"/>
      <c r="K25" s="24"/>
      <c r="L25" s="24"/>
      <c r="M25" s="24"/>
      <c r="N25" s="25"/>
      <c r="P25" s="10" t="s">
        <v>44</v>
      </c>
      <c r="Q25" s="12"/>
      <c r="R25" s="12"/>
      <c r="S25" s="30">
        <f>IF(D24="嵌固岩层",0,GetInsertValue(S21,'数据库(勿改）'!A2:A29,'数据库(勿改）'!M2:M29))</f>
        <v>114.722</v>
      </c>
      <c r="T25" s="12"/>
    </row>
    <row r="26" spans="2:20">
      <c r="B26" s="11" t="s">
        <v>45</v>
      </c>
      <c r="C26" s="11"/>
      <c r="D26" s="8">
        <v>3</v>
      </c>
      <c r="E26" s="8"/>
      <c r="F26" s="8"/>
      <c r="G26" s="8"/>
      <c r="H26" s="9" t="s">
        <v>1</v>
      </c>
      <c r="I26" s="6"/>
      <c r="J26" s="23"/>
      <c r="K26" s="24"/>
      <c r="L26" s="24"/>
      <c r="M26" s="24"/>
      <c r="N26" s="25"/>
      <c r="P26" s="19" t="s">
        <v>46</v>
      </c>
      <c r="Q26" s="19"/>
      <c r="R26" s="29"/>
      <c r="S26" s="30">
        <f>IF(D24="嵌固岩层",0,GetInsertValue(S21,'数据库(勿改）'!A2:A29,'数据库(勿改）'!N2:N29))</f>
        <v>176.706</v>
      </c>
      <c r="T26" s="29"/>
    </row>
    <row r="27" spans="2:20">
      <c r="B27" s="10"/>
      <c r="C27" s="10"/>
      <c r="D27" s="10"/>
      <c r="E27" s="10"/>
      <c r="F27" s="10"/>
      <c r="G27" s="10"/>
      <c r="H27" s="10"/>
      <c r="I27" s="6"/>
      <c r="J27" s="23"/>
      <c r="K27" s="24"/>
      <c r="L27" s="24"/>
      <c r="M27" s="24"/>
      <c r="N27" s="25"/>
      <c r="P27" s="10" t="s">
        <v>47</v>
      </c>
      <c r="Q27" s="10"/>
      <c r="R27" s="12"/>
      <c r="S27" s="30">
        <f>IF(D24="嵌固岩层",0,GetInsertValue(S21,'数据库(勿改）'!A2:A29,'数据库(勿改）'!O2:O29))</f>
        <v>185.996</v>
      </c>
      <c r="T27" s="12"/>
    </row>
    <row r="28" customHeight="1" spans="2:20">
      <c r="B28" s="6"/>
      <c r="C28" s="6"/>
      <c r="D28" s="6"/>
      <c r="E28" s="6"/>
      <c r="F28" s="6"/>
      <c r="G28" s="6"/>
      <c r="H28" s="6"/>
      <c r="I28" s="6"/>
      <c r="J28" s="23"/>
      <c r="K28" s="24"/>
      <c r="L28" s="24"/>
      <c r="M28" s="24"/>
      <c r="N28" s="25"/>
      <c r="P28" s="19" t="s">
        <v>48</v>
      </c>
      <c r="Q28" s="19"/>
      <c r="R28" s="29"/>
      <c r="S28" s="30">
        <f>IF(D24="嵌固岩层",0,GetInsertValue(S21,'数据库(勿改）'!A2:A29,'数据库(勿改）'!P2:P29))</f>
        <v>190.834</v>
      </c>
      <c r="T28" s="29"/>
    </row>
    <row r="29" spans="2:20">
      <c r="B29" s="6"/>
      <c r="C29" s="6"/>
      <c r="D29" s="6"/>
      <c r="E29" s="6"/>
      <c r="F29" s="6"/>
      <c r="G29" s="6"/>
      <c r="H29" s="6"/>
      <c r="I29" s="6"/>
      <c r="J29" s="23"/>
      <c r="K29" s="24"/>
      <c r="L29" s="24"/>
      <c r="M29" s="24"/>
      <c r="N29" s="25"/>
      <c r="P29" s="10" t="s">
        <v>49</v>
      </c>
      <c r="Q29" s="10"/>
      <c r="R29" s="12"/>
      <c r="S29" s="30">
        <f>IF(D24="嵌固岩层",0,GetInsertValue(S21,'数据库(勿改）'!A2:A29,'数据库(勿改）'!Q2:Q29))</f>
        <v>200.047</v>
      </c>
      <c r="T29" s="12"/>
    </row>
    <row r="30" ht="34.35" spans="2:20">
      <c r="B30" s="10" t="s">
        <v>50</v>
      </c>
      <c r="C30" s="8">
        <v>8</v>
      </c>
      <c r="D30" s="8"/>
      <c r="E30" s="8"/>
      <c r="F30" s="8"/>
      <c r="G30" s="8"/>
      <c r="H30" s="9" t="s">
        <v>51</v>
      </c>
      <c r="I30" s="6"/>
      <c r="J30" s="26"/>
      <c r="K30" s="27"/>
      <c r="L30" s="27"/>
      <c r="M30" s="27"/>
      <c r="N30" s="28"/>
      <c r="P30" s="19" t="str">
        <f>_xlfn.DISPIMG("ID_588A8BE349DD4BA8822D30F9A2354BDE",1)</f>
        <v>=DISPIMG("ID_588A8BE349DD4BA8822D30F9A2354BDE",1)</v>
      </c>
      <c r="Q30" s="19"/>
      <c r="R30" s="29"/>
      <c r="S30" s="16">
        <f>IF(D24="嵌固岩层",GetInsertValue(S21,'数据库(勿改）'!A2:A29,'数据库(勿改）'!U2:U29),0)</f>
        <v>0</v>
      </c>
      <c r="T30" s="29"/>
    </row>
    <row r="31" ht="35.2" spans="2:20">
      <c r="B31" s="10" t="s">
        <v>52</v>
      </c>
      <c r="C31" s="8">
        <v>15</v>
      </c>
      <c r="D31" s="8"/>
      <c r="E31" s="8"/>
      <c r="F31" s="8"/>
      <c r="G31" s="8"/>
      <c r="H31" s="10" t="s">
        <v>53</v>
      </c>
      <c r="I31" s="6"/>
      <c r="P31" s="10" t="str">
        <f>_xlfn.DISPIMG("ID_9A8A882FC69549499792F0A559BBFBD0",1)</f>
        <v>=DISPIMG("ID_9A8A882FC69549499792F0A559BBFBD0",1)</v>
      </c>
      <c r="Q31" s="10"/>
      <c r="R31" s="12"/>
      <c r="S31" s="16">
        <f>IF(D24="嵌固岩层",GetInsertValue(S21,'数据库(勿改）'!A2:A29,'数据库(勿改）'!V2:V29),0)</f>
        <v>0</v>
      </c>
      <c r="T31" s="12"/>
    </row>
    <row r="32" ht="27" spans="2:20">
      <c r="B32" s="6"/>
      <c r="C32" s="6"/>
      <c r="D32" s="6"/>
      <c r="E32" s="6"/>
      <c r="F32" s="6"/>
      <c r="G32" s="6"/>
      <c r="H32" s="6"/>
      <c r="I32" s="6"/>
      <c r="P32" s="19" t="str">
        <f>_xlfn.DISPIMG("ID_4FB2F1711CC84DA7BA704B8D8CA60EE8",1)</f>
        <v>=DISPIMG("ID_4FB2F1711CC84DA7BA704B8D8CA60EE8",1)</v>
      </c>
      <c r="Q32" s="19"/>
      <c r="R32" s="29"/>
      <c r="S32" s="16">
        <f>IF(D24="嵌固岩层",GetInsertValue(S21,'数据库(勿改）'!A2:A29,'数据库(勿改）'!W2:W29),0)</f>
        <v>0</v>
      </c>
      <c r="T32" s="29"/>
    </row>
    <row r="33" spans="2:20">
      <c r="B33" s="6"/>
      <c r="C33" s="6"/>
      <c r="D33" s="6"/>
      <c r="E33" s="6"/>
      <c r="F33" s="6"/>
      <c r="G33" s="6"/>
      <c r="H33" s="6"/>
      <c r="I33" s="6"/>
      <c r="P33" s="10" t="s">
        <v>54</v>
      </c>
      <c r="Q33" s="10"/>
      <c r="R33" s="12"/>
      <c r="S33" s="16">
        <f>GetKh(S18,D22,S17,S13,S16,S14)</f>
        <v>0</v>
      </c>
      <c r="T33" s="12"/>
    </row>
    <row r="34" spans="2:20">
      <c r="B34" s="6"/>
      <c r="C34" s="6"/>
      <c r="D34" s="6"/>
      <c r="E34" s="6"/>
      <c r="F34" s="6"/>
      <c r="G34" s="6"/>
      <c r="H34" s="6"/>
      <c r="I34" s="6"/>
      <c r="P34" s="19" t="s">
        <v>55</v>
      </c>
      <c r="Q34" s="19"/>
      <c r="R34" s="29"/>
      <c r="S34" s="16">
        <f>IF(D24="嵌固岩层",0.001*S30/(POWER(S18,3)*S16),0.001*(S22+S33*S24)/((S23+S33*S25)*POWER(S18,3)*S16))</f>
        <v>2.76763342334566e-5</v>
      </c>
      <c r="T34" s="29"/>
    </row>
    <row r="35" spans="2:20">
      <c r="B35" s="6"/>
      <c r="C35" s="6"/>
      <c r="D35" s="6"/>
      <c r="E35" s="6"/>
      <c r="F35" s="6"/>
      <c r="G35" s="6"/>
      <c r="H35" s="6"/>
      <c r="I35" s="6"/>
      <c r="P35" s="10" t="s">
        <v>56</v>
      </c>
      <c r="Q35" s="10"/>
      <c r="R35" s="12"/>
      <c r="S35" s="16">
        <f>IF(D24="嵌固岩层",0.001*S31/(POWER(S18,2)*S16),0.001*(S26+S33*S27)/((S23+S33*S25)*POWER(S18,2)*S16))</f>
        <v>7.4278088242999e-6</v>
      </c>
      <c r="T35" s="12"/>
    </row>
    <row r="36" customHeight="1" spans="2:20">
      <c r="B36" s="14" t="s">
        <v>57</v>
      </c>
      <c r="C36" s="14" t="s">
        <v>58</v>
      </c>
      <c r="D36" s="14" t="s">
        <v>59</v>
      </c>
      <c r="E36" s="14" t="s">
        <v>60</v>
      </c>
      <c r="F36" s="14" t="s">
        <v>61</v>
      </c>
      <c r="G36" s="15" t="s">
        <v>62</v>
      </c>
      <c r="H36" s="15" t="s">
        <v>63</v>
      </c>
      <c r="I36" s="15" t="s">
        <v>64</v>
      </c>
      <c r="J36" s="16"/>
      <c r="P36" s="19" t="s">
        <v>65</v>
      </c>
      <c r="Q36" s="19"/>
      <c r="R36" s="29"/>
      <c r="S36" s="16">
        <f>IF(D24="嵌固岩层",0.001*S32/(POWER(S18,1)*S16),0.001*(S28+S33*S29)/((S23+S33*S25)*POWER(S18,1)*S16))</f>
        <v>3.24150912457136e-6</v>
      </c>
      <c r="T36" s="29"/>
    </row>
    <row r="37" customHeight="1" spans="2:20">
      <c r="B37" s="14">
        <v>1</v>
      </c>
      <c r="C37" s="14">
        <v>3</v>
      </c>
      <c r="D37" s="14">
        <v>3</v>
      </c>
      <c r="E37" s="14">
        <v>1</v>
      </c>
      <c r="F37" s="16">
        <v>703988.458623556</v>
      </c>
      <c r="G37" s="17">
        <v>124.015855102728</v>
      </c>
      <c r="H37" s="17">
        <v>-3.10068513368734</v>
      </c>
      <c r="I37" s="17">
        <v>25.2203169215602</v>
      </c>
      <c r="J37" s="16"/>
      <c r="P37" s="10" t="s">
        <v>66</v>
      </c>
      <c r="Q37" s="12"/>
      <c r="R37" s="12"/>
      <c r="S37" s="16">
        <f>IF(D23="摩擦桩",0.5,1)</f>
        <v>0.5</v>
      </c>
      <c r="T37" s="12"/>
    </row>
    <row r="38" customHeight="1" spans="2:20">
      <c r="B38" s="14">
        <v>2</v>
      </c>
      <c r="C38" s="14">
        <v>3</v>
      </c>
      <c r="D38" s="14">
        <v>0</v>
      </c>
      <c r="E38" s="14">
        <v>1</v>
      </c>
      <c r="F38" s="16">
        <v>703988.458623556</v>
      </c>
      <c r="G38" s="17">
        <v>124.015855102728</v>
      </c>
      <c r="H38" s="17">
        <v>-3.10068513368734</v>
      </c>
      <c r="I38" s="17">
        <v>25.2203169215602</v>
      </c>
      <c r="J38" s="16"/>
      <c r="P38" s="19" t="s">
        <v>67</v>
      </c>
      <c r="Q38" s="19"/>
      <c r="R38" s="29"/>
      <c r="S38" s="16">
        <f>IF(D23="摩擦桩",MIN(PI()*POWER(D18*TAN(RADIANS(C31)/2)+D16/2,2),PI()*POWER(D26,2)/4),PI()*POWER(D16,2)/4)</f>
        <v>7.06858347057703</v>
      </c>
      <c r="T38" s="29"/>
    </row>
    <row r="39" customHeight="1" spans="2:20">
      <c r="B39" s="14">
        <v>3</v>
      </c>
      <c r="C39" s="14">
        <v>3</v>
      </c>
      <c r="D39" s="14">
        <v>-3</v>
      </c>
      <c r="E39" s="14">
        <v>1</v>
      </c>
      <c r="F39" s="16">
        <v>703988.458623556</v>
      </c>
      <c r="G39" s="17">
        <v>124.015855102728</v>
      </c>
      <c r="H39" s="17">
        <v>-3.10068513368734</v>
      </c>
      <c r="I39" s="17">
        <v>25.2203169215602</v>
      </c>
      <c r="J39" s="16"/>
      <c r="P39" s="10" t="s">
        <v>68</v>
      </c>
      <c r="Q39" s="12"/>
      <c r="R39" s="12"/>
      <c r="S39" s="16">
        <f>1000*S11*POWER(D16,2)*PI()/4</f>
        <v>23561944.9019234</v>
      </c>
      <c r="T39" s="12"/>
    </row>
    <row r="40" customHeight="1" spans="2:20">
      <c r="B40" s="14">
        <v>4</v>
      </c>
      <c r="C40" s="14">
        <v>0</v>
      </c>
      <c r="D40" s="14">
        <v>3</v>
      </c>
      <c r="E40" s="14">
        <v>1</v>
      </c>
      <c r="F40" s="16">
        <v>703988.458623556</v>
      </c>
      <c r="G40" s="17">
        <v>0</v>
      </c>
      <c r="H40" s="17">
        <v>-3.10068513368734</v>
      </c>
      <c r="I40" s="17">
        <v>25.2203169215602</v>
      </c>
      <c r="J40" s="16"/>
      <c r="P40" s="29" t="s">
        <v>61</v>
      </c>
      <c r="Q40" s="29"/>
      <c r="R40" s="29"/>
      <c r="S40" s="16">
        <f>1/(0.85*S37*D18/(S39)+1/(S38*S19))</f>
        <v>703988.458623557</v>
      </c>
      <c r="T40" s="29"/>
    </row>
    <row r="41" customHeight="1" spans="2:20">
      <c r="B41" s="14">
        <v>5</v>
      </c>
      <c r="C41" s="14">
        <v>0</v>
      </c>
      <c r="D41" s="14">
        <v>0</v>
      </c>
      <c r="E41" s="14">
        <v>1</v>
      </c>
      <c r="F41" s="16">
        <v>703988.458623556</v>
      </c>
      <c r="G41" s="17">
        <v>0</v>
      </c>
      <c r="H41" s="17">
        <v>-3.10068513368734</v>
      </c>
      <c r="I41" s="17">
        <v>25.2203169215602</v>
      </c>
      <c r="J41" s="16"/>
      <c r="P41" s="12" t="s">
        <v>69</v>
      </c>
      <c r="Q41" s="12"/>
      <c r="R41" s="12"/>
      <c r="S41" s="16">
        <f>S36/(S34*S36-S35*S35)</f>
        <v>93845.9500121517</v>
      </c>
      <c r="T41" s="12"/>
    </row>
    <row r="42" customHeight="1" spans="2:20">
      <c r="B42" s="14">
        <v>6</v>
      </c>
      <c r="C42" s="14">
        <v>0</v>
      </c>
      <c r="D42" s="14">
        <v>-3</v>
      </c>
      <c r="E42" s="14">
        <v>1</v>
      </c>
      <c r="F42" s="16">
        <v>703988.458623556</v>
      </c>
      <c r="G42" s="17">
        <v>0</v>
      </c>
      <c r="H42" s="17">
        <v>-3.10068513368734</v>
      </c>
      <c r="I42" s="17">
        <v>25.2203169215602</v>
      </c>
      <c r="J42" s="16"/>
      <c r="P42" s="29" t="s">
        <v>70</v>
      </c>
      <c r="Q42" s="29"/>
      <c r="R42" s="29"/>
      <c r="S42" s="16">
        <f>S35/(S34*S36-S35*S35)</f>
        <v>215044.829070856</v>
      </c>
      <c r="T42" s="29"/>
    </row>
    <row r="43" customHeight="1" spans="2:20">
      <c r="B43" s="14">
        <v>7</v>
      </c>
      <c r="C43" s="14">
        <v>-3</v>
      </c>
      <c r="D43" s="14">
        <v>3</v>
      </c>
      <c r="E43" s="14">
        <v>1</v>
      </c>
      <c r="F43" s="16">
        <v>703988.458623556</v>
      </c>
      <c r="G43" s="17">
        <v>-124.015855102728</v>
      </c>
      <c r="H43" s="17">
        <v>-3.10068513368734</v>
      </c>
      <c r="I43" s="17">
        <v>25.2203169215602</v>
      </c>
      <c r="J43" s="16"/>
      <c r="P43" s="12" t="s">
        <v>71</v>
      </c>
      <c r="Q43" s="12"/>
      <c r="R43" s="12"/>
      <c r="S43" s="16">
        <f>S35/(S34*S36-S35*S35)</f>
        <v>215044.829070856</v>
      </c>
      <c r="T43" s="12"/>
    </row>
    <row r="44" customHeight="1" spans="2:20">
      <c r="B44" s="14">
        <v>8</v>
      </c>
      <c r="C44" s="14">
        <v>-3</v>
      </c>
      <c r="D44" s="14">
        <v>0</v>
      </c>
      <c r="E44" s="14">
        <v>1</v>
      </c>
      <c r="F44" s="16">
        <v>703988.458623556</v>
      </c>
      <c r="G44" s="17">
        <v>-124.015855102728</v>
      </c>
      <c r="H44" s="17">
        <v>-3.10068513368734</v>
      </c>
      <c r="I44" s="17">
        <v>25.2203169215602</v>
      </c>
      <c r="J44" s="16"/>
      <c r="P44" s="29" t="s">
        <v>72</v>
      </c>
      <c r="Q44" s="29"/>
      <c r="R44" s="29"/>
      <c r="S44" s="16">
        <f>S34/(S34*S36-S35*S35)</f>
        <v>801266.255678371</v>
      </c>
      <c r="T44" s="29"/>
    </row>
    <row r="45" customHeight="1" spans="2:20">
      <c r="B45" s="14">
        <v>9</v>
      </c>
      <c r="C45" s="14">
        <v>-3</v>
      </c>
      <c r="D45" s="14">
        <v>-3</v>
      </c>
      <c r="E45" s="14">
        <v>1</v>
      </c>
      <c r="F45" s="16">
        <v>703988.458623556</v>
      </c>
      <c r="G45" s="17">
        <v>-124.015855102728</v>
      </c>
      <c r="H45" s="17">
        <v>-3.10068513368734</v>
      </c>
      <c r="I45" s="17">
        <v>25.2203169215602</v>
      </c>
      <c r="J45" s="16"/>
      <c r="P45" s="12" t="s">
        <v>73</v>
      </c>
      <c r="Q45" s="12"/>
      <c r="R45" s="12"/>
      <c r="S45" s="16">
        <f>D9+1</f>
        <v>9</v>
      </c>
      <c r="T45" s="12"/>
    </row>
    <row r="46" spans="16:20">
      <c r="P46" s="29" t="s">
        <v>74</v>
      </c>
      <c r="Q46" s="29"/>
      <c r="R46" s="29"/>
      <c r="S46" s="16">
        <f>C30*D10*1000</f>
        <v>18400</v>
      </c>
      <c r="T46" s="29"/>
    </row>
    <row r="47" spans="16:20">
      <c r="P47" s="12" t="s">
        <v>75</v>
      </c>
      <c r="Q47" s="12"/>
      <c r="R47" s="12"/>
      <c r="S47" s="16">
        <f>C30*D16*D11*1000</f>
        <v>0</v>
      </c>
      <c r="T47" s="12"/>
    </row>
    <row r="48" spans="16:20">
      <c r="P48" s="29" t="s">
        <v>76</v>
      </c>
      <c r="Q48" s="29"/>
      <c r="R48" s="29"/>
      <c r="S48" s="16">
        <f>S46*D10/2</f>
        <v>21160</v>
      </c>
      <c r="T48" s="29"/>
    </row>
    <row r="49" spans="16:20">
      <c r="P49" s="12" t="s">
        <v>77</v>
      </c>
      <c r="Q49" s="12"/>
      <c r="R49" s="12"/>
      <c r="S49" s="16">
        <f>S46*D10*D10/6</f>
        <v>16222.6666666667</v>
      </c>
      <c r="T49" s="12"/>
    </row>
    <row r="50" spans="16:20">
      <c r="P50" s="29" t="s">
        <v>78</v>
      </c>
      <c r="Q50" s="29"/>
      <c r="R50" s="29"/>
      <c r="S50" s="16">
        <f>S46*POWER(D10,3)/12</f>
        <v>18656.0666666667</v>
      </c>
      <c r="T50" s="29"/>
    </row>
    <row r="51" spans="16:20">
      <c r="P51" s="12" t="s">
        <v>79</v>
      </c>
      <c r="Q51" s="12"/>
      <c r="R51" s="12"/>
      <c r="S51" s="16">
        <f>GetKx2(C37:C45)</f>
        <v>54</v>
      </c>
      <c r="T51" s="12"/>
    </row>
    <row r="52" spans="16:20">
      <c r="P52" s="29" t="s">
        <v>80</v>
      </c>
      <c r="Q52" s="29"/>
      <c r="R52" s="29"/>
      <c r="S52" s="16">
        <f>D9*POWER(D8,3)/12-S51*PI()*POWER(D16,2)/4</f>
        <v>298.921832509871</v>
      </c>
      <c r="T52" s="29"/>
    </row>
    <row r="53" spans="16:20">
      <c r="P53" s="12" t="s">
        <v>81</v>
      </c>
      <c r="Q53" s="12"/>
      <c r="R53" s="12"/>
      <c r="S53" s="16">
        <f>D8*D9-D25*POWER(D16,2)*PI()/4</f>
        <v>56.931416529423</v>
      </c>
      <c r="T53" s="12"/>
    </row>
    <row r="54" spans="16:21">
      <c r="P54" s="29" t="s">
        <v>82</v>
      </c>
      <c r="Q54" s="29"/>
      <c r="R54" s="29"/>
      <c r="S54" s="16">
        <f>D25*S40+S47*S53*1000</f>
        <v>6335896.12761201</v>
      </c>
      <c r="T54" s="29"/>
      <c r="U54">
        <v>6335896.12761201</v>
      </c>
    </row>
    <row r="55" spans="16:21">
      <c r="P55" s="12" t="s">
        <v>83</v>
      </c>
      <c r="Q55" s="12"/>
      <c r="R55" s="12"/>
      <c r="S55" s="16">
        <f>D12*S47*S53*1000</f>
        <v>0</v>
      </c>
      <c r="T55" s="12"/>
      <c r="U55">
        <v>0</v>
      </c>
    </row>
    <row r="56" spans="16:21">
      <c r="P56" s="29" t="s">
        <v>84</v>
      </c>
      <c r="Q56" s="29"/>
      <c r="R56" s="29"/>
      <c r="S56" s="16">
        <f>D25*S41+S45*S48</f>
        <v>1035053.55010937</v>
      </c>
      <c r="T56" s="29"/>
      <c r="U56">
        <v>1035053.55010937</v>
      </c>
    </row>
    <row r="57" spans="16:21">
      <c r="P57" s="12" t="s">
        <v>85</v>
      </c>
      <c r="Q57" s="12"/>
      <c r="R57" s="12"/>
      <c r="S57" s="16">
        <f>-D25*S42+S45*S49</f>
        <v>-1789399.4616377</v>
      </c>
      <c r="T57" s="12"/>
      <c r="U57">
        <v>-1935401.20699523</v>
      </c>
    </row>
    <row r="58" spans="16:21">
      <c r="P58" s="29" t="s">
        <v>86</v>
      </c>
      <c r="Q58" s="29"/>
      <c r="R58" s="29"/>
      <c r="S58" s="16">
        <f>S57</f>
        <v>-1789399.4616377</v>
      </c>
      <c r="T58" s="29"/>
      <c r="U58">
        <v>-1789399.4616377</v>
      </c>
    </row>
    <row r="59" spans="16:21">
      <c r="P59" s="12" t="s">
        <v>87</v>
      </c>
      <c r="Q59" s="12"/>
      <c r="R59" s="12"/>
      <c r="S59" s="16">
        <f>D25*S44+S40*S51+S45*S50+S47*S52</f>
        <v>45394677.6667774</v>
      </c>
      <c r="T59" s="12"/>
      <c r="U59">
        <v>45226773.0667774</v>
      </c>
    </row>
    <row r="60" spans="16:21">
      <c r="P60" s="29" t="s">
        <v>88</v>
      </c>
      <c r="Q60" s="29"/>
      <c r="R60" s="29"/>
      <c r="S60" s="16">
        <f>L8/S54</f>
        <v>0</v>
      </c>
      <c r="T60" s="29"/>
      <c r="U60">
        <v>0</v>
      </c>
    </row>
    <row r="61" spans="16:21">
      <c r="P61" s="12" t="s">
        <v>89</v>
      </c>
      <c r="Q61" s="12"/>
      <c r="R61" s="12"/>
      <c r="S61" s="16">
        <f>(S59*L9-S58*L10)/(S56*S59-S58*S58)-(L8*S55*S59)/(S54*(S56*S59-S58*S58))</f>
        <v>0.00010111315003681</v>
      </c>
      <c r="T61" s="12"/>
      <c r="U61">
        <v>0.000101516094468965</v>
      </c>
    </row>
    <row r="62" spans="16:21">
      <c r="P62" s="29" t="s">
        <v>90</v>
      </c>
      <c r="Q62" s="29"/>
      <c r="R62" s="29"/>
      <c r="S62" s="16">
        <f>(S56*L10-S58*L9)/(S56*S59-S58*S58)-(L8*S55*S58)/(S54*(S56*S59-S58*S58))</f>
        <v>5.84875133540923e-5</v>
      </c>
      <c r="T62" s="29"/>
      <c r="U62">
        <v>5.87205910284406e-5</v>
      </c>
    </row>
  </sheetData>
  <mergeCells count="27">
    <mergeCell ref="B8:C8"/>
    <mergeCell ref="D8:G8"/>
    <mergeCell ref="L8:M8"/>
    <mergeCell ref="B9:C9"/>
    <mergeCell ref="D9:G9"/>
    <mergeCell ref="L9:M9"/>
    <mergeCell ref="B10:C10"/>
    <mergeCell ref="D10:G10"/>
    <mergeCell ref="L10:M10"/>
    <mergeCell ref="B11:C11"/>
    <mergeCell ref="D11:G11"/>
    <mergeCell ref="B12:C12"/>
    <mergeCell ref="D12:G12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C30:G30"/>
    <mergeCell ref="C31:G31"/>
    <mergeCell ref="J16:N30"/>
  </mergeCells>
  <dataValidations count="4">
    <dataValidation type="list" allowBlank="1" showInputMessage="1" showErrorMessage="1" sqref="D19">
      <formula1>'数据库(勿改）'!$A$32:$A$45</formula1>
    </dataValidation>
    <dataValidation type="list" allowBlank="1" showInputMessage="1" showErrorMessage="1" sqref="D20">
      <formula1>'数据库(勿改）'!$D$32:$D$40</formula1>
    </dataValidation>
    <dataValidation type="list" allowBlank="1" showInputMessage="1" showErrorMessage="1" sqref="D23">
      <formula1>"摩擦桩,端承桩"</formula1>
    </dataValidation>
    <dataValidation type="list" allowBlank="1" showInputMessage="1" showErrorMessage="1" sqref="D24">
      <formula1>"非岩石类土中,基岩石表面,嵌固岩层"</formula1>
    </dataValidation>
  </dataValidation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2049" r:id="rId3" name="CommandButton1">
          <controlPr defaultSize="0" r:id="rId4">
            <anchor moveWithCells="1">
              <from>
                <xdr:col>8</xdr:col>
                <xdr:colOff>428625</xdr:colOff>
                <xdr:row>32</xdr:row>
                <xdr:rowOff>114300</xdr:rowOff>
              </from>
              <to>
                <xdr:col>9</xdr:col>
                <xdr:colOff>481965</xdr:colOff>
                <xdr:row>34</xdr:row>
                <xdr:rowOff>57150</xdr:rowOff>
              </to>
            </anchor>
          </controlPr>
        </control>
      </mc:Choice>
      <mc:Fallback>
        <control shapeId="2049" r:id="rId3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W45"/>
  <sheetViews>
    <sheetView topLeftCell="B1" workbookViewId="0">
      <selection activeCell="B19" sqref="B19"/>
    </sheetView>
  </sheetViews>
  <sheetFormatPr defaultColWidth="9" defaultRowHeight="13.5"/>
  <cols>
    <col min="2" max="2" width="9.38333333333333"/>
    <col min="5" max="5" width="9.38333333333333"/>
    <col min="10" max="10" width="10" customWidth="1"/>
    <col min="11" max="11" width="10.75" customWidth="1"/>
    <col min="12" max="12" width="11" customWidth="1"/>
    <col min="13" max="13" width="11.3833333333333" customWidth="1"/>
    <col min="14" max="14" width="11.5" customWidth="1"/>
    <col min="15" max="15" width="11.25" customWidth="1"/>
    <col min="16" max="16" width="11" customWidth="1"/>
    <col min="17" max="17" width="12.3833333333333" customWidth="1"/>
  </cols>
  <sheetData>
    <row r="1" ht="28" customHeight="1" spans="1:23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36</v>
      </c>
      <c r="K1" s="1" t="s">
        <v>39</v>
      </c>
      <c r="L1" s="1" t="s">
        <v>42</v>
      </c>
      <c r="M1" s="5" t="s">
        <v>44</v>
      </c>
      <c r="N1" s="5" t="s">
        <v>46</v>
      </c>
      <c r="O1" s="5" t="s">
        <v>47</v>
      </c>
      <c r="P1" s="5" t="s">
        <v>48</v>
      </c>
      <c r="Q1" s="5" t="s">
        <v>49</v>
      </c>
      <c r="R1" s="5" t="s">
        <v>100</v>
      </c>
      <c r="S1" s="5" t="s">
        <v>101</v>
      </c>
      <c r="T1" s="5" t="s">
        <v>102</v>
      </c>
      <c r="U1" s="5"/>
      <c r="V1" s="5"/>
      <c r="W1" s="5"/>
    </row>
    <row r="2" ht="14.25" spans="1:23">
      <c r="A2" s="1">
        <v>0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 t="s">
        <v>103</v>
      </c>
      <c r="S2" s="2" t="s">
        <v>103</v>
      </c>
      <c r="T2" s="2" t="s">
        <v>103</v>
      </c>
      <c r="U2" s="2">
        <v>0</v>
      </c>
      <c r="V2" s="2">
        <v>0</v>
      </c>
      <c r="W2" s="2">
        <v>0</v>
      </c>
    </row>
    <row r="3" ht="14.25" spans="1:23">
      <c r="A3" s="1">
        <v>0.1</v>
      </c>
      <c r="B3" s="2">
        <v>-0.00017</v>
      </c>
      <c r="C3" s="2">
        <v>-1e-5</v>
      </c>
      <c r="D3" s="2">
        <v>1</v>
      </c>
      <c r="E3" s="2">
        <v>0.1</v>
      </c>
      <c r="F3" s="2">
        <v>-0.005</v>
      </c>
      <c r="G3" s="2">
        <v>-0.00033</v>
      </c>
      <c r="H3" s="2">
        <v>-1e-5</v>
      </c>
      <c r="I3" s="2">
        <v>1</v>
      </c>
      <c r="J3" s="2">
        <v>2e-5</v>
      </c>
      <c r="K3" s="2">
        <v>0</v>
      </c>
      <c r="L3" s="2">
        <v>1</v>
      </c>
      <c r="M3" s="2">
        <v>0.005</v>
      </c>
      <c r="N3" s="2">
        <v>0.00033</v>
      </c>
      <c r="O3" s="2">
        <v>3e-5</v>
      </c>
      <c r="P3" s="2">
        <v>0.005</v>
      </c>
      <c r="Q3" s="2">
        <v>0.0005</v>
      </c>
      <c r="R3" s="2">
        <v>1800</v>
      </c>
      <c r="S3" s="2">
        <v>1800</v>
      </c>
      <c r="T3" s="2">
        <v>36000</v>
      </c>
      <c r="U3" s="2">
        <v>0.00033</v>
      </c>
      <c r="V3" s="2">
        <v>0.005</v>
      </c>
      <c r="W3" s="2">
        <v>0.1</v>
      </c>
    </row>
    <row r="4" ht="14.25" spans="1:23">
      <c r="A4" s="1">
        <v>0.2</v>
      </c>
      <c r="B4" s="2">
        <v>-0.00133</v>
      </c>
      <c r="C4" s="2">
        <v>-0.00013</v>
      </c>
      <c r="D4" s="2">
        <v>0.99999</v>
      </c>
      <c r="E4" s="2">
        <v>0.2</v>
      </c>
      <c r="F4" s="2">
        <v>-0.02</v>
      </c>
      <c r="G4" s="2">
        <v>-0.00267</v>
      </c>
      <c r="H4" s="2">
        <v>-0.0002</v>
      </c>
      <c r="I4" s="2">
        <v>0.99999</v>
      </c>
      <c r="J4" s="2">
        <v>0.0004</v>
      </c>
      <c r="K4" s="2">
        <v>0</v>
      </c>
      <c r="L4" s="2">
        <v>1.00004</v>
      </c>
      <c r="M4" s="2">
        <v>0.02</v>
      </c>
      <c r="N4" s="2">
        <v>0.00267</v>
      </c>
      <c r="O4" s="2">
        <v>0.00033</v>
      </c>
      <c r="P4" s="2">
        <v>0.02</v>
      </c>
      <c r="Q4" s="2">
        <v>0.004</v>
      </c>
      <c r="R4" s="2">
        <v>450</v>
      </c>
      <c r="S4" s="2">
        <v>450</v>
      </c>
      <c r="T4" s="2">
        <v>22500.1</v>
      </c>
      <c r="U4" s="2">
        <v>0.00269</v>
      </c>
      <c r="V4" s="2">
        <v>0.02</v>
      </c>
      <c r="W4" s="2">
        <v>0.2</v>
      </c>
    </row>
    <row r="5" ht="14.25" spans="1:23">
      <c r="A5" s="1">
        <f t="shared" ref="A5:A22" si="0">A4+0.1</f>
        <v>0.3</v>
      </c>
      <c r="B5" s="2">
        <v>-0.0045</v>
      </c>
      <c r="C5" s="2">
        <v>-0.00057</v>
      </c>
      <c r="D5" s="2">
        <v>0.99994</v>
      </c>
      <c r="E5" s="2">
        <v>0.3</v>
      </c>
      <c r="F5" s="2">
        <v>-0.045</v>
      </c>
      <c r="G5" s="2">
        <v>-0.009</v>
      </c>
      <c r="H5" s="2">
        <v>-0.00101</v>
      </c>
      <c r="I5" s="2">
        <v>0.99992</v>
      </c>
      <c r="J5" s="2">
        <v>0.00203</v>
      </c>
      <c r="K5" s="2">
        <v>1e-5</v>
      </c>
      <c r="L5" s="2">
        <v>1.00029</v>
      </c>
      <c r="M5" s="2">
        <v>0.045</v>
      </c>
      <c r="N5" s="2">
        <v>0.009</v>
      </c>
      <c r="O5" s="2">
        <v>0.00169</v>
      </c>
      <c r="P5" s="2">
        <v>0.045</v>
      </c>
      <c r="Q5" s="2">
        <v>0.0135</v>
      </c>
      <c r="R5" s="2">
        <v>200</v>
      </c>
      <c r="S5" s="2">
        <v>200</v>
      </c>
      <c r="T5" s="2">
        <v>4444.59</v>
      </c>
      <c r="U5" s="2">
        <v>0.009</v>
      </c>
      <c r="V5" s="2">
        <v>0.045</v>
      </c>
      <c r="W5" s="2">
        <v>0.3</v>
      </c>
    </row>
    <row r="6" ht="14.25" spans="1:23">
      <c r="A6" s="1">
        <f t="shared" si="0"/>
        <v>0.4</v>
      </c>
      <c r="B6" s="2">
        <v>-0.01067</v>
      </c>
      <c r="C6" s="2">
        <v>-0.00213</v>
      </c>
      <c r="D6" s="2">
        <v>0.99974</v>
      </c>
      <c r="E6" s="2">
        <v>0.39998</v>
      </c>
      <c r="F6" s="2">
        <v>-0.08</v>
      </c>
      <c r="G6" s="2">
        <v>-0.02133</v>
      </c>
      <c r="H6" s="2">
        <v>-0.0032</v>
      </c>
      <c r="I6" s="2">
        <v>0.99966</v>
      </c>
      <c r="J6" s="2">
        <v>0.0064</v>
      </c>
      <c r="K6" s="2">
        <v>6e-5</v>
      </c>
      <c r="L6" s="2">
        <v>1.0012</v>
      </c>
      <c r="M6" s="2">
        <v>0.07999</v>
      </c>
      <c r="N6" s="2">
        <v>0.02133</v>
      </c>
      <c r="O6" s="2">
        <v>0.00533</v>
      </c>
      <c r="P6" s="2">
        <v>0.08001</v>
      </c>
      <c r="Q6" s="2">
        <v>0.032</v>
      </c>
      <c r="R6" s="2">
        <v>112.502</v>
      </c>
      <c r="S6" s="2">
        <v>112.502</v>
      </c>
      <c r="T6" s="2">
        <v>1406.444</v>
      </c>
      <c r="U6" s="2">
        <v>0.02133</v>
      </c>
      <c r="V6" s="2">
        <v>0.07999</v>
      </c>
      <c r="W6" s="2">
        <v>0.39996</v>
      </c>
    </row>
    <row r="7" ht="14.25" spans="1:23">
      <c r="A7" s="1">
        <f t="shared" si="0"/>
        <v>0.5</v>
      </c>
      <c r="B7" s="2">
        <v>-0.02083</v>
      </c>
      <c r="C7" s="2">
        <v>-0.00521</v>
      </c>
      <c r="D7" s="2">
        <v>0.99922</v>
      </c>
      <c r="E7" s="2">
        <v>0.49991</v>
      </c>
      <c r="F7" s="2">
        <v>-0.12499</v>
      </c>
      <c r="G7" s="2">
        <v>-0.04167</v>
      </c>
      <c r="H7" s="2">
        <v>-0.00781</v>
      </c>
      <c r="I7" s="2">
        <v>0.99896</v>
      </c>
      <c r="J7" s="2">
        <v>0.01563</v>
      </c>
      <c r="K7" s="2">
        <v>0.00022</v>
      </c>
      <c r="L7" s="2">
        <v>1.00365</v>
      </c>
      <c r="M7" s="2">
        <v>0.12504</v>
      </c>
      <c r="N7" s="2">
        <v>0.04167</v>
      </c>
      <c r="O7" s="2">
        <v>0.01302</v>
      </c>
      <c r="P7" s="2">
        <v>0.12505</v>
      </c>
      <c r="Q7" s="2">
        <v>0.06251</v>
      </c>
      <c r="R7" s="2">
        <v>72.102</v>
      </c>
      <c r="S7" s="2">
        <v>72.102</v>
      </c>
      <c r="T7" s="2">
        <v>576.825</v>
      </c>
      <c r="U7" s="2">
        <v>0.04165</v>
      </c>
      <c r="V7" s="2">
        <v>0.12495</v>
      </c>
      <c r="W7" s="2">
        <v>0.49988</v>
      </c>
    </row>
    <row r="8" ht="14.25" spans="1:23">
      <c r="A8" s="1">
        <f t="shared" si="0"/>
        <v>0.6</v>
      </c>
      <c r="B8" s="2">
        <v>-0.036</v>
      </c>
      <c r="C8" s="2">
        <v>-0.0108</v>
      </c>
      <c r="D8" s="2">
        <v>0.99806</v>
      </c>
      <c r="E8" s="2">
        <v>0.59974</v>
      </c>
      <c r="F8" s="2">
        <v>-0.17997</v>
      </c>
      <c r="G8" s="2">
        <v>-0.07199</v>
      </c>
      <c r="H8" s="2">
        <v>-0.0162</v>
      </c>
      <c r="I8" s="2">
        <v>0.99741</v>
      </c>
      <c r="J8" s="2">
        <v>0.0324</v>
      </c>
      <c r="K8" s="2">
        <v>0.00065</v>
      </c>
      <c r="L8" s="2">
        <v>1.00917</v>
      </c>
      <c r="M8" s="2">
        <v>0.18013</v>
      </c>
      <c r="N8" s="2">
        <v>0.07203</v>
      </c>
      <c r="O8" s="2">
        <v>0.02701</v>
      </c>
      <c r="P8" s="2">
        <v>0.1802</v>
      </c>
      <c r="Q8" s="2">
        <v>0.10804</v>
      </c>
      <c r="R8" s="2">
        <v>50.012</v>
      </c>
      <c r="S8" s="2">
        <v>50.012</v>
      </c>
      <c r="T8" s="2">
        <v>278.134</v>
      </c>
      <c r="U8" s="2">
        <v>0.07192</v>
      </c>
      <c r="V8" s="2">
        <v>0.17893</v>
      </c>
      <c r="W8" s="2">
        <v>0.59962</v>
      </c>
    </row>
    <row r="9" ht="14.25" spans="1:23">
      <c r="A9" s="1">
        <f t="shared" si="0"/>
        <v>0.7</v>
      </c>
      <c r="B9" s="2">
        <v>-0.05712</v>
      </c>
      <c r="C9" s="2">
        <v>-0.02001</v>
      </c>
      <c r="D9" s="2">
        <v>0.9958</v>
      </c>
      <c r="E9" s="2">
        <v>0.69935</v>
      </c>
      <c r="F9" s="2">
        <v>-0.2449</v>
      </c>
      <c r="G9" s="2">
        <v>-0.11433</v>
      </c>
      <c r="H9" s="2">
        <v>-0.03001</v>
      </c>
      <c r="I9" s="2">
        <v>0.9944</v>
      </c>
      <c r="J9" s="2">
        <v>0.06006</v>
      </c>
      <c r="K9" s="2">
        <v>0.00163</v>
      </c>
      <c r="L9" s="2">
        <v>1.01962</v>
      </c>
      <c r="M9" s="2">
        <v>0.24535</v>
      </c>
      <c r="N9" s="2">
        <v>0.11443</v>
      </c>
      <c r="O9" s="2">
        <v>0.05004</v>
      </c>
      <c r="P9" s="2">
        <v>0.24559</v>
      </c>
      <c r="Q9" s="2">
        <v>0.17161</v>
      </c>
      <c r="R9" s="2">
        <v>36.74</v>
      </c>
      <c r="S9" s="2">
        <v>36.74</v>
      </c>
      <c r="T9" s="2">
        <v>150.236</v>
      </c>
      <c r="U9" s="2">
        <v>0.11406</v>
      </c>
      <c r="V9" s="2">
        <v>0.24448</v>
      </c>
      <c r="W9" s="2">
        <v>0.69902</v>
      </c>
    </row>
    <row r="10" ht="14.25" spans="1:23">
      <c r="A10" s="1">
        <f t="shared" si="0"/>
        <v>0.8</v>
      </c>
      <c r="B10" s="2">
        <v>-0.08532</v>
      </c>
      <c r="C10" s="2">
        <v>-0.03412</v>
      </c>
      <c r="D10" s="2">
        <v>0.99181</v>
      </c>
      <c r="E10" s="2">
        <v>0.79854</v>
      </c>
      <c r="F10" s="2">
        <v>-0.31975</v>
      </c>
      <c r="G10" s="2">
        <v>-0.1706</v>
      </c>
      <c r="H10" s="2">
        <v>-0.0512</v>
      </c>
      <c r="I10" s="2">
        <v>0.98908</v>
      </c>
      <c r="J10" s="2">
        <v>0.10248</v>
      </c>
      <c r="K10" s="2">
        <v>0.00365</v>
      </c>
      <c r="L10" s="2">
        <v>1.03824</v>
      </c>
      <c r="M10" s="2">
        <v>0.32091</v>
      </c>
      <c r="N10" s="2">
        <v>0.17094</v>
      </c>
      <c r="O10" s="2">
        <v>0.03539</v>
      </c>
      <c r="P10" s="2">
        <v>0.3215</v>
      </c>
      <c r="Q10" s="2">
        <v>0.25632</v>
      </c>
      <c r="R10" s="2">
        <v>28.108</v>
      </c>
      <c r="S10" s="2">
        <v>28.108</v>
      </c>
      <c r="T10" s="2">
        <v>88.179</v>
      </c>
      <c r="U10" s="2">
        <v>0.16985</v>
      </c>
      <c r="V10" s="2">
        <v>0.31867</v>
      </c>
      <c r="W10" s="2">
        <v>0.79783</v>
      </c>
    </row>
    <row r="11" ht="14.25" spans="1:23">
      <c r="A11" s="1">
        <f t="shared" si="0"/>
        <v>0.9</v>
      </c>
      <c r="B11" s="2">
        <v>-0.12144</v>
      </c>
      <c r="C11" s="2">
        <v>-0.05465</v>
      </c>
      <c r="D11" s="2">
        <v>0.98524</v>
      </c>
      <c r="E11" s="2">
        <v>0.89705</v>
      </c>
      <c r="F11" s="2">
        <v>-0.40443</v>
      </c>
      <c r="G11" s="2">
        <v>-0.24284</v>
      </c>
      <c r="H11" s="2">
        <v>-0.08198</v>
      </c>
      <c r="I11" s="2">
        <v>0.98032</v>
      </c>
      <c r="J11" s="2">
        <v>0.16426</v>
      </c>
      <c r="K11" s="2">
        <v>0.00738</v>
      </c>
      <c r="L11" s="2">
        <v>1.06893</v>
      </c>
      <c r="M11" s="2">
        <v>0.40709</v>
      </c>
      <c r="N11" s="2">
        <v>0.24374</v>
      </c>
      <c r="O11" s="2">
        <v>0.13685</v>
      </c>
      <c r="P11" s="2">
        <v>0.40842</v>
      </c>
      <c r="Q11" s="2">
        <v>0.36533</v>
      </c>
      <c r="R11" s="2">
        <v>22.245</v>
      </c>
      <c r="S11" s="2">
        <v>22.245</v>
      </c>
      <c r="T11" s="2">
        <v>55.312</v>
      </c>
      <c r="U11" s="2">
        <v>0.24092</v>
      </c>
      <c r="V11" s="2">
        <v>0.40199</v>
      </c>
      <c r="W11" s="2">
        <v>0.89562</v>
      </c>
    </row>
    <row r="12" ht="14.25" spans="1:23">
      <c r="A12" s="1">
        <f t="shared" si="0"/>
        <v>1</v>
      </c>
      <c r="B12" s="2">
        <v>-0.16652</v>
      </c>
      <c r="C12" s="2">
        <v>-0.08329</v>
      </c>
      <c r="D12" s="2">
        <v>0.97501</v>
      </c>
      <c r="E12" s="2">
        <v>0.99445</v>
      </c>
      <c r="F12" s="2">
        <v>-0.49881</v>
      </c>
      <c r="G12" s="2">
        <v>-0.33298</v>
      </c>
      <c r="H12" s="2">
        <v>-0.12493</v>
      </c>
      <c r="I12" s="2">
        <v>0.96667</v>
      </c>
      <c r="J12" s="2">
        <v>0.25062</v>
      </c>
      <c r="K12" s="2">
        <v>0.0139</v>
      </c>
      <c r="L12" s="2">
        <v>1.11679</v>
      </c>
      <c r="M12" s="2">
        <v>0.50436</v>
      </c>
      <c r="N12" s="2">
        <v>0.33507</v>
      </c>
      <c r="O12" s="2">
        <v>0.20873</v>
      </c>
      <c r="P12" s="2">
        <v>0.50714</v>
      </c>
      <c r="Q12" s="2">
        <v>0.50194</v>
      </c>
      <c r="R12" s="2">
        <v>18.028</v>
      </c>
      <c r="S12" s="2">
        <v>18.028</v>
      </c>
      <c r="T12" s="2">
        <v>36.48</v>
      </c>
      <c r="U12" s="2">
        <v>0.32855</v>
      </c>
      <c r="V12" s="2">
        <v>0.49374</v>
      </c>
      <c r="W12" s="2">
        <v>0.99179</v>
      </c>
    </row>
    <row r="13" ht="14.25" spans="1:23">
      <c r="A13" s="1">
        <f t="shared" si="0"/>
        <v>1.1</v>
      </c>
      <c r="B13" s="2">
        <v>-0.22152</v>
      </c>
      <c r="C13" s="2">
        <v>-0.12192</v>
      </c>
      <c r="D13" s="2">
        <v>0.95975</v>
      </c>
      <c r="E13" s="2">
        <v>1.09016</v>
      </c>
      <c r="F13" s="2">
        <v>-0.60268</v>
      </c>
      <c r="G13" s="2">
        <v>-0.44292</v>
      </c>
      <c r="H13" s="2">
        <v>-0.18285</v>
      </c>
      <c r="I13" s="2">
        <v>0.94634</v>
      </c>
      <c r="J13" s="2">
        <v>0.36747</v>
      </c>
      <c r="K13" s="2">
        <v>0.02464</v>
      </c>
      <c r="L13" s="2">
        <v>1.18823</v>
      </c>
      <c r="M13" s="2">
        <v>0.61351</v>
      </c>
      <c r="N13" s="2">
        <v>0.44739</v>
      </c>
      <c r="O13" s="2">
        <v>0.306</v>
      </c>
      <c r="P13" s="2">
        <v>0.61893</v>
      </c>
      <c r="Q13" s="2">
        <v>0.66965</v>
      </c>
      <c r="R13" s="2">
        <v>14.915</v>
      </c>
      <c r="S13" s="2">
        <v>14.915</v>
      </c>
      <c r="T13" s="2">
        <v>25.122</v>
      </c>
      <c r="U13" s="2">
        <v>0.43351</v>
      </c>
      <c r="V13" s="2">
        <v>0.59294</v>
      </c>
      <c r="W13" s="2">
        <v>1.0856</v>
      </c>
    </row>
    <row r="14" ht="14.25" spans="1:23">
      <c r="A14" s="1">
        <f t="shared" si="0"/>
        <v>1.2</v>
      </c>
      <c r="B14" s="2">
        <v>-0.28737</v>
      </c>
      <c r="C14" s="2">
        <v>-0.1726</v>
      </c>
      <c r="D14" s="2">
        <v>0.93783</v>
      </c>
      <c r="E14" s="2">
        <v>1.18342</v>
      </c>
      <c r="F14" s="2">
        <v>-0.71573</v>
      </c>
      <c r="G14" s="2">
        <v>-0.5745</v>
      </c>
      <c r="H14" s="2">
        <v>-0.25886</v>
      </c>
      <c r="I14" s="2">
        <v>0.91712</v>
      </c>
      <c r="J14" s="2">
        <v>0.52158</v>
      </c>
      <c r="K14" s="2">
        <v>0.04156</v>
      </c>
      <c r="L14" s="2">
        <v>1.29111</v>
      </c>
      <c r="M14" s="2">
        <v>0.73565</v>
      </c>
      <c r="N14" s="2">
        <v>0.58346</v>
      </c>
      <c r="O14" s="2">
        <v>0.43412</v>
      </c>
      <c r="P14" s="2">
        <v>0.74562</v>
      </c>
      <c r="Q14" s="2">
        <v>0.87232</v>
      </c>
      <c r="R14" s="2">
        <v>12.55</v>
      </c>
      <c r="S14" s="2">
        <v>12.55</v>
      </c>
      <c r="T14" s="2">
        <v>17.941</v>
      </c>
      <c r="U14" s="2">
        <v>0.55589</v>
      </c>
      <c r="V14" s="2">
        <v>0.69811</v>
      </c>
      <c r="W14" s="2">
        <v>1.17605</v>
      </c>
    </row>
    <row r="15" ht="14.25" spans="1:23">
      <c r="A15" s="1">
        <f t="shared" si="0"/>
        <v>1.3</v>
      </c>
      <c r="B15" s="2">
        <v>-0.36496</v>
      </c>
      <c r="C15" s="2">
        <v>-0.2376</v>
      </c>
      <c r="D15" s="2">
        <v>0.90727</v>
      </c>
      <c r="E15" s="2">
        <v>1.2732</v>
      </c>
      <c r="F15" s="2">
        <v>-0.83753</v>
      </c>
      <c r="G15" s="2">
        <v>-0.7295</v>
      </c>
      <c r="H15" s="2">
        <v>-0.35631</v>
      </c>
      <c r="I15" s="2">
        <v>0.87638</v>
      </c>
      <c r="J15" s="2">
        <v>0.72057</v>
      </c>
      <c r="K15" s="2">
        <v>0.06724</v>
      </c>
      <c r="L15" s="2">
        <v>1.43498</v>
      </c>
      <c r="M15" s="2">
        <v>0.87244</v>
      </c>
      <c r="N15" s="2">
        <v>0.7465</v>
      </c>
      <c r="O15" s="2">
        <v>0.5991</v>
      </c>
      <c r="P15" s="2">
        <v>0.88991</v>
      </c>
      <c r="Q15" s="2">
        <v>1.11429</v>
      </c>
      <c r="R15" s="2">
        <v>10.716</v>
      </c>
      <c r="S15" s="2">
        <v>10.716</v>
      </c>
      <c r="T15" s="2">
        <v>13.235</v>
      </c>
      <c r="U15" s="2">
        <v>0.69488</v>
      </c>
      <c r="V15" s="2">
        <v>0.80737</v>
      </c>
      <c r="W15" s="2">
        <v>1.26199</v>
      </c>
    </row>
    <row r="16" ht="14.25" spans="1:23">
      <c r="A16" s="1">
        <f t="shared" si="0"/>
        <v>1.4</v>
      </c>
      <c r="B16" s="2">
        <v>-0.45515</v>
      </c>
      <c r="C16" s="2">
        <v>-0.31933</v>
      </c>
      <c r="D16" s="2">
        <v>0.86575</v>
      </c>
      <c r="E16" s="2">
        <v>1.35821</v>
      </c>
      <c r="F16" s="2">
        <v>-0.96746</v>
      </c>
      <c r="G16" s="2">
        <v>-0.90954</v>
      </c>
      <c r="H16" s="2">
        <v>-0.47883</v>
      </c>
      <c r="I16" s="2">
        <v>0.82102</v>
      </c>
      <c r="J16" s="2">
        <v>0.97317</v>
      </c>
      <c r="K16" s="2">
        <v>0.10504</v>
      </c>
      <c r="L16" s="2">
        <v>1.63125</v>
      </c>
      <c r="M16" s="2">
        <v>1.02612</v>
      </c>
      <c r="N16" s="2">
        <v>0.94032</v>
      </c>
      <c r="O16" s="2">
        <v>0.80887</v>
      </c>
      <c r="P16" s="2">
        <v>1.0555</v>
      </c>
      <c r="Q16" s="2">
        <v>1.40059</v>
      </c>
      <c r="R16" s="2">
        <v>9.265</v>
      </c>
      <c r="S16" s="2">
        <v>9.265</v>
      </c>
      <c r="T16" s="2">
        <v>10.049</v>
      </c>
      <c r="U16" s="2">
        <v>0.84855</v>
      </c>
      <c r="V16" s="2">
        <v>0.91831</v>
      </c>
      <c r="W16" s="2">
        <v>1.34213</v>
      </c>
    </row>
    <row r="17" ht="14.25" spans="1:23">
      <c r="A17" s="1">
        <f t="shared" si="0"/>
        <v>1.5</v>
      </c>
      <c r="B17" s="2">
        <v>-0.5587</v>
      </c>
      <c r="C17" s="2">
        <v>-0.42039</v>
      </c>
      <c r="D17" s="2">
        <v>0.81054</v>
      </c>
      <c r="E17" s="2">
        <v>1.4368</v>
      </c>
      <c r="F17" s="2">
        <v>-1.10468</v>
      </c>
      <c r="G17" s="2">
        <v>-1.11609</v>
      </c>
      <c r="H17" s="2">
        <v>-0.63027</v>
      </c>
      <c r="I17" s="2">
        <v>0.74745</v>
      </c>
      <c r="J17" s="2">
        <v>1.28938</v>
      </c>
      <c r="K17" s="2">
        <v>0.15916</v>
      </c>
      <c r="L17" s="2">
        <v>1.89349</v>
      </c>
      <c r="M17" s="2">
        <v>1.19981</v>
      </c>
      <c r="N17" s="2">
        <v>1.1696</v>
      </c>
      <c r="O17" s="2">
        <v>1.07061</v>
      </c>
      <c r="P17" s="2">
        <v>1.24752</v>
      </c>
      <c r="Q17" s="2">
        <v>1.7372</v>
      </c>
      <c r="R17" s="2">
        <v>8.101</v>
      </c>
      <c r="S17" s="2">
        <v>8.101</v>
      </c>
      <c r="T17" s="2">
        <v>7.838</v>
      </c>
      <c r="U17" s="2">
        <v>1.01382</v>
      </c>
      <c r="V17" s="2">
        <v>1.02816</v>
      </c>
      <c r="W17" s="2">
        <v>1.41516</v>
      </c>
    </row>
    <row r="18" ht="14.25" spans="1:23">
      <c r="A18" s="1">
        <f t="shared" si="0"/>
        <v>1.6</v>
      </c>
      <c r="B18" s="2">
        <v>-0.67629</v>
      </c>
      <c r="C18" s="2">
        <v>-0.54348</v>
      </c>
      <c r="D18" s="2">
        <v>0.73859</v>
      </c>
      <c r="E18" s="2">
        <v>1.50695</v>
      </c>
      <c r="F18" s="2">
        <v>-1.24808</v>
      </c>
      <c r="G18" s="2">
        <v>-1.35042</v>
      </c>
      <c r="H18" s="2">
        <v>-0.81466</v>
      </c>
      <c r="I18" s="2">
        <v>0.65156</v>
      </c>
      <c r="J18" s="2">
        <v>1.68091</v>
      </c>
      <c r="K18" s="2">
        <v>0.23497</v>
      </c>
      <c r="L18" s="2">
        <v>2.23776</v>
      </c>
      <c r="M18" s="2">
        <v>1.39771</v>
      </c>
      <c r="N18" s="2">
        <v>1.44015</v>
      </c>
      <c r="O18" s="2">
        <v>1.39379</v>
      </c>
      <c r="P18" s="2">
        <v>1.47277</v>
      </c>
      <c r="Q18" s="2">
        <v>2.13135</v>
      </c>
      <c r="R18" s="2">
        <v>7.154</v>
      </c>
      <c r="S18" s="2">
        <v>7.154</v>
      </c>
      <c r="T18" s="2">
        <v>6.268</v>
      </c>
      <c r="U18" s="2">
        <v>1.18632</v>
      </c>
      <c r="V18" s="2">
        <v>1.1338</v>
      </c>
      <c r="W18" s="2">
        <v>1.4799</v>
      </c>
    </row>
    <row r="19" ht="14.25" spans="1:23">
      <c r="A19" s="1">
        <f t="shared" si="0"/>
        <v>1.7</v>
      </c>
      <c r="B19" s="2">
        <v>-0.80848</v>
      </c>
      <c r="C19" s="2">
        <v>-0.69144</v>
      </c>
      <c r="D19" s="2">
        <v>0.64637</v>
      </c>
      <c r="E19" s="2">
        <v>1.56621</v>
      </c>
      <c r="F19" s="2">
        <v>-1.39623</v>
      </c>
      <c r="G19" s="2">
        <v>-1.61346</v>
      </c>
      <c r="H19" s="2">
        <v>-1.03616</v>
      </c>
      <c r="I19" s="2">
        <v>0.52871</v>
      </c>
      <c r="J19" s="2">
        <v>2.16145</v>
      </c>
      <c r="K19" s="2">
        <v>0.33904</v>
      </c>
      <c r="L19" s="2">
        <v>2.68296</v>
      </c>
      <c r="M19" s="2">
        <v>1.62522</v>
      </c>
      <c r="N19" s="2">
        <v>1.75934</v>
      </c>
      <c r="O19" s="2">
        <v>1.78918</v>
      </c>
      <c r="P19" s="2">
        <v>1.74019</v>
      </c>
      <c r="Q19" s="2">
        <v>2.592</v>
      </c>
      <c r="R19" s="2">
        <v>6.375</v>
      </c>
      <c r="S19" s="2">
        <v>6.375</v>
      </c>
      <c r="T19" s="2">
        <v>5.133</v>
      </c>
      <c r="U19" s="2">
        <v>1.36088</v>
      </c>
      <c r="V19" s="2">
        <v>1.23219</v>
      </c>
      <c r="W19" s="2">
        <v>1.5354</v>
      </c>
    </row>
    <row r="20" ht="14.25" spans="1:23">
      <c r="A20" s="1">
        <f t="shared" si="0"/>
        <v>1.8</v>
      </c>
      <c r="B20" s="2">
        <v>-0.95564</v>
      </c>
      <c r="C20" s="2">
        <v>-0.86715</v>
      </c>
      <c r="D20" s="2">
        <v>0.52997</v>
      </c>
      <c r="E20" s="2">
        <v>1.61162</v>
      </c>
      <c r="F20" s="2">
        <v>-1.54728</v>
      </c>
      <c r="G20" s="2">
        <v>-1.90577</v>
      </c>
      <c r="H20" s="2">
        <v>-1.29909</v>
      </c>
      <c r="I20" s="2">
        <v>0.37368</v>
      </c>
      <c r="J20" s="2">
        <v>2.74734</v>
      </c>
      <c r="K20" s="2">
        <v>0.47951</v>
      </c>
      <c r="L20" s="2">
        <v>3.25143</v>
      </c>
      <c r="M20" s="2">
        <v>1.88946</v>
      </c>
      <c r="N20" s="2">
        <v>2.13653</v>
      </c>
      <c r="O20" s="2">
        <v>2.26933</v>
      </c>
      <c r="P20" s="2">
        <v>2.06147</v>
      </c>
      <c r="Q20" s="2">
        <v>3.13039</v>
      </c>
      <c r="R20" s="2">
        <v>5.73</v>
      </c>
      <c r="S20" s="2">
        <v>5.73</v>
      </c>
      <c r="T20" s="2">
        <v>4.3</v>
      </c>
      <c r="U20" s="2">
        <v>1.53179</v>
      </c>
      <c r="V20" s="2">
        <v>1.32058</v>
      </c>
      <c r="W20" s="2">
        <v>1.58115</v>
      </c>
    </row>
    <row r="21" ht="14.25" spans="1:23">
      <c r="A21" s="1">
        <f t="shared" si="0"/>
        <v>1.9</v>
      </c>
      <c r="B21" s="2">
        <v>-1.11796</v>
      </c>
      <c r="C21" s="2">
        <v>-1.07357</v>
      </c>
      <c r="D21" s="2">
        <v>0.38503</v>
      </c>
      <c r="E21" s="2">
        <v>1.63969</v>
      </c>
      <c r="F21" s="2">
        <v>-1.69889</v>
      </c>
      <c r="G21" s="2">
        <v>-2.22745</v>
      </c>
      <c r="H21" s="2">
        <v>-1.6077</v>
      </c>
      <c r="I21" s="2">
        <v>0.18071</v>
      </c>
      <c r="J21" s="2">
        <v>3.45833</v>
      </c>
      <c r="K21" s="2">
        <v>0.66632</v>
      </c>
      <c r="L21" s="2">
        <v>3.96945</v>
      </c>
      <c r="M21" s="2">
        <v>2.19944</v>
      </c>
      <c r="N21" s="2">
        <v>2.58362</v>
      </c>
      <c r="O21" s="2">
        <v>2.84909</v>
      </c>
      <c r="P21" s="2">
        <v>2.45147</v>
      </c>
      <c r="Q21" s="2">
        <v>3.76049</v>
      </c>
      <c r="R21" s="2">
        <v>5.19</v>
      </c>
      <c r="S21" s="2">
        <v>5.19</v>
      </c>
      <c r="T21" s="2">
        <v>3.68</v>
      </c>
      <c r="U21" s="2">
        <v>1.69343</v>
      </c>
      <c r="V21" s="2">
        <v>1.39688</v>
      </c>
      <c r="W21" s="2">
        <v>1.61718</v>
      </c>
    </row>
    <row r="22" ht="14.25" spans="1:23">
      <c r="A22" s="1">
        <f t="shared" si="0"/>
        <v>2</v>
      </c>
      <c r="B22" s="2">
        <v>-1.29535</v>
      </c>
      <c r="C22" s="2">
        <v>-1.31361</v>
      </c>
      <c r="D22" s="2">
        <v>0.20676</v>
      </c>
      <c r="E22" s="2">
        <v>1.64628</v>
      </c>
      <c r="F22" s="2">
        <v>-1.84818</v>
      </c>
      <c r="G22" s="2">
        <v>-2.57798</v>
      </c>
      <c r="H22" s="2">
        <v>-1.9662</v>
      </c>
      <c r="I22" s="2">
        <v>-0.05652</v>
      </c>
      <c r="J22" s="2">
        <v>4.31831</v>
      </c>
      <c r="K22" s="2">
        <v>0.91158</v>
      </c>
      <c r="L22" s="2">
        <v>4.86824</v>
      </c>
      <c r="M22" s="2">
        <v>2.56664</v>
      </c>
      <c r="N22" s="2">
        <v>3.11583</v>
      </c>
      <c r="O22" s="2">
        <v>3.54638</v>
      </c>
      <c r="P22" s="2">
        <v>2.92905</v>
      </c>
      <c r="Q22" s="2">
        <v>4.49999</v>
      </c>
      <c r="R22" s="2">
        <v>4.737</v>
      </c>
      <c r="S22" s="2">
        <v>4.737</v>
      </c>
      <c r="T22" s="2">
        <v>3.213</v>
      </c>
      <c r="U22" s="2">
        <v>1.84091</v>
      </c>
      <c r="V22" s="2">
        <v>1.43979</v>
      </c>
      <c r="W22" s="2">
        <v>1.64405</v>
      </c>
    </row>
    <row r="23" ht="14.25" spans="1:23">
      <c r="A23" s="1">
        <f t="shared" ref="A23:A27" si="1">A22+0.2</f>
        <v>2.2</v>
      </c>
      <c r="B23" s="2">
        <v>-1.69334</v>
      </c>
      <c r="C23" s="2">
        <v>-1.90567</v>
      </c>
      <c r="D23" s="2">
        <v>-0.27087</v>
      </c>
      <c r="E23" s="2">
        <v>1.57538</v>
      </c>
      <c r="F23" s="2">
        <v>-2.12481</v>
      </c>
      <c r="G23" s="2">
        <v>-3.35952</v>
      </c>
      <c r="H23" s="2">
        <v>-2.84858</v>
      </c>
      <c r="I23" s="2">
        <v>-0.69158</v>
      </c>
      <c r="J23" s="2">
        <v>6.61044</v>
      </c>
      <c r="K23" s="2">
        <v>1.63962</v>
      </c>
      <c r="L23" s="2">
        <v>7.36356</v>
      </c>
      <c r="M23" s="2">
        <v>3.53366</v>
      </c>
      <c r="N23" s="2">
        <v>4.51846</v>
      </c>
      <c r="O23" s="2">
        <v>5.38469</v>
      </c>
      <c r="P23" s="2">
        <v>4.24806</v>
      </c>
      <c r="Q23" s="2">
        <v>6.40196</v>
      </c>
      <c r="R23" s="2">
        <v>4.032</v>
      </c>
      <c r="S23" s="2">
        <v>4.032</v>
      </c>
      <c r="T23" s="2">
        <v>2.591</v>
      </c>
      <c r="U23" s="2">
        <v>2.08041</v>
      </c>
      <c r="V23" s="2">
        <v>1.54549</v>
      </c>
      <c r="W23" s="2">
        <v>1.6749</v>
      </c>
    </row>
    <row r="24" ht="14.25" spans="1:23">
      <c r="A24" s="1">
        <f t="shared" si="1"/>
        <v>2.4</v>
      </c>
      <c r="B24" s="2">
        <v>-2.14117</v>
      </c>
      <c r="C24" s="2">
        <v>-2.66329</v>
      </c>
      <c r="D24" s="2">
        <v>-0.94885</v>
      </c>
      <c r="E24" s="2">
        <v>1.35201</v>
      </c>
      <c r="F24" s="2">
        <v>-2.33901</v>
      </c>
      <c r="G24" s="2">
        <v>-4.22811</v>
      </c>
      <c r="H24" s="2">
        <v>-3.97323</v>
      </c>
      <c r="I24" s="2">
        <v>-1.59151</v>
      </c>
      <c r="J24" s="2">
        <v>9.9551</v>
      </c>
      <c r="K24" s="2">
        <v>2.82366</v>
      </c>
      <c r="L24" s="2">
        <v>11.1313</v>
      </c>
      <c r="M24" s="2">
        <v>4.95288</v>
      </c>
      <c r="N24" s="2">
        <v>6.57004</v>
      </c>
      <c r="O24" s="2">
        <v>8.02219</v>
      </c>
      <c r="P24" s="2">
        <v>6.288</v>
      </c>
      <c r="Q24" s="2">
        <v>9.0922</v>
      </c>
      <c r="R24" s="2">
        <v>3.526</v>
      </c>
      <c r="S24" s="2">
        <v>3.526</v>
      </c>
      <c r="T24" s="2">
        <v>2.227</v>
      </c>
      <c r="U24" s="2">
        <v>2.23974</v>
      </c>
      <c r="V24" s="2">
        <v>1.58566</v>
      </c>
      <c r="W24" s="2">
        <v>1.6852</v>
      </c>
    </row>
    <row r="25" ht="14.25" spans="1:23">
      <c r="A25" s="1">
        <f t="shared" si="1"/>
        <v>2.6</v>
      </c>
      <c r="B25" s="2">
        <v>-2.62126</v>
      </c>
      <c r="C25" s="2">
        <v>-3.59987</v>
      </c>
      <c r="D25" s="2">
        <v>-1.87734</v>
      </c>
      <c r="E25" s="2">
        <v>0.91679</v>
      </c>
      <c r="F25" s="2">
        <v>-2.43695</v>
      </c>
      <c r="G25" s="2">
        <v>-5.14023</v>
      </c>
      <c r="H25" s="2">
        <v>-5.35541</v>
      </c>
      <c r="I25" s="2">
        <v>-2.82106</v>
      </c>
      <c r="J25" s="2">
        <v>14.868</v>
      </c>
      <c r="K25" s="2">
        <v>4.70118</v>
      </c>
      <c r="L25" s="2">
        <v>16.7466</v>
      </c>
      <c r="M25" s="2">
        <v>7.07178</v>
      </c>
      <c r="N25" s="2">
        <v>9.6289</v>
      </c>
      <c r="O25" s="2">
        <v>11.8206</v>
      </c>
      <c r="P25" s="2">
        <v>9.46294</v>
      </c>
      <c r="Q25" s="2">
        <v>12.9719</v>
      </c>
      <c r="R25" s="2">
        <v>3.161</v>
      </c>
      <c r="S25" s="2">
        <v>3.161</v>
      </c>
      <c r="T25" s="2">
        <v>2.013</v>
      </c>
      <c r="U25" s="2">
        <v>2.32965</v>
      </c>
      <c r="V25" s="2">
        <v>1.59617</v>
      </c>
      <c r="W25" s="2">
        <v>1.68665</v>
      </c>
    </row>
    <row r="26" ht="14.25" spans="1:23">
      <c r="A26" s="1">
        <f t="shared" si="1"/>
        <v>2.8</v>
      </c>
      <c r="B26" s="2">
        <v>-3.10341</v>
      </c>
      <c r="C26" s="2">
        <v>-4.71748</v>
      </c>
      <c r="D26" s="2">
        <v>-3.10791</v>
      </c>
      <c r="E26" s="2">
        <v>0.19729</v>
      </c>
      <c r="F26" s="2">
        <v>-2.34558</v>
      </c>
      <c r="G26" s="2">
        <v>-6.02299</v>
      </c>
      <c r="H26" s="2">
        <v>-6.99007</v>
      </c>
      <c r="I26" s="2">
        <v>-4.44491</v>
      </c>
      <c r="J26" s="2">
        <v>22.1571</v>
      </c>
      <c r="K26" s="2">
        <v>7.62658</v>
      </c>
      <c r="L26" s="2">
        <v>25.0651</v>
      </c>
      <c r="M26" s="2">
        <v>10.2642</v>
      </c>
      <c r="N26" s="2">
        <v>14.2571</v>
      </c>
      <c r="O26" s="2">
        <v>17.3362</v>
      </c>
      <c r="P26" s="2">
        <v>14.4032</v>
      </c>
      <c r="Q26" s="2">
        <v>18.6636</v>
      </c>
      <c r="R26" s="2">
        <v>2.905</v>
      </c>
      <c r="S26" s="2">
        <v>2.905</v>
      </c>
      <c r="T26" s="2">
        <v>1.889</v>
      </c>
      <c r="U26" s="2">
        <v>2.37119</v>
      </c>
      <c r="V26" s="2">
        <v>1.59262</v>
      </c>
      <c r="W26" s="2">
        <v>1.68717</v>
      </c>
    </row>
    <row r="27" ht="14.25" spans="1:23">
      <c r="A27" s="1">
        <f t="shared" si="1"/>
        <v>3</v>
      </c>
      <c r="B27" s="2">
        <v>-3.54058</v>
      </c>
      <c r="C27" s="2">
        <v>-5.99979</v>
      </c>
      <c r="D27" s="2">
        <v>-4.68788</v>
      </c>
      <c r="E27" s="2">
        <v>-0.89126</v>
      </c>
      <c r="F27" s="2">
        <v>-1.96928</v>
      </c>
      <c r="G27" s="2">
        <v>-6.7646</v>
      </c>
      <c r="H27" s="2">
        <v>-8.84029</v>
      </c>
      <c r="I27" s="2">
        <v>-6.51972</v>
      </c>
      <c r="J27" s="2">
        <v>33.0879</v>
      </c>
      <c r="K27" s="2">
        <v>12.1353</v>
      </c>
      <c r="L27" s="2">
        <v>37.3807</v>
      </c>
      <c r="M27" s="2">
        <v>15.0922</v>
      </c>
      <c r="N27" s="2">
        <v>21.3285</v>
      </c>
      <c r="O27" s="2">
        <v>25.4275</v>
      </c>
      <c r="P27" s="2">
        <v>22.068</v>
      </c>
      <c r="Q27" s="2">
        <v>27.1257</v>
      </c>
      <c r="R27" s="2">
        <v>2.727</v>
      </c>
      <c r="S27" s="2">
        <v>2.727</v>
      </c>
      <c r="T27" s="2">
        <v>1.818</v>
      </c>
      <c r="U27" s="2">
        <v>2.38547</v>
      </c>
      <c r="V27" s="2">
        <v>1.58606</v>
      </c>
      <c r="W27" s="2">
        <v>1.69051</v>
      </c>
    </row>
    <row r="28" ht="14.25" spans="1:23">
      <c r="A28" s="1">
        <v>3.5</v>
      </c>
      <c r="B28" s="2">
        <v>-3.91921</v>
      </c>
      <c r="C28" s="2">
        <v>-9.54367</v>
      </c>
      <c r="D28" s="2">
        <v>-10.3404</v>
      </c>
      <c r="E28" s="2">
        <v>-5.85402</v>
      </c>
      <c r="F28" s="2">
        <v>1.07408</v>
      </c>
      <c r="G28" s="2">
        <v>-6.78895</v>
      </c>
      <c r="H28" s="2">
        <v>-13.6924</v>
      </c>
      <c r="I28" s="2">
        <v>-13.8261</v>
      </c>
      <c r="J28" s="2">
        <v>92.209</v>
      </c>
      <c r="K28" s="2">
        <v>36.858</v>
      </c>
      <c r="L28" s="2">
        <v>101.369</v>
      </c>
      <c r="M28" s="2">
        <v>41.0182</v>
      </c>
      <c r="N28" s="2">
        <v>60.476</v>
      </c>
      <c r="O28" s="2">
        <v>67.4982</v>
      </c>
      <c r="P28" s="2">
        <v>64.7696</v>
      </c>
      <c r="Q28" s="2">
        <v>72.0485</v>
      </c>
      <c r="R28" s="2">
        <v>2.502</v>
      </c>
      <c r="S28" s="2">
        <v>2.502</v>
      </c>
      <c r="T28" s="2">
        <v>1.757</v>
      </c>
      <c r="U28" s="2">
        <v>2.38891</v>
      </c>
      <c r="V28" s="2">
        <v>1.58435</v>
      </c>
      <c r="W28" s="2">
        <v>1.711</v>
      </c>
    </row>
    <row r="29" ht="14.25" spans="1:23">
      <c r="A29" s="1">
        <v>4</v>
      </c>
      <c r="B29" s="2">
        <v>-1.61428</v>
      </c>
      <c r="C29" s="2">
        <v>-11.7307</v>
      </c>
      <c r="D29" s="2">
        <v>-17.9186</v>
      </c>
      <c r="E29" s="2">
        <v>-15.0755</v>
      </c>
      <c r="F29" s="2">
        <v>9.24368</v>
      </c>
      <c r="G29" s="2">
        <v>-0.35762</v>
      </c>
      <c r="H29" s="2">
        <v>-15.6105</v>
      </c>
      <c r="I29" s="2">
        <v>-23.1404</v>
      </c>
      <c r="J29" s="2">
        <v>266.061</v>
      </c>
      <c r="K29" s="2">
        <v>109.012</v>
      </c>
      <c r="L29" s="2">
        <v>279.996</v>
      </c>
      <c r="M29" s="2">
        <v>114.722</v>
      </c>
      <c r="N29" s="2">
        <v>176.706</v>
      </c>
      <c r="O29" s="2">
        <v>185.996</v>
      </c>
      <c r="P29" s="2">
        <v>190.834</v>
      </c>
      <c r="Q29" s="2">
        <v>200.047</v>
      </c>
      <c r="R29" s="2">
        <v>2.441</v>
      </c>
      <c r="S29" s="2">
        <v>2.441</v>
      </c>
      <c r="T29" s="2">
        <v>1.751</v>
      </c>
      <c r="U29" s="2">
        <v>2.40074</v>
      </c>
      <c r="V29" s="2">
        <v>1.59979</v>
      </c>
      <c r="W29" s="2">
        <v>1.73218</v>
      </c>
    </row>
    <row r="31" spans="2:5">
      <c r="B31" s="3">
        <v>10000</v>
      </c>
      <c r="E31" s="3"/>
    </row>
    <row r="32" spans="1:8">
      <c r="A32" t="s">
        <v>104</v>
      </c>
      <c r="B32">
        <f>2.2*10000</f>
        <v>22000</v>
      </c>
      <c r="D32" s="4" t="s">
        <v>105</v>
      </c>
      <c r="E32">
        <v>210000</v>
      </c>
      <c r="H32" s="4"/>
    </row>
    <row r="33" spans="1:8">
      <c r="A33" t="s">
        <v>106</v>
      </c>
      <c r="B33">
        <f>2.55*10000</f>
        <v>25500</v>
      </c>
      <c r="D33" s="4" t="s">
        <v>107</v>
      </c>
      <c r="E33">
        <v>200000</v>
      </c>
      <c r="H33" s="4"/>
    </row>
    <row r="34" spans="1:8">
      <c r="A34" t="s">
        <v>108</v>
      </c>
      <c r="B34">
        <f>2.8*10000</f>
        <v>28000</v>
      </c>
      <c r="D34" s="4" t="s">
        <v>31</v>
      </c>
      <c r="E34">
        <v>200000</v>
      </c>
      <c r="H34" s="4"/>
    </row>
    <row r="35" spans="1:8">
      <c r="A35" t="s">
        <v>28</v>
      </c>
      <c r="B35">
        <v>30000</v>
      </c>
      <c r="D35" s="4" t="s">
        <v>109</v>
      </c>
      <c r="E35">
        <v>200000</v>
      </c>
      <c r="H35" s="4"/>
    </row>
    <row r="36" spans="1:8">
      <c r="A36" t="s">
        <v>110</v>
      </c>
      <c r="B36">
        <v>31500</v>
      </c>
      <c r="D36" s="4" t="s">
        <v>111</v>
      </c>
      <c r="E36">
        <v>210000</v>
      </c>
      <c r="H36" s="4"/>
    </row>
    <row r="37" spans="1:8">
      <c r="A37" t="s">
        <v>112</v>
      </c>
      <c r="B37">
        <v>32500</v>
      </c>
      <c r="D37" s="4" t="s">
        <v>113</v>
      </c>
      <c r="E37">
        <v>200000</v>
      </c>
      <c r="H37" s="4"/>
    </row>
    <row r="38" spans="1:8">
      <c r="A38" t="s">
        <v>114</v>
      </c>
      <c r="B38">
        <v>33500</v>
      </c>
      <c r="D38" s="4" t="s">
        <v>115</v>
      </c>
      <c r="E38">
        <v>200000</v>
      </c>
      <c r="H38" s="4"/>
    </row>
    <row r="39" spans="1:8">
      <c r="A39" t="s">
        <v>116</v>
      </c>
      <c r="B39">
        <v>34500</v>
      </c>
      <c r="D39" s="4" t="s">
        <v>117</v>
      </c>
      <c r="E39">
        <v>210000</v>
      </c>
      <c r="H39" s="4"/>
    </row>
    <row r="40" spans="1:8">
      <c r="A40" t="s">
        <v>118</v>
      </c>
      <c r="B40">
        <v>35500</v>
      </c>
      <c r="D40" s="4" t="s">
        <v>119</v>
      </c>
      <c r="E40">
        <v>200000</v>
      </c>
      <c r="H40" s="4"/>
    </row>
    <row r="41" spans="1:2">
      <c r="A41" t="s">
        <v>120</v>
      </c>
      <c r="B41">
        <v>36000</v>
      </c>
    </row>
    <row r="42" spans="1:2">
      <c r="A42" t="s">
        <v>121</v>
      </c>
      <c r="B42">
        <v>36500</v>
      </c>
    </row>
    <row r="43" spans="1:2">
      <c r="A43" t="s">
        <v>122</v>
      </c>
      <c r="B43">
        <v>37000</v>
      </c>
    </row>
    <row r="44" spans="1:2">
      <c r="A44" t="s">
        <v>123</v>
      </c>
      <c r="B44">
        <v>37500</v>
      </c>
    </row>
    <row r="45" spans="1:2">
      <c r="A45" t="s">
        <v>124</v>
      </c>
      <c r="B45">
        <v>38000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低桩承台桩内力计 算</vt:lpstr>
      <vt:lpstr>数据库(勿改）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86138</dc:creator>
  <cp:lastModifiedBy>Mr.Tu</cp:lastModifiedBy>
  <dcterms:created xsi:type="dcterms:W3CDTF">2021-04-05T09:58:00Z</dcterms:created>
  <dcterms:modified xsi:type="dcterms:W3CDTF">2021-05-06T01:30:07Z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16AEE13B9525473EBF70FABCD3142791</vt:lpwstr>
  </property>
  <property fmtid="{D5CDD505-2E9C-101B-9397-08002B2CF9AE}" pid="3" name="KSOProductBuildVer">
    <vt:lpwstr>2052-11.1.0.10463</vt:lpwstr>
  </property>
</Properties>
</file>