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低桩承台" sheetId="1" r:id="rId1"/>
    <sheet name="参数" sheetId="4" r:id="rId2"/>
  </sheets>
  <definedNames>
    <definedName name="_xlnm._FilterDatabase" localSheetId="1" hidden="1">参数!$A$1:$D$1</definedName>
    <definedName name="oooo">低桩承台!$K$50:$N$61</definedName>
    <definedName name="ooooo">低桩承台!$K$50:$O$60</definedName>
    <definedName name="钢筋参数">参数!$A$4:$D$6</definedName>
    <definedName name="混凝土参数">参数!$A$15:$D$19</definedName>
    <definedName name="基础附加分项系数">参数!$A$24:$B$27</definedName>
    <definedName name="土设计参数">参数!$A$32:$D$34</definedName>
    <definedName name="桩最小配筋率">参数!$G$3:$H$11</definedName>
  </definedNames>
  <calcPr calcId="144525"/>
</workbook>
</file>

<file path=xl/sharedStrings.xml><?xml version="1.0" encoding="utf-8"?>
<sst xmlns="http://schemas.openxmlformats.org/spreadsheetml/2006/main" count="234" uniqueCount="190">
  <si>
    <t>低桩承台计算表</t>
  </si>
  <si>
    <r>
      <rPr>
        <b/>
        <sz val="13"/>
        <rFont val="楷体_GB2312"/>
        <charset val="134"/>
      </rPr>
      <t>一</t>
    </r>
    <r>
      <rPr>
        <b/>
        <sz val="13"/>
        <rFont val="Times New Roman"/>
        <charset val="134"/>
      </rPr>
      <t xml:space="preserve">. </t>
    </r>
    <r>
      <rPr>
        <b/>
        <sz val="13"/>
        <rFont val="楷体_GB2312"/>
        <charset val="134"/>
      </rPr>
      <t>基础作用力（设计值）</t>
    </r>
  </si>
  <si>
    <t>基础上拔力T(kN)</t>
  </si>
  <si>
    <t>上拔水平力Tx(kN)</t>
  </si>
  <si>
    <t>上拔水平力Ty(kN)</t>
  </si>
  <si>
    <t>上拔弯矩Mx(kN.m)</t>
  </si>
  <si>
    <t>上拔弯矩My(kN.m)</t>
  </si>
  <si>
    <t>上拔弯矩Mz(kN.m)</t>
  </si>
  <si>
    <t>基础下压力N(kN)</t>
  </si>
  <si>
    <t>下压水平力Nx(kN)</t>
  </si>
  <si>
    <t>下压水平力Ny(kN)</t>
  </si>
  <si>
    <t>下压弯矩Mx(kN.m)</t>
  </si>
  <si>
    <t>下压弯矩My(kN.m)</t>
  </si>
  <si>
    <t>下压弯矩Mz(kN.m)</t>
  </si>
  <si>
    <t>二. 基础作用力（标准值）</t>
  </si>
  <si>
    <t>=设计值/1.35</t>
  </si>
  <si>
    <t>三.结构类型及基础参数</t>
  </si>
  <si>
    <t>基础混凝土等级</t>
  </si>
  <si>
    <t>C25</t>
  </si>
  <si>
    <t>抗压强度fc（N/mm2）</t>
  </si>
  <si>
    <t>抗拉强度ft（N/mm2）</t>
  </si>
  <si>
    <t>杆塔类型</t>
  </si>
  <si>
    <t>直线型</t>
  </si>
  <si>
    <t>安全系数γf</t>
  </si>
  <si>
    <t>主筋等级</t>
  </si>
  <si>
    <t>HRB400</t>
  </si>
  <si>
    <t>抗拉强度fy（N/mm2）</t>
  </si>
  <si>
    <t>抗压强度f'y（N/mm2）</t>
  </si>
  <si>
    <t>结构类别</t>
  </si>
  <si>
    <t>四.承台柱与承台参数</t>
  </si>
  <si>
    <t>承台柱高度(m)</t>
  </si>
  <si>
    <t>承台柱长度(m)</t>
  </si>
  <si>
    <t>承台柱宽度(m)</t>
  </si>
  <si>
    <t>主筋直径</t>
  </si>
  <si>
    <t>长向主筋根数</t>
  </si>
  <si>
    <t>宽向主筋根数</t>
  </si>
  <si>
    <t>承台高度(m)</t>
  </si>
  <si>
    <t>承台长度(m)</t>
  </si>
  <si>
    <t>承台宽度(m)</t>
  </si>
  <si>
    <t>五.布桩</t>
  </si>
  <si>
    <t>长向桩数</t>
  </si>
  <si>
    <t>宽向桩数</t>
  </si>
  <si>
    <t>桩间距(m)</t>
  </si>
  <si>
    <t>桩序号</t>
  </si>
  <si>
    <t>x坐标(长向)</t>
  </si>
  <si>
    <t>y坐标(宽向)</t>
  </si>
  <si>
    <t>六.桩基参数</t>
  </si>
  <si>
    <t>桩直径D(m)</t>
  </si>
  <si>
    <t>设计露头H(m)</t>
  </si>
  <si>
    <t>桩埋深(m)</t>
  </si>
  <si>
    <t>土层数</t>
  </si>
  <si>
    <t>桩保护层厚度c(m)</t>
  </si>
  <si>
    <t>主筋数量</t>
  </si>
  <si>
    <t>设计地面最大位移(m)</t>
  </si>
  <si>
    <t>桩面积A(m^2)</t>
  </si>
  <si>
    <t>桩端类型</t>
  </si>
  <si>
    <t>支立于土上</t>
  </si>
  <si>
    <t>是否有地下水</t>
  </si>
  <si>
    <t>是</t>
  </si>
  <si>
    <t>桩浮重度（kN/m^3）</t>
  </si>
  <si>
    <t>桩身配筋率ρd</t>
  </si>
  <si>
    <t>桩周长u(m)</t>
  </si>
  <si>
    <t>四.土层信息</t>
  </si>
  <si>
    <t>土层层号</t>
  </si>
  <si>
    <t>层名</t>
  </si>
  <si>
    <t>状态</t>
  </si>
  <si>
    <t>土层厚度(m)</t>
  </si>
  <si>
    <t>侧阻力
qsk（kPa）</t>
  </si>
  <si>
    <t>端阻力
qpk（kPa）</t>
  </si>
  <si>
    <t xml:space="preserve">内摩擦角
φ
</t>
  </si>
  <si>
    <t>粘聚力
c（kPa）</t>
  </si>
  <si>
    <t>水平抗力系数的比例系数m（kN/m^4）</t>
  </si>
  <si>
    <t>抗拔系数
ψsi</t>
  </si>
  <si>
    <t>侧阻力尺寸效应系数
ψsi</t>
  </si>
  <si>
    <t>端阻力尺寸效应系数
ψpi</t>
  </si>
  <si>
    <t>累计深度
(m)</t>
  </si>
  <si>
    <t>有效深度
(m)</t>
  </si>
  <si>
    <t>下压桩侧阻力
（kN）</t>
  </si>
  <si>
    <t>上拔桩侧阻力
（kN）</t>
  </si>
  <si>
    <t>桩端阻力
（kN）</t>
  </si>
  <si>
    <t>黏性土</t>
  </si>
  <si>
    <t>流塑</t>
  </si>
  <si>
    <t>砂土</t>
  </si>
  <si>
    <t>软塑</t>
  </si>
  <si>
    <t>粉土</t>
  </si>
  <si>
    <r>
      <rPr>
        <b/>
        <sz val="13"/>
        <rFont val="宋体"/>
        <charset val="134"/>
      </rPr>
      <t>五</t>
    </r>
    <r>
      <rPr>
        <b/>
        <sz val="13"/>
        <rFont val="Times New Roman"/>
        <charset val="134"/>
      </rPr>
      <t>.</t>
    </r>
    <r>
      <rPr>
        <b/>
        <sz val="13"/>
        <rFont val="宋体"/>
        <charset val="134"/>
      </rPr>
      <t>上拔承载力计算</t>
    </r>
  </si>
  <si>
    <t>基桩上拔力Tk(kN)</t>
  </si>
  <si>
    <t>抗拔承载力Tuk(kN)</t>
  </si>
  <si>
    <t>γf.Tk(kN)</t>
  </si>
  <si>
    <t>Tuk/K+Gp</t>
  </si>
  <si>
    <r>
      <rPr>
        <b/>
        <sz val="13"/>
        <rFont val="宋体"/>
        <charset val="134"/>
      </rPr>
      <t>六</t>
    </r>
    <r>
      <rPr>
        <b/>
        <sz val="13"/>
        <rFont val="Times New Roman"/>
        <charset val="134"/>
      </rPr>
      <t>.</t>
    </r>
    <r>
      <rPr>
        <b/>
        <sz val="13"/>
        <rFont val="宋体"/>
        <charset val="134"/>
      </rPr>
      <t>下压承载力计算</t>
    </r>
  </si>
  <si>
    <t>基桩下压力Nk(kN)</t>
  </si>
  <si>
    <t>下压承载力Quk(kN)</t>
  </si>
  <si>
    <t>基桩自重的一半(kN)</t>
  </si>
  <si>
    <t>γf.Nk(kN)</t>
  </si>
  <si>
    <t>Quk/K</t>
  </si>
  <si>
    <r>
      <rPr>
        <b/>
        <sz val="13"/>
        <rFont val="宋体"/>
        <charset val="134"/>
      </rPr>
      <t>七</t>
    </r>
    <r>
      <rPr>
        <b/>
        <sz val="13"/>
        <rFont val="Times New Roman"/>
        <charset val="134"/>
      </rPr>
      <t>.</t>
    </r>
    <r>
      <rPr>
        <b/>
        <sz val="13"/>
        <rFont val="宋体"/>
        <charset val="134"/>
      </rPr>
      <t>配筋计算</t>
    </r>
  </si>
  <si>
    <t>上拔工况轴向荷载(kN)</t>
  </si>
  <si>
    <t>上拔工况弯矩(kN*m)</t>
  </si>
  <si>
    <t>最小配筋率</t>
  </si>
  <si>
    <t>受力状态</t>
  </si>
  <si>
    <t>下压工况轴向荷载(kN)</t>
  </si>
  <si>
    <t>下压工况弯矩(kN*m)</t>
  </si>
  <si>
    <t>构造配筋面积(mm^2)</t>
  </si>
  <si>
    <t>拉弯配筋面积(mm^2)</t>
  </si>
  <si>
    <t>压弯配筋面积(mm^2)</t>
  </si>
  <si>
    <t>纯弯配筋面积(mm^2)</t>
  </si>
  <si>
    <t>实际配筋面积(mm^2)</t>
  </si>
  <si>
    <r>
      <rPr>
        <b/>
        <sz val="13"/>
        <rFont val="宋体"/>
        <charset val="134"/>
      </rPr>
      <t>八</t>
    </r>
    <r>
      <rPr>
        <b/>
        <sz val="13"/>
        <rFont val="Times New Roman"/>
        <charset val="134"/>
      </rPr>
      <t>.</t>
    </r>
    <r>
      <rPr>
        <b/>
        <sz val="13"/>
        <rFont val="宋体"/>
        <charset val="134"/>
      </rPr>
      <t>位移计算</t>
    </r>
  </si>
  <si>
    <t>上拔工况地面位移(mm)</t>
  </si>
  <si>
    <t>下压工况地面位移(mm)</t>
  </si>
  <si>
    <t>最大允许位移(mm)</t>
  </si>
  <si>
    <t>九.计算结果</t>
  </si>
  <si>
    <t>桩径D(m)</t>
  </si>
  <si>
    <t>桩长L（m）</t>
  </si>
  <si>
    <t>说明：标蓝为需手动输入，白框为自动计算，标黄为计算结果</t>
  </si>
  <si>
    <r>
      <rPr>
        <sz val="12"/>
        <color rgb="FFFF0000"/>
        <rFont val="楷体"/>
        <charset val="134"/>
      </rPr>
      <t>钢筋强度设计值</t>
    </r>
    <r>
      <rPr>
        <sz val="12"/>
        <color indexed="10"/>
        <rFont val="楷体"/>
        <charset val="134"/>
      </rPr>
      <t>（</t>
    </r>
    <r>
      <rPr>
        <sz val="12"/>
        <color indexed="10"/>
        <rFont val="Times New Roman"/>
        <charset val="134"/>
      </rPr>
      <t>N/mm</t>
    </r>
    <r>
      <rPr>
        <vertAlign val="superscript"/>
        <sz val="12"/>
        <color indexed="10"/>
        <rFont val="Times New Roman"/>
        <charset val="134"/>
      </rPr>
      <t>2</t>
    </r>
    <r>
      <rPr>
        <sz val="12"/>
        <color indexed="10"/>
        <rFont val="楷体"/>
        <charset val="134"/>
      </rPr>
      <t>）</t>
    </r>
  </si>
  <si>
    <r>
      <rPr>
        <sz val="10"/>
        <rFont val="楷体"/>
        <charset val="134"/>
      </rPr>
      <t>强度种类</t>
    </r>
  </si>
  <si>
    <r>
      <rPr>
        <sz val="10"/>
        <rFont val="楷体"/>
        <charset val="134"/>
      </rPr>
      <t>抗拉强度</t>
    </r>
    <r>
      <rPr>
        <sz val="10"/>
        <rFont val="Times New Roman"/>
        <charset val="134"/>
      </rPr>
      <t>fy</t>
    </r>
  </si>
  <si>
    <r>
      <rPr>
        <sz val="10"/>
        <rFont val="楷体"/>
        <charset val="134"/>
      </rPr>
      <t>抗压强度</t>
    </r>
    <r>
      <rPr>
        <sz val="10"/>
        <rFont val="Times New Roman"/>
        <charset val="134"/>
      </rPr>
      <t>f'y</t>
    </r>
  </si>
  <si>
    <r>
      <rPr>
        <sz val="10"/>
        <rFont val="楷体"/>
        <charset val="134"/>
      </rPr>
      <t>弹性模量</t>
    </r>
  </si>
  <si>
    <r>
      <rPr>
        <sz val="10"/>
        <rFont val="宋体"/>
        <charset val="134"/>
      </rPr>
      <t>桩径</t>
    </r>
  </si>
  <si>
    <r>
      <rPr>
        <sz val="10"/>
        <rFont val="宋体"/>
        <charset val="134"/>
      </rPr>
      <t>配筋率</t>
    </r>
  </si>
  <si>
    <r>
      <rPr>
        <sz val="10"/>
        <rFont val="楷体"/>
        <charset val="134"/>
      </rPr>
      <t>符号</t>
    </r>
  </si>
  <si>
    <t>fc</t>
  </si>
  <si>
    <t>ft</t>
  </si>
  <si>
    <t>Es</t>
  </si>
  <si>
    <t>HPB300</t>
  </si>
  <si>
    <t>HRB500</t>
  </si>
  <si>
    <r>
      <rPr>
        <sz val="10"/>
        <color rgb="FFFF0000"/>
        <rFont val="楷体"/>
        <charset val="134"/>
      </rPr>
      <t>混凝土强度设计值</t>
    </r>
    <r>
      <rPr>
        <sz val="12"/>
        <color rgb="FFFF0000"/>
        <rFont val="楷体"/>
        <charset val="134"/>
      </rPr>
      <t>（</t>
    </r>
    <r>
      <rPr>
        <sz val="12"/>
        <color rgb="FFFF0000"/>
        <rFont val="Times New Roman"/>
        <charset val="134"/>
      </rPr>
      <t>N/mm</t>
    </r>
    <r>
      <rPr>
        <vertAlign val="superscript"/>
        <sz val="12"/>
        <color rgb="FFFF0000"/>
        <rFont val="Times New Roman"/>
        <charset val="134"/>
      </rPr>
      <t>2</t>
    </r>
    <r>
      <rPr>
        <sz val="12"/>
        <color rgb="FFFF0000"/>
        <rFont val="楷体"/>
        <charset val="134"/>
      </rPr>
      <t>）</t>
    </r>
  </si>
  <si>
    <r>
      <rPr>
        <sz val="10"/>
        <rFont val="楷体"/>
        <charset val="134"/>
      </rPr>
      <t>轴心抗压</t>
    </r>
  </si>
  <si>
    <r>
      <rPr>
        <sz val="10"/>
        <rFont val="楷体"/>
        <charset val="134"/>
      </rPr>
      <t>轴心抗拉</t>
    </r>
  </si>
  <si>
    <t>Ec</t>
  </si>
  <si>
    <t>C20</t>
  </si>
  <si>
    <t>C30</t>
  </si>
  <si>
    <t>C35</t>
  </si>
  <si>
    <t>C40</t>
  </si>
  <si>
    <r>
      <rPr>
        <sz val="10"/>
        <rFont val="楷体"/>
        <charset val="134"/>
      </rPr>
      <t>基础附加分项系数</t>
    </r>
  </si>
  <si>
    <r>
      <rPr>
        <sz val="10"/>
        <rFont val="楷体"/>
        <charset val="134"/>
      </rPr>
      <t>杆塔类型</t>
    </r>
  </si>
  <si>
    <t>γf</t>
  </si>
  <si>
    <r>
      <rPr>
        <sz val="10"/>
        <rFont val="楷体"/>
        <charset val="134"/>
      </rPr>
      <t>直线型</t>
    </r>
  </si>
  <si>
    <r>
      <rPr>
        <sz val="10"/>
        <rFont val="楷体"/>
        <charset val="134"/>
      </rPr>
      <t>直转型</t>
    </r>
  </si>
  <si>
    <r>
      <rPr>
        <sz val="10"/>
        <rFont val="楷体"/>
        <charset val="134"/>
      </rPr>
      <t>转角型</t>
    </r>
  </si>
  <si>
    <r>
      <rPr>
        <sz val="10"/>
        <rFont val="楷体"/>
        <charset val="134"/>
      </rPr>
      <t>终端型</t>
    </r>
  </si>
  <si>
    <t>土的设计参数</t>
  </si>
  <si>
    <r>
      <rPr>
        <sz val="10"/>
        <rFont val="宋体"/>
        <charset val="134"/>
      </rPr>
      <t>土类别</t>
    </r>
  </si>
  <si>
    <t>λi</t>
  </si>
  <si>
    <t>ψsi</t>
  </si>
  <si>
    <t>ψpi</t>
  </si>
  <si>
    <r>
      <rPr>
        <sz val="10"/>
        <rFont val="宋体"/>
        <charset val="134"/>
      </rPr>
      <t>黏性土</t>
    </r>
  </si>
  <si>
    <r>
      <rPr>
        <sz val="10"/>
        <rFont val="宋体"/>
        <charset val="134"/>
      </rPr>
      <t>粉土</t>
    </r>
  </si>
  <si>
    <r>
      <rPr>
        <sz val="10"/>
        <rFont val="宋体"/>
        <charset val="134"/>
      </rPr>
      <t>砂土</t>
    </r>
  </si>
  <si>
    <r>
      <rPr>
        <sz val="10"/>
        <rFont val="宋体"/>
        <charset val="134"/>
      </rPr>
      <t>注：</t>
    </r>
    <r>
      <rPr>
        <sz val="10"/>
        <rFont val="Times New Roman"/>
        <charset val="134"/>
      </rPr>
      <t>l/d</t>
    </r>
    <r>
      <rPr>
        <sz val="10"/>
        <rFont val="宋体"/>
        <charset val="134"/>
      </rPr>
      <t>小于</t>
    </r>
    <r>
      <rPr>
        <sz val="10"/>
        <rFont val="Times New Roman"/>
        <charset val="134"/>
      </rPr>
      <t>20</t>
    </r>
    <r>
      <rPr>
        <sz val="10"/>
        <rFont val="宋体"/>
        <charset val="134"/>
      </rPr>
      <t>时，取小值</t>
    </r>
  </si>
  <si>
    <t>换算深度αh</t>
  </si>
  <si>
    <t>A3</t>
  </si>
  <si>
    <t>B3</t>
  </si>
  <si>
    <t>C3</t>
  </si>
  <si>
    <t>D3</t>
  </si>
  <si>
    <t>A4</t>
  </si>
  <si>
    <t>B4</t>
  </si>
  <si>
    <t>C4</t>
  </si>
  <si>
    <t>D4</t>
  </si>
  <si>
    <t>B3D4-B4D3</t>
  </si>
  <si>
    <t>A3B4-A4B3</t>
  </si>
  <si>
    <t>B2D4-B4D2</t>
  </si>
  <si>
    <t>A2B4-A4B2</t>
  </si>
  <si>
    <t>A3D4-A4D3</t>
  </si>
  <si>
    <t>A2D4-A4D2</t>
  </si>
  <si>
    <t>A3C4-A4C3</t>
  </si>
  <si>
    <t>A2C4-A4C2</t>
  </si>
  <si>
    <t>Af
（B3D4-B4D3）/(A3B4-A4B3)</t>
  </si>
  <si>
    <t>Bf
（A3D4-A4D3）/(A3B4-A4B3)</t>
  </si>
  <si>
    <t>Cf
（A3C4-A4C3）/(A3B4-A4B3)</t>
  </si>
  <si>
    <t>∞</t>
  </si>
  <si>
    <t>换算深度h=ay</t>
  </si>
  <si>
    <t>CⅠ(ah)</t>
  </si>
  <si>
    <t>DⅡ(ah)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</si>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</sst>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  <numFmt numFmtId="178" formatCode="0.00_);[Red]\(0.00\)"/>
    <numFmt numFmtId="179" formatCode="0.000_ "/>
    <numFmt numFmtId="180" formatCode="0.00000_ "/>
  </numFmts>
  <fonts count="39"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10"/>
      <name val="楷体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20"/>
      <color theme="1"/>
      <name val="楷体"/>
      <charset val="134"/>
    </font>
    <font>
      <b/>
      <sz val="13"/>
      <name val="楷体"/>
      <charset val="134"/>
    </font>
    <font>
      <sz val="11"/>
      <color theme="1"/>
      <name val="楷体"/>
      <charset val="134"/>
    </font>
    <font>
      <b/>
      <sz val="13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楷体"/>
      <charset val="134"/>
    </font>
    <font>
      <sz val="12"/>
      <color indexed="10"/>
      <name val="楷体"/>
      <charset val="134"/>
    </font>
    <font>
      <sz val="12"/>
      <color indexed="10"/>
      <name val="Times New Roman"/>
      <charset val="134"/>
    </font>
    <font>
      <vertAlign val="superscript"/>
      <sz val="12"/>
      <color indexed="10"/>
      <name val="Times New Roman"/>
      <charset val="134"/>
    </font>
    <font>
      <sz val="10"/>
      <name val="宋体"/>
      <charset val="134"/>
    </font>
    <font>
      <sz val="10"/>
      <color rgb="FFFF0000"/>
      <name val="楷体"/>
      <charset val="134"/>
    </font>
    <font>
      <sz val="12"/>
      <color rgb="FFFF0000"/>
      <name val="Times New Roman"/>
      <charset val="134"/>
    </font>
    <font>
      <vertAlign val="superscript"/>
      <sz val="12"/>
      <color rgb="FFFF0000"/>
      <name val="Times New Roman"/>
      <charset val="134"/>
    </font>
    <font>
      <b/>
      <sz val="13"/>
      <name val="楷体_GB2312"/>
      <charset val="134"/>
    </font>
    <font>
      <b/>
      <sz val="13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99FF"/>
      </left>
      <right/>
      <top/>
      <bottom/>
      <diagonal/>
    </border>
    <border>
      <left style="thin">
        <color rgb="FF0099FF"/>
      </left>
      <right/>
      <top style="thin">
        <color rgb="FF0099FF"/>
      </top>
      <bottom style="thin">
        <color rgb="FF0099FF"/>
      </bottom>
      <diagonal/>
    </border>
    <border>
      <left/>
      <right style="thin">
        <color rgb="FF0099FF"/>
      </right>
      <top style="thin">
        <color rgb="FF0099FF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/>
      <bottom style="thin">
        <color rgb="FF0099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16" borderId="17" applyNumberFormat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22" fillId="23" borderId="1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9" fontId="0" fillId="0" borderId="6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176" fontId="8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7" fontId="8" fillId="0" borderId="12" xfId="0" applyNumberFormat="1" applyFont="1" applyFill="1" applyBorder="1" applyAlignment="1">
      <alignment horizontal="center" vertical="center"/>
    </xf>
    <xf numFmtId="180" fontId="8" fillId="0" borderId="12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12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/>
    </xf>
    <xf numFmtId="0" fontId="0" fillId="0" borderId="12" xfId="0" applyBorder="1">
      <alignment vertical="center"/>
    </xf>
    <xf numFmtId="177" fontId="8" fillId="0" borderId="12" xfId="0" applyNumberFormat="1" applyFont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ont="1" applyBorder="1">
      <alignment vertical="center"/>
    </xf>
    <xf numFmtId="0" fontId="8" fillId="0" borderId="0" xfId="0" applyFont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/>
    </xf>
    <xf numFmtId="178" fontId="8" fillId="0" borderId="12" xfId="0" applyNumberFormat="1" applyFont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179" fontId="8" fillId="0" borderId="1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99FF"/>
      <color rgb="0033CCFF"/>
      <color rgb="003882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104776</xdr:colOff>
      <xdr:row>37</xdr:row>
      <xdr:rowOff>19018</xdr:rowOff>
    </xdr:from>
    <xdr:to>
      <xdr:col>20</xdr:col>
      <xdr:colOff>733426</xdr:colOff>
      <xdr:row>37</xdr:row>
      <xdr:rowOff>408940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7173575" y="6733540"/>
          <a:ext cx="62865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47625</xdr:colOff>
      <xdr:row>37</xdr:row>
      <xdr:rowOff>28575</xdr:rowOff>
    </xdr:from>
    <xdr:to>
      <xdr:col>21</xdr:col>
      <xdr:colOff>571500</xdr:colOff>
      <xdr:row>37</xdr:row>
      <xdr:rowOff>361950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8040350" y="6743700"/>
          <a:ext cx="523875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85725</xdr:colOff>
      <xdr:row>37</xdr:row>
      <xdr:rowOff>19050</xdr:rowOff>
    </xdr:from>
    <xdr:to>
      <xdr:col>22</xdr:col>
      <xdr:colOff>609600</xdr:colOff>
      <xdr:row>37</xdr:row>
      <xdr:rowOff>361315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18764250" y="6734175"/>
          <a:ext cx="523875" cy="3422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68"/>
  <sheetViews>
    <sheetView tabSelected="1" topLeftCell="A19" workbookViewId="0">
      <selection activeCell="A32" sqref="$A29:$XFD32"/>
    </sheetView>
  </sheetViews>
  <sheetFormatPr defaultColWidth="9" defaultRowHeight="13.5"/>
  <cols>
    <col min="1" max="1" width="20.75" customWidth="1"/>
    <col min="2" max="2" width="16.875" customWidth="1"/>
    <col min="3" max="3" width="21.375" customWidth="1"/>
    <col min="4" max="4" width="15.125" customWidth="1"/>
    <col min="5" max="5" width="21.25" customWidth="1"/>
    <col min="6" max="6" width="15.75" customWidth="1"/>
    <col min="7" max="7" width="17.375" customWidth="1"/>
    <col min="8" max="8" width="15.375" customWidth="1"/>
    <col min="9" max="9" width="16.5" customWidth="1"/>
    <col min="10" max="10" width="16" customWidth="1"/>
    <col min="11" max="11" width="17.875" customWidth="1"/>
    <col min="12" max="12" width="14.375" customWidth="1"/>
    <col min="13" max="13" width="12" customWidth="1"/>
    <col min="14" max="15" width="11" customWidth="1"/>
    <col min="16" max="16" width="14.5" customWidth="1"/>
    <col min="17" max="17" width="14" customWidth="1"/>
    <col min="18" max="19" width="10.5" customWidth="1"/>
  </cols>
  <sheetData>
    <row r="1" ht="29.25" customHeight="1" spans="1:12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ht="20.1" customHeight="1" spans="1:2">
      <c r="A2" s="32" t="s">
        <v>1</v>
      </c>
      <c r="B2" s="33"/>
    </row>
    <row r="3" ht="20.1" customHeight="1" spans="1:12">
      <c r="A3" s="34" t="s">
        <v>2</v>
      </c>
      <c r="B3" s="35">
        <v>-341</v>
      </c>
      <c r="C3" s="36" t="s">
        <v>3</v>
      </c>
      <c r="D3" s="35">
        <v>-139</v>
      </c>
      <c r="E3" s="36" t="s">
        <v>4</v>
      </c>
      <c r="F3" s="35">
        <v>0</v>
      </c>
      <c r="G3" s="36" t="s">
        <v>5</v>
      </c>
      <c r="H3" s="35">
        <v>0</v>
      </c>
      <c r="I3" s="36" t="s">
        <v>6</v>
      </c>
      <c r="J3" s="35">
        <v>5338</v>
      </c>
      <c r="K3" s="36" t="s">
        <v>7</v>
      </c>
      <c r="L3" s="35">
        <v>0</v>
      </c>
    </row>
    <row r="4" ht="20.1" customHeight="1" spans="1:12">
      <c r="A4" s="34" t="s">
        <v>8</v>
      </c>
      <c r="B4" s="35">
        <v>341</v>
      </c>
      <c r="C4" s="36" t="s">
        <v>9</v>
      </c>
      <c r="D4" s="35">
        <v>-139</v>
      </c>
      <c r="E4" s="36" t="s">
        <v>10</v>
      </c>
      <c r="F4" s="35">
        <v>0</v>
      </c>
      <c r="G4" s="36" t="s">
        <v>11</v>
      </c>
      <c r="H4" s="35">
        <v>0</v>
      </c>
      <c r="I4" s="36" t="s">
        <v>12</v>
      </c>
      <c r="J4" s="35">
        <v>5338</v>
      </c>
      <c r="K4" s="36" t="s">
        <v>13</v>
      </c>
      <c r="L4" s="35">
        <v>0</v>
      </c>
    </row>
    <row r="5" ht="20.1" customHeight="1"/>
    <row r="6" ht="20.1" customHeight="1" spans="1:6">
      <c r="A6" s="32" t="s">
        <v>14</v>
      </c>
      <c r="B6" s="33"/>
      <c r="C6" s="37" t="s">
        <v>15</v>
      </c>
      <c r="D6" s="38"/>
      <c r="E6" s="38"/>
      <c r="F6" s="38"/>
    </row>
    <row r="7" ht="20.1" customHeight="1" spans="1:12">
      <c r="A7" s="34" t="s">
        <v>2</v>
      </c>
      <c r="B7" s="39">
        <f>B3/1.35</f>
        <v>-252.592592592593</v>
      </c>
      <c r="C7" s="36" t="s">
        <v>3</v>
      </c>
      <c r="D7" s="39">
        <f>D3/1.35</f>
        <v>-102.962962962963</v>
      </c>
      <c r="E7" s="36" t="s">
        <v>4</v>
      </c>
      <c r="F7" s="39">
        <f>F3/1.35</f>
        <v>0</v>
      </c>
      <c r="G7" s="36" t="s">
        <v>5</v>
      </c>
      <c r="H7" s="39">
        <f>H3/1.35</f>
        <v>0</v>
      </c>
      <c r="I7" s="36" t="s">
        <v>6</v>
      </c>
      <c r="J7" s="39">
        <f>J3/1.35</f>
        <v>3954.07407407407</v>
      </c>
      <c r="K7" s="36" t="s">
        <v>7</v>
      </c>
      <c r="L7" s="39">
        <f>L3/1.35</f>
        <v>0</v>
      </c>
    </row>
    <row r="8" ht="20.1" customHeight="1" spans="1:12">
      <c r="A8" s="34" t="s">
        <v>8</v>
      </c>
      <c r="B8" s="39">
        <f>B4/1.35</f>
        <v>252.592592592593</v>
      </c>
      <c r="C8" s="36" t="s">
        <v>9</v>
      </c>
      <c r="D8" s="39">
        <f>D4/1.35</f>
        <v>-102.962962962963</v>
      </c>
      <c r="E8" s="36" t="s">
        <v>10</v>
      </c>
      <c r="F8" s="39">
        <f>F4/1.35</f>
        <v>0</v>
      </c>
      <c r="G8" s="36" t="s">
        <v>11</v>
      </c>
      <c r="H8" s="39">
        <f>H4/1.35</f>
        <v>0</v>
      </c>
      <c r="I8" s="36" t="s">
        <v>12</v>
      </c>
      <c r="J8" s="39">
        <f>J4/1.35</f>
        <v>3954.07407407407</v>
      </c>
      <c r="K8" s="36" t="s">
        <v>13</v>
      </c>
      <c r="L8" s="39">
        <f>L4/1.35</f>
        <v>0</v>
      </c>
    </row>
    <row r="9" ht="20.1" customHeight="1"/>
    <row r="10" ht="20.1" customHeight="1" spans="1:2">
      <c r="A10" s="32" t="s">
        <v>16</v>
      </c>
      <c r="B10" s="33"/>
    </row>
    <row r="11" ht="20.1" customHeight="1" spans="1:10">
      <c r="A11" s="34" t="s">
        <v>17</v>
      </c>
      <c r="B11" s="35" t="s">
        <v>18</v>
      </c>
      <c r="C11" s="34" t="s">
        <v>19</v>
      </c>
      <c r="D11" s="40">
        <f>VLOOKUP(B11,混凝土参数,2,FALSE)</f>
        <v>11.9</v>
      </c>
      <c r="E11" s="34" t="s">
        <v>20</v>
      </c>
      <c r="F11" s="40">
        <f>VLOOKUP(B11,混凝土参数,3,FALSE)</f>
        <v>1.27</v>
      </c>
      <c r="G11" s="34" t="s">
        <v>21</v>
      </c>
      <c r="H11" s="35" t="s">
        <v>22</v>
      </c>
      <c r="I11" s="34" t="s">
        <v>23</v>
      </c>
      <c r="J11" s="40">
        <f>VLOOKUP(H11,基础附加分项系数,2,FALSE)</f>
        <v>0.8</v>
      </c>
    </row>
    <row r="12" ht="20.1" customHeight="1" spans="1:7">
      <c r="A12" s="41" t="s">
        <v>24</v>
      </c>
      <c r="B12" s="35" t="s">
        <v>25</v>
      </c>
      <c r="C12" s="34" t="s">
        <v>26</v>
      </c>
      <c r="D12" s="40">
        <f>VLOOKUP(B12,钢筋参数,2,FALSE)</f>
        <v>360</v>
      </c>
      <c r="E12" s="34" t="s">
        <v>27</v>
      </c>
      <c r="F12" s="40">
        <f>VLOOKUP(B12,钢筋参数,3,FALSE)</f>
        <v>360</v>
      </c>
      <c r="G12" s="34" t="s">
        <v>28</v>
      </c>
    </row>
    <row r="13" ht="20.1" customHeight="1" spans="1:7">
      <c r="A13" s="42"/>
      <c r="B13" s="43"/>
      <c r="C13" s="43"/>
      <c r="D13" s="44"/>
      <c r="E13" s="43"/>
      <c r="F13" s="44"/>
      <c r="G13" s="43"/>
    </row>
    <row r="14" ht="20.1" customHeight="1" spans="1:8">
      <c r="A14" s="45" t="s">
        <v>29</v>
      </c>
      <c r="B14" s="46"/>
      <c r="C14" s="44"/>
      <c r="D14" s="44"/>
      <c r="E14" s="47"/>
      <c r="F14" s="48"/>
      <c r="G14" s="44"/>
      <c r="H14" s="49"/>
    </row>
    <row r="15" ht="20.1" customHeight="1" spans="1:14">
      <c r="A15" s="40" t="s">
        <v>30</v>
      </c>
      <c r="B15" s="35"/>
      <c r="C15" s="44" t="s">
        <v>31</v>
      </c>
      <c r="D15" s="35"/>
      <c r="E15" s="47" t="s">
        <v>32</v>
      </c>
      <c r="F15" s="35"/>
      <c r="G15" s="44" t="s">
        <v>24</v>
      </c>
      <c r="H15" s="35"/>
      <c r="I15" s="61" t="s">
        <v>33</v>
      </c>
      <c r="J15" s="35"/>
      <c r="K15" s="61" t="s">
        <v>34</v>
      </c>
      <c r="L15" s="35"/>
      <c r="M15" s="61" t="s">
        <v>35</v>
      </c>
      <c r="N15" s="35"/>
    </row>
    <row r="16" ht="20.1" customHeight="1" spans="1:14">
      <c r="A16" s="50" t="s">
        <v>36</v>
      </c>
      <c r="B16" s="35"/>
      <c r="C16" s="44" t="s">
        <v>37</v>
      </c>
      <c r="D16" s="35"/>
      <c r="E16" s="47" t="s">
        <v>38</v>
      </c>
      <c r="F16" s="35"/>
      <c r="G16" s="44" t="s">
        <v>24</v>
      </c>
      <c r="H16" s="35"/>
      <c r="I16" s="61" t="s">
        <v>33</v>
      </c>
      <c r="J16" s="35"/>
      <c r="K16" s="61" t="s">
        <v>34</v>
      </c>
      <c r="L16" s="35"/>
      <c r="M16" s="61" t="s">
        <v>35</v>
      </c>
      <c r="N16" s="35"/>
    </row>
    <row r="17" ht="20.1" customHeight="1" spans="1:14">
      <c r="A17" s="50"/>
      <c r="B17" s="50"/>
      <c r="C17" s="44"/>
      <c r="D17" s="50"/>
      <c r="E17" s="47"/>
      <c r="F17" s="50"/>
      <c r="G17" s="44"/>
      <c r="H17" s="50"/>
      <c r="I17" s="61"/>
      <c r="J17" s="50"/>
      <c r="K17" s="61"/>
      <c r="L17" s="50"/>
      <c r="M17" s="61"/>
      <c r="N17" s="50"/>
    </row>
    <row r="18" ht="20.1" customHeight="1" spans="1:14">
      <c r="A18" s="45" t="s">
        <v>39</v>
      </c>
      <c r="B18" s="46"/>
      <c r="C18" s="44"/>
      <c r="D18" s="50"/>
      <c r="E18" s="47"/>
      <c r="F18" s="50"/>
      <c r="G18" s="44"/>
      <c r="H18" s="50"/>
      <c r="I18" s="61"/>
      <c r="J18" s="50"/>
      <c r="K18" s="61"/>
      <c r="L18" s="50"/>
      <c r="M18" s="61"/>
      <c r="N18" s="50"/>
    </row>
    <row r="19" ht="20.1" customHeight="1" spans="1:14">
      <c r="A19" s="50" t="s">
        <v>40</v>
      </c>
      <c r="B19" s="35">
        <v>3</v>
      </c>
      <c r="C19" s="44" t="s">
        <v>41</v>
      </c>
      <c r="D19" s="35">
        <v>3</v>
      </c>
      <c r="E19" s="47" t="s">
        <v>42</v>
      </c>
      <c r="F19" s="35">
        <v>3</v>
      </c>
      <c r="G19" s="44"/>
      <c r="H19" s="50"/>
      <c r="I19" s="61"/>
      <c r="J19" s="50"/>
      <c r="K19" s="61"/>
      <c r="L19" s="50"/>
      <c r="M19" s="61"/>
      <c r="N19" s="50"/>
    </row>
    <row r="20" ht="20.1" customHeight="1" spans="1:14">
      <c r="A20" s="50" t="s">
        <v>43</v>
      </c>
      <c r="B20" s="50">
        <v>1</v>
      </c>
      <c r="C20" s="44">
        <v>2</v>
      </c>
      <c r="D20" s="50">
        <v>3</v>
      </c>
      <c r="E20" s="47">
        <v>4</v>
      </c>
      <c r="F20" s="50">
        <v>5</v>
      </c>
      <c r="G20" s="44">
        <v>6</v>
      </c>
      <c r="H20" s="50">
        <v>7</v>
      </c>
      <c r="I20" s="61">
        <v>8</v>
      </c>
      <c r="J20" s="50">
        <v>9</v>
      </c>
      <c r="K20" s="61"/>
      <c r="L20" s="50"/>
      <c r="M20" s="61"/>
      <c r="N20" s="50"/>
    </row>
    <row r="21" ht="20.1" customHeight="1" spans="1:14">
      <c r="A21" s="50" t="s">
        <v>44</v>
      </c>
      <c r="B21" s="50">
        <v>3</v>
      </c>
      <c r="C21" s="44">
        <v>3</v>
      </c>
      <c r="D21" s="50">
        <v>3</v>
      </c>
      <c r="E21" s="47">
        <v>0</v>
      </c>
      <c r="F21" s="50">
        <v>0</v>
      </c>
      <c r="G21" s="44">
        <v>0</v>
      </c>
      <c r="H21" s="50">
        <v>-3</v>
      </c>
      <c r="I21" s="61">
        <v>-3</v>
      </c>
      <c r="J21" s="50">
        <v>-3</v>
      </c>
      <c r="K21" s="61"/>
      <c r="L21" s="50"/>
      <c r="M21" s="61"/>
      <c r="N21" s="50"/>
    </row>
    <row r="22" ht="20.1" customHeight="1" spans="1:14">
      <c r="A22" s="50" t="s">
        <v>45</v>
      </c>
      <c r="B22" s="50">
        <v>3</v>
      </c>
      <c r="C22" s="44">
        <v>0</v>
      </c>
      <c r="D22" s="50">
        <v>-3</v>
      </c>
      <c r="E22" s="47">
        <v>-3</v>
      </c>
      <c r="F22" s="50">
        <v>0</v>
      </c>
      <c r="G22" s="44">
        <v>3</v>
      </c>
      <c r="H22" s="50">
        <v>3</v>
      </c>
      <c r="I22" s="61">
        <v>0</v>
      </c>
      <c r="J22" s="50">
        <v>-3</v>
      </c>
      <c r="K22" s="61"/>
      <c r="L22" s="50"/>
      <c r="M22" s="61"/>
      <c r="N22" s="50"/>
    </row>
    <row r="23" ht="20.1" customHeight="1" spans="1:7">
      <c r="A23" s="42"/>
      <c r="B23" s="43"/>
      <c r="C23" s="43"/>
      <c r="D23" s="44"/>
      <c r="E23" s="43"/>
      <c r="F23" s="44"/>
      <c r="G23" s="43"/>
    </row>
    <row r="24" ht="20.1" customHeight="1" spans="1:2">
      <c r="A24" s="32" t="s">
        <v>46</v>
      </c>
      <c r="B24" s="33"/>
    </row>
    <row r="25" ht="20.1" customHeight="1" spans="1:10">
      <c r="A25" s="40" t="s">
        <v>47</v>
      </c>
      <c r="B25" s="35">
        <v>2</v>
      </c>
      <c r="C25" s="40" t="s">
        <v>48</v>
      </c>
      <c r="D25" s="35">
        <v>0.3</v>
      </c>
      <c r="E25" s="40" t="s">
        <v>49</v>
      </c>
      <c r="F25" s="35">
        <v>14.7</v>
      </c>
      <c r="G25" s="36" t="s">
        <v>50</v>
      </c>
      <c r="H25" s="40">
        <f>MATCH(0,N36:N45,0)-1</f>
        <v>1</v>
      </c>
      <c r="I25" s="40" t="s">
        <v>51</v>
      </c>
      <c r="J25" s="35">
        <v>0.06</v>
      </c>
    </row>
    <row r="26" ht="20.1" customHeight="1" spans="1:10">
      <c r="A26" s="40" t="s">
        <v>52</v>
      </c>
      <c r="B26" s="35">
        <v>56</v>
      </c>
      <c r="C26" s="40" t="s">
        <v>33</v>
      </c>
      <c r="D26" s="35">
        <v>25</v>
      </c>
      <c r="E26" s="40" t="s">
        <v>53</v>
      </c>
      <c r="F26" s="40">
        <v>0.01</v>
      </c>
      <c r="G26" s="40" t="s">
        <v>54</v>
      </c>
      <c r="H26" s="51">
        <f>PI()*B25^2/4</f>
        <v>3.14159265358979</v>
      </c>
      <c r="I26" s="40" t="s">
        <v>55</v>
      </c>
      <c r="J26" s="40" t="s">
        <v>56</v>
      </c>
    </row>
    <row r="27" ht="20.1" customHeight="1" spans="1:8">
      <c r="A27" s="40" t="s">
        <v>57</v>
      </c>
      <c r="B27" s="35" t="s">
        <v>58</v>
      </c>
      <c r="C27" s="40" t="s">
        <v>59</v>
      </c>
      <c r="D27" s="40">
        <f>IF(B27="是",14,24)</f>
        <v>14</v>
      </c>
      <c r="E27" s="36" t="s">
        <v>60</v>
      </c>
      <c r="F27" s="52">
        <f>(B26*PI()*D26^2/4)/(PI()*B25*B25*1000*1000/4)</f>
        <v>0.00875</v>
      </c>
      <c r="G27" s="40" t="s">
        <v>61</v>
      </c>
      <c r="H27" s="51">
        <f>PI()*B25</f>
        <v>6.28318530717959</v>
      </c>
    </row>
    <row r="28" ht="20.1" customHeight="1" spans="1:8">
      <c r="A28" s="44"/>
      <c r="B28" s="44"/>
      <c r="C28" s="44"/>
      <c r="D28" s="44"/>
      <c r="E28" s="47"/>
      <c r="F28" s="48"/>
      <c r="G28" s="44"/>
      <c r="H28" s="49"/>
    </row>
    <row r="29" ht="20.1" customHeight="1"/>
    <row r="30" ht="20.1" customHeight="1"/>
    <row r="31" ht="20.1" customHeight="1" spans="1:8">
      <c r="A31" s="44"/>
      <c r="B31" s="44"/>
      <c r="C31" s="44"/>
      <c r="D31" s="44"/>
      <c r="E31" s="47"/>
      <c r="F31" s="48"/>
      <c r="G31" s="44"/>
      <c r="H31" s="49"/>
    </row>
    <row r="32" ht="20.1" customHeight="1" spans="1:8">
      <c r="A32" s="44"/>
      <c r="B32" s="44"/>
      <c r="C32" s="44"/>
      <c r="D32" s="44"/>
      <c r="E32" s="47"/>
      <c r="F32" s="48"/>
      <c r="G32" s="44"/>
      <c r="H32" s="49"/>
    </row>
    <row r="33" ht="20.1" customHeight="1"/>
    <row r="34" ht="20.1" customHeight="1" spans="1:1">
      <c r="A34" s="53" t="s">
        <v>62</v>
      </c>
    </row>
    <row r="35" ht="42.75" customHeight="1" spans="1:17">
      <c r="A35" s="40" t="s">
        <v>63</v>
      </c>
      <c r="B35" s="40" t="s">
        <v>64</v>
      </c>
      <c r="C35" s="40" t="s">
        <v>65</v>
      </c>
      <c r="D35" s="40" t="s">
        <v>66</v>
      </c>
      <c r="E35" s="54" t="s">
        <v>67</v>
      </c>
      <c r="F35" s="54" t="s">
        <v>68</v>
      </c>
      <c r="G35" s="54" t="s">
        <v>69</v>
      </c>
      <c r="H35" s="54" t="s">
        <v>70</v>
      </c>
      <c r="I35" s="54" t="s">
        <v>71</v>
      </c>
      <c r="J35" s="54" t="s">
        <v>72</v>
      </c>
      <c r="K35" s="54" t="s">
        <v>73</v>
      </c>
      <c r="L35" s="54" t="s">
        <v>74</v>
      </c>
      <c r="M35" s="54" t="s">
        <v>75</v>
      </c>
      <c r="N35" s="54" t="s">
        <v>76</v>
      </c>
      <c r="O35" s="54" t="s">
        <v>77</v>
      </c>
      <c r="P35" s="54" t="s">
        <v>78</v>
      </c>
      <c r="Q35" s="54" t="s">
        <v>79</v>
      </c>
    </row>
    <row r="36" ht="20.1" customHeight="1" spans="1:17">
      <c r="A36" s="40">
        <v>1</v>
      </c>
      <c r="B36" s="35" t="s">
        <v>80</v>
      </c>
      <c r="C36" s="35" t="s">
        <v>81</v>
      </c>
      <c r="D36" s="35">
        <v>25</v>
      </c>
      <c r="E36" s="35">
        <v>22</v>
      </c>
      <c r="F36" s="35">
        <v>0</v>
      </c>
      <c r="G36" s="35">
        <v>0</v>
      </c>
      <c r="H36" s="35">
        <v>0</v>
      </c>
      <c r="I36" s="35">
        <v>3000</v>
      </c>
      <c r="J36" s="40">
        <f t="shared" ref="J36:J45" si="0">VLOOKUP(B36,土设计参数,2,FALSE)</f>
        <v>0.7</v>
      </c>
      <c r="K36" s="51">
        <f t="shared" ref="K36:K45" si="1">VLOOKUP(B36,土设计参数,3,FALSE)</f>
        <v>0.832553207401873</v>
      </c>
      <c r="L36" s="51">
        <f t="shared" ref="L36:L45" si="2">VLOOKUP(B36,土设计参数,4,FALSE)</f>
        <v>0.795270728767051</v>
      </c>
      <c r="M36" s="62">
        <f>SUM(D36)</f>
        <v>25</v>
      </c>
      <c r="N36" s="62">
        <f>IF($M36&lt;=$F$25,D36,$F$25-0)</f>
        <v>14.7</v>
      </c>
      <c r="O36" s="63">
        <f t="shared" ref="O36:O45" si="3">IF(N36=0,0,$H$27*K36*N36*E36)</f>
        <v>1691.73323833432</v>
      </c>
      <c r="P36" s="63">
        <f t="shared" ref="P36:P45" si="4">IF(N36=0,0,$H$27*J36*N36*E36)</f>
        <v>1422.38748983931</v>
      </c>
      <c r="Q36" s="65">
        <f t="shared" ref="Q36:Q45" si="5">$H$26*L36*F36</f>
        <v>0</v>
      </c>
    </row>
    <row r="37" ht="20.1" customHeight="1" spans="1:17">
      <c r="A37" s="40">
        <v>2</v>
      </c>
      <c r="B37" s="35" t="s">
        <v>82</v>
      </c>
      <c r="C37" s="35" t="s">
        <v>83</v>
      </c>
      <c r="D37" s="35">
        <v>1</v>
      </c>
      <c r="E37" s="35">
        <v>60</v>
      </c>
      <c r="F37" s="35">
        <v>2000</v>
      </c>
      <c r="G37" s="35">
        <v>0</v>
      </c>
      <c r="H37" s="35">
        <v>0</v>
      </c>
      <c r="I37" s="35">
        <v>10000</v>
      </c>
      <c r="J37" s="40">
        <f t="shared" si="0"/>
        <v>0.5</v>
      </c>
      <c r="K37" s="51">
        <f t="shared" si="1"/>
        <v>0.736808550160793</v>
      </c>
      <c r="L37" s="51">
        <f t="shared" si="2"/>
        <v>0.736808550160793</v>
      </c>
      <c r="M37" s="62">
        <f>SUM(D36:D37)</f>
        <v>26</v>
      </c>
      <c r="N37" s="62">
        <f t="shared" ref="N37:N45" si="6">IF(M36&gt;$F$25,0,IF($M37&lt;=$F$25,D37,$F$25-M36))</f>
        <v>0</v>
      </c>
      <c r="O37" s="63">
        <f t="shared" si="3"/>
        <v>0</v>
      </c>
      <c r="P37" s="63">
        <f t="shared" si="4"/>
        <v>0</v>
      </c>
      <c r="Q37" s="65">
        <f t="shared" si="5"/>
        <v>4629.50465657459</v>
      </c>
    </row>
    <row r="38" ht="20.1" customHeight="1" spans="1:17">
      <c r="A38" s="40">
        <v>3</v>
      </c>
      <c r="B38" s="35" t="s">
        <v>84</v>
      </c>
      <c r="C38" s="35" t="s">
        <v>83</v>
      </c>
      <c r="D38" s="35">
        <v>15</v>
      </c>
      <c r="E38" s="35">
        <v>70</v>
      </c>
      <c r="F38" s="35">
        <v>800</v>
      </c>
      <c r="G38" s="35">
        <v>0</v>
      </c>
      <c r="H38" s="35">
        <v>0</v>
      </c>
      <c r="I38" s="35">
        <v>12000</v>
      </c>
      <c r="J38" s="40">
        <f t="shared" si="0"/>
        <v>0.7</v>
      </c>
      <c r="K38" s="51">
        <f t="shared" si="1"/>
        <v>0.832553207401873</v>
      </c>
      <c r="L38" s="51">
        <f t="shared" si="2"/>
        <v>0.795270728767051</v>
      </c>
      <c r="M38" s="62">
        <f>SUM(D36:D38)</f>
        <v>41</v>
      </c>
      <c r="N38" s="62">
        <f t="shared" si="6"/>
        <v>0</v>
      </c>
      <c r="O38" s="63">
        <f t="shared" si="3"/>
        <v>0</v>
      </c>
      <c r="P38" s="63">
        <f t="shared" si="4"/>
        <v>0</v>
      </c>
      <c r="Q38" s="65">
        <f t="shared" si="5"/>
        <v>1998.73334328765</v>
      </c>
    </row>
    <row r="39" ht="20.1" customHeight="1" spans="1:17">
      <c r="A39" s="40">
        <v>4</v>
      </c>
      <c r="B39" s="35"/>
      <c r="C39" s="35"/>
      <c r="D39" s="35"/>
      <c r="E39" s="35"/>
      <c r="F39" s="35"/>
      <c r="G39" s="35"/>
      <c r="H39" s="35"/>
      <c r="I39" s="35"/>
      <c r="J39" s="40" t="e">
        <f t="shared" si="0"/>
        <v>#N/A</v>
      </c>
      <c r="K39" s="51" t="e">
        <f t="shared" si="1"/>
        <v>#N/A</v>
      </c>
      <c r="L39" s="51" t="e">
        <f t="shared" si="2"/>
        <v>#N/A</v>
      </c>
      <c r="M39" s="62">
        <f>SUM(D36:D39)</f>
        <v>41</v>
      </c>
      <c r="N39" s="62">
        <f t="shared" si="6"/>
        <v>0</v>
      </c>
      <c r="O39" s="63">
        <f t="shared" si="3"/>
        <v>0</v>
      </c>
      <c r="P39" s="63">
        <f t="shared" si="4"/>
        <v>0</v>
      </c>
      <c r="Q39" s="65" t="e">
        <f t="shared" si="5"/>
        <v>#N/A</v>
      </c>
    </row>
    <row r="40" ht="20.1" customHeight="1" spans="1:17">
      <c r="A40" s="40">
        <v>5</v>
      </c>
      <c r="B40" s="35"/>
      <c r="C40" s="35"/>
      <c r="D40" s="35"/>
      <c r="E40" s="35"/>
      <c r="F40" s="35"/>
      <c r="G40" s="35"/>
      <c r="H40" s="35"/>
      <c r="I40" s="35"/>
      <c r="J40" s="40" t="e">
        <f t="shared" si="0"/>
        <v>#N/A</v>
      </c>
      <c r="K40" s="51" t="e">
        <f t="shared" si="1"/>
        <v>#N/A</v>
      </c>
      <c r="L40" s="51" t="e">
        <f t="shared" si="2"/>
        <v>#N/A</v>
      </c>
      <c r="M40" s="62">
        <f>SUM(D36:D40)</f>
        <v>41</v>
      </c>
      <c r="N40" s="62">
        <f t="shared" si="6"/>
        <v>0</v>
      </c>
      <c r="O40" s="63">
        <f t="shared" si="3"/>
        <v>0</v>
      </c>
      <c r="P40" s="63">
        <f t="shared" si="4"/>
        <v>0</v>
      </c>
      <c r="Q40" s="65" t="e">
        <f t="shared" si="5"/>
        <v>#N/A</v>
      </c>
    </row>
    <row r="41" ht="20.1" customHeight="1" spans="1:17">
      <c r="A41" s="40">
        <v>6</v>
      </c>
      <c r="B41" s="35"/>
      <c r="C41" s="35"/>
      <c r="D41" s="35"/>
      <c r="E41" s="35"/>
      <c r="F41" s="35"/>
      <c r="G41" s="35"/>
      <c r="H41" s="35"/>
      <c r="I41" s="35"/>
      <c r="J41" s="40" t="e">
        <f t="shared" si="0"/>
        <v>#N/A</v>
      </c>
      <c r="K41" s="51" t="e">
        <f t="shared" si="1"/>
        <v>#N/A</v>
      </c>
      <c r="L41" s="51" t="e">
        <f t="shared" si="2"/>
        <v>#N/A</v>
      </c>
      <c r="M41" s="62">
        <f>SUM(D36:D41)</f>
        <v>41</v>
      </c>
      <c r="N41" s="62">
        <f t="shared" si="6"/>
        <v>0</v>
      </c>
      <c r="O41" s="63">
        <f t="shared" si="3"/>
        <v>0</v>
      </c>
      <c r="P41" s="63">
        <f t="shared" si="4"/>
        <v>0</v>
      </c>
      <c r="Q41" s="65" t="e">
        <f t="shared" si="5"/>
        <v>#N/A</v>
      </c>
    </row>
    <row r="42" ht="20.1" customHeight="1" spans="1:17">
      <c r="A42" s="40">
        <v>7</v>
      </c>
      <c r="B42" s="35"/>
      <c r="C42" s="35"/>
      <c r="D42" s="35"/>
      <c r="E42" s="35"/>
      <c r="F42" s="35"/>
      <c r="G42" s="35"/>
      <c r="H42" s="35"/>
      <c r="I42" s="35"/>
      <c r="J42" s="40" t="e">
        <f t="shared" si="0"/>
        <v>#N/A</v>
      </c>
      <c r="K42" s="51" t="e">
        <f t="shared" si="1"/>
        <v>#N/A</v>
      </c>
      <c r="L42" s="51" t="e">
        <f t="shared" si="2"/>
        <v>#N/A</v>
      </c>
      <c r="M42" s="62">
        <f>SUM(D36:D42)</f>
        <v>41</v>
      </c>
      <c r="N42" s="62">
        <f t="shared" si="6"/>
        <v>0</v>
      </c>
      <c r="O42" s="63">
        <f t="shared" si="3"/>
        <v>0</v>
      </c>
      <c r="P42" s="63">
        <f t="shared" si="4"/>
        <v>0</v>
      </c>
      <c r="Q42" s="65" t="e">
        <f t="shared" si="5"/>
        <v>#N/A</v>
      </c>
    </row>
    <row r="43" ht="20.1" customHeight="1" spans="1:17">
      <c r="A43" s="40">
        <v>8</v>
      </c>
      <c r="B43" s="35"/>
      <c r="C43" s="35"/>
      <c r="D43" s="35"/>
      <c r="E43" s="35"/>
      <c r="F43" s="35"/>
      <c r="G43" s="35"/>
      <c r="H43" s="35"/>
      <c r="I43" s="35"/>
      <c r="J43" s="40" t="e">
        <f t="shared" si="0"/>
        <v>#N/A</v>
      </c>
      <c r="K43" s="51" t="e">
        <f t="shared" si="1"/>
        <v>#N/A</v>
      </c>
      <c r="L43" s="51" t="e">
        <f t="shared" si="2"/>
        <v>#N/A</v>
      </c>
      <c r="M43" s="62">
        <f>SUM(D36:D43)</f>
        <v>41</v>
      </c>
      <c r="N43" s="62">
        <f t="shared" si="6"/>
        <v>0</v>
      </c>
      <c r="O43" s="63">
        <f t="shared" si="3"/>
        <v>0</v>
      </c>
      <c r="P43" s="63">
        <f t="shared" si="4"/>
        <v>0</v>
      </c>
      <c r="Q43" s="65" t="e">
        <f t="shared" si="5"/>
        <v>#N/A</v>
      </c>
    </row>
    <row r="44" ht="20.1" customHeight="1" spans="1:17">
      <c r="A44" s="40">
        <v>9</v>
      </c>
      <c r="B44" s="35"/>
      <c r="C44" s="35"/>
      <c r="D44" s="35"/>
      <c r="E44" s="35"/>
      <c r="F44" s="35"/>
      <c r="G44" s="35"/>
      <c r="H44" s="35"/>
      <c r="I44" s="35"/>
      <c r="J44" s="40" t="e">
        <f t="shared" si="0"/>
        <v>#N/A</v>
      </c>
      <c r="K44" s="51" t="e">
        <f t="shared" si="1"/>
        <v>#N/A</v>
      </c>
      <c r="L44" s="51" t="e">
        <f t="shared" si="2"/>
        <v>#N/A</v>
      </c>
      <c r="M44" s="62">
        <f>SUM(D36:D44)</f>
        <v>41</v>
      </c>
      <c r="N44" s="62">
        <f t="shared" si="6"/>
        <v>0</v>
      </c>
      <c r="O44" s="63">
        <f t="shared" si="3"/>
        <v>0</v>
      </c>
      <c r="P44" s="63">
        <f t="shared" si="4"/>
        <v>0</v>
      </c>
      <c r="Q44" s="65" t="e">
        <f t="shared" si="5"/>
        <v>#N/A</v>
      </c>
    </row>
    <row r="45" ht="20.1" customHeight="1" spans="1:17">
      <c r="A45" s="40">
        <v>10</v>
      </c>
      <c r="B45" s="35"/>
      <c r="C45" s="35"/>
      <c r="D45" s="35"/>
      <c r="E45" s="35"/>
      <c r="F45" s="35"/>
      <c r="G45" s="35"/>
      <c r="H45" s="35"/>
      <c r="I45" s="35"/>
      <c r="J45" s="40" t="e">
        <f t="shared" si="0"/>
        <v>#N/A</v>
      </c>
      <c r="K45" s="51" t="e">
        <f t="shared" si="1"/>
        <v>#N/A</v>
      </c>
      <c r="L45" s="51" t="e">
        <f t="shared" si="2"/>
        <v>#N/A</v>
      </c>
      <c r="M45" s="62">
        <f>SUM(D36:D45)</f>
        <v>41</v>
      </c>
      <c r="N45" s="62">
        <f t="shared" si="6"/>
        <v>0</v>
      </c>
      <c r="O45" s="63">
        <f t="shared" si="3"/>
        <v>0</v>
      </c>
      <c r="P45" s="63">
        <f t="shared" si="4"/>
        <v>0</v>
      </c>
      <c r="Q45" s="65" t="e">
        <f t="shared" si="5"/>
        <v>#N/A</v>
      </c>
    </row>
    <row r="46" ht="20.1" customHeight="1"/>
    <row r="47" ht="20.1" customHeight="1" spans="1:11">
      <c r="A47" s="55" t="s">
        <v>85</v>
      </c>
      <c r="B47" s="56"/>
      <c r="C47" s="56"/>
      <c r="D47" s="56"/>
      <c r="E47" s="56"/>
      <c r="F47" s="56"/>
      <c r="G47" s="56"/>
      <c r="H47" s="56"/>
      <c r="K47" s="64"/>
    </row>
    <row r="48" ht="20.1" customHeight="1" spans="1:8">
      <c r="A48" s="36" t="s">
        <v>86</v>
      </c>
      <c r="B48" s="57">
        <f>B7+24*H26*D25</f>
        <v>-229.973125486746</v>
      </c>
      <c r="C48" s="36" t="s">
        <v>87</v>
      </c>
      <c r="D48" s="57">
        <f>SUM(P36:P45)</f>
        <v>1422.38748983931</v>
      </c>
      <c r="E48" s="56"/>
      <c r="F48" s="56"/>
      <c r="G48" s="56"/>
      <c r="H48" s="56"/>
    </row>
    <row r="49" ht="20.1" customHeight="1" spans="1:8">
      <c r="A49" s="36" t="s">
        <v>88</v>
      </c>
      <c r="B49" s="57">
        <f>IF(B48&gt;=0,0,J11*ABS(B48))</f>
        <v>183.978500389397</v>
      </c>
      <c r="C49" s="36" t="s">
        <v>89</v>
      </c>
      <c r="D49" s="51">
        <f>D48/2+D27*H26*F25</f>
        <v>1357.73351302844</v>
      </c>
      <c r="E49" s="58" t="str">
        <f>IF(B49&lt;D49,"验算通过","验算不通过")</f>
        <v>验算通过</v>
      </c>
      <c r="F49" s="56"/>
      <c r="G49" s="56"/>
      <c r="H49" s="56"/>
    </row>
    <row r="50" ht="20.1" customHeight="1" spans="1:8">
      <c r="A50" s="36"/>
      <c r="B50" s="57"/>
      <c r="C50" s="36"/>
      <c r="D50" s="51"/>
      <c r="E50" s="56"/>
      <c r="F50" s="56"/>
      <c r="G50" s="56"/>
      <c r="H50" s="56"/>
    </row>
    <row r="51" ht="20.1" customHeight="1" spans="1:8">
      <c r="A51" s="55" t="s">
        <v>90</v>
      </c>
      <c r="B51" s="56"/>
      <c r="C51" s="56"/>
      <c r="D51" s="56"/>
      <c r="E51" s="56"/>
      <c r="F51" s="56"/>
      <c r="G51" s="56"/>
      <c r="H51" s="56"/>
    </row>
    <row r="52" ht="20.1" customHeight="1" spans="1:8">
      <c r="A52" s="36" t="s">
        <v>91</v>
      </c>
      <c r="B52" s="57">
        <f>B8+24*H26*D25</f>
        <v>275.212059698439</v>
      </c>
      <c r="C52" s="36" t="s">
        <v>92</v>
      </c>
      <c r="D52" s="57">
        <f>SUM(O36:O45)+INDEX(Q36:Q45,H25)</f>
        <v>1691.73323833432</v>
      </c>
      <c r="E52" s="56" t="s">
        <v>93</v>
      </c>
      <c r="F52" s="57">
        <f>IF(B25&lt;=0.8,0,24*H26*F25/2)</f>
        <v>554.17694409324</v>
      </c>
      <c r="G52" s="56"/>
      <c r="H52" s="56"/>
    </row>
    <row r="53" ht="20.1" customHeight="1" spans="1:8">
      <c r="A53" s="36" t="s">
        <v>94</v>
      </c>
      <c r="B53" s="57">
        <f>J11*(B52+F52)</f>
        <v>663.511203033343</v>
      </c>
      <c r="C53" s="36" t="s">
        <v>95</v>
      </c>
      <c r="D53" s="51">
        <f>D52/2</f>
        <v>845.866619167158</v>
      </c>
      <c r="E53" s="58" t="str">
        <f>IF(B53&lt;D53,"验算通过","验算不通过")</f>
        <v>验算通过</v>
      </c>
      <c r="F53" s="56"/>
      <c r="G53" s="56"/>
      <c r="H53" s="56"/>
    </row>
    <row r="54" ht="20.1" customHeight="1" spans="1:8">
      <c r="A54" s="36"/>
      <c r="B54" s="57"/>
      <c r="C54" s="36"/>
      <c r="D54" s="51"/>
      <c r="E54" s="56"/>
      <c r="F54" s="56"/>
      <c r="G54" s="56"/>
      <c r="H54" s="56"/>
    </row>
    <row r="55" ht="20.1" customHeight="1" spans="1:8">
      <c r="A55" s="55" t="s">
        <v>96</v>
      </c>
      <c r="B55" s="57"/>
      <c r="C55" s="36"/>
      <c r="D55" s="51"/>
      <c r="E55" s="56"/>
      <c r="F55" s="56"/>
      <c r="G55" s="56"/>
      <c r="H55" s="56"/>
    </row>
    <row r="56" ht="20.1" customHeight="1" spans="1:8">
      <c r="A56" s="36" t="s">
        <v>97</v>
      </c>
      <c r="B56" s="57" t="e">
        <f>#REF!</f>
        <v>#REF!</v>
      </c>
      <c r="C56" s="40" t="s">
        <v>98</v>
      </c>
      <c r="D56" s="57" t="e">
        <f>#REF!</f>
        <v>#REF!</v>
      </c>
      <c r="E56" s="40" t="s">
        <v>99</v>
      </c>
      <c r="F56" s="36">
        <f>VLOOKUP(B25,桩最小配筋率,2,FALSE)</f>
        <v>0.002</v>
      </c>
      <c r="G56" s="40" t="s">
        <v>100</v>
      </c>
      <c r="H56" s="59" t="e">
        <f>IF(B56&gt;0,IF(ABS(D56)&gt;0,"偏心受压","轴心受压"),IF(ABS(D56)&gt;0,"偏心受拉","轴心受拉"))</f>
        <v>#REF!</v>
      </c>
    </row>
    <row r="57" ht="20.1" customHeight="1" spans="1:8">
      <c r="A57" s="36" t="s">
        <v>101</v>
      </c>
      <c r="B57" s="57" t="e">
        <f>#REF!</f>
        <v>#REF!</v>
      </c>
      <c r="C57" s="40" t="s">
        <v>102</v>
      </c>
      <c r="D57" s="57" t="e">
        <f>#REF!</f>
        <v>#REF!</v>
      </c>
      <c r="E57" s="36" t="s">
        <v>103</v>
      </c>
      <c r="F57" s="51">
        <f>POWER(B25*1000,2)*PI()/4*F56</f>
        <v>6283.18530717959</v>
      </c>
      <c r="G57" s="40" t="s">
        <v>100</v>
      </c>
      <c r="H57" s="59" t="e">
        <f>IF(B57&gt;0,IF(ABS(D57)&gt;0,"偏心受压","轴心受压"),IF(ABS(D57)&gt;0,"偏心受拉","轴心受拉"))</f>
        <v>#REF!</v>
      </c>
    </row>
    <row r="58" ht="20.1" customHeight="1" spans="1:8">
      <c r="A58" s="36" t="s">
        <v>104</v>
      </c>
      <c r="B58" s="57" t="e">
        <f>#REF!</f>
        <v>#REF!</v>
      </c>
      <c r="C58" s="36" t="s">
        <v>105</v>
      </c>
      <c r="D58" s="57" t="e">
        <f>#REF!</f>
        <v>#REF!</v>
      </c>
      <c r="E58" s="36" t="s">
        <v>106</v>
      </c>
      <c r="F58" s="57" t="e">
        <f>#REF!</f>
        <v>#REF!</v>
      </c>
      <c r="H58" s="60"/>
    </row>
    <row r="59" ht="20.1" customHeight="1" spans="1:8">
      <c r="A59" s="36" t="s">
        <v>107</v>
      </c>
      <c r="B59" s="36">
        <f>POWER(D26,2)*PI()/4*B26</f>
        <v>27488.9357189107</v>
      </c>
      <c r="C59" s="58" t="e">
        <f>IF(AND(B59&gt;F57,B59&gt;D58,B59&gt;B58,B59&gt;F58),"验算通过","验算不通过")</f>
        <v>#REF!</v>
      </c>
      <c r="D59" s="57"/>
      <c r="E59" s="36"/>
      <c r="F59" s="36"/>
      <c r="G59" s="58"/>
      <c r="H59" s="60"/>
    </row>
    <row r="60" ht="20.1" customHeight="1" spans="1:8">
      <c r="A60" s="55" t="s">
        <v>108</v>
      </c>
      <c r="C60" s="36"/>
      <c r="D60" s="51"/>
      <c r="E60" s="56"/>
      <c r="F60" s="56"/>
      <c r="G60" s="56"/>
      <c r="H60" s="56"/>
    </row>
    <row r="61" ht="20.1" customHeight="1" spans="1:8">
      <c r="A61" s="57" t="s">
        <v>109</v>
      </c>
      <c r="B61" s="57" t="e">
        <f>#REF!*1000</f>
        <v>#REF!</v>
      </c>
      <c r="C61" s="57" t="s">
        <v>110</v>
      </c>
      <c r="D61" s="51" t="e">
        <f>#REF!*1000</f>
        <v>#REF!</v>
      </c>
      <c r="E61" s="56"/>
      <c r="F61" s="56"/>
      <c r="G61" s="56"/>
      <c r="H61" s="56"/>
    </row>
    <row r="62" ht="20.1" customHeight="1" spans="1:8">
      <c r="A62" s="57" t="s">
        <v>111</v>
      </c>
      <c r="B62" s="57">
        <v>10</v>
      </c>
      <c r="C62" s="58" t="e">
        <f>IF(AND(B62&gt;B61,B62&gt;D61),"验算通过","验算不通过")</f>
        <v>#REF!</v>
      </c>
      <c r="D62" s="51"/>
      <c r="E62" s="56"/>
      <c r="F62" s="56"/>
      <c r="G62" s="56"/>
      <c r="H62" s="56"/>
    </row>
    <row r="63" ht="20.1" customHeight="1" spans="1:9">
      <c r="A63" s="36"/>
      <c r="B63" s="57"/>
      <c r="C63" s="36"/>
      <c r="D63" s="51"/>
      <c r="E63" s="56"/>
      <c r="F63" s="56"/>
      <c r="G63" s="56"/>
      <c r="H63" s="56"/>
      <c r="I63" s="40"/>
    </row>
    <row r="64" ht="20.1" customHeight="1" spans="1:8">
      <c r="A64" s="55" t="s">
        <v>112</v>
      </c>
      <c r="B64" s="58" t="e">
        <f>IF(AND(E49="验算通过",E53="验算通过",C59="验算通过",C62="验算通过"),"验算通过","验算不通过")</f>
        <v>#REF!</v>
      </c>
      <c r="C64" s="36"/>
      <c r="D64" s="36"/>
      <c r="E64" s="56"/>
      <c r="F64" s="56"/>
      <c r="G64" s="56"/>
      <c r="H64" s="56"/>
    </row>
    <row r="65" ht="20.1" customHeight="1" spans="1:8">
      <c r="A65" s="40" t="s">
        <v>113</v>
      </c>
      <c r="B65" s="58" t="e">
        <f>IF(B64="验算通过",B25,"验算不通过")</f>
        <v>#REF!</v>
      </c>
      <c r="C65" s="40" t="s">
        <v>114</v>
      </c>
      <c r="D65" s="58" t="e">
        <f>IF(B64="验算通过",D25+F25,"验算不通过")</f>
        <v>#REF!</v>
      </c>
      <c r="E65" s="56"/>
      <c r="F65" s="56"/>
      <c r="G65" s="56"/>
      <c r="H65" s="56"/>
    </row>
    <row r="66" ht="20.1" customHeight="1" spans="1:8">
      <c r="A66" s="36" t="s">
        <v>52</v>
      </c>
      <c r="B66" s="58" t="e">
        <f>IF(B64="验算通过",B26,"验算不通过")</f>
        <v>#REF!</v>
      </c>
      <c r="C66" s="36" t="s">
        <v>33</v>
      </c>
      <c r="D66" s="58" t="e">
        <f>IF(B64="验算通过",D26,"验算不通过")</f>
        <v>#REF!</v>
      </c>
      <c r="E66" s="56"/>
      <c r="F66" s="56"/>
      <c r="G66" s="56"/>
      <c r="H66" s="56"/>
    </row>
    <row r="67" ht="20.1" customHeight="1"/>
    <row r="68" ht="20.1" customHeight="1" spans="1:5">
      <c r="A68" s="47" t="s">
        <v>115</v>
      </c>
      <c r="B68" s="47"/>
      <c r="C68" s="47"/>
      <c r="D68" s="47"/>
      <c r="E68" s="47"/>
    </row>
  </sheetData>
  <mergeCells count="8">
    <mergeCell ref="A1:L1"/>
    <mergeCell ref="A2:B2"/>
    <mergeCell ref="A6:B6"/>
    <mergeCell ref="A10:B10"/>
    <mergeCell ref="A14:B14"/>
    <mergeCell ref="A18:B18"/>
    <mergeCell ref="A24:B24"/>
    <mergeCell ref="A68:E68"/>
  </mergeCells>
  <dataValidations count="7">
    <dataValidation type="list" allowBlank="1" showInputMessage="1" showErrorMessage="1" sqref="B27">
      <formula1>"是,否"</formula1>
    </dataValidation>
    <dataValidation type="list" allowBlank="1" showInputMessage="1" showErrorMessage="1" sqref="H11">
      <formula1>"直线型,直转型,转角型,终端型"</formula1>
    </dataValidation>
    <dataValidation type="list" allowBlank="1" showInputMessage="1" showErrorMessage="1" sqref="B11">
      <formula1>"C20,C25,C30,C35,C40"</formula1>
    </dataValidation>
    <dataValidation type="list" allowBlank="1" showInputMessage="1" showErrorMessage="1" sqref="B12">
      <formula1>"HPB300,HRB400,HRB500"</formula1>
    </dataValidation>
    <dataValidation type="list" allowBlank="1" showInputMessage="1" showErrorMessage="1" sqref="J26">
      <formula1>"嵌入岩层,支立于土上,支立于岩层"</formula1>
    </dataValidation>
    <dataValidation showInputMessage="1" showErrorMessage="1" sqref="D13 F13 D23 F23 D11:D12 F11:F12"/>
    <dataValidation type="list" allowBlank="1" showInputMessage="1" showErrorMessage="1" sqref="B36:B38">
      <formula1>"黏性土,粉土,砂土"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100"/>
  <sheetViews>
    <sheetView topLeftCell="A7" workbookViewId="0">
      <selection activeCell="D32" sqref="D32"/>
    </sheetView>
  </sheetViews>
  <sheetFormatPr defaultColWidth="9" defaultRowHeight="13.5"/>
  <cols>
    <col min="1" max="1" width="11.875" customWidth="1"/>
    <col min="2" max="2" width="12.375" customWidth="1"/>
    <col min="3" max="3" width="13" customWidth="1"/>
    <col min="4" max="4" width="12.75" customWidth="1"/>
    <col min="10" max="10" width="11.5" customWidth="1"/>
    <col min="11" max="11" width="10" customWidth="1"/>
    <col min="12" max="12" width="11" customWidth="1"/>
    <col min="13" max="13" width="10" customWidth="1"/>
    <col min="14" max="14" width="12.125" customWidth="1"/>
    <col min="15" max="15" width="10.125" customWidth="1"/>
    <col min="16" max="16" width="10.625" customWidth="1"/>
    <col min="17" max="17" width="10.375" customWidth="1"/>
    <col min="18" max="18" width="16.125" customWidth="1"/>
    <col min="19" max="19" width="13.5" customWidth="1"/>
    <col min="20" max="20" width="13.625" customWidth="1"/>
    <col min="21" max="21" width="12.125" customWidth="1"/>
  </cols>
  <sheetData>
    <row r="1" ht="18" spans="1:9">
      <c r="A1" s="1" t="s">
        <v>116</v>
      </c>
      <c r="B1" s="2"/>
      <c r="C1" s="2"/>
      <c r="D1" s="3"/>
      <c r="G1" s="4" t="s">
        <v>99</v>
      </c>
      <c r="H1" s="5"/>
      <c r="I1" s="21"/>
    </row>
    <row r="2" spans="1:8">
      <c r="A2" s="6" t="s">
        <v>117</v>
      </c>
      <c r="B2" s="6" t="s">
        <v>118</v>
      </c>
      <c r="C2" s="6" t="s">
        <v>119</v>
      </c>
      <c r="D2" s="6" t="s">
        <v>120</v>
      </c>
      <c r="G2" s="6" t="s">
        <v>121</v>
      </c>
      <c r="H2" s="6" t="s">
        <v>122</v>
      </c>
    </row>
    <row r="3" spans="1:8">
      <c r="A3" s="6" t="s">
        <v>123</v>
      </c>
      <c r="B3" s="6" t="s">
        <v>124</v>
      </c>
      <c r="C3" s="6" t="s">
        <v>125</v>
      </c>
      <c r="D3" s="6" t="s">
        <v>126</v>
      </c>
      <c r="G3" s="6">
        <v>0.6</v>
      </c>
      <c r="H3" s="6">
        <v>0.0065</v>
      </c>
    </row>
    <row r="4" spans="1:8">
      <c r="A4" s="6" t="s">
        <v>127</v>
      </c>
      <c r="B4" s="6">
        <v>270</v>
      </c>
      <c r="C4" s="6">
        <v>270</v>
      </c>
      <c r="D4" s="6">
        <f>2.1*10^5</f>
        <v>210000</v>
      </c>
      <c r="G4" s="6">
        <v>0.8</v>
      </c>
      <c r="H4" s="6">
        <v>0.00571</v>
      </c>
    </row>
    <row r="5" spans="1:8">
      <c r="A5" s="6" t="s">
        <v>25</v>
      </c>
      <c r="B5" s="6">
        <v>360</v>
      </c>
      <c r="C5" s="6">
        <v>360</v>
      </c>
      <c r="D5" s="6">
        <f>2*10^5</f>
        <v>200000</v>
      </c>
      <c r="G5" s="6">
        <v>1</v>
      </c>
      <c r="H5" s="6">
        <v>0.00465</v>
      </c>
    </row>
    <row r="6" spans="1:8">
      <c r="A6" s="6" t="s">
        <v>128</v>
      </c>
      <c r="B6" s="6">
        <v>435</v>
      </c>
      <c r="C6" s="6">
        <v>435</v>
      </c>
      <c r="D6" s="6">
        <f>2*10^5</f>
        <v>200000</v>
      </c>
      <c r="G6" s="6">
        <v>1.2</v>
      </c>
      <c r="H6" s="6">
        <v>0.00412</v>
      </c>
    </row>
    <row r="7" spans="7:8">
      <c r="G7" s="6">
        <v>1.4</v>
      </c>
      <c r="H7" s="6">
        <v>0.00359</v>
      </c>
    </row>
    <row r="8" spans="7:8">
      <c r="G8" s="6">
        <v>1.6</v>
      </c>
      <c r="H8" s="6">
        <v>0.00306</v>
      </c>
    </row>
    <row r="9" spans="7:8">
      <c r="G9" s="6">
        <v>1.8</v>
      </c>
      <c r="H9" s="6">
        <v>0.00253</v>
      </c>
    </row>
    <row r="10" spans="7:8">
      <c r="G10" s="6">
        <v>2</v>
      </c>
      <c r="H10" s="6">
        <v>0.002</v>
      </c>
    </row>
    <row r="11" ht="16.5" customHeight="1" spans="7:8">
      <c r="G11" s="6">
        <v>2.4</v>
      </c>
      <c r="H11" s="6">
        <v>0.002</v>
      </c>
    </row>
    <row r="12" ht="23.25" customHeight="1" spans="1:4">
      <c r="A12" s="7" t="s">
        <v>129</v>
      </c>
      <c r="B12" s="8"/>
      <c r="C12" s="8"/>
      <c r="D12" s="9"/>
    </row>
    <row r="13" spans="1:4">
      <c r="A13" s="6" t="s">
        <v>117</v>
      </c>
      <c r="B13" s="6" t="s">
        <v>130</v>
      </c>
      <c r="C13" s="6" t="s">
        <v>131</v>
      </c>
      <c r="D13" s="6" t="s">
        <v>120</v>
      </c>
    </row>
    <row r="14" spans="1:4">
      <c r="A14" s="6" t="s">
        <v>123</v>
      </c>
      <c r="B14" s="6" t="s">
        <v>124</v>
      </c>
      <c r="C14" s="6" t="s">
        <v>125</v>
      </c>
      <c r="D14" s="6" t="s">
        <v>132</v>
      </c>
    </row>
    <row r="15" spans="1:4">
      <c r="A15" s="6" t="s">
        <v>133</v>
      </c>
      <c r="B15" s="6">
        <v>9.6</v>
      </c>
      <c r="C15" s="6">
        <v>1.1</v>
      </c>
      <c r="D15" s="6">
        <f>2.55*10^4</f>
        <v>25500</v>
      </c>
    </row>
    <row r="16" spans="1:4">
      <c r="A16" s="6" t="s">
        <v>18</v>
      </c>
      <c r="B16" s="6">
        <v>11.9</v>
      </c>
      <c r="C16" s="6">
        <v>1.27</v>
      </c>
      <c r="D16" s="6">
        <f>2.8*10^4</f>
        <v>28000</v>
      </c>
    </row>
    <row r="17" spans="1:4">
      <c r="A17" s="6" t="s">
        <v>134</v>
      </c>
      <c r="B17" s="6">
        <v>14.3</v>
      </c>
      <c r="C17" s="6">
        <v>1.43</v>
      </c>
      <c r="D17" s="6">
        <f>3*10^4</f>
        <v>30000</v>
      </c>
    </row>
    <row r="18" spans="1:4">
      <c r="A18" s="6" t="s">
        <v>135</v>
      </c>
      <c r="B18" s="6">
        <v>16.7</v>
      </c>
      <c r="C18" s="6">
        <v>1.57</v>
      </c>
      <c r="D18" s="6">
        <f>3.15*10^4</f>
        <v>31500</v>
      </c>
    </row>
    <row r="19" spans="1:4">
      <c r="A19" s="6" t="s">
        <v>136</v>
      </c>
      <c r="B19" s="6">
        <v>19.1</v>
      </c>
      <c r="C19" s="6">
        <v>1.71</v>
      </c>
      <c r="D19" s="6">
        <f>3.25*10^4</f>
        <v>32500</v>
      </c>
    </row>
    <row r="22" spans="1:4">
      <c r="A22" s="1" t="s">
        <v>137</v>
      </c>
      <c r="B22" s="3"/>
      <c r="C22" s="10"/>
      <c r="D22" s="10"/>
    </row>
    <row r="23" spans="1:4">
      <c r="A23" s="6" t="s">
        <v>138</v>
      </c>
      <c r="B23" s="6" t="s">
        <v>139</v>
      </c>
      <c r="C23" s="11"/>
      <c r="D23" s="11"/>
    </row>
    <row r="24" spans="1:2">
      <c r="A24" s="6" t="s">
        <v>140</v>
      </c>
      <c r="B24" s="6">
        <v>0.8</v>
      </c>
    </row>
    <row r="25" spans="1:2">
      <c r="A25" s="6" t="s">
        <v>141</v>
      </c>
      <c r="B25" s="6">
        <v>1</v>
      </c>
    </row>
    <row r="26" spans="1:2">
      <c r="A26" s="6" t="s">
        <v>142</v>
      </c>
      <c r="B26" s="6">
        <v>1.25</v>
      </c>
    </row>
    <row r="27" spans="1:2">
      <c r="A27" s="6" t="s">
        <v>143</v>
      </c>
      <c r="B27" s="6">
        <v>1.25</v>
      </c>
    </row>
    <row r="29" ht="18" customHeight="1" spans="1:4">
      <c r="A29" s="1" t="s">
        <v>144</v>
      </c>
      <c r="B29" s="2"/>
      <c r="C29" s="2"/>
      <c r="D29" s="3"/>
    </row>
    <row r="30" ht="15" spans="1:4">
      <c r="A30" s="12" t="s">
        <v>145</v>
      </c>
      <c r="B30" s="13" t="s">
        <v>146</v>
      </c>
      <c r="C30" s="13" t="s">
        <v>147</v>
      </c>
      <c r="D30" s="13" t="s">
        <v>148</v>
      </c>
    </row>
    <row r="31" ht="15" spans="1:4">
      <c r="A31" s="12"/>
      <c r="B31" s="13">
        <v>0</v>
      </c>
      <c r="C31" s="13">
        <v>0</v>
      </c>
      <c r="D31" s="13">
        <v>0</v>
      </c>
    </row>
    <row r="32" ht="15" spans="1:4">
      <c r="A32" s="14" t="s">
        <v>149</v>
      </c>
      <c r="B32" s="15">
        <f>IF(低桩承台!F25/低桩承台!B25&lt;20,0.7,0.8)</f>
        <v>0.7</v>
      </c>
      <c r="C32" s="16">
        <f>IF(低桩承台!B25&lt;0.8,1,(0.8/低桩承台!B25)^0.2)</f>
        <v>0.832553207401873</v>
      </c>
      <c r="D32" s="16">
        <f>IF(低桩承台!B25&lt;0.8,1,(0.8/低桩承台!B25)^0.25)</f>
        <v>0.795270728767051</v>
      </c>
    </row>
    <row r="33" ht="15" spans="1:4">
      <c r="A33" s="14" t="s">
        <v>150</v>
      </c>
      <c r="B33" s="15">
        <f>IF(低桩承台!F25/低桩承台!B25&lt;20,0.7,0.8)</f>
        <v>0.7</v>
      </c>
      <c r="C33" s="16">
        <f>IF(低桩承台!B25&lt;0.8,1,(0.8/低桩承台!B25)^0.2)</f>
        <v>0.832553207401873</v>
      </c>
      <c r="D33" s="16">
        <f>IF(低桩承台!B25&lt;0.8,1,(0.8/低桩承台!B25)^0.25)</f>
        <v>0.795270728767051</v>
      </c>
    </row>
    <row r="34" ht="15" spans="1:4">
      <c r="A34" s="14" t="s">
        <v>151</v>
      </c>
      <c r="B34" s="15">
        <f>IF(低桩承台!F25/低桩承台!B25&lt;20,0.5,0.7)</f>
        <v>0.5</v>
      </c>
      <c r="C34" s="16">
        <f>IF(低桩承台!B25&lt;0.8,1,(0.8/低桩承台!B25)^0.33333)</f>
        <v>0.736808550160793</v>
      </c>
      <c r="D34" s="16">
        <f>IF(低桩承台!B25&lt;0.8,1,(0.8/低桩承台!B25)^0.33333)</f>
        <v>0.736808550160793</v>
      </c>
    </row>
    <row r="35" spans="1:2">
      <c r="A35" s="17" t="s">
        <v>152</v>
      </c>
      <c r="B35" s="18"/>
    </row>
    <row r="38" ht="42" customHeight="1" spans="1:23">
      <c r="A38" s="19" t="s">
        <v>153</v>
      </c>
      <c r="B38" s="19" t="s">
        <v>154</v>
      </c>
      <c r="C38" s="19" t="s">
        <v>155</v>
      </c>
      <c r="D38" s="19" t="s">
        <v>156</v>
      </c>
      <c r="E38" s="19" t="s">
        <v>157</v>
      </c>
      <c r="F38" s="19" t="s">
        <v>158</v>
      </c>
      <c r="G38" s="19" t="s">
        <v>159</v>
      </c>
      <c r="H38" s="19" t="s">
        <v>160</v>
      </c>
      <c r="I38" s="19" t="s">
        <v>161</v>
      </c>
      <c r="J38" s="19" t="s">
        <v>162</v>
      </c>
      <c r="K38" s="19" t="s">
        <v>163</v>
      </c>
      <c r="L38" s="19" t="s">
        <v>164</v>
      </c>
      <c r="M38" s="22" t="s">
        <v>165</v>
      </c>
      <c r="N38" s="22" t="s">
        <v>166</v>
      </c>
      <c r="O38" s="22" t="s">
        <v>167</v>
      </c>
      <c r="P38" s="22" t="s">
        <v>168</v>
      </c>
      <c r="Q38" s="22" t="s">
        <v>169</v>
      </c>
      <c r="R38" s="23" t="s">
        <v>170</v>
      </c>
      <c r="S38" s="23" t="s">
        <v>171</v>
      </c>
      <c r="T38" s="23" t="s">
        <v>172</v>
      </c>
      <c r="U38" s="22"/>
      <c r="V38" s="22"/>
      <c r="W38" s="22"/>
    </row>
    <row r="39" ht="14.25" spans="1:23">
      <c r="A39" s="19">
        <v>0</v>
      </c>
      <c r="B39" s="20">
        <v>0</v>
      </c>
      <c r="C39" s="20">
        <v>0</v>
      </c>
      <c r="D39" s="20">
        <v>1</v>
      </c>
      <c r="E39" s="20">
        <v>0</v>
      </c>
      <c r="F39" s="20">
        <v>0</v>
      </c>
      <c r="G39" s="20">
        <v>0</v>
      </c>
      <c r="H39" s="20">
        <v>0</v>
      </c>
      <c r="I39" s="20">
        <v>1</v>
      </c>
      <c r="J39" s="20">
        <v>0</v>
      </c>
      <c r="K39" s="20">
        <v>0</v>
      </c>
      <c r="L39" s="20">
        <v>1</v>
      </c>
      <c r="M39" s="20">
        <v>0</v>
      </c>
      <c r="N39" s="20">
        <v>0</v>
      </c>
      <c r="O39" s="20">
        <v>0</v>
      </c>
      <c r="P39" s="20">
        <v>0</v>
      </c>
      <c r="Q39" s="24">
        <v>0</v>
      </c>
      <c r="R39" s="20" t="s">
        <v>173</v>
      </c>
      <c r="S39" s="25" t="s">
        <v>173</v>
      </c>
      <c r="T39" s="20" t="s">
        <v>173</v>
      </c>
      <c r="U39" s="20">
        <v>0</v>
      </c>
      <c r="V39" s="20">
        <v>0</v>
      </c>
      <c r="W39" s="20">
        <v>0</v>
      </c>
    </row>
    <row r="40" ht="14.25" spans="1:23">
      <c r="A40" s="19">
        <v>0.1</v>
      </c>
      <c r="B40" s="20">
        <v>-0.00017</v>
      </c>
      <c r="C40" s="20">
        <v>-1e-5</v>
      </c>
      <c r="D40" s="20">
        <v>1</v>
      </c>
      <c r="E40" s="20">
        <v>0.1</v>
      </c>
      <c r="F40" s="20">
        <v>-0.005</v>
      </c>
      <c r="G40" s="20">
        <v>-0.00033</v>
      </c>
      <c r="H40" s="20">
        <v>-1e-5</v>
      </c>
      <c r="I40" s="20">
        <v>1</v>
      </c>
      <c r="J40" s="20">
        <v>2e-5</v>
      </c>
      <c r="K40" s="20">
        <v>0</v>
      </c>
      <c r="L40" s="20">
        <v>1</v>
      </c>
      <c r="M40" s="20">
        <v>0.005</v>
      </c>
      <c r="N40" s="20">
        <v>0.00033</v>
      </c>
      <c r="O40" s="20">
        <v>3e-5</v>
      </c>
      <c r="P40" s="20">
        <v>0.005</v>
      </c>
      <c r="Q40" s="24">
        <v>0.0005</v>
      </c>
      <c r="R40" s="20">
        <v>1800</v>
      </c>
      <c r="S40" s="25">
        <v>24000</v>
      </c>
      <c r="T40" s="20">
        <v>36000</v>
      </c>
      <c r="U40" s="20">
        <v>0.00033</v>
      </c>
      <c r="V40" s="20">
        <v>0.005</v>
      </c>
      <c r="W40" s="20">
        <v>0.1</v>
      </c>
    </row>
    <row r="41" ht="14.25" spans="1:23">
      <c r="A41" s="19">
        <v>0.2</v>
      </c>
      <c r="B41" s="20">
        <v>-0.00133</v>
      </c>
      <c r="C41" s="20">
        <v>-0.00013</v>
      </c>
      <c r="D41" s="20">
        <v>0.99999</v>
      </c>
      <c r="E41" s="20">
        <v>0.2</v>
      </c>
      <c r="F41" s="20">
        <v>-0.02</v>
      </c>
      <c r="G41" s="20">
        <v>-0.00267</v>
      </c>
      <c r="H41" s="20">
        <v>-0.0002</v>
      </c>
      <c r="I41" s="20">
        <v>0.99999</v>
      </c>
      <c r="J41" s="20">
        <v>0.0004</v>
      </c>
      <c r="K41" s="20">
        <v>0</v>
      </c>
      <c r="L41" s="20">
        <v>1.00004</v>
      </c>
      <c r="M41" s="20">
        <v>0.02</v>
      </c>
      <c r="N41" s="20">
        <v>0.00267</v>
      </c>
      <c r="O41" s="20">
        <v>0.00033</v>
      </c>
      <c r="P41" s="20">
        <v>0.02</v>
      </c>
      <c r="Q41" s="24">
        <v>0.004</v>
      </c>
      <c r="R41" s="20">
        <v>450</v>
      </c>
      <c r="S41" s="25">
        <v>3000</v>
      </c>
      <c r="T41" s="20">
        <v>22500.1</v>
      </c>
      <c r="U41" s="20">
        <v>0.00269</v>
      </c>
      <c r="V41" s="20">
        <v>0.02</v>
      </c>
      <c r="W41" s="20">
        <v>0.2</v>
      </c>
    </row>
    <row r="42" ht="14.25" spans="1:23">
      <c r="A42" s="19">
        <f t="shared" ref="A42:A59" si="0">A41+0.1</f>
        <v>0.3</v>
      </c>
      <c r="B42" s="20">
        <v>-0.0045</v>
      </c>
      <c r="C42" s="20">
        <v>-0.00057</v>
      </c>
      <c r="D42" s="20">
        <v>0.99994</v>
      </c>
      <c r="E42" s="20">
        <v>0.3</v>
      </c>
      <c r="F42" s="20">
        <v>-0.045</v>
      </c>
      <c r="G42" s="20">
        <v>-0.009</v>
      </c>
      <c r="H42" s="20">
        <v>-0.00101</v>
      </c>
      <c r="I42" s="20">
        <v>0.99992</v>
      </c>
      <c r="J42" s="20">
        <v>0.00203</v>
      </c>
      <c r="K42" s="20">
        <v>1e-5</v>
      </c>
      <c r="L42" s="20">
        <v>1.00029</v>
      </c>
      <c r="M42" s="20">
        <v>0.045</v>
      </c>
      <c r="N42" s="20">
        <v>0.009</v>
      </c>
      <c r="O42" s="20">
        <v>0.00169</v>
      </c>
      <c r="P42" s="20">
        <v>0.045</v>
      </c>
      <c r="Q42" s="24">
        <v>0.0135</v>
      </c>
      <c r="R42" s="20">
        <v>200</v>
      </c>
      <c r="S42" s="25">
        <v>888.898</v>
      </c>
      <c r="T42" s="20">
        <v>4444.59</v>
      </c>
      <c r="U42" s="20">
        <v>0.009</v>
      </c>
      <c r="V42" s="20">
        <v>0.045</v>
      </c>
      <c r="W42" s="20">
        <v>0.3</v>
      </c>
    </row>
    <row r="43" ht="14.25" spans="1:23">
      <c r="A43" s="19">
        <f t="shared" si="0"/>
        <v>0.4</v>
      </c>
      <c r="B43" s="20">
        <v>-0.01067</v>
      </c>
      <c r="C43" s="20">
        <v>-0.00213</v>
      </c>
      <c r="D43" s="20">
        <v>0.99974</v>
      </c>
      <c r="E43" s="20">
        <v>0.39998</v>
      </c>
      <c r="F43" s="20">
        <v>-0.08</v>
      </c>
      <c r="G43" s="20">
        <v>-0.02133</v>
      </c>
      <c r="H43" s="20">
        <v>-0.0032</v>
      </c>
      <c r="I43" s="20">
        <v>0.99966</v>
      </c>
      <c r="J43" s="20">
        <v>0.0064</v>
      </c>
      <c r="K43" s="20">
        <v>6e-5</v>
      </c>
      <c r="L43" s="20">
        <v>1.0012</v>
      </c>
      <c r="M43" s="20">
        <v>0.07999</v>
      </c>
      <c r="N43" s="20">
        <v>0.02133</v>
      </c>
      <c r="O43" s="20">
        <v>0.00533</v>
      </c>
      <c r="P43" s="20">
        <v>0.08001</v>
      </c>
      <c r="Q43" s="24">
        <v>0.032</v>
      </c>
      <c r="R43" s="20">
        <v>112.502</v>
      </c>
      <c r="S43" s="25">
        <v>375.017</v>
      </c>
      <c r="T43" s="20">
        <v>1406.444</v>
      </c>
      <c r="U43" s="20">
        <v>0.02133</v>
      </c>
      <c r="V43" s="20">
        <v>0.07999</v>
      </c>
      <c r="W43" s="20">
        <v>0.39996</v>
      </c>
    </row>
    <row r="44" ht="14.25" spans="1:23">
      <c r="A44" s="19">
        <f t="shared" si="0"/>
        <v>0.5</v>
      </c>
      <c r="B44" s="20">
        <v>-0.02083</v>
      </c>
      <c r="C44" s="20">
        <v>-0.00521</v>
      </c>
      <c r="D44" s="20">
        <v>0.99922</v>
      </c>
      <c r="E44" s="20">
        <v>0.49991</v>
      </c>
      <c r="F44" s="20">
        <v>-0.12499</v>
      </c>
      <c r="G44" s="20">
        <v>-0.04167</v>
      </c>
      <c r="H44" s="20">
        <v>-0.00781</v>
      </c>
      <c r="I44" s="20">
        <v>0.99896</v>
      </c>
      <c r="J44" s="20">
        <v>0.01563</v>
      </c>
      <c r="K44" s="20">
        <v>0.00022</v>
      </c>
      <c r="L44" s="20">
        <v>1.00365</v>
      </c>
      <c r="M44" s="20">
        <v>0.12504</v>
      </c>
      <c r="N44" s="20">
        <v>0.04167</v>
      </c>
      <c r="O44" s="20">
        <v>0.01302</v>
      </c>
      <c r="P44" s="20">
        <v>0.12505</v>
      </c>
      <c r="Q44" s="24">
        <v>0.06251</v>
      </c>
      <c r="R44" s="20">
        <v>72.102</v>
      </c>
      <c r="S44" s="25">
        <v>192.214</v>
      </c>
      <c r="T44" s="20">
        <v>576.825</v>
      </c>
      <c r="U44" s="20">
        <v>0.04165</v>
      </c>
      <c r="V44" s="20">
        <v>0.12495</v>
      </c>
      <c r="W44" s="20">
        <v>0.49988</v>
      </c>
    </row>
    <row r="45" ht="14.25" spans="1:23">
      <c r="A45" s="19">
        <f t="shared" si="0"/>
        <v>0.6</v>
      </c>
      <c r="B45" s="20">
        <v>-0.036</v>
      </c>
      <c r="C45" s="20">
        <v>-0.0108</v>
      </c>
      <c r="D45" s="20">
        <v>0.99806</v>
      </c>
      <c r="E45" s="20">
        <v>0.59974</v>
      </c>
      <c r="F45" s="20">
        <v>-0.17997</v>
      </c>
      <c r="G45" s="20">
        <v>-0.07199</v>
      </c>
      <c r="H45" s="20">
        <v>-0.0162</v>
      </c>
      <c r="I45" s="20">
        <v>0.99741</v>
      </c>
      <c r="J45" s="20">
        <v>0.0324</v>
      </c>
      <c r="K45" s="20">
        <v>0.00065</v>
      </c>
      <c r="L45" s="20">
        <v>1.00917</v>
      </c>
      <c r="M45" s="20">
        <v>0.18013</v>
      </c>
      <c r="N45" s="20">
        <v>0.07203</v>
      </c>
      <c r="O45" s="20">
        <v>0.02701</v>
      </c>
      <c r="P45" s="20">
        <v>0.1802</v>
      </c>
      <c r="Q45" s="24">
        <v>0.10804</v>
      </c>
      <c r="R45" s="20">
        <v>50.012</v>
      </c>
      <c r="S45" s="25">
        <v>111.179</v>
      </c>
      <c r="T45" s="20">
        <v>278.134</v>
      </c>
      <c r="U45" s="20">
        <v>0.07192</v>
      </c>
      <c r="V45" s="20">
        <v>0.17893</v>
      </c>
      <c r="W45" s="20">
        <v>0.59962</v>
      </c>
    </row>
    <row r="46" ht="14.25" spans="1:23">
      <c r="A46" s="19">
        <f t="shared" si="0"/>
        <v>0.7</v>
      </c>
      <c r="B46" s="20">
        <v>-0.05712</v>
      </c>
      <c r="C46" s="20">
        <v>-0.02001</v>
      </c>
      <c r="D46" s="20">
        <v>0.9958</v>
      </c>
      <c r="E46" s="20">
        <v>0.69935</v>
      </c>
      <c r="F46" s="20">
        <v>-0.2449</v>
      </c>
      <c r="G46" s="20">
        <v>-0.11433</v>
      </c>
      <c r="H46" s="20">
        <v>-0.03001</v>
      </c>
      <c r="I46" s="20">
        <v>0.9944</v>
      </c>
      <c r="J46" s="20">
        <v>0.06006</v>
      </c>
      <c r="K46" s="20">
        <v>0.00163</v>
      </c>
      <c r="L46" s="20">
        <v>1.01962</v>
      </c>
      <c r="M46" s="20">
        <v>0.24535</v>
      </c>
      <c r="N46" s="20">
        <v>0.11443</v>
      </c>
      <c r="O46" s="20">
        <v>0.05004</v>
      </c>
      <c r="P46" s="20">
        <v>0.24559</v>
      </c>
      <c r="Q46" s="24">
        <v>0.17161</v>
      </c>
      <c r="R46" s="20">
        <v>36.74</v>
      </c>
      <c r="S46" s="25">
        <v>70.001</v>
      </c>
      <c r="T46" s="20">
        <v>150.236</v>
      </c>
      <c r="U46" s="20">
        <v>0.11406</v>
      </c>
      <c r="V46" s="20">
        <v>0.24448</v>
      </c>
      <c r="W46" s="20">
        <v>0.69902</v>
      </c>
    </row>
    <row r="47" ht="14.25" spans="1:23">
      <c r="A47" s="19">
        <f t="shared" si="0"/>
        <v>0.8</v>
      </c>
      <c r="B47" s="20">
        <v>-0.08532</v>
      </c>
      <c r="C47" s="20">
        <v>-0.03412</v>
      </c>
      <c r="D47" s="20">
        <v>0.99181</v>
      </c>
      <c r="E47" s="20">
        <v>0.79854</v>
      </c>
      <c r="F47" s="20">
        <v>-0.31975</v>
      </c>
      <c r="G47" s="20">
        <v>-0.1706</v>
      </c>
      <c r="H47" s="20">
        <v>-0.0512</v>
      </c>
      <c r="I47" s="20">
        <v>0.98908</v>
      </c>
      <c r="J47" s="20">
        <v>0.10248</v>
      </c>
      <c r="K47" s="20">
        <v>0.00365</v>
      </c>
      <c r="L47" s="20">
        <v>1.03824</v>
      </c>
      <c r="M47" s="20">
        <v>0.32091</v>
      </c>
      <c r="N47" s="20">
        <v>0.17094</v>
      </c>
      <c r="O47" s="20">
        <v>0.03539</v>
      </c>
      <c r="P47" s="20">
        <v>0.3215</v>
      </c>
      <c r="Q47" s="24">
        <v>0.25632</v>
      </c>
      <c r="R47" s="20">
        <v>28.108</v>
      </c>
      <c r="S47" s="25">
        <v>46.884</v>
      </c>
      <c r="T47" s="20">
        <v>88.179</v>
      </c>
      <c r="U47" s="20">
        <v>0.16985</v>
      </c>
      <c r="V47" s="20">
        <v>0.31867</v>
      </c>
      <c r="W47" s="20">
        <v>0.79783</v>
      </c>
    </row>
    <row r="48" ht="14.25" spans="1:23">
      <c r="A48" s="19">
        <f t="shared" si="0"/>
        <v>0.9</v>
      </c>
      <c r="B48" s="20">
        <v>-0.12144</v>
      </c>
      <c r="C48" s="20">
        <v>-0.05465</v>
      </c>
      <c r="D48" s="20">
        <v>0.98524</v>
      </c>
      <c r="E48" s="20">
        <v>0.89705</v>
      </c>
      <c r="F48" s="20">
        <v>-0.40443</v>
      </c>
      <c r="G48" s="20">
        <v>-0.24284</v>
      </c>
      <c r="H48" s="20">
        <v>-0.08198</v>
      </c>
      <c r="I48" s="20">
        <v>0.98032</v>
      </c>
      <c r="J48" s="20">
        <v>0.16426</v>
      </c>
      <c r="K48" s="20">
        <v>0.00738</v>
      </c>
      <c r="L48" s="20">
        <v>1.06893</v>
      </c>
      <c r="M48" s="20">
        <v>0.40709</v>
      </c>
      <c r="N48" s="20">
        <v>0.24374</v>
      </c>
      <c r="O48" s="20">
        <v>0.13685</v>
      </c>
      <c r="P48" s="20">
        <v>0.40842</v>
      </c>
      <c r="Q48" s="24">
        <v>0.36533</v>
      </c>
      <c r="R48" s="20">
        <v>22.245</v>
      </c>
      <c r="S48" s="25">
        <v>33.009</v>
      </c>
      <c r="T48" s="20">
        <v>55.312</v>
      </c>
      <c r="U48" s="20">
        <v>0.24092</v>
      </c>
      <c r="V48" s="20">
        <v>0.40199</v>
      </c>
      <c r="W48" s="20">
        <v>0.89562</v>
      </c>
    </row>
    <row r="49" ht="14.25" spans="1:23">
      <c r="A49" s="19">
        <f t="shared" si="0"/>
        <v>1</v>
      </c>
      <c r="B49" s="20">
        <v>-0.16652</v>
      </c>
      <c r="C49" s="20">
        <v>-0.08329</v>
      </c>
      <c r="D49" s="20">
        <v>0.97501</v>
      </c>
      <c r="E49" s="20">
        <v>0.99445</v>
      </c>
      <c r="F49" s="20">
        <v>-0.49881</v>
      </c>
      <c r="G49" s="20">
        <v>-0.33298</v>
      </c>
      <c r="H49" s="20">
        <v>-0.12493</v>
      </c>
      <c r="I49" s="20">
        <v>0.96667</v>
      </c>
      <c r="J49" s="20">
        <v>0.25062</v>
      </c>
      <c r="K49" s="20">
        <v>0.0139</v>
      </c>
      <c r="L49" s="20">
        <v>1.11679</v>
      </c>
      <c r="M49" s="20">
        <v>0.50436</v>
      </c>
      <c r="N49" s="20">
        <v>0.33507</v>
      </c>
      <c r="O49" s="20">
        <v>0.20873</v>
      </c>
      <c r="P49" s="20">
        <v>0.50714</v>
      </c>
      <c r="Q49" s="24">
        <v>0.50194</v>
      </c>
      <c r="R49" s="20">
        <v>18.028</v>
      </c>
      <c r="S49" s="25">
        <v>24.102</v>
      </c>
      <c r="T49" s="20">
        <v>36.48</v>
      </c>
      <c r="U49" s="20">
        <v>0.32855</v>
      </c>
      <c r="V49" s="20">
        <v>0.49374</v>
      </c>
      <c r="W49" s="20">
        <v>0.99179</v>
      </c>
    </row>
    <row r="50" ht="14.25" spans="1:23">
      <c r="A50" s="19">
        <f t="shared" si="0"/>
        <v>1.1</v>
      </c>
      <c r="B50" s="20">
        <v>-0.22152</v>
      </c>
      <c r="C50" s="20">
        <v>-0.12192</v>
      </c>
      <c r="D50" s="20">
        <v>0.95975</v>
      </c>
      <c r="E50" s="20">
        <v>1.09016</v>
      </c>
      <c r="F50" s="20">
        <v>-0.60268</v>
      </c>
      <c r="G50" s="20">
        <v>-0.44292</v>
      </c>
      <c r="H50" s="20">
        <v>-0.18285</v>
      </c>
      <c r="I50" s="20">
        <v>0.94634</v>
      </c>
      <c r="J50" s="20">
        <v>0.36747</v>
      </c>
      <c r="K50" s="20">
        <v>0.02464</v>
      </c>
      <c r="L50" s="20">
        <v>1.18823</v>
      </c>
      <c r="M50" s="20">
        <v>0.61351</v>
      </c>
      <c r="N50" s="20">
        <v>0.44739</v>
      </c>
      <c r="O50" s="20">
        <v>0.306</v>
      </c>
      <c r="P50" s="20">
        <v>0.61893</v>
      </c>
      <c r="Q50" s="24">
        <v>0.66965</v>
      </c>
      <c r="R50" s="20">
        <v>14.915</v>
      </c>
      <c r="S50" s="25">
        <v>18.16</v>
      </c>
      <c r="T50" s="20">
        <v>25.122</v>
      </c>
      <c r="U50" s="20">
        <v>0.43351</v>
      </c>
      <c r="V50" s="20">
        <v>0.59294</v>
      </c>
      <c r="W50" s="20">
        <v>1.0856</v>
      </c>
    </row>
    <row r="51" ht="14.25" spans="1:23">
      <c r="A51" s="19">
        <f t="shared" si="0"/>
        <v>1.2</v>
      </c>
      <c r="B51" s="20">
        <v>-0.28737</v>
      </c>
      <c r="C51" s="20">
        <v>-0.1726</v>
      </c>
      <c r="D51" s="20">
        <v>0.93783</v>
      </c>
      <c r="E51" s="20">
        <v>1.18342</v>
      </c>
      <c r="F51" s="20">
        <v>-0.71573</v>
      </c>
      <c r="G51" s="20">
        <v>-0.5745</v>
      </c>
      <c r="H51" s="20">
        <v>-0.25886</v>
      </c>
      <c r="I51" s="20">
        <v>0.91712</v>
      </c>
      <c r="J51" s="20">
        <v>0.52158</v>
      </c>
      <c r="K51" s="20">
        <v>0.04156</v>
      </c>
      <c r="L51" s="20">
        <v>1.29111</v>
      </c>
      <c r="M51" s="20">
        <v>0.73565</v>
      </c>
      <c r="N51" s="20">
        <v>0.58346</v>
      </c>
      <c r="O51" s="20">
        <v>0.43412</v>
      </c>
      <c r="P51" s="20">
        <v>0.74562</v>
      </c>
      <c r="Q51" s="24">
        <v>0.87232</v>
      </c>
      <c r="R51" s="20">
        <v>12.55</v>
      </c>
      <c r="S51" s="25">
        <v>14.039</v>
      </c>
      <c r="T51" s="20">
        <v>17.941</v>
      </c>
      <c r="U51" s="20">
        <v>0.55589</v>
      </c>
      <c r="V51" s="20">
        <v>0.69811</v>
      </c>
      <c r="W51" s="20">
        <v>1.17605</v>
      </c>
    </row>
    <row r="52" ht="14.25" spans="1:23">
      <c r="A52" s="19">
        <f t="shared" si="0"/>
        <v>1.3</v>
      </c>
      <c r="B52" s="20">
        <v>-0.36496</v>
      </c>
      <c r="C52" s="20">
        <v>-0.2376</v>
      </c>
      <c r="D52" s="20">
        <v>0.90727</v>
      </c>
      <c r="E52" s="20">
        <v>1.2732</v>
      </c>
      <c r="F52" s="20">
        <v>-0.83753</v>
      </c>
      <c r="G52" s="20">
        <v>-0.7295</v>
      </c>
      <c r="H52" s="20">
        <v>-0.35631</v>
      </c>
      <c r="I52" s="20">
        <v>0.87638</v>
      </c>
      <c r="J52" s="20">
        <v>0.72057</v>
      </c>
      <c r="K52" s="20">
        <v>0.06724</v>
      </c>
      <c r="L52" s="20">
        <v>1.43498</v>
      </c>
      <c r="M52" s="20">
        <v>0.87244</v>
      </c>
      <c r="N52" s="20">
        <v>0.7465</v>
      </c>
      <c r="O52" s="20">
        <v>0.5991</v>
      </c>
      <c r="P52" s="20">
        <v>0.88991</v>
      </c>
      <c r="Q52" s="24">
        <v>1.11429</v>
      </c>
      <c r="R52" s="20">
        <v>10.716</v>
      </c>
      <c r="S52" s="25">
        <v>11.102</v>
      </c>
      <c r="T52" s="20">
        <v>13.235</v>
      </c>
      <c r="U52" s="20">
        <v>0.69488</v>
      </c>
      <c r="V52" s="20">
        <v>0.80737</v>
      </c>
      <c r="W52" s="20">
        <v>1.26199</v>
      </c>
    </row>
    <row r="53" ht="14.25" spans="1:23">
      <c r="A53" s="19">
        <f t="shared" si="0"/>
        <v>1.4</v>
      </c>
      <c r="B53" s="20">
        <v>-0.45515</v>
      </c>
      <c r="C53" s="20">
        <v>-0.31933</v>
      </c>
      <c r="D53" s="20">
        <v>0.86575</v>
      </c>
      <c r="E53" s="20">
        <v>1.35821</v>
      </c>
      <c r="F53" s="20">
        <v>-0.96746</v>
      </c>
      <c r="G53" s="20">
        <v>-0.90954</v>
      </c>
      <c r="H53" s="20">
        <v>-0.47883</v>
      </c>
      <c r="I53" s="20">
        <v>0.82102</v>
      </c>
      <c r="J53" s="20">
        <v>0.97317</v>
      </c>
      <c r="K53" s="20">
        <v>0.10504</v>
      </c>
      <c r="L53" s="20">
        <v>1.63125</v>
      </c>
      <c r="M53" s="20">
        <v>1.02612</v>
      </c>
      <c r="N53" s="20">
        <v>0.94032</v>
      </c>
      <c r="O53" s="20">
        <v>0.80887</v>
      </c>
      <c r="P53" s="20">
        <v>1.0555</v>
      </c>
      <c r="Q53" s="24">
        <v>1.40059</v>
      </c>
      <c r="R53" s="20">
        <v>9.265</v>
      </c>
      <c r="S53" s="25">
        <v>8.952</v>
      </c>
      <c r="T53" s="20">
        <v>10.049</v>
      </c>
      <c r="U53" s="20">
        <v>0.84855</v>
      </c>
      <c r="V53" s="20">
        <v>0.91831</v>
      </c>
      <c r="W53" s="20">
        <v>1.34213</v>
      </c>
    </row>
    <row r="54" ht="14.25" spans="1:23">
      <c r="A54" s="19">
        <f t="shared" si="0"/>
        <v>1.5</v>
      </c>
      <c r="B54" s="20">
        <v>-0.5587</v>
      </c>
      <c r="C54" s="20">
        <v>-0.42039</v>
      </c>
      <c r="D54" s="20">
        <v>0.81054</v>
      </c>
      <c r="E54" s="20">
        <v>1.4368</v>
      </c>
      <c r="F54" s="20">
        <v>-1.10468</v>
      </c>
      <c r="G54" s="20">
        <v>-1.11609</v>
      </c>
      <c r="H54" s="20">
        <v>-0.63027</v>
      </c>
      <c r="I54" s="20">
        <v>0.74745</v>
      </c>
      <c r="J54" s="20">
        <v>1.28938</v>
      </c>
      <c r="K54" s="20">
        <v>0.15916</v>
      </c>
      <c r="L54" s="20">
        <v>1.89349</v>
      </c>
      <c r="M54" s="20">
        <v>1.19981</v>
      </c>
      <c r="N54" s="20">
        <v>1.1696</v>
      </c>
      <c r="O54" s="20">
        <v>1.07061</v>
      </c>
      <c r="P54" s="20">
        <v>1.24752</v>
      </c>
      <c r="Q54" s="24">
        <v>1.7372</v>
      </c>
      <c r="R54" s="20">
        <v>8.101</v>
      </c>
      <c r="S54" s="25">
        <v>7.349</v>
      </c>
      <c r="T54" s="20">
        <v>7.838</v>
      </c>
      <c r="U54" s="20">
        <v>1.01382</v>
      </c>
      <c r="V54" s="20">
        <v>1.02816</v>
      </c>
      <c r="W54" s="20">
        <v>1.41516</v>
      </c>
    </row>
    <row r="55" ht="14.25" spans="1:23">
      <c r="A55" s="19">
        <f t="shared" si="0"/>
        <v>1.6</v>
      </c>
      <c r="B55" s="20">
        <v>-0.67629</v>
      </c>
      <c r="C55" s="20">
        <v>-0.54348</v>
      </c>
      <c r="D55" s="20">
        <v>0.73859</v>
      </c>
      <c r="E55" s="20">
        <v>1.50695</v>
      </c>
      <c r="F55" s="20">
        <v>-1.24808</v>
      </c>
      <c r="G55" s="20">
        <v>-1.35042</v>
      </c>
      <c r="H55" s="20">
        <v>-0.81466</v>
      </c>
      <c r="I55" s="20">
        <v>0.65156</v>
      </c>
      <c r="J55" s="20">
        <v>1.68091</v>
      </c>
      <c r="K55" s="20">
        <v>0.23497</v>
      </c>
      <c r="L55" s="20">
        <v>2.23776</v>
      </c>
      <c r="M55" s="20">
        <v>1.39771</v>
      </c>
      <c r="N55" s="20">
        <v>1.44015</v>
      </c>
      <c r="O55" s="20">
        <v>1.39379</v>
      </c>
      <c r="P55" s="20">
        <v>1.47277</v>
      </c>
      <c r="Q55" s="24">
        <v>2.13135</v>
      </c>
      <c r="R55" s="20">
        <v>7.154</v>
      </c>
      <c r="S55" s="25">
        <v>6.129</v>
      </c>
      <c r="T55" s="20">
        <v>6.268</v>
      </c>
      <c r="U55" s="20">
        <v>1.18632</v>
      </c>
      <c r="V55" s="20">
        <v>1.1338</v>
      </c>
      <c r="W55" s="20">
        <v>1.4799</v>
      </c>
    </row>
    <row r="56" ht="14.25" spans="1:23">
      <c r="A56" s="19">
        <f t="shared" si="0"/>
        <v>1.7</v>
      </c>
      <c r="B56" s="20">
        <v>-0.80848</v>
      </c>
      <c r="C56" s="20">
        <v>-0.69144</v>
      </c>
      <c r="D56" s="20">
        <v>0.64637</v>
      </c>
      <c r="E56" s="20">
        <v>1.56621</v>
      </c>
      <c r="F56" s="20">
        <v>-1.39623</v>
      </c>
      <c r="G56" s="20">
        <v>-1.61346</v>
      </c>
      <c r="H56" s="20">
        <v>-1.03616</v>
      </c>
      <c r="I56" s="20">
        <v>0.52871</v>
      </c>
      <c r="J56" s="20">
        <v>2.16145</v>
      </c>
      <c r="K56" s="20">
        <v>0.33904</v>
      </c>
      <c r="L56" s="20">
        <v>2.68296</v>
      </c>
      <c r="M56" s="20">
        <v>1.62522</v>
      </c>
      <c r="N56" s="20">
        <v>1.75934</v>
      </c>
      <c r="O56" s="20">
        <v>1.78918</v>
      </c>
      <c r="P56" s="20">
        <v>1.74019</v>
      </c>
      <c r="Q56" s="24">
        <v>2.592</v>
      </c>
      <c r="R56" s="20">
        <v>6.375</v>
      </c>
      <c r="S56" s="25">
        <v>5.189</v>
      </c>
      <c r="T56" s="20">
        <v>5.133</v>
      </c>
      <c r="U56" s="20">
        <v>1.36088</v>
      </c>
      <c r="V56" s="20">
        <v>1.23219</v>
      </c>
      <c r="W56" s="20">
        <v>1.5354</v>
      </c>
    </row>
    <row r="57" ht="14.25" spans="1:23">
      <c r="A57" s="19">
        <f t="shared" si="0"/>
        <v>1.8</v>
      </c>
      <c r="B57" s="20">
        <v>-0.95564</v>
      </c>
      <c r="C57" s="20">
        <v>-0.86715</v>
      </c>
      <c r="D57" s="20">
        <v>0.52997</v>
      </c>
      <c r="E57" s="20">
        <v>1.61162</v>
      </c>
      <c r="F57" s="20">
        <v>-1.54728</v>
      </c>
      <c r="G57" s="20">
        <v>-1.90577</v>
      </c>
      <c r="H57" s="20">
        <v>-1.29909</v>
      </c>
      <c r="I57" s="20">
        <v>0.37368</v>
      </c>
      <c r="J57" s="20">
        <v>2.74734</v>
      </c>
      <c r="K57" s="20">
        <v>0.47951</v>
      </c>
      <c r="L57" s="20">
        <v>3.25143</v>
      </c>
      <c r="M57" s="20">
        <v>1.88946</v>
      </c>
      <c r="N57" s="20">
        <v>2.13653</v>
      </c>
      <c r="O57" s="20">
        <v>2.26933</v>
      </c>
      <c r="P57" s="20">
        <v>2.06147</v>
      </c>
      <c r="Q57" s="24">
        <v>3.13039</v>
      </c>
      <c r="R57" s="20">
        <v>5.73</v>
      </c>
      <c r="S57" s="25">
        <v>4.456</v>
      </c>
      <c r="T57" s="20">
        <v>4.3</v>
      </c>
      <c r="U57" s="20">
        <v>1.53179</v>
      </c>
      <c r="V57" s="20">
        <v>1.32058</v>
      </c>
      <c r="W57" s="20">
        <v>1.58115</v>
      </c>
    </row>
    <row r="58" ht="14.25" spans="1:23">
      <c r="A58" s="19">
        <f t="shared" si="0"/>
        <v>1.9</v>
      </c>
      <c r="B58" s="20">
        <v>-1.11796</v>
      </c>
      <c r="C58" s="20">
        <v>-1.07357</v>
      </c>
      <c r="D58" s="20">
        <v>0.38503</v>
      </c>
      <c r="E58" s="20">
        <v>1.63969</v>
      </c>
      <c r="F58" s="20">
        <v>-1.69889</v>
      </c>
      <c r="G58" s="20">
        <v>-2.22745</v>
      </c>
      <c r="H58" s="20">
        <v>-1.6077</v>
      </c>
      <c r="I58" s="20">
        <v>0.18071</v>
      </c>
      <c r="J58" s="20">
        <v>3.45833</v>
      </c>
      <c r="K58" s="20">
        <v>0.66632</v>
      </c>
      <c r="L58" s="20">
        <v>3.96945</v>
      </c>
      <c r="M58" s="20">
        <v>2.19944</v>
      </c>
      <c r="N58" s="20">
        <v>2.58362</v>
      </c>
      <c r="O58" s="20">
        <v>2.84909</v>
      </c>
      <c r="P58" s="20">
        <v>2.45147</v>
      </c>
      <c r="Q58" s="24">
        <v>3.76049</v>
      </c>
      <c r="R58" s="20">
        <v>5.19</v>
      </c>
      <c r="S58" s="25">
        <v>3.878</v>
      </c>
      <c r="T58" s="20">
        <v>3.68</v>
      </c>
      <c r="U58" s="20">
        <v>1.69343</v>
      </c>
      <c r="V58" s="20">
        <v>1.39688</v>
      </c>
      <c r="W58" s="20">
        <v>1.61718</v>
      </c>
    </row>
    <row r="59" ht="14.25" spans="1:23">
      <c r="A59" s="19">
        <f t="shared" si="0"/>
        <v>2</v>
      </c>
      <c r="B59" s="20">
        <v>-1.29535</v>
      </c>
      <c r="C59" s="20">
        <v>-1.31361</v>
      </c>
      <c r="D59" s="20">
        <v>0.20676</v>
      </c>
      <c r="E59" s="20">
        <v>1.64628</v>
      </c>
      <c r="F59" s="20">
        <v>-1.84818</v>
      </c>
      <c r="G59" s="20">
        <v>-2.57798</v>
      </c>
      <c r="H59" s="20">
        <v>-1.9662</v>
      </c>
      <c r="I59" s="20">
        <v>-0.05652</v>
      </c>
      <c r="J59" s="20">
        <v>4.31831</v>
      </c>
      <c r="K59" s="20">
        <v>0.91158</v>
      </c>
      <c r="L59" s="20">
        <v>4.86824</v>
      </c>
      <c r="M59" s="20">
        <v>2.56664</v>
      </c>
      <c r="N59" s="20">
        <v>3.11583</v>
      </c>
      <c r="O59" s="20">
        <v>3.54638</v>
      </c>
      <c r="P59" s="20">
        <v>2.92905</v>
      </c>
      <c r="Q59" s="24">
        <v>4.49999</v>
      </c>
      <c r="R59" s="20">
        <v>4.737</v>
      </c>
      <c r="S59" s="25">
        <v>3.418</v>
      </c>
      <c r="T59" s="20">
        <v>3.213</v>
      </c>
      <c r="U59" s="20">
        <v>1.84091</v>
      </c>
      <c r="V59" s="20">
        <v>1.43979</v>
      </c>
      <c r="W59" s="20">
        <v>1.64405</v>
      </c>
    </row>
    <row r="60" ht="14.25" spans="1:23">
      <c r="A60" s="19">
        <f t="shared" ref="A60:A64" si="1">A59+0.2</f>
        <v>2.2</v>
      </c>
      <c r="B60" s="20">
        <v>-1.69334</v>
      </c>
      <c r="C60" s="20">
        <v>-1.90567</v>
      </c>
      <c r="D60" s="20">
        <v>-0.27087</v>
      </c>
      <c r="E60" s="20">
        <v>1.57538</v>
      </c>
      <c r="F60" s="20">
        <v>-2.12481</v>
      </c>
      <c r="G60" s="20">
        <v>-3.35952</v>
      </c>
      <c r="H60" s="20">
        <v>-2.84858</v>
      </c>
      <c r="I60" s="20">
        <v>-0.69158</v>
      </c>
      <c r="J60" s="20">
        <v>6.61044</v>
      </c>
      <c r="K60" s="20">
        <v>1.63962</v>
      </c>
      <c r="L60" s="20">
        <v>7.36356</v>
      </c>
      <c r="M60" s="20">
        <v>3.53366</v>
      </c>
      <c r="N60" s="20">
        <v>4.51846</v>
      </c>
      <c r="O60" s="20">
        <v>5.38469</v>
      </c>
      <c r="P60" s="20">
        <v>4.24806</v>
      </c>
      <c r="Q60" s="24">
        <v>6.40196</v>
      </c>
      <c r="R60" s="20">
        <v>4.032</v>
      </c>
      <c r="S60" s="25">
        <v>2.756</v>
      </c>
      <c r="T60" s="20">
        <v>2.591</v>
      </c>
      <c r="U60" s="20">
        <v>2.08041</v>
      </c>
      <c r="V60" s="20">
        <v>1.54549</v>
      </c>
      <c r="W60" s="20">
        <v>1.6749</v>
      </c>
    </row>
    <row r="61" ht="14.25" spans="1:23">
      <c r="A61" s="19">
        <f t="shared" si="1"/>
        <v>2.4</v>
      </c>
      <c r="B61" s="20">
        <v>-2.14117</v>
      </c>
      <c r="C61" s="20">
        <v>-2.66329</v>
      </c>
      <c r="D61" s="20">
        <v>-0.94885</v>
      </c>
      <c r="E61" s="20">
        <v>1.35201</v>
      </c>
      <c r="F61" s="20">
        <v>-2.33901</v>
      </c>
      <c r="G61" s="20">
        <v>-4.22811</v>
      </c>
      <c r="H61" s="20">
        <v>-3.97323</v>
      </c>
      <c r="I61" s="20">
        <v>-1.59151</v>
      </c>
      <c r="J61" s="20">
        <v>9.9551</v>
      </c>
      <c r="K61" s="20">
        <v>2.82366</v>
      </c>
      <c r="L61" s="20">
        <v>11.1313</v>
      </c>
      <c r="M61" s="20">
        <v>4.95288</v>
      </c>
      <c r="N61" s="20">
        <v>6.57004</v>
      </c>
      <c r="O61" s="20">
        <v>8.02219</v>
      </c>
      <c r="P61" s="20">
        <v>6.288</v>
      </c>
      <c r="Q61" s="24">
        <v>9.0922</v>
      </c>
      <c r="R61" s="20">
        <v>3.526</v>
      </c>
      <c r="S61" s="25">
        <v>2.327</v>
      </c>
      <c r="T61" s="20">
        <v>2.227</v>
      </c>
      <c r="U61" s="20">
        <v>2.23974</v>
      </c>
      <c r="V61" s="20">
        <v>1.58566</v>
      </c>
      <c r="W61" s="20">
        <v>1.6852</v>
      </c>
    </row>
    <row r="62" ht="14.25" spans="1:23">
      <c r="A62" s="19">
        <f t="shared" si="1"/>
        <v>2.6</v>
      </c>
      <c r="B62" s="20">
        <v>-2.62126</v>
      </c>
      <c r="C62" s="20">
        <v>-3.59987</v>
      </c>
      <c r="D62" s="20">
        <v>-1.87734</v>
      </c>
      <c r="E62" s="20">
        <v>0.91679</v>
      </c>
      <c r="F62" s="20">
        <v>-2.43695</v>
      </c>
      <c r="G62" s="20">
        <v>-5.14023</v>
      </c>
      <c r="H62" s="20">
        <v>-5.35541</v>
      </c>
      <c r="I62" s="20">
        <v>-2.82106</v>
      </c>
      <c r="J62" s="20">
        <v>14.868</v>
      </c>
      <c r="K62" s="20">
        <v>4.70118</v>
      </c>
      <c r="L62" s="20">
        <v>16.7466</v>
      </c>
      <c r="M62" s="20">
        <v>7.07178</v>
      </c>
      <c r="N62" s="20">
        <v>9.6289</v>
      </c>
      <c r="O62" s="20">
        <v>11.8206</v>
      </c>
      <c r="P62" s="20">
        <v>9.46294</v>
      </c>
      <c r="Q62" s="24">
        <v>12.9719</v>
      </c>
      <c r="R62" s="20">
        <v>3.161</v>
      </c>
      <c r="S62" s="25">
        <v>2.048</v>
      </c>
      <c r="T62" s="20">
        <v>2.013</v>
      </c>
      <c r="U62" s="20">
        <v>2.32965</v>
      </c>
      <c r="V62" s="20">
        <v>1.59617</v>
      </c>
      <c r="W62" s="20">
        <v>1.68665</v>
      </c>
    </row>
    <row r="63" ht="14.25" spans="1:23">
      <c r="A63" s="19">
        <f t="shared" si="1"/>
        <v>2.8</v>
      </c>
      <c r="B63" s="20">
        <v>-3.10341</v>
      </c>
      <c r="C63" s="20">
        <v>-4.71748</v>
      </c>
      <c r="D63" s="20">
        <v>-3.10791</v>
      </c>
      <c r="E63" s="20">
        <v>0.19729</v>
      </c>
      <c r="F63" s="20">
        <v>-2.34558</v>
      </c>
      <c r="G63" s="20">
        <v>-6.02299</v>
      </c>
      <c r="H63" s="20">
        <v>-6.99007</v>
      </c>
      <c r="I63" s="20">
        <v>-4.44491</v>
      </c>
      <c r="J63" s="20">
        <v>22.1571</v>
      </c>
      <c r="K63" s="20">
        <v>7.62658</v>
      </c>
      <c r="L63" s="20">
        <v>25.0651</v>
      </c>
      <c r="M63" s="20">
        <v>10.2642</v>
      </c>
      <c r="N63" s="20">
        <v>14.2571</v>
      </c>
      <c r="O63" s="20">
        <v>17.3362</v>
      </c>
      <c r="P63" s="20">
        <v>14.4032</v>
      </c>
      <c r="Q63" s="24">
        <v>18.6636</v>
      </c>
      <c r="R63" s="20">
        <v>2.905</v>
      </c>
      <c r="S63" s="25">
        <v>1.869</v>
      </c>
      <c r="T63" s="20">
        <v>1.889</v>
      </c>
      <c r="U63" s="20">
        <v>2.37119</v>
      </c>
      <c r="V63" s="20">
        <v>1.59262</v>
      </c>
      <c r="W63" s="20">
        <v>1.68717</v>
      </c>
    </row>
    <row r="64" ht="14.25" spans="1:23">
      <c r="A64" s="19">
        <f t="shared" si="1"/>
        <v>3</v>
      </c>
      <c r="B64" s="20">
        <v>-3.54058</v>
      </c>
      <c r="C64" s="20">
        <v>-5.99979</v>
      </c>
      <c r="D64" s="20">
        <v>-4.68788</v>
      </c>
      <c r="E64" s="20">
        <v>-0.89126</v>
      </c>
      <c r="F64" s="20">
        <v>-1.96928</v>
      </c>
      <c r="G64" s="20">
        <v>-6.7646</v>
      </c>
      <c r="H64" s="20">
        <v>-8.84029</v>
      </c>
      <c r="I64" s="20">
        <v>-6.51972</v>
      </c>
      <c r="J64" s="20">
        <v>33.0879</v>
      </c>
      <c r="K64" s="20">
        <v>12.1353</v>
      </c>
      <c r="L64" s="20">
        <v>37.3807</v>
      </c>
      <c r="M64" s="20">
        <v>15.0922</v>
      </c>
      <c r="N64" s="20">
        <v>21.3285</v>
      </c>
      <c r="O64" s="20">
        <v>25.4275</v>
      </c>
      <c r="P64" s="20">
        <v>22.068</v>
      </c>
      <c r="Q64" s="24">
        <v>27.1257</v>
      </c>
      <c r="R64" s="20">
        <v>2.727</v>
      </c>
      <c r="S64" s="25">
        <v>1.758</v>
      </c>
      <c r="T64" s="20">
        <v>1.818</v>
      </c>
      <c r="U64" s="20">
        <v>2.38547</v>
      </c>
      <c r="V64" s="20">
        <v>1.58606</v>
      </c>
      <c r="W64" s="20">
        <v>1.69051</v>
      </c>
    </row>
    <row r="65" ht="14.25" spans="1:23">
      <c r="A65" s="19">
        <v>3.5</v>
      </c>
      <c r="B65" s="20">
        <v>-3.91921</v>
      </c>
      <c r="C65" s="20">
        <v>-9.54367</v>
      </c>
      <c r="D65" s="20">
        <v>-10.3404</v>
      </c>
      <c r="E65" s="20">
        <v>-5.85402</v>
      </c>
      <c r="F65" s="20">
        <v>1.07408</v>
      </c>
      <c r="G65" s="20">
        <v>-6.78895</v>
      </c>
      <c r="H65" s="20">
        <v>-13.6924</v>
      </c>
      <c r="I65" s="20">
        <v>-13.8261</v>
      </c>
      <c r="J65" s="20">
        <v>92.209</v>
      </c>
      <c r="K65" s="20">
        <v>36.858</v>
      </c>
      <c r="L65" s="20">
        <v>101.369</v>
      </c>
      <c r="M65" s="20">
        <v>41.0182</v>
      </c>
      <c r="N65" s="20">
        <v>60.476</v>
      </c>
      <c r="O65" s="20">
        <v>67.4982</v>
      </c>
      <c r="P65" s="20">
        <v>64.7696</v>
      </c>
      <c r="Q65" s="24">
        <v>72.0485</v>
      </c>
      <c r="R65" s="20">
        <v>2.502</v>
      </c>
      <c r="S65" s="25">
        <v>1.641</v>
      </c>
      <c r="T65" s="20">
        <v>1.757</v>
      </c>
      <c r="U65" s="20">
        <v>2.38891</v>
      </c>
      <c r="V65" s="20">
        <v>1.58435</v>
      </c>
      <c r="W65" s="20">
        <v>1.711</v>
      </c>
    </row>
    <row r="66" ht="14.25" spans="1:23">
      <c r="A66" s="19">
        <v>4</v>
      </c>
      <c r="B66" s="20">
        <v>-1.61428</v>
      </c>
      <c r="C66" s="20">
        <v>-11.7307</v>
      </c>
      <c r="D66" s="20">
        <v>-17.9186</v>
      </c>
      <c r="E66" s="20">
        <v>-15.0755</v>
      </c>
      <c r="F66" s="20">
        <v>9.24368</v>
      </c>
      <c r="G66" s="20">
        <v>-0.35762</v>
      </c>
      <c r="H66" s="20">
        <v>-15.6105</v>
      </c>
      <c r="I66" s="20">
        <v>-23.1404</v>
      </c>
      <c r="J66" s="20">
        <v>266.061</v>
      </c>
      <c r="K66" s="20">
        <v>109.012</v>
      </c>
      <c r="L66" s="20">
        <v>279.996</v>
      </c>
      <c r="M66" s="20">
        <v>114.722</v>
      </c>
      <c r="N66" s="20">
        <v>176.706</v>
      </c>
      <c r="O66" s="20">
        <v>185.996</v>
      </c>
      <c r="P66" s="20">
        <v>190.834</v>
      </c>
      <c r="Q66" s="24">
        <v>200.047</v>
      </c>
      <c r="R66" s="20">
        <v>2.441</v>
      </c>
      <c r="S66" s="25">
        <v>1.625</v>
      </c>
      <c r="T66" s="20">
        <v>1.751</v>
      </c>
      <c r="U66" s="20">
        <v>2.40074</v>
      </c>
      <c r="V66" s="20">
        <v>1.59979</v>
      </c>
      <c r="W66" s="20">
        <v>1.73218</v>
      </c>
    </row>
    <row r="68" ht="21" customHeight="1" spans="1:13">
      <c r="A68" s="26" t="s">
        <v>174</v>
      </c>
      <c r="B68" s="27" t="s">
        <v>175</v>
      </c>
      <c r="C68" s="27"/>
      <c r="D68" s="27"/>
      <c r="E68" s="27"/>
      <c r="F68" s="27"/>
      <c r="G68" s="27"/>
      <c r="H68" s="27" t="s">
        <v>176</v>
      </c>
      <c r="I68" s="27"/>
      <c r="J68" s="27"/>
      <c r="K68" s="27"/>
      <c r="L68" s="27"/>
      <c r="M68" s="27"/>
    </row>
    <row r="69" spans="1:13">
      <c r="A69" s="26"/>
      <c r="B69" s="27">
        <v>4</v>
      </c>
      <c r="C69" s="27">
        <v>3.5</v>
      </c>
      <c r="D69" s="27">
        <v>3</v>
      </c>
      <c r="E69" s="27">
        <v>2.8</v>
      </c>
      <c r="F69" s="27">
        <v>2.6</v>
      </c>
      <c r="G69" s="27">
        <v>2.4</v>
      </c>
      <c r="H69" s="27">
        <v>4</v>
      </c>
      <c r="I69" s="27">
        <v>3.5</v>
      </c>
      <c r="J69" s="27">
        <v>3</v>
      </c>
      <c r="K69" s="27">
        <v>2.8</v>
      </c>
      <c r="L69" s="27">
        <v>2.6</v>
      </c>
      <c r="M69" s="27">
        <v>2.4</v>
      </c>
    </row>
    <row r="70" spans="1:13">
      <c r="A70" s="27">
        <v>0</v>
      </c>
      <c r="B70" s="27" t="s">
        <v>173</v>
      </c>
      <c r="C70" s="27" t="s">
        <v>173</v>
      </c>
      <c r="D70" s="27" t="s">
        <v>173</v>
      </c>
      <c r="E70" s="27" t="s">
        <v>173</v>
      </c>
      <c r="F70" s="27" t="s">
        <v>173</v>
      </c>
      <c r="G70" s="27" t="s">
        <v>173</v>
      </c>
      <c r="H70" s="27" t="s">
        <v>173</v>
      </c>
      <c r="I70" s="27" t="s">
        <v>173</v>
      </c>
      <c r="J70" s="27" t="s">
        <v>173</v>
      </c>
      <c r="K70" s="27" t="s">
        <v>173</v>
      </c>
      <c r="L70" s="27" t="s">
        <v>173</v>
      </c>
      <c r="M70" s="27" t="s">
        <v>173</v>
      </c>
    </row>
    <row r="71" spans="1:13">
      <c r="A71" s="27">
        <v>0.1</v>
      </c>
      <c r="B71" s="27">
        <v>131.252</v>
      </c>
      <c r="C71" s="27">
        <v>129.489</v>
      </c>
      <c r="D71" s="27">
        <v>120.507</v>
      </c>
      <c r="E71" s="27">
        <v>112.954</v>
      </c>
      <c r="F71" s="27">
        <v>102.805</v>
      </c>
      <c r="G71" s="27">
        <v>90.196</v>
      </c>
      <c r="H71" s="27">
        <v>131.25</v>
      </c>
      <c r="I71" s="27">
        <v>129.551</v>
      </c>
      <c r="J71" s="27">
        <v>120.515</v>
      </c>
      <c r="K71" s="27">
        <v>113.017</v>
      </c>
      <c r="L71" s="27">
        <v>102.839</v>
      </c>
      <c r="M71" s="27">
        <v>90.226</v>
      </c>
    </row>
    <row r="72" spans="1:13">
      <c r="A72" s="27">
        <f t="shared" ref="A72:A90" si="2">A71+0.1</f>
        <v>0.2</v>
      </c>
      <c r="B72" s="27">
        <v>34.186</v>
      </c>
      <c r="C72" s="27">
        <v>33.699</v>
      </c>
      <c r="D72" s="27">
        <v>31.158</v>
      </c>
      <c r="E72" s="27">
        <v>29.09</v>
      </c>
      <c r="F72" s="27">
        <v>26.326</v>
      </c>
      <c r="G72" s="27">
        <v>22.939</v>
      </c>
      <c r="H72" s="27">
        <v>34.315</v>
      </c>
      <c r="I72" s="27">
        <v>33.818</v>
      </c>
      <c r="J72" s="27">
        <v>31.282</v>
      </c>
      <c r="K72" s="27">
        <v>29.218</v>
      </c>
      <c r="L72" s="27">
        <v>26.451</v>
      </c>
      <c r="M72" s="27">
        <v>23.065</v>
      </c>
    </row>
    <row r="73" spans="1:13">
      <c r="A73" s="27">
        <f t="shared" si="2"/>
        <v>0.3</v>
      </c>
      <c r="B73" s="27">
        <v>15.544</v>
      </c>
      <c r="C73" s="27">
        <v>15.282</v>
      </c>
      <c r="D73" s="27">
        <v>14.013</v>
      </c>
      <c r="E73" s="27">
        <v>13.003</v>
      </c>
      <c r="F73" s="27">
        <v>11.671</v>
      </c>
      <c r="G73" s="27">
        <v>10.064</v>
      </c>
      <c r="H73" s="27">
        <v>15.738</v>
      </c>
      <c r="I73" s="27">
        <v>15.476</v>
      </c>
      <c r="J73" s="27">
        <v>14.206</v>
      </c>
      <c r="K73" s="27">
        <v>13.197</v>
      </c>
      <c r="L73" s="27">
        <v>11.864</v>
      </c>
      <c r="M73" s="27">
        <v>10.258</v>
      </c>
    </row>
    <row r="74" spans="1:13">
      <c r="A74" s="27">
        <f t="shared" si="2"/>
        <v>0.4</v>
      </c>
      <c r="B74" s="27">
        <v>8.781</v>
      </c>
      <c r="C74" s="27">
        <v>8.605</v>
      </c>
      <c r="D74" s="27">
        <v>7.799</v>
      </c>
      <c r="E74" s="27">
        <v>7.176</v>
      </c>
      <c r="F74" s="27">
        <v>6.368</v>
      </c>
      <c r="G74" s="27">
        <v>5.409</v>
      </c>
      <c r="H74" s="27">
        <v>9.039</v>
      </c>
      <c r="I74" s="27">
        <v>8.862</v>
      </c>
      <c r="J74" s="27">
        <v>8.057</v>
      </c>
      <c r="K74" s="27">
        <v>7.434</v>
      </c>
      <c r="L74" s="27">
        <v>6.625</v>
      </c>
      <c r="M74" s="27">
        <v>5.667</v>
      </c>
    </row>
    <row r="75" spans="1:13">
      <c r="A75" s="27">
        <f t="shared" si="2"/>
        <v>0.5</v>
      </c>
      <c r="B75" s="27">
        <v>5.539</v>
      </c>
      <c r="C75" s="27">
        <v>5.403</v>
      </c>
      <c r="D75" s="27">
        <v>4.821</v>
      </c>
      <c r="E75" s="27">
        <v>4.385</v>
      </c>
      <c r="F75" s="27">
        <v>3.829</v>
      </c>
      <c r="G75" s="27">
        <v>3.183</v>
      </c>
      <c r="H75" s="27">
        <v>5.855</v>
      </c>
      <c r="I75" s="28">
        <v>5.72</v>
      </c>
      <c r="J75" s="27">
        <v>5.138</v>
      </c>
      <c r="K75" s="27">
        <v>4.702</v>
      </c>
      <c r="L75" s="27">
        <v>4.147</v>
      </c>
      <c r="M75" s="27">
        <v>3.502</v>
      </c>
    </row>
    <row r="76" spans="1:13">
      <c r="A76" s="27">
        <f t="shared" si="2"/>
        <v>0.6</v>
      </c>
      <c r="B76" s="28">
        <v>3.71</v>
      </c>
      <c r="C76" s="27">
        <v>3.697</v>
      </c>
      <c r="D76" s="27">
        <v>3.141</v>
      </c>
      <c r="E76" s="27">
        <v>2.811</v>
      </c>
      <c r="F76" s="28">
        <v>2.4</v>
      </c>
      <c r="G76" s="27">
        <v>1.931</v>
      </c>
      <c r="H76" s="27">
        <v>4.086</v>
      </c>
      <c r="I76" s="27">
        <v>3.973</v>
      </c>
      <c r="J76" s="27">
        <v>3.519</v>
      </c>
      <c r="K76" s="27">
        <v>3.189</v>
      </c>
      <c r="L76" s="27">
        <v>2.778</v>
      </c>
      <c r="M76" s="28">
        <v>2.31</v>
      </c>
    </row>
    <row r="77" spans="1:13">
      <c r="A77" s="27">
        <f t="shared" si="2"/>
        <v>0.7</v>
      </c>
      <c r="B77" s="27">
        <v>2.566</v>
      </c>
      <c r="C77" s="27">
        <v>2.465</v>
      </c>
      <c r="D77" s="27">
        <v>2.089</v>
      </c>
      <c r="E77" s="27">
        <v>1.826</v>
      </c>
      <c r="F77" s="27">
        <v>1.506</v>
      </c>
      <c r="G77" s="27">
        <v>1.15</v>
      </c>
      <c r="H77" s="27">
        <v>2.999</v>
      </c>
      <c r="I77" s="27">
        <v>2.899</v>
      </c>
      <c r="J77" s="27">
        <v>2.525</v>
      </c>
      <c r="K77" s="27">
        <v>2.263</v>
      </c>
      <c r="L77" s="27">
        <v>1.943</v>
      </c>
      <c r="M77" s="27">
        <v>1.587</v>
      </c>
    </row>
    <row r="78" spans="1:13">
      <c r="A78" s="27">
        <f t="shared" si="2"/>
        <v>0.8</v>
      </c>
      <c r="B78" s="27">
        <v>1.791</v>
      </c>
      <c r="C78" s="27">
        <v>1.699</v>
      </c>
      <c r="D78" s="27">
        <v>1.377</v>
      </c>
      <c r="E78" s="27">
        <v>1.16</v>
      </c>
      <c r="F78" s="27">
        <v>0.902</v>
      </c>
      <c r="G78" s="27">
        <v>0.623</v>
      </c>
      <c r="H78" s="27">
        <v>2.282</v>
      </c>
      <c r="I78" s="27">
        <v>2.191</v>
      </c>
      <c r="J78" s="27">
        <v>1.871</v>
      </c>
      <c r="K78" s="27">
        <v>1.655</v>
      </c>
      <c r="L78" s="27">
        <v>1.398</v>
      </c>
      <c r="M78" s="27">
        <v>1.119</v>
      </c>
    </row>
    <row r="79" spans="1:13">
      <c r="A79" s="27">
        <f t="shared" si="2"/>
        <v>0.9</v>
      </c>
      <c r="B79" s="27">
        <v>1.238</v>
      </c>
      <c r="C79" s="27">
        <v>1.151</v>
      </c>
      <c r="D79" s="27">
        <v>0.867</v>
      </c>
      <c r="E79" s="27">
        <v>0.683</v>
      </c>
      <c r="F79" s="27">
        <v>0.471</v>
      </c>
      <c r="G79" s="27">
        <v>0.248</v>
      </c>
      <c r="H79" s="27">
        <v>1.784</v>
      </c>
      <c r="I79" s="27">
        <v>1.698</v>
      </c>
      <c r="J79" s="27">
        <v>1.417</v>
      </c>
      <c r="K79" s="27">
        <v>1.235</v>
      </c>
      <c r="L79" s="27">
        <v>1.024</v>
      </c>
      <c r="M79" s="27">
        <v>0.8</v>
      </c>
    </row>
    <row r="80" spans="1:13">
      <c r="A80" s="27">
        <f t="shared" si="2"/>
        <v>1</v>
      </c>
      <c r="B80" s="27">
        <v>0.824</v>
      </c>
      <c r="C80" s="27">
        <v>0.74</v>
      </c>
      <c r="D80" s="27">
        <v>0.484</v>
      </c>
      <c r="E80" s="27">
        <v>0.327</v>
      </c>
      <c r="F80" s="27">
        <v>0.149</v>
      </c>
      <c r="G80" s="27">
        <v>-0.032</v>
      </c>
      <c r="H80" s="27">
        <v>1.425</v>
      </c>
      <c r="I80" s="27">
        <v>1.342</v>
      </c>
      <c r="J80" s="27">
        <v>1.091</v>
      </c>
      <c r="K80" s="27">
        <v>0.934</v>
      </c>
      <c r="L80" s="27">
        <v>0.758</v>
      </c>
      <c r="M80" s="27">
        <v>0.577</v>
      </c>
    </row>
    <row r="81" spans="1:13">
      <c r="A81" s="27">
        <f t="shared" si="2"/>
        <v>1.1</v>
      </c>
      <c r="B81" s="27">
        <v>0.503</v>
      </c>
      <c r="C81" s="27">
        <v>0.42</v>
      </c>
      <c r="D81" s="27">
        <v>0.187</v>
      </c>
      <c r="E81" s="27">
        <v>0.049</v>
      </c>
      <c r="F81" s="27">
        <v>-0.1</v>
      </c>
      <c r="G81" s="27">
        <v>-0.247</v>
      </c>
      <c r="H81" s="27">
        <v>1.157</v>
      </c>
      <c r="I81" s="27">
        <v>1.077</v>
      </c>
      <c r="J81" s="27">
        <v>0.848</v>
      </c>
      <c r="K81" s="27">
        <v>0.713</v>
      </c>
      <c r="L81" s="27">
        <v>0.564</v>
      </c>
      <c r="M81" s="27">
        <v>0.416</v>
      </c>
    </row>
    <row r="82" spans="1:13">
      <c r="A82" s="27">
        <f t="shared" si="2"/>
        <v>1.2</v>
      </c>
      <c r="B82" s="27">
        <v>0.246</v>
      </c>
      <c r="C82" s="27">
        <v>0.163</v>
      </c>
      <c r="D82" s="27">
        <v>-0.052</v>
      </c>
      <c r="E82" s="27">
        <v>-0.172</v>
      </c>
      <c r="F82" s="27">
        <v>-0.299</v>
      </c>
      <c r="G82" s="27">
        <v>-0.418</v>
      </c>
      <c r="H82" s="27">
        <v>0.952</v>
      </c>
      <c r="I82" s="27">
        <v>0.873</v>
      </c>
      <c r="J82" s="27">
        <v>0.664</v>
      </c>
      <c r="K82" s="27">
        <v>0.546</v>
      </c>
      <c r="L82" s="27">
        <v>0.42</v>
      </c>
      <c r="M82" s="27">
        <v>0.299</v>
      </c>
    </row>
    <row r="83" spans="1:13">
      <c r="A83" s="27">
        <f t="shared" si="2"/>
        <v>1.3</v>
      </c>
      <c r="B83" s="27">
        <v>0.034</v>
      </c>
      <c r="C83" s="27">
        <v>-0.049</v>
      </c>
      <c r="D83" s="27">
        <v>-0.249</v>
      </c>
      <c r="E83" s="27">
        <v>-0.355</v>
      </c>
      <c r="F83" s="27">
        <v>-0.465</v>
      </c>
      <c r="G83" s="27">
        <v>-0.557</v>
      </c>
      <c r="H83" s="27">
        <v>0.792</v>
      </c>
      <c r="I83" s="27">
        <v>0.714</v>
      </c>
      <c r="J83" s="27">
        <v>0.522</v>
      </c>
      <c r="K83" s="27">
        <v>0.418</v>
      </c>
      <c r="L83" s="27">
        <v>0.311</v>
      </c>
      <c r="M83" s="27">
        <v>0.212</v>
      </c>
    </row>
    <row r="84" spans="1:13">
      <c r="A84" s="27">
        <f t="shared" si="2"/>
        <v>1.4</v>
      </c>
      <c r="B84" s="27">
        <v>-0.145</v>
      </c>
      <c r="C84" s="27">
        <v>-0.229</v>
      </c>
      <c r="D84" s="27">
        <v>-0.416</v>
      </c>
      <c r="E84" s="27">
        <v>-0.508</v>
      </c>
      <c r="F84" s="27">
        <v>-0.597</v>
      </c>
      <c r="G84" s="27">
        <v>-0.672</v>
      </c>
      <c r="H84" s="27">
        <v>0.666</v>
      </c>
      <c r="I84" s="27">
        <v>0.588</v>
      </c>
      <c r="J84" s="27">
        <v>0.41</v>
      </c>
      <c r="K84" s="27">
        <v>0.319</v>
      </c>
      <c r="L84" s="27">
        <v>0.229</v>
      </c>
      <c r="M84" s="27">
        <v>0.148</v>
      </c>
    </row>
    <row r="85" spans="1:13">
      <c r="A85" s="27">
        <f t="shared" si="2"/>
        <v>1.5</v>
      </c>
      <c r="B85" s="27">
        <v>-0.299</v>
      </c>
      <c r="C85" s="27">
        <v>-0.384</v>
      </c>
      <c r="D85" s="27">
        <v>-0.559</v>
      </c>
      <c r="E85" s="27">
        <v>-0.639</v>
      </c>
      <c r="F85" s="27">
        <v>-0.712</v>
      </c>
      <c r="G85" s="27">
        <v>-0.769</v>
      </c>
      <c r="H85" s="27">
        <v>0.563</v>
      </c>
      <c r="I85" s="27">
        <v>0.486</v>
      </c>
      <c r="J85" s="27">
        <v>0.321</v>
      </c>
      <c r="K85" s="27">
        <v>0.241</v>
      </c>
      <c r="L85" s="27">
        <v>0.166</v>
      </c>
      <c r="M85" s="27">
        <v>0.101</v>
      </c>
    </row>
    <row r="86" spans="1:13">
      <c r="A86" s="27">
        <f t="shared" si="2"/>
        <v>1.6</v>
      </c>
      <c r="B86" s="27">
        <v>-0.434</v>
      </c>
      <c r="C86" s="27">
        <v>-0.521</v>
      </c>
      <c r="D86" s="27">
        <v>-0.634</v>
      </c>
      <c r="E86" s="27">
        <v>-0.753</v>
      </c>
      <c r="F86" s="27">
        <v>-0.812</v>
      </c>
      <c r="G86" s="27">
        <v>-0.853</v>
      </c>
      <c r="H86" s="28">
        <v>0.48</v>
      </c>
      <c r="I86" s="27">
        <v>0.402</v>
      </c>
      <c r="J86" s="27">
        <v>0.25</v>
      </c>
      <c r="K86" s="27">
        <v>0.181</v>
      </c>
      <c r="L86" s="27">
        <v>0.118</v>
      </c>
      <c r="M86" s="27">
        <v>0.067</v>
      </c>
    </row>
    <row r="87" spans="1:13">
      <c r="A87" s="27">
        <f t="shared" si="2"/>
        <v>1.7</v>
      </c>
      <c r="B87" s="27">
        <v>-0.555</v>
      </c>
      <c r="C87" s="27">
        <v>-0.645</v>
      </c>
      <c r="D87" s="27">
        <v>-0.796</v>
      </c>
      <c r="E87" s="27">
        <v>-0.854</v>
      </c>
      <c r="F87" s="27">
        <v>-0.898</v>
      </c>
      <c r="G87" s="27">
        <v>-0.025</v>
      </c>
      <c r="H87" s="27">
        <v>0.411</v>
      </c>
      <c r="I87" s="28">
        <v>0</v>
      </c>
      <c r="J87" s="27">
        <v>0.193</v>
      </c>
      <c r="K87" s="27">
        <v>0.134</v>
      </c>
      <c r="L87" s="27">
        <v>0.082</v>
      </c>
      <c r="M87" s="27">
        <v>0.043</v>
      </c>
    </row>
    <row r="88" spans="1:13">
      <c r="A88" s="27">
        <f t="shared" si="2"/>
        <v>1.8</v>
      </c>
      <c r="B88" s="27">
        <v>-0.665</v>
      </c>
      <c r="C88" s="27">
        <v>-0.756</v>
      </c>
      <c r="D88" s="27">
        <v>-0.896</v>
      </c>
      <c r="E88" s="27">
        <v>-0.943</v>
      </c>
      <c r="F88" s="27">
        <v>-0.975</v>
      </c>
      <c r="G88" s="27">
        <v>-0.987</v>
      </c>
      <c r="H88" s="27">
        <v>0.353</v>
      </c>
      <c r="I88" s="27">
        <v>0.276</v>
      </c>
      <c r="J88" s="27">
        <v>0.147</v>
      </c>
      <c r="K88" s="27">
        <v>0.097</v>
      </c>
      <c r="L88" s="27">
        <v>0.055</v>
      </c>
      <c r="M88" s="27">
        <v>0.026</v>
      </c>
    </row>
    <row r="89" spans="1:13">
      <c r="A89" s="27">
        <f t="shared" si="2"/>
        <v>1.9</v>
      </c>
      <c r="B89" s="27">
        <v>-0.768</v>
      </c>
      <c r="C89" s="27">
        <v>-0.862</v>
      </c>
      <c r="D89" s="27">
        <v>-0.988</v>
      </c>
      <c r="E89" s="27">
        <v>-1.024</v>
      </c>
      <c r="F89" s="27">
        <v>-1.043</v>
      </c>
      <c r="G89" s="27">
        <v>-1.043</v>
      </c>
      <c r="H89" s="27">
        <v>0.304</v>
      </c>
      <c r="I89" s="27">
        <v>0.227</v>
      </c>
      <c r="J89" s="27">
        <v>0.11</v>
      </c>
      <c r="K89" s="27">
        <v>0.068</v>
      </c>
      <c r="L89" s="27">
        <v>0.035</v>
      </c>
      <c r="M89" s="27">
        <v>0.014</v>
      </c>
    </row>
    <row r="90" spans="1:13">
      <c r="A90" s="27">
        <f t="shared" si="2"/>
        <v>2</v>
      </c>
      <c r="B90" s="27">
        <v>-0.865</v>
      </c>
      <c r="C90" s="27">
        <v>-0.961</v>
      </c>
      <c r="D90" s="27">
        <v>-1.073</v>
      </c>
      <c r="E90" s="27">
        <v>-1.098</v>
      </c>
      <c r="F90" s="27">
        <v>-1.105</v>
      </c>
      <c r="G90" s="27">
        <v>-1.092</v>
      </c>
      <c r="H90" s="27">
        <v>0.263</v>
      </c>
      <c r="I90" s="27">
        <v>0.186</v>
      </c>
      <c r="J90" s="27">
        <v>0.081</v>
      </c>
      <c r="K90" s="27">
        <v>0.046</v>
      </c>
      <c r="L90" s="27">
        <v>0.022</v>
      </c>
      <c r="M90" s="27">
        <v>0.007</v>
      </c>
    </row>
    <row r="91" spans="1:13">
      <c r="A91" s="27">
        <f t="shared" ref="A91:A95" si="3">A90+0.2</f>
        <v>2.2</v>
      </c>
      <c r="B91" s="27">
        <v>-1.048</v>
      </c>
      <c r="C91" s="27">
        <v>-1.148</v>
      </c>
      <c r="D91" s="27">
        <v>-1.225</v>
      </c>
      <c r="E91" s="27">
        <v>-1.227</v>
      </c>
      <c r="F91" s="27">
        <v>-1.21</v>
      </c>
      <c r="G91" s="27">
        <v>-1.176</v>
      </c>
      <c r="H91" s="27">
        <v>0.196</v>
      </c>
      <c r="I91" s="27">
        <v>0.122</v>
      </c>
      <c r="J91" s="27">
        <v>0.04</v>
      </c>
      <c r="K91" s="27">
        <v>0.019</v>
      </c>
      <c r="L91" s="27">
        <v>0.006</v>
      </c>
      <c r="M91" s="27">
        <v>0.001</v>
      </c>
    </row>
    <row r="92" spans="1:13">
      <c r="A92" s="27">
        <f t="shared" si="3"/>
        <v>2.4</v>
      </c>
      <c r="B92" s="27">
        <v>-1.23</v>
      </c>
      <c r="C92" s="27">
        <v>-1.328</v>
      </c>
      <c r="D92" s="27">
        <v>-1.36</v>
      </c>
      <c r="E92" s="27">
        <v>-1.338</v>
      </c>
      <c r="F92" s="27">
        <v>-1.299</v>
      </c>
      <c r="G92" s="27">
        <v>0</v>
      </c>
      <c r="H92" s="27">
        <v>0.145</v>
      </c>
      <c r="I92" s="27">
        <v>0.075</v>
      </c>
      <c r="J92" s="27">
        <v>0.016</v>
      </c>
      <c r="K92" s="27">
        <v>0.005</v>
      </c>
      <c r="L92" s="27">
        <v>0.001</v>
      </c>
      <c r="M92" s="27">
        <v>0</v>
      </c>
    </row>
    <row r="93" spans="1:13">
      <c r="A93" s="27">
        <f t="shared" si="3"/>
        <v>2.6</v>
      </c>
      <c r="B93" s="27">
        <v>-1.42</v>
      </c>
      <c r="C93" s="27">
        <v>-1.507</v>
      </c>
      <c r="D93" s="27">
        <v>-1.482</v>
      </c>
      <c r="E93" s="27">
        <v>-1.434</v>
      </c>
      <c r="F93" s="27">
        <v>0</v>
      </c>
      <c r="G93" s="27"/>
      <c r="H93" s="27">
        <v>0.106</v>
      </c>
      <c r="I93" s="27">
        <v>0.043</v>
      </c>
      <c r="J93" s="27">
        <v>0.005</v>
      </c>
      <c r="K93" s="27">
        <v>0.001</v>
      </c>
      <c r="L93" s="27">
        <v>0</v>
      </c>
      <c r="M93" s="27"/>
    </row>
    <row r="94" spans="1:13">
      <c r="A94" s="27">
        <f t="shared" si="3"/>
        <v>2.8</v>
      </c>
      <c r="B94" s="27">
        <v>-1.635</v>
      </c>
      <c r="C94" s="27">
        <v>-1.692</v>
      </c>
      <c r="D94" s="27">
        <v>-1.593</v>
      </c>
      <c r="E94" s="27">
        <v>0</v>
      </c>
      <c r="F94" s="27"/>
      <c r="G94" s="27"/>
      <c r="H94" s="27">
        <v>0.074</v>
      </c>
      <c r="I94" s="27">
        <v>0.021</v>
      </c>
      <c r="J94" s="27">
        <v>0.001</v>
      </c>
      <c r="K94" s="27">
        <v>0</v>
      </c>
      <c r="L94" s="27"/>
      <c r="M94" s="27"/>
    </row>
    <row r="95" spans="1:13">
      <c r="A95" s="27">
        <f t="shared" si="3"/>
        <v>3</v>
      </c>
      <c r="B95" s="27">
        <v>-1.893</v>
      </c>
      <c r="C95" s="27">
        <v>-1.886</v>
      </c>
      <c r="D95" s="27">
        <v>0</v>
      </c>
      <c r="E95" s="27"/>
      <c r="F95" s="27"/>
      <c r="G95" s="27"/>
      <c r="H95" s="27">
        <v>0.049</v>
      </c>
      <c r="I95" s="27">
        <v>0.008</v>
      </c>
      <c r="J95" s="27">
        <v>0</v>
      </c>
      <c r="K95" s="27"/>
      <c r="L95" s="27"/>
      <c r="M95" s="27"/>
    </row>
    <row r="96" spans="1:13">
      <c r="A96" s="27">
        <v>3.5</v>
      </c>
      <c r="B96" s="27">
        <v>-2.994</v>
      </c>
      <c r="C96" s="27">
        <v>0</v>
      </c>
      <c r="D96" s="27"/>
      <c r="E96" s="27"/>
      <c r="F96" s="27"/>
      <c r="G96" s="27"/>
      <c r="H96" s="27">
        <v>0.01</v>
      </c>
      <c r="I96" s="27">
        <v>0</v>
      </c>
      <c r="J96" s="27"/>
      <c r="K96" s="27"/>
      <c r="L96" s="27"/>
      <c r="M96" s="27"/>
    </row>
    <row r="97" spans="1:13">
      <c r="A97" s="27">
        <v>4</v>
      </c>
      <c r="B97" s="27">
        <v>0</v>
      </c>
      <c r="C97" s="27"/>
      <c r="D97" s="27"/>
      <c r="E97" s="27"/>
      <c r="F97" s="27"/>
      <c r="G97" s="27"/>
      <c r="H97" s="27">
        <v>0</v>
      </c>
      <c r="I97" s="27"/>
      <c r="J97" s="27"/>
      <c r="K97" s="27"/>
      <c r="L97" s="27"/>
      <c r="M97" s="27"/>
    </row>
    <row r="98" spans="1:13">
      <c r="A98" s="29" t="s">
        <v>177</v>
      </c>
      <c r="B98" s="29" t="s">
        <v>178</v>
      </c>
      <c r="C98" s="29" t="s">
        <v>179</v>
      </c>
      <c r="D98" s="29" t="s">
        <v>180</v>
      </c>
      <c r="E98" s="29" t="s">
        <v>181</v>
      </c>
      <c r="F98" s="29" t="s">
        <v>182</v>
      </c>
      <c r="G98" s="29" t="s">
        <v>183</v>
      </c>
      <c r="H98" s="29" t="s">
        <v>184</v>
      </c>
      <c r="I98" s="29" t="s">
        <v>185</v>
      </c>
      <c r="J98" s="29" t="s">
        <v>186</v>
      </c>
      <c r="K98" s="29" t="s">
        <v>187</v>
      </c>
      <c r="L98" s="29" t="s">
        <v>188</v>
      </c>
      <c r="M98" s="29" t="s">
        <v>189</v>
      </c>
    </row>
    <row r="99" spans="1:13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 spans="1:13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</sheetData>
  <mergeCells count="9">
    <mergeCell ref="A1:D1"/>
    <mergeCell ref="G1:H1"/>
    <mergeCell ref="A12:D12"/>
    <mergeCell ref="A22:B22"/>
    <mergeCell ref="A29:D29"/>
    <mergeCell ref="A35:B35"/>
    <mergeCell ref="B68:G68"/>
    <mergeCell ref="H68:M68"/>
    <mergeCell ref="A68:A6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低桩承台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100860</dc:creator>
  <cp:lastModifiedBy>Mr.Tu</cp:lastModifiedBy>
  <dcterms:created xsi:type="dcterms:W3CDTF">2020-01-17T01:14:00Z</dcterms:created>
  <dcterms:modified xsi:type="dcterms:W3CDTF">2021-10-29T13:00:53Z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FF869A9C7B424CB0A937707DA2DD23F7</vt:lpwstr>
  </property>
  <property fmtid="{D5CDD505-2E9C-101B-9397-08002B2CF9AE}" pid="3" name="KSOProductBuildVer">
    <vt:lpwstr>2052-11.1.0.10938</vt:lpwstr>
  </property>
</Properties>
</file>