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ml.chartshapes+xml"/>
  <Override PartName="/xl/drawings/vmlDrawing1.vml" ContentType="application/vnd.openxmlformats-officedocument.vmlDrawing"/>
  <Override PartName="/xl/drawings/_rels/drawing5.xml.rels" ContentType="application/vnd.openxmlformats-package.relationships+xml"/>
  <Override PartName="/xl/drawings/_rels/drawing3.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ml.chartshapes+xml"/>
  <Override PartName="/xl/drawings/vmlDrawing2.vml" ContentType="application/vnd.openxmlformats-officedocument.vmlDrawing"/>
  <Override PartName="/xl/drawings/drawing5.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xl/media/image3.png" ContentType="image/png"/>
  <Override PartName="/xl/tables/table1.xml" ContentType="application/vnd.openxmlformats-officedocument.spreadsheetml.table+xml"/>
  <Override PartName="/xl/tables/table8.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Q2575X Design Calculator" sheetId="1" state="visible" r:id="rId3"/>
    <sheet name="Thermistor Qualification" sheetId="2" state="visible" r:id="rId4"/>
    <sheet name="StdResVals" sheetId="3" state="hidden" r:id="rId5"/>
  </sheets>
  <externalReferences>
    <externalReference r:id="rId6"/>
  </externalReferences>
  <definedNames>
    <definedName function="false" hidden="false" name="ACOV_D" vbProcedure="false">'BQ2575X Design Calculator'!$E$58</definedName>
    <definedName function="false" hidden="false" name="ACUV_D" vbProcedure="false">'BQ2575X Design Calculator'!$E$59</definedName>
    <definedName function="false" hidden="false" name="Buck_Boost" vbProcedure="false">'BQ2575X Design Calculator'!$H$88</definedName>
    <definedName function="false" hidden="false" name="Buck_Only" vbProcedure="false">'BQ2575X Design Calculator'!$I$88</definedName>
    <definedName function="false" hidden="false" name="CLR_Save" vbProcedure="false">'BQ2575X Design Calculator'!$J$159</definedName>
    <definedName function="false" hidden="false" name="Compare_MOSFET" vbProcedure="false">'BQ2575X Design Calculator'!$K$157</definedName>
    <definedName function="false" hidden="false" name="COUT_ESR" vbProcedure="false">'BQ2575X Design Calculator'!$E$107</definedName>
    <definedName function="false" hidden="false" name="Custom_MOSFET" vbProcedure="false">'BQ2575X Design Calculator'!$J$157</definedName>
    <definedName function="false" hidden="false" name="C_MOSFET_S_gFS_H_BO" vbProcedure="false">'BQ2575X Design Calculator'!$N$184</definedName>
    <definedName function="false" hidden="false" name="C_MOSFET_S_gFS_H_BU" vbProcedure="false">'BQ2575X Design Calculator'!$N$170</definedName>
    <definedName function="false" hidden="false" name="C_MOSFET_S_gFS_L_BO" vbProcedure="false">'BQ2575X Design Calculator'!$O$184</definedName>
    <definedName function="false" hidden="false" name="C_MOSFET_S_gFS_L_BU" vbProcedure="false">'BQ2575X Design Calculator'!$O$170</definedName>
    <definedName function="false" hidden="false" name="C_MOSFET_S_QGD_H_BO" vbProcedure="false">'BQ2575X Design Calculator'!$N$180</definedName>
    <definedName function="false" hidden="false" name="C_MOSFET_S_QGD_H_BU" vbProcedure="false">'BQ2575X Design Calculator'!$N$166</definedName>
    <definedName function="false" hidden="false" name="C_MOSFET_S_QGD_L_BO" vbProcedure="false">'BQ2575X Design Calculator'!$O$180</definedName>
    <definedName function="false" hidden="false" name="C_MOSFET_S_QGD_L_BU" vbProcedure="false">'BQ2575X Design Calculator'!$O$166</definedName>
    <definedName function="false" hidden="false" name="C_MOSFET_S_QGS_H_BO" vbProcedure="false">'BQ2575X Design Calculator'!$N$181</definedName>
    <definedName function="false" hidden="false" name="C_MOSFET_S_QGS_H_BU" vbProcedure="false">'BQ2575X Design Calculator'!$N$167</definedName>
    <definedName function="false" hidden="false" name="C_MOSFET_S_QGS_L_BO" vbProcedure="false">'BQ2575X Design Calculator'!$O$181</definedName>
    <definedName function="false" hidden="false" name="C_MOSFET_S_QGS_L_BU" vbProcedure="false">'BQ2575X Design Calculator'!$O$167</definedName>
    <definedName function="false" hidden="false" name="C_MOSFET_S_QG_H_BO" vbProcedure="false">'BQ2575X Design Calculator'!$N$179</definedName>
    <definedName function="false" hidden="false" name="C_MOSFET_S_QG_H_BU" vbProcedure="false">'BQ2575X Design Calculator'!$N$165</definedName>
    <definedName function="false" hidden="false" name="C_MOSFET_S_QG_L_BO" vbProcedure="false">'BQ2575X Design Calculator'!$O$179</definedName>
    <definedName function="false" hidden="false" name="C_MOSFET_S_QG_L_BU" vbProcedure="false">'BQ2575X Design Calculator'!$O$165</definedName>
    <definedName function="false" hidden="false" name="C_MOSFET_S_QOSS_H_BO" vbProcedure="false">'BQ2575X Design Calculator'!$N$182</definedName>
    <definedName function="false" hidden="false" name="C_MOSFET_S_QOSS_H_BU" vbProcedure="false">'BQ2575X Design Calculator'!$N$168</definedName>
    <definedName function="false" hidden="false" name="C_MOSFET_S_QOSS_L_BO" vbProcedure="false">'BQ2575X Design Calculator'!$O$182</definedName>
    <definedName function="false" hidden="false" name="C_MOSFET_S_QOSS_L_BU" vbProcedure="false">'BQ2575X Design Calculator'!$O$168</definedName>
    <definedName function="false" hidden="false" name="C_MOSFET_S_QRR_H_BO" vbProcedure="false">'BQ2575X Design Calculator'!$N$187</definedName>
    <definedName function="false" hidden="false" name="C_MOSFET_S_QRR_L_BU" vbProcedure="false">'BQ2575X Design Calculator'!$O$173</definedName>
    <definedName function="false" hidden="false" name="C_MOSFET_S_RDSON_H_BO" vbProcedure="false">'BQ2575X Design Calculator'!$N$178</definedName>
    <definedName function="false" hidden="false" name="C_MOSFET_S_RDSON_H_BU" vbProcedure="false">'BQ2575X Design Calculator'!$N$164</definedName>
    <definedName function="false" hidden="false" name="C_MOSFET_S_RDSON_L_BO" vbProcedure="false">'BQ2575X Design Calculator'!$O$178</definedName>
    <definedName function="false" hidden="false" name="C_MOSFET_S_RDSON_L_BU" vbProcedure="false">'BQ2575X Design Calculator'!$O$164</definedName>
    <definedName function="false" hidden="false" name="C_MOSFET_S_VSD_H_BO" vbProcedure="false">'BQ2575X Design Calculator'!$N$186</definedName>
    <definedName function="false" hidden="false" name="C_MOSFET_S_VSD_H_BU" vbProcedure="false">'BQ2575X Design Calculator'!$N$172</definedName>
    <definedName function="false" hidden="false" name="C_MOSFET_S_VSD_L_BO" vbProcedure="false">'BQ2575X Design Calculator'!$O$186</definedName>
    <definedName function="false" hidden="false" name="C_MOSFET_S_VSD_L_BU" vbProcedure="false">'BQ2575X Design Calculator'!$O$172</definedName>
    <definedName function="false" hidden="false" name="C_MOSFET_S_VTH_H_BO" vbProcedure="false">'BQ2575X Design Calculator'!$N$185</definedName>
    <definedName function="false" hidden="false" name="C_MOSFET_S_VTH_H_BU" vbProcedure="false">'BQ2575X Design Calculator'!$N$171</definedName>
    <definedName function="false" hidden="false" name="C_MOSFET_S_VTH_L_BO" vbProcedure="false">'BQ2575X Design Calculator'!$O$185</definedName>
    <definedName function="false" hidden="false" name="C_MOSFET_S_VTH_L_BU" vbProcedure="false">'BQ2575X Design Calculator'!$O$171</definedName>
    <definedName function="false" hidden="false" name="C_OUT" vbProcedure="false">'BQ2575X Design Calculator'!$E$106</definedName>
    <definedName function="false" hidden="false" name="C_QGD_H_BO" vbProcedure="false">'BQ2575X Design Calculator'!$E$141</definedName>
    <definedName function="false" hidden="false" name="C_QGD_H_BU" vbProcedure="false">'BQ2575X Design Calculator'!$E$123</definedName>
    <definedName function="false" hidden="false" name="C_QGD_L_BO" vbProcedure="false">'BQ2575X Design Calculator'!$F$141</definedName>
    <definedName function="false" hidden="false" name="C_QGD_L_BU" vbProcedure="false">'BQ2575X Design Calculator'!$F$123</definedName>
    <definedName function="false" hidden="false" name="C_QG_10_H_BO" vbProcedure="false">'BQ2575X Design Calculator'!$E$139</definedName>
    <definedName function="false" hidden="false" name="C_QG_10_H_BU" vbProcedure="false">'BQ2575X Design Calculator'!$E$121</definedName>
    <definedName function="false" hidden="false" name="C_QG_10_L_BO" vbProcedure="false">'BQ2575X Design Calculator'!$F$139</definedName>
    <definedName function="false" hidden="false" name="C_QG_10_L_BU" vbProcedure="false">'BQ2575X Design Calculator'!$F$121</definedName>
    <definedName function="false" hidden="false" name="C_QG_4P5_H_BO" vbProcedure="false">'BQ2575X Design Calculator'!$E$138</definedName>
    <definedName function="false" hidden="false" name="C_QG_4P5_H_BU" vbProcedure="false">'BQ2575X Design Calculator'!$E$120</definedName>
    <definedName function="false" hidden="false" name="C_QG_4P5_L_BO" vbProcedure="false">'BQ2575X Design Calculator'!$F$138</definedName>
    <definedName function="false" hidden="false" name="C_QG_4P5_L_BU" vbProcedure="false">'BQ2575X Design Calculator'!$F$120</definedName>
    <definedName function="false" hidden="false" name="C_QG_C_H_BO" vbProcedure="false">'BQ2575X Design Calculator'!$E$140</definedName>
    <definedName function="false" hidden="false" name="C_QG_C_H_BU" vbProcedure="false">'BQ2575X Design Calculator'!$E$122</definedName>
    <definedName function="false" hidden="false" name="C_QG_C_L_BO" vbProcedure="false">'BQ2575X Design Calculator'!$F$140</definedName>
    <definedName function="false" hidden="false" name="C_QG_C_L_BU" vbProcedure="false">'BQ2575X Design Calculator'!$F$122</definedName>
    <definedName function="false" hidden="false" name="C_RDS_10_H_BO" vbProcedure="false">'BQ2575X Design Calculator'!$E$136</definedName>
    <definedName function="false" hidden="false" name="C_RDS_10_H_BU" vbProcedure="false">'BQ2575X Design Calculator'!$E$118</definedName>
    <definedName function="false" hidden="false" name="C_RDS_10_L_BO" vbProcedure="false">'BQ2575X Design Calculator'!$F$136</definedName>
    <definedName function="false" hidden="false" name="C_RDS_10_L_BU" vbProcedure="false">'BQ2575X Design Calculator'!$F$118</definedName>
    <definedName function="false" hidden="false" name="C_RDS_4P5_H_BO" vbProcedure="false">'BQ2575X Design Calculator'!$E$135</definedName>
    <definedName function="false" hidden="false" name="C_RDS_4P5_H_BU" vbProcedure="false">'BQ2575X Design Calculator'!$E$117</definedName>
    <definedName function="false" hidden="false" name="C_RDS_4P5_L_BO" vbProcedure="false">'BQ2575X Design Calculator'!$F$135</definedName>
    <definedName function="false" hidden="false" name="C_RDS_4P5_L_BU" vbProcedure="false">'BQ2575X Design Calculator'!$F$117</definedName>
    <definedName function="false" hidden="false" name="C_RDS_C_H_BO" vbProcedure="false">'BQ2575X Design Calculator'!$E$137</definedName>
    <definedName function="false" hidden="false" name="C_RDS_C_H_BU" vbProcedure="false">'BQ2575X Design Calculator'!$E$119</definedName>
    <definedName function="false" hidden="false" name="C_RDS_C_L_BO" vbProcedure="false">'BQ2575X Design Calculator'!$F$137</definedName>
    <definedName function="false" hidden="false" name="C_RDS_C_L_BU" vbProcedure="false">'BQ2575X Design Calculator'!$F$119</definedName>
    <definedName function="false" hidden="false" name="Desired_Fsw" vbProcedure="false">'BQ2575X Design Calculator'!$E$13</definedName>
    <definedName function="false" hidden="false" name="Desired_Operation" vbProcedure="false">'BQ2575X Design Calculator'!$E$88</definedName>
    <definedName function="false" hidden="false" name="DITHER" vbProcedure="false">'[1]Variable Management'!$O$10</definedName>
    <definedName function="false" hidden="false" name="Fsw" vbProcedure="false">'BQ2575X Design Calculator'!$E$16</definedName>
    <definedName function="false" hidden="false" name="ILmax" vbProcedure="false">'BQ2575X Design Calculator'!$E$23</definedName>
    <definedName function="false" hidden="false" name="Ioutmax" vbProcedure="false">'BQ2575X Design Calculator'!$E$10</definedName>
    <definedName function="false" hidden="false" name="Ipkpk_VACnom" vbProcedure="false">'BQ2575X Design Calculator'!$E$31</definedName>
    <definedName function="false" hidden="false" name="Isat" vbProcedure="false">'BQ2575X Design Calculator'!$E$24</definedName>
    <definedName function="false" hidden="false" name="L" vbProcedure="false">'BQ2575X Design Calculator'!$E$26</definedName>
    <definedName function="false" hidden="false" name="L_DRC" vbProcedure="false">'BQ2575X Design Calculator'!$E$29</definedName>
    <definedName function="false" hidden="false" name="MOSFET_S" vbProcedure="false">'BQ2575X Design Calculator'!$E$157</definedName>
    <definedName function="false" hidden="false" name="RAC1_R" vbProcedure="false">'BQ2575X Design Calculator'!$E$60</definedName>
    <definedName function="false" hidden="false" name="RAC1_S" vbProcedure="false">'BQ2575X Design Calculator'!$E$63</definedName>
    <definedName function="false" hidden="false" name="RAC2_R" vbProcedure="false">'BQ2575X Design Calculator'!$E$61</definedName>
    <definedName function="false" hidden="false" name="RAC2_S" vbProcedure="false">'BQ2575X Design Calculator'!$E$64</definedName>
    <definedName function="false" hidden="false" name="RAC3_R" vbProcedure="false">'BQ2575X Design Calculator'!$E$62</definedName>
    <definedName function="false" hidden="false" name="RAC3_S" vbProcedure="false">'BQ2575X Design Calculator'!$E$65</definedName>
    <definedName function="false" hidden="false" name="RAC_SNS" vbProcedure="false">'BQ2575X Design Calculator'!$E$40</definedName>
    <definedName function="false" hidden="false" name="RBAT_SNS" vbProcedure="false">'BQ2575X Design Calculator'!$E$49</definedName>
    <definedName function="false" hidden="false" name="RFB_BOT_R" vbProcedure="false">'BQ2575X Design Calculator'!$E$72</definedName>
    <definedName function="false" hidden="false" name="RFB_TOP_R" vbProcedure="false">'BQ2575X Design Calculator'!$E$71</definedName>
    <definedName function="false" hidden="false" name="RIIN" vbProcedure="false">'BQ2575X Design Calculator'!$E$45</definedName>
    <definedName function="false" hidden="false" name="RIOUT" vbProcedure="false">'BQ2575X Design Calculator'!$E$54</definedName>
    <definedName function="false" hidden="false" name="RT1_Ideal_TH" vbProcedure="false">'Thermistor Qualification'!$E$12</definedName>
    <definedName function="false" hidden="false" name="RT1_R" vbProcedure="false">'BQ2575X Design Calculator'!$E$84</definedName>
    <definedName function="false" hidden="false" name="RT1_TH_S" vbProcedure="false">'Thermistor Qualification'!$F$16</definedName>
    <definedName function="false" hidden="false" name="RT1_TH_S_MAX" vbProcedure="false">'Thermistor Qualification'!$G$16</definedName>
    <definedName function="false" hidden="false" name="RT1_TH_S_MIN" vbProcedure="false">'Thermistor Qualification'!$E$16</definedName>
    <definedName function="false" hidden="false" name="RT2_Ideal_TH" vbProcedure="false">'Thermistor Qualification'!$E$13</definedName>
    <definedName function="false" hidden="false" name="RT2_R" vbProcedure="false">'BQ2575X Design Calculator'!$E$85</definedName>
    <definedName function="false" hidden="false" name="RT2_TH_MIN" vbProcedure="false">'Thermistor Qualification'!$E$17</definedName>
    <definedName function="false" hidden="false" name="RT2_TH_S" vbProcedure="false">'Thermistor Qualification'!$F$17</definedName>
    <definedName function="false" hidden="false" name="RT2_TH_S_MAX" vbProcedure="false">'Thermistor Qualification'!$G$17</definedName>
    <definedName function="false" hidden="false" name="RTHCOLD" vbProcedure="false">'BQ2575X Design Calculator'!$E$82</definedName>
    <definedName function="false" hidden="false" name="RTHCOLD_TH" vbProcedure="false">'Thermistor Qualification'!$E$10</definedName>
    <definedName function="false" hidden="false" name="RTHHOT" vbProcedure="false">'BQ2575X Design Calculator'!$E$83</definedName>
    <definedName function="false" hidden="false" name="RTHHOT_TH" vbProcedure="false">'Thermistor Qualification'!$E$11</definedName>
    <definedName function="false" hidden="false" name="R_FBG" vbProcedure="false">'BQ2575X Design Calculator'!$H$71</definedName>
    <definedName function="false" hidden="false" name="R_FB_BOT" vbProcedure="false">'BQ2575X Design Calculator'!$E$75</definedName>
    <definedName function="false" hidden="false" name="R_FB_BOT_Ideal" vbProcedure="false">'BQ2575X Design Calculator'!$H$72</definedName>
    <definedName function="false" hidden="false" name="R_FB_TOP" vbProcedure="false">'BQ2575X Design Calculator'!$E$74</definedName>
    <definedName function="false" hidden="false" name="Save" vbProcedure="false">'BQ2575X Design Calculator'!$I$159</definedName>
    <definedName function="false" hidden="false" name="Save_Sel" vbProcedure="false">'BQ2575X Design Calculator'!$E$159</definedName>
    <definedName function="false" hidden="false" name="T1_0" vbProcedure="false">'BQ2575X Design Calculator'!$J$80</definedName>
    <definedName function="false" hidden="false" name="T1_0_P" vbProcedure="false">'BQ2575X Design Calculator'!$N$80</definedName>
    <definedName function="false" hidden="false" name="T1_0_PERCENT" vbProcedure="false">'Thermistor Qualification'!$N$6</definedName>
    <definedName function="false" hidden="false" name="T1_0_TEMP" vbProcedure="false">'Thermistor Qualification'!$J$6</definedName>
    <definedName function="false" hidden="false" name="T1_5" vbProcedure="false">'BQ2575X Design Calculator'!$K$80</definedName>
    <definedName function="false" hidden="false" name="T1_5_P" vbProcedure="false">'BQ2575X Design Calculator'!$O$80</definedName>
    <definedName function="false" hidden="false" name="T1_5_PERCENT" vbProcedure="false">'Thermistor Qualification'!$O$6</definedName>
    <definedName function="false" hidden="false" name="T1_5_TEMP" vbProcedure="false">'Thermistor Qualification'!$K$6</definedName>
    <definedName function="false" hidden="false" name="T1_N10" vbProcedure="false">'BQ2575X Design Calculator'!$H$80</definedName>
    <definedName function="false" hidden="false" name="T1_N10_P" vbProcedure="false">'BQ2575X Design Calculator'!$L$80</definedName>
    <definedName function="false" hidden="false" name="T1_N10_PERCENT" vbProcedure="false">'Thermistor Qualification'!$L$6</definedName>
    <definedName function="false" hidden="false" name="T1_N10_TEMP" vbProcedure="false">'Thermistor Qualification'!$H$6</definedName>
    <definedName function="false" hidden="false" name="T1_N5" vbProcedure="false">'BQ2575X Design Calculator'!$I$80</definedName>
    <definedName function="false" hidden="false" name="T1_N5_P" vbProcedure="false">'BQ2575X Design Calculator'!$M$80</definedName>
    <definedName function="false" hidden="false" name="T1_N5_PERCENT" vbProcedure="false">'Thermistor Qualification'!$M$6</definedName>
    <definedName function="false" hidden="false" name="T1_N_TEMP" vbProcedure="false">'Thermistor Qualification'!$I$6</definedName>
    <definedName function="false" hidden="false" name="T1_P_Select" vbProcedure="false">'BQ2575X Design Calculator'!$P$80</definedName>
    <definedName function="false" hidden="false" name="T1_S" vbProcedure="false">'Thermistor Qualification'!$E$6</definedName>
    <definedName function="false" hidden="false" name="T1_TE" vbProcedure="false">'BQ2575X Design Calculator'!$H$80</definedName>
    <definedName function="false" hidden="false" name="T1_TEMP" vbProcedure="false">'BQ2575X Design Calculator'!$H$80</definedName>
    <definedName function="false" hidden="false" name="T1_TEMP_0" vbProcedure="false">'BQ2575X Design Calculator'!$I$80</definedName>
    <definedName function="false" hidden="false" name="T1_TEMP_N10" vbProcedure="false">'BQ2575X Design Calculator'!$H$80</definedName>
    <definedName function="false" hidden="false" name="T1_TEMP_Neg_5" vbProcedure="false">'BQ2575X Design Calculator'!$I$80</definedName>
    <definedName function="false" hidden="false" name="T1_TEMP__10" vbProcedure="false">'BQ2575X Design Calculator'!$H$80</definedName>
    <definedName function="false" hidden="false" name="T1_T_N10" vbProcedure="false">'BQ2575X Design Calculator'!$H$80</definedName>
    <definedName function="false" hidden="false" name="T2_10_PERCENT" vbProcedure="false">'Thermistor Qualification'!$M$7</definedName>
    <definedName function="false" hidden="false" name="T2_10_TEMP" vbProcedure="false">'Thermistor Qualification'!$I$7</definedName>
    <definedName function="false" hidden="false" name="T2_15_PERCENT" vbProcedure="false">'Thermistor Qualification'!$N$7</definedName>
    <definedName function="false" hidden="false" name="T2_15_TEMP" vbProcedure="false">'Thermistor Qualification'!$J$7</definedName>
    <definedName function="false" hidden="false" name="T2_20_PERCENT" vbProcedure="false">'Thermistor Qualification'!$O$7</definedName>
    <definedName function="false" hidden="false" name="T2_20_TEMP" vbProcedure="false">'Thermistor Qualification'!$K$7</definedName>
    <definedName function="false" hidden="false" name="T2_5_PERCENT" vbProcedure="false">'Thermistor Qualification'!$L$7</definedName>
    <definedName function="false" hidden="false" name="T2_5_TEMP" vbProcedure="false">'Thermistor Qualification'!$H$7</definedName>
    <definedName function="false" hidden="false" name="T2_S" vbProcedure="false">'Thermistor Qualification'!$E$7</definedName>
    <definedName function="false" hidden="false" name="T3_40_PERCENT" vbProcedure="false">'Thermistor Qualification'!$L$8</definedName>
    <definedName function="false" hidden="false" name="T3_40_TEMP" vbProcedure="false">'Thermistor Qualification'!$H$8</definedName>
    <definedName function="false" hidden="false" name="T3_45_PERCENT" vbProcedure="false">'Thermistor Qualification'!$M$8</definedName>
    <definedName function="false" hidden="false" name="T3_45_TEMP" vbProcedure="false">'Thermistor Qualification'!$I$8</definedName>
    <definedName function="false" hidden="false" name="T3_50_PERCENT" vbProcedure="false">'Thermistor Qualification'!$N$8</definedName>
    <definedName function="false" hidden="false" name="T3_50_TEMP" vbProcedure="false">'Thermistor Qualification'!$J$8</definedName>
    <definedName function="false" hidden="false" name="T3_55_PERCENT" vbProcedure="false">'Thermistor Qualification'!$O$8</definedName>
    <definedName function="false" hidden="false" name="T3_55_TEMP" vbProcedure="false">'Thermistor Qualification'!$K$8</definedName>
    <definedName function="false" hidden="false" name="T3_S" vbProcedure="false">'Thermistor Qualification'!$E$8</definedName>
    <definedName function="false" hidden="false" name="T5_50" vbProcedure="false">'BQ2575X Design Calculator'!$H$81</definedName>
    <definedName function="false" hidden="false" name="T5_50_PERCENT" vbProcedure="false">'Thermistor Qualification'!$L$9</definedName>
    <definedName function="false" hidden="false" name="T5_50_TEMP" vbProcedure="false">'Thermistor Qualification'!$H$9</definedName>
    <definedName function="false" hidden="false" name="T5_55" vbProcedure="false">'BQ2575X Design Calculator'!$I$81</definedName>
    <definedName function="false" hidden="false" name="T5_55_P" vbProcedure="false">'BQ2575X Design Calculator'!$M$81</definedName>
    <definedName function="false" hidden="false" name="T5_55_PERCENT" vbProcedure="false">'Thermistor Qualification'!$M$9</definedName>
    <definedName function="false" hidden="false" name="T5_55_TEMP" vbProcedure="false">'Thermistor Qualification'!$I$9</definedName>
    <definedName function="false" hidden="false" name="T5_60" vbProcedure="false">'BQ2575X Design Calculator'!$J$81</definedName>
    <definedName function="false" hidden="false" name="T5_60_P" vbProcedure="false">'BQ2575X Design Calculator'!$N$81</definedName>
    <definedName function="false" hidden="false" name="T5_60_PERCENT" vbProcedure="false">'Thermistor Qualification'!$N$9</definedName>
    <definedName function="false" hidden="false" name="T5_60_TEMP" vbProcedure="false">'Thermistor Qualification'!$J$9</definedName>
    <definedName function="false" hidden="false" name="T5_65" vbProcedure="false">'BQ2575X Design Calculator'!$K$81</definedName>
    <definedName function="false" hidden="false" name="T5_65_P" vbProcedure="false">'BQ2575X Design Calculator'!$O$81</definedName>
    <definedName function="false" hidden="false" name="T5_65_PERCENT" vbProcedure="false">'Thermistor Qualification'!$O$9</definedName>
    <definedName function="false" hidden="false" name="T5_65_TEMP" vbProcedure="false">'Thermistor Qualification'!$K$9</definedName>
    <definedName function="false" hidden="false" name="T5_P_Select" vbProcedure="false">'BQ2575X Design Calculator'!$P$81</definedName>
    <definedName function="false" hidden="false" name="T5_S" vbProcedure="false">'Thermistor Qualification'!$E$9</definedName>
    <definedName function="false" hidden="false" name="TCOLD" vbProcedure="false">'BQ2575X Design Calculator'!$E$80</definedName>
    <definedName function="false" hidden="false" name="THOT" vbProcedure="false">'BQ2575X Design Calculator'!$E$81</definedName>
    <definedName function="false" hidden="false" name="TI_MOSFET" vbProcedure="false">'BQ2575X Design Calculator'!$I$157</definedName>
    <definedName function="false" hidden="false" name="TI_MOSFET_S_gFS_H_BO" vbProcedure="false">'BQ2575X Design Calculator'!$E$184</definedName>
    <definedName function="false" hidden="false" name="TI_MOSFET_S_gFS_H_BU" vbProcedure="false">'BQ2575X Design Calculator'!$E$170</definedName>
    <definedName function="false" hidden="false" name="TI_MOSFET_S_gFS_L_BO" vbProcedure="false">'BQ2575X Design Calculator'!$F$184</definedName>
    <definedName function="false" hidden="false" name="TI_MOSFET_S_gFS_L_BU" vbProcedure="false">'BQ2575X Design Calculator'!$F$170</definedName>
    <definedName function="false" hidden="false" name="TI_MOSFET_S_QGD_H_BO" vbProcedure="false">'BQ2575X Design Calculator'!$E$180</definedName>
    <definedName function="false" hidden="false" name="TI_MOSFET_S_QGD_H_BU" vbProcedure="false">'BQ2575X Design Calculator'!$E$166</definedName>
    <definedName function="false" hidden="false" name="TI_MOSFET_S_QGD_L_BO" vbProcedure="false">'BQ2575X Design Calculator'!$F$180</definedName>
    <definedName function="false" hidden="false" name="TI_MOSFET_S_QGD_L_BU" vbProcedure="false">'BQ2575X Design Calculator'!$F$166</definedName>
    <definedName function="false" hidden="false" name="TI_MOSFET_S_QGS_H_BO" vbProcedure="false">'BQ2575X Design Calculator'!$E$181</definedName>
    <definedName function="false" hidden="false" name="TI_MOSFET_S_QGS_H_BU" vbProcedure="false">'BQ2575X Design Calculator'!$E$167</definedName>
    <definedName function="false" hidden="false" name="TI_MOSFET_S_QGS_L_BO" vbProcedure="false">'BQ2575X Design Calculator'!$F$181</definedName>
    <definedName function="false" hidden="false" name="TI_MOSFET_S_QGS_L_BU" vbProcedure="false">'BQ2575X Design Calculator'!$F$167</definedName>
    <definedName function="false" hidden="false" name="TI_MOSFET_S_QG_H_BO" vbProcedure="false">'BQ2575X Design Calculator'!$E$179</definedName>
    <definedName function="false" hidden="false" name="TI_MOSFET_S_QG_H_BU" vbProcedure="false">'BQ2575X Design Calculator'!$E$165</definedName>
    <definedName function="false" hidden="false" name="TI_MOSFET_S_QG_L_BO" vbProcedure="false">'BQ2575X Design Calculator'!$F$179</definedName>
    <definedName function="false" hidden="false" name="TI_MOSFET_S_QG_L_BU" vbProcedure="false">'BQ2575X Design Calculator'!$F$165</definedName>
    <definedName function="false" hidden="false" name="TI_MOSFET_S_QOSS_H_BO" vbProcedure="false">'BQ2575X Design Calculator'!$E$182</definedName>
    <definedName function="false" hidden="false" name="TI_MOSFET_S_QOSS_H_BU" vbProcedure="false">'BQ2575X Design Calculator'!$E$168</definedName>
    <definedName function="false" hidden="false" name="TI_MOSFET_S_QOSS_L_BO" vbProcedure="false">'BQ2575X Design Calculator'!$F$182</definedName>
    <definedName function="false" hidden="false" name="TI_MOSFET_S_QOSS_L_BU" vbProcedure="false">'BQ2575X Design Calculator'!$F$168</definedName>
    <definedName function="false" hidden="false" name="TI_MOSFET_S_QRR_H_BO" vbProcedure="false">'BQ2575X Design Calculator'!$E$187</definedName>
    <definedName function="false" hidden="false" name="TI_MOSFET_S_QRR_L_BU" vbProcedure="false">'BQ2575X Design Calculator'!$F$173</definedName>
    <definedName function="false" hidden="false" name="TI_MOSFET_S_RDSON_H_BO" vbProcedure="false">'BQ2575X Design Calculator'!$E$178</definedName>
    <definedName function="false" hidden="false" name="TI_MOSFET_S_RDSON_H_BU" vbProcedure="false">'BQ2575X Design Calculator'!$E$164</definedName>
    <definedName function="false" hidden="false" name="TI_MOSFET_S_RDSON_L_BO" vbProcedure="false">'BQ2575X Design Calculator'!$F$178</definedName>
    <definedName function="false" hidden="false" name="TI_MOSFET_S_RDSON_L_BU" vbProcedure="false">'BQ2575X Design Calculator'!$F$164</definedName>
    <definedName function="false" hidden="false" name="TI_MOSFET_S_VSD_H_BO" vbProcedure="false">'BQ2575X Design Calculator'!$E$186</definedName>
    <definedName function="false" hidden="false" name="TI_MOSFET_S_VSD_H_BU" vbProcedure="false">'BQ2575X Design Calculator'!$E$172</definedName>
    <definedName function="false" hidden="false" name="TI_MOSFET_S_VSD_L_BO" vbProcedure="false">'BQ2575X Design Calculator'!$F$186</definedName>
    <definedName function="false" hidden="false" name="TI_MOSFET_S_VSD_L_BU" vbProcedure="false">'BQ2575X Design Calculator'!$F$172</definedName>
    <definedName function="false" hidden="false" name="TI_MOSFET_S_VTH_H_BO" vbProcedure="false">'BQ2575X Design Calculator'!$E$185</definedName>
    <definedName function="false" hidden="false" name="TI_MOSFET_S_VTH_H_BU" vbProcedure="false">'BQ2575X Design Calculator'!$E$171</definedName>
    <definedName function="false" hidden="false" name="TI_MOSFET_S_VTH_L_BO" vbProcedure="false">'BQ2575X Design Calculator'!$F$185</definedName>
    <definedName function="false" hidden="false" name="TI_MOSFET_S_VTH_L_BU" vbProcedure="false">'BQ2575X Design Calculator'!$F$171</definedName>
    <definedName function="false" hidden="false" name="TI_QGD_H_BO" vbProcedure="false">'BQ2575X Design Calculator'!$N$141</definedName>
    <definedName function="false" hidden="false" name="TI_QGD_H_BU" vbProcedure="false">'BQ2575X Design Calculator'!$N$123</definedName>
    <definedName function="false" hidden="false" name="TI_QGD_L_BO" vbProcedure="false">'BQ2575X Design Calculator'!$O$141</definedName>
    <definedName function="false" hidden="false" name="TI_QGD_L_BU" vbProcedure="false">'BQ2575X Design Calculator'!$O$123</definedName>
    <definedName function="false" hidden="false" name="TI_QG_10_H_BO" vbProcedure="false">'BQ2575X Design Calculator'!$N$139</definedName>
    <definedName function="false" hidden="false" name="TI_QG_10_H_BU" vbProcedure="false">'BQ2575X Design Calculator'!$N$121</definedName>
    <definedName function="false" hidden="false" name="TI_QG_10_L_BO" vbProcedure="false">'BQ2575X Design Calculator'!$O$139</definedName>
    <definedName function="false" hidden="false" name="TI_QG_10_L_BU" vbProcedure="false">'BQ2575X Design Calculator'!$O$121</definedName>
    <definedName function="false" hidden="false" name="TI_QG_4P5_H_BO" vbProcedure="false">'BQ2575X Design Calculator'!$N$138</definedName>
    <definedName function="false" hidden="false" name="TI_QG_4P5_H_BU" vbProcedure="false">'BQ2575X Design Calculator'!$N$120</definedName>
    <definedName function="false" hidden="false" name="TI_QG_4P5_L_BO" vbProcedure="false">'BQ2575X Design Calculator'!$O$138</definedName>
    <definedName function="false" hidden="false" name="TI_QG_4P5_L_BU" vbProcedure="false">'BQ2575X Design Calculator'!$O$120</definedName>
    <definedName function="false" hidden="false" name="TI_QG_C_H_BO" vbProcedure="false">'BQ2575X Design Calculator'!$N$140</definedName>
    <definedName function="false" hidden="false" name="TI_QG_C_H_BU" vbProcedure="false">'BQ2575X Design Calculator'!$N$122</definedName>
    <definedName function="false" hidden="false" name="TI_QG_C_L_BO" vbProcedure="false">'BQ2575X Design Calculator'!$O$140</definedName>
    <definedName function="false" hidden="false" name="TI_QG_C_L_BU" vbProcedure="false">'BQ2575X Design Calculator'!$O$122</definedName>
    <definedName function="false" hidden="false" name="TI_RDS_10_H_BO" vbProcedure="false">'BQ2575X Design Calculator'!$N$136</definedName>
    <definedName function="false" hidden="false" name="TI_RDS_10_H_BU" vbProcedure="false">'BQ2575X Design Calculator'!$N$118</definedName>
    <definedName function="false" hidden="false" name="TI_RDS_10_L_BO" vbProcedure="false">'BQ2575X Design Calculator'!$O$136</definedName>
    <definedName function="false" hidden="false" name="TI_RDS_10_L_BU" vbProcedure="false">'BQ2575X Design Calculator'!$O$118</definedName>
    <definedName function="false" hidden="false" name="TI_RDS_4P5_H_BO" vbProcedure="false">'BQ2575X Design Calculator'!$N$135</definedName>
    <definedName function="false" hidden="false" name="TI_RDS_4P5_H_BU" vbProcedure="false">'BQ2575X Design Calculator'!$N$117</definedName>
    <definedName function="false" hidden="false" name="TI_RDS_4P5_L_BO" vbProcedure="false">'BQ2575X Design Calculator'!$O$135</definedName>
    <definedName function="false" hidden="false" name="TI_RDS_4P5_L_BU" vbProcedure="false">'BQ2575X Design Calculator'!$O$117</definedName>
    <definedName function="false" hidden="false" name="TI_RDS_C_H_BO" vbProcedure="false">'BQ2575X Design Calculator'!$N$137</definedName>
    <definedName function="false" hidden="false" name="TI_RDS_C_H_BU" vbProcedure="false">'BQ2575X Design Calculator'!$N$119</definedName>
    <definedName function="false" hidden="false" name="TI_RDS_C_L_BO" vbProcedure="false">'BQ2575X Design Calculator'!$O$137</definedName>
    <definedName function="false" hidden="false" name="TI_RDS_C_L_BU" vbProcedure="false">'BQ2575X Design Calculator'!$O$119</definedName>
    <definedName function="false" hidden="false" name="T_50_P" vbProcedure="false">'BQ2575X Design Calculator'!$L$81</definedName>
    <definedName function="false" hidden="false" name="T_60" vbProcedure="false">'BQ2575X Design Calculator'!$J$81</definedName>
    <definedName function="false" hidden="false" name="T_600" vbProcedure="false">'BQ2575X Design Calculator'!$J$81</definedName>
    <definedName function="false" hidden="false" name="T_65" vbProcedure="false">'BQ2575X Design Calculator'!$K$81</definedName>
    <definedName function="false" hidden="false" name="VACmax" vbProcedure="false">'BQ2575X Design Calculator'!$E$8</definedName>
    <definedName function="false" hidden="false" name="VACmin" vbProcedure="false">'BQ2575X Design Calculator'!$E$6</definedName>
    <definedName function="false" hidden="false" name="VACnom" vbProcedure="false">'BQ2575X Design Calculator'!$E$7</definedName>
    <definedName function="false" hidden="false" name="Vbat" vbProcedure="false">'BQ2575X Design Calculator'!$E$9</definedName>
    <definedName function="false" hidden="false" name="VBATREG" vbProcedure="false">'BQ2575X Design Calculator'!$E$77</definedName>
    <definedName function="false" hidden="false" name="VBATREG_CEILING" vbProcedure="false">'BQ2575X Design Calculator'!$M$73</definedName>
    <definedName function="false" hidden="false" name="VBATREG_D" vbProcedure="false">'BQ2575X Design Calculator'!$E$70</definedName>
    <definedName function="false" hidden="false" name="VBATREG_FLOOR" vbProcedure="false">'BQ2575X Design Calculator'!$L$73</definedName>
    <definedName function="false" hidden="false" name="VFB_Default" vbProcedure="false">'BQ2575X Design Calculator'!$I$71</definedName>
    <definedName function="false" hidden="false" name="VFB_S" vbProcedure="false">'BQ2575X Design Calculator'!$E$76</definedName>
    <definedName function="false" hidden="false" name="Vgs_10" vbProcedure="false">'BQ2575X Design Calculator'!$J$158</definedName>
    <definedName function="false" hidden="false" name="Vgs_4P5" vbProcedure="false">'BQ2575X Design Calculator'!$I$158</definedName>
    <definedName function="false" hidden="false" name="Vgs_C" vbProcedure="false">'BQ2575X Design Calculator'!$K$158</definedName>
    <definedName function="false" hidden="false" name="VGS_S" vbProcedure="false">'BQ2575X Design Calculator'!$E$158</definedName>
    <definedName function="false" hidden="false" name="V_FB_CEILING" vbProcedure="false">'BQ2575X Design Calculator'!$K$73</definedName>
    <definedName function="false" hidden="false" name="V_FB_FLOOR" vbProcedure="false">'BQ2575X Design Calculator'!$J$73</definedName>
    <definedName function="false" hidden="false" name="V_FB_Ideal" vbProcedure="false">'BQ2575X Design Calculator'!$H$73</definedName>
    <definedName function="false" hidden="false" name="V_FB_Step" vbProcedure="false">'BQ2575X Design Calculator'!$I$73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Unbekannter Autor</author>
  </authors>
  <commentList>
    <comment ref="A79" authorId="0">
      <text>
        <r>
          <rPr>
            <sz val="10"/>
            <rFont val="Arial"/>
            <family val="2"/>
          </rPr>
          <t xml:space="preserve">Thermistor Qualification:
</t>
        </r>
        <r>
          <rPr>
            <sz val="9"/>
            <color rgb="FF000000"/>
            <rFont val="Tahoma"/>
            <family val="2"/>
            <charset val="1"/>
          </rPr>
          <t xml:space="preserve">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val="true"/>
            <sz val="9"/>
            <color rgb="FF000000"/>
            <rFont val="Tahoma"/>
            <family val="2"/>
            <charset val="1"/>
          </rPr>
          <t xml:space="preserve">7.3.4.7 Thermistor Qualification</t>
        </r>
        <r>
          <rPr>
            <sz val="9"/>
            <color rgb="FF000000"/>
            <rFont val="Tahoma"/>
            <family val="2"/>
            <charset val="1"/>
          </rPr>
          <t xml:space="preserve"> section of the datasheet. </t>
        </r>
      </text>
    </comment>
    <comment ref="A112" authorId="0">
      <text>
        <r>
          <rPr>
            <sz val="10"/>
            <rFont val="Arial"/>
            <family val="2"/>
          </rPr>
          <t xml:space="preserve">Efficiency / Power Loss Analyzer:
</t>
        </r>
        <r>
          <rPr>
            <sz val="9"/>
            <color rgb="FF000000"/>
            <rFont val="Tahoma"/>
            <family val="2"/>
            <charset val="1"/>
          </rPr>
          <t xml:space="preserve">The Efficiency / Power Loss Analyzer is not a 100% accurate tool. The purpose of the tool is to compare the relative efficiency with different components. </t>
        </r>
      </text>
    </comment>
    <comment ref="A154" authorId="0">
      <text>
        <r>
          <rPr>
            <sz val="10"/>
            <rFont val="Arial"/>
            <family val="2"/>
          </rPr>
          <t xml:space="preserve">Efficiency / Power Loss Analyzer:
</t>
        </r>
        <r>
          <rPr>
            <sz val="9"/>
            <color rgb="FF000000"/>
            <rFont val="Tahoma"/>
            <family val="2"/>
            <charset val="1"/>
          </rPr>
          <t xml:space="preserve">This tool displays the </t>
        </r>
        <r>
          <rPr>
            <b val="true"/>
            <u val="single"/>
            <sz val="9"/>
            <color rgb="FF000000"/>
            <rFont val="Tahoma"/>
            <family val="2"/>
            <charset val="1"/>
          </rPr>
          <t xml:space="preserve">estimated</t>
        </r>
        <r>
          <rPr>
            <sz val="9"/>
            <color rgb="FF000000"/>
            <rFont val="Tahoma"/>
            <family val="2"/>
            <charset val="1"/>
          </rPr>
          <t xml:space="preserve"> efficiency curve with Selected Components / Operating Specifications and allows the user to compare how the efficiency curves will be affected with different Selected Components / Operating Specifications. 
</t>
        </r>
        <r>
          <rPr>
            <b val="true"/>
            <sz val="9"/>
            <color rgb="FF000000"/>
            <rFont val="Tahoma"/>
            <family val="2"/>
            <charset val="1"/>
          </rPr>
          <t xml:space="preserve">Disclaimer:</t>
        </r>
        <r>
          <rPr>
            <sz val="9"/>
            <color rgb="FF000000"/>
            <rFont val="Tahoma"/>
            <family val="2"/>
            <charset val="1"/>
          </rPr>
          <t xml:space="preserve"> The efficiency plots are for </t>
        </r>
        <r>
          <rPr>
            <b val="true"/>
            <u val="single"/>
            <sz val="9"/>
            <color rgb="FF000000"/>
            <rFont val="Tahoma"/>
            <family val="2"/>
            <charset val="1"/>
          </rPr>
          <t xml:space="preserve">relative comparison only</t>
        </r>
        <r>
          <rPr>
            <sz val="9"/>
            <color rgb="FF000000"/>
            <rFont val="Tahoma"/>
            <family val="2"/>
            <charset val="1"/>
          </rPr>
          <t xml:space="preserve"> and </t>
        </r>
        <r>
          <rPr>
            <b val="true"/>
            <u val="single"/>
            <sz val="9"/>
            <color rgb="FF000000"/>
            <rFont val="Tahoma"/>
            <family val="2"/>
            <charset val="1"/>
          </rPr>
          <t xml:space="preserve">do not</t>
        </r>
        <r>
          <rPr>
            <sz val="9"/>
            <color rgb="FF000000"/>
            <rFont val="Tahoma"/>
            <family val="2"/>
            <charset val="1"/>
          </rPr>
          <t xml:space="preserve"> represent the actual efficiency that will be seen from physical tests.
</t>
        </r>
      </text>
    </comment>
    <comment ref="E119" authorId="0">
      <text>
        <r>
          <rPr>
            <sz val="10"/>
            <rFont val="Arial"/>
            <family val="2"/>
          </rPr>
          <t xml:space="preserve">On-State Resistance V</t>
        </r>
        <r>
          <rPr>
            <b val="true"/>
            <u val="single"/>
            <vertAlign val="subscript"/>
            <sz val="9"/>
            <color rgb="FF000000"/>
            <rFont val="Tahoma"/>
            <family val="2"/>
            <charset val="1"/>
          </rPr>
          <t xml:space="preserve">gs</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R</t>
        </r>
        <r>
          <rPr>
            <vertAlign val="subscript"/>
            <sz val="9"/>
            <color rgb="FF000000"/>
            <rFont val="Tahoma"/>
            <family val="2"/>
            <charset val="1"/>
          </rPr>
          <t xml:space="preserve">DS(on)</t>
        </r>
        <r>
          <rPr>
            <sz val="9"/>
            <color rgb="FF000000"/>
            <rFont val="Tahoma"/>
            <family val="2"/>
            <charset val="1"/>
          </rPr>
          <t xml:space="preserve"> with the given Custom Gate Drive Voltage.</t>
        </r>
      </text>
    </comment>
    <comment ref="E122" authorId="0">
      <text>
        <r>
          <rPr>
            <sz val="10"/>
            <rFont val="Arial"/>
            <family val="2"/>
          </rPr>
          <t xml:space="preserve">Total Gate Charge Q</t>
        </r>
        <r>
          <rPr>
            <b val="true"/>
            <u val="single"/>
            <vertAlign val="subscript"/>
            <sz val="9"/>
            <color rgb="FF000000"/>
            <rFont val="Tahoma"/>
            <family val="2"/>
            <charset val="1"/>
          </rPr>
          <t xml:space="preserve">G</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Q</t>
        </r>
        <r>
          <rPr>
            <vertAlign val="subscript"/>
            <sz val="9"/>
            <color rgb="FF000000"/>
            <rFont val="Tahoma"/>
            <family val="2"/>
            <charset val="1"/>
          </rPr>
          <t xml:space="preserve">G</t>
        </r>
        <r>
          <rPr>
            <sz val="9"/>
            <color rgb="FF000000"/>
            <rFont val="Tahoma"/>
            <family val="2"/>
            <charset val="1"/>
          </rPr>
          <t xml:space="preserve"> with the given Custom Gate Drive Voltage.</t>
        </r>
      </text>
    </comment>
    <comment ref="E137" authorId="0">
      <text>
        <r>
          <rPr>
            <sz val="10"/>
            <rFont val="Arial"/>
            <family val="2"/>
          </rPr>
          <t xml:space="preserve">On-State Resistance V</t>
        </r>
        <r>
          <rPr>
            <b val="true"/>
            <u val="single"/>
            <vertAlign val="subscript"/>
            <sz val="9"/>
            <color rgb="FF000000"/>
            <rFont val="Tahoma"/>
            <family val="2"/>
            <charset val="1"/>
          </rPr>
          <t xml:space="preserve">gs</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R</t>
        </r>
        <r>
          <rPr>
            <vertAlign val="subscript"/>
            <sz val="9"/>
            <color rgb="FF000000"/>
            <rFont val="Tahoma"/>
            <family val="2"/>
            <charset val="1"/>
          </rPr>
          <t xml:space="preserve">DS(on)</t>
        </r>
        <r>
          <rPr>
            <sz val="9"/>
            <color rgb="FF000000"/>
            <rFont val="Tahoma"/>
            <family val="2"/>
            <charset val="1"/>
          </rPr>
          <t xml:space="preserve"> with the given Custom Gate Drive Voltage.</t>
        </r>
      </text>
    </comment>
    <comment ref="E140" authorId="0">
      <text>
        <r>
          <rPr>
            <sz val="10"/>
            <rFont val="Arial"/>
            <family val="2"/>
          </rPr>
          <t xml:space="preserve">Total Gate Charge Q</t>
        </r>
        <r>
          <rPr>
            <b val="true"/>
            <u val="single"/>
            <vertAlign val="subscript"/>
            <sz val="9"/>
            <color rgb="FF000000"/>
            <rFont val="Tahoma"/>
            <family val="2"/>
            <charset val="1"/>
          </rPr>
          <t xml:space="preserve">G</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Q</t>
        </r>
        <r>
          <rPr>
            <vertAlign val="subscript"/>
            <sz val="9"/>
            <color rgb="FF000000"/>
            <rFont val="Tahoma"/>
            <family val="2"/>
            <charset val="1"/>
          </rPr>
          <t xml:space="preserve">G</t>
        </r>
        <r>
          <rPr>
            <sz val="9"/>
            <color rgb="FF000000"/>
            <rFont val="Tahoma"/>
            <family val="2"/>
            <charset val="1"/>
          </rPr>
          <t xml:space="preserve"> with the given Custom Gate Drive Voltage.</t>
        </r>
      </text>
    </comment>
    <comment ref="F6" authorId="0">
      <text>
        <r>
          <rPr>
            <sz val="10"/>
            <rFont val="Arial"/>
            <family val="2"/>
          </rPr>
          <t xml:space="preserve">Input Voltage - Min:
</t>
        </r>
        <r>
          <rPr>
            <sz val="9"/>
            <color rgb="FF000000"/>
            <rFont val="Tahoma"/>
            <family val="2"/>
            <charset val="1"/>
          </rPr>
          <t xml:space="preserve">Minimum input voltage.
</t>
        </r>
        <r>
          <rPr>
            <b val="true"/>
            <sz val="9"/>
            <color rgb="FF000000"/>
            <rFont val="Tahoma"/>
            <family val="2"/>
            <charset val="1"/>
          </rPr>
          <t xml:space="preserve">
Text in  cell is flag red if:
</t>
        </r>
        <r>
          <rPr>
            <sz val="9"/>
            <color rgb="FF000000"/>
            <rFont val="Tahoma"/>
            <family val="2"/>
            <charset val="1"/>
          </rPr>
          <t xml:space="preserve">The minimum input voltage is not in the 3.5 V to 40 V input range.</t>
        </r>
      </text>
    </comment>
    <comment ref="F7" authorId="0">
      <text>
        <r>
          <rPr>
            <sz val="10"/>
            <rFont val="Arial"/>
            <family val="2"/>
          </rPr>
          <t xml:space="preserve">Input Voltage - Max:
</t>
        </r>
        <r>
          <rPr>
            <sz val="9"/>
            <color rgb="FF000000"/>
            <rFont val="Tahoma"/>
            <family val="2"/>
            <charset val="1"/>
          </rPr>
          <t xml:space="preserve">Nominal input voltage.
</t>
        </r>
        <r>
          <rPr>
            <b val="true"/>
            <sz val="9"/>
            <color rgb="FF000000"/>
            <rFont val="Tahoma"/>
            <family val="2"/>
            <charset val="1"/>
          </rPr>
          <t xml:space="preserve">
Text in  cell is flag red if:
</t>
        </r>
        <r>
          <rPr>
            <sz val="9"/>
            <color rgb="FF000000"/>
            <rFont val="Tahoma"/>
            <family val="2"/>
            <charset val="1"/>
          </rPr>
          <t xml:space="preserve">The nominal input voltage is not in the 3.5 V to 40 V input range or it is not in between the entered min and max.</t>
        </r>
      </text>
    </comment>
    <comment ref="F8" authorId="0">
      <text>
        <r>
          <rPr>
            <sz val="10"/>
            <rFont val="Arial"/>
            <family val="2"/>
          </rPr>
          <t xml:space="preserve">Input Voltage - Max:
</t>
        </r>
        <r>
          <rPr>
            <sz val="9"/>
            <color rgb="FF000000"/>
            <rFont val="Tahoma"/>
            <family val="2"/>
            <charset val="1"/>
          </rPr>
          <t xml:space="preserve">Maximum input voltage.
</t>
        </r>
        <r>
          <rPr>
            <b val="true"/>
            <sz val="9"/>
            <color rgb="FF000000"/>
            <rFont val="Tahoma"/>
            <family val="2"/>
            <charset val="1"/>
          </rPr>
          <t xml:space="preserve">
Text in  cell is flag red if:
</t>
        </r>
        <r>
          <rPr>
            <sz val="9"/>
            <color rgb="FF000000"/>
            <rFont val="Tahoma"/>
            <family val="2"/>
            <charset val="1"/>
          </rPr>
          <t xml:space="preserve">The maximum input voltage is not in the 3.5 V to 40 V input range.</t>
        </r>
      </text>
    </comment>
    <comment ref="F9" authorId="0">
      <text>
        <r>
          <rPr>
            <sz val="10"/>
            <rFont val="Arial"/>
            <family val="2"/>
          </rPr>
          <t xml:space="preserve">Battery Voltage:
</t>
        </r>
        <r>
          <rPr>
            <sz val="9"/>
            <color rgb="FF000000"/>
            <rFont val="Tahoma"/>
            <family val="2"/>
            <charset val="1"/>
          </rPr>
          <t xml:space="preserve">Battery charge voltage.
</t>
        </r>
        <r>
          <rPr>
            <b val="true"/>
            <sz val="9"/>
            <color rgb="FF000000"/>
            <rFont val="Tahoma"/>
            <family val="2"/>
            <charset val="1"/>
          </rPr>
          <t xml:space="preserve">Text in the cell is flagged red if:
</t>
        </r>
        <r>
          <rPr>
            <sz val="9"/>
            <color rgb="FF000000"/>
            <rFont val="Tahoma"/>
            <family val="2"/>
            <charset val="1"/>
          </rPr>
          <t xml:space="preserve">The voltage is outside the battery regulation range of 5 V to 23 V. </t>
        </r>
      </text>
    </comment>
    <comment ref="F10" authorId="0">
      <text>
        <r>
          <rPr>
            <sz val="10"/>
            <rFont val="Arial"/>
            <family val="2"/>
          </rPr>
          <t xml:space="preserve">Full Load Output Current:
</t>
        </r>
        <r>
          <rPr>
            <sz val="9"/>
            <color rgb="FF000000"/>
            <rFont val="Tahoma"/>
            <family val="2"/>
            <charset val="1"/>
          </rPr>
          <t xml:space="preserve">The Full Load Output current is the sum of the maximum charge current and maximum system load current. </t>
        </r>
      </text>
    </comment>
    <comment ref="F13" authorId="0">
      <text>
        <r>
          <rPr>
            <sz val="10"/>
            <rFont val="Arial"/>
            <family val="2"/>
          </rPr>
          <t xml:space="preserve">Desired Switching Frequency:
</t>
        </r>
        <r>
          <rPr>
            <sz val="9"/>
            <color rgb="FF000000"/>
            <rFont val="Tahoma"/>
            <family val="2"/>
            <charset val="1"/>
          </rPr>
          <t xml:space="preserve">The device switching frequency can be programmed between 200 kHz to 600 kHz using a resistor from the FSW_SYNC pin to PGND. Enter Desired Switching Frequency to get the recommended Switching Frequency Resistor needed for that switching frequency.
</t>
        </r>
        <r>
          <rPr>
            <b val="true"/>
            <sz val="9"/>
            <color rgb="FF000000"/>
            <rFont val="Tahoma"/>
            <family val="2"/>
            <charset val="1"/>
          </rPr>
          <t xml:space="preserve">Note:</t>
        </r>
        <r>
          <rPr>
            <sz val="9"/>
            <color rgb="FF000000"/>
            <rFont val="Tahoma"/>
            <family val="2"/>
            <charset val="1"/>
          </rPr>
          <t xml:space="preserve"> Calculations that require the Switching Frequency will use the </t>
        </r>
        <r>
          <rPr>
            <u val="single"/>
            <sz val="9"/>
            <color rgb="FF000000"/>
            <rFont val="Tahoma"/>
            <family val="2"/>
            <charset val="1"/>
          </rPr>
          <t xml:space="preserve">Recognized Switching Frequency</t>
        </r>
        <r>
          <rPr>
            <sz val="9"/>
            <color rgb="FF000000"/>
            <rFont val="Tahoma"/>
            <family val="2"/>
            <charset val="1"/>
          </rPr>
          <t xml:space="preserve"> </t>
        </r>
        <r>
          <rPr>
            <b val="true"/>
            <sz val="9"/>
            <color rgb="FF000000"/>
            <rFont val="Tahoma"/>
            <family val="2"/>
            <charset val="1"/>
          </rPr>
          <t xml:space="preserve">not</t>
        </r>
        <r>
          <rPr>
            <sz val="9"/>
            <color rgb="FF000000"/>
            <rFont val="Tahoma"/>
            <family val="2"/>
            <charset val="1"/>
          </rPr>
          <t xml:space="preserve"> the </t>
        </r>
        <r>
          <rPr>
            <u val="single"/>
            <sz val="9"/>
            <color rgb="FF000000"/>
            <rFont val="Tahoma"/>
            <family val="2"/>
            <charset val="1"/>
          </rPr>
          <t xml:space="preserve">Desired Switching Frequency
</t>
        </r>
        <r>
          <rPr>
            <sz val="9"/>
            <color rgb="FF000000"/>
            <rFont val="Tahoma"/>
            <family val="2"/>
            <charset val="1"/>
          </rPr>
          <t xml:space="preserve">
</t>
        </r>
        <r>
          <rPr>
            <b val="true"/>
            <sz val="9"/>
            <color rgb="FF000000"/>
            <rFont val="Tahoma"/>
            <family val="2"/>
            <charset val="1"/>
          </rPr>
          <t xml:space="preserve">Text in cell is flagged red if:
</t>
        </r>
        <r>
          <rPr>
            <sz val="9"/>
            <color rgb="FF000000"/>
            <rFont val="Tahoma"/>
            <family val="2"/>
            <charset val="1"/>
          </rPr>
          <t xml:space="preserve">The Desired Switching Frequency is outside the operating switching frequency range of 200 kHz to 600 kHz.</t>
        </r>
      </text>
    </comment>
    <comment ref="F14" authorId="0">
      <text>
        <r>
          <rPr>
            <sz val="10"/>
            <rFont val="Arial"/>
            <family val="2"/>
          </rPr>
          <t xml:space="preserve">Recommended Switching Frequency Resistor:
</t>
        </r>
        <r>
          <rPr>
            <sz val="9"/>
            <color rgb="FF000000"/>
            <rFont val="Tahoma"/>
            <family val="2"/>
            <charset val="1"/>
          </rPr>
          <t xml:space="preserve">The device switching frequency can be programmed between 200 kHz to 600 kHz using a resistor from the FSW_SYNC pin to PGND. The R</t>
        </r>
        <r>
          <rPr>
            <vertAlign val="subscript"/>
            <sz val="9"/>
            <color rgb="FF000000"/>
            <rFont val="Tahoma"/>
            <family val="2"/>
            <charset val="1"/>
          </rPr>
          <t xml:space="preserve">FSW</t>
        </r>
        <r>
          <rPr>
            <sz val="9"/>
            <color rgb="FF000000"/>
            <rFont val="Tahoma"/>
            <family val="2"/>
            <charset val="1"/>
          </rPr>
          <t xml:space="preserve"> resistor is related to the nominal switching frequency (F</t>
        </r>
        <r>
          <rPr>
            <vertAlign val="subscript"/>
            <sz val="9"/>
            <color rgb="FF000000"/>
            <rFont val="Tahoma"/>
            <family val="2"/>
            <charset val="1"/>
          </rPr>
          <t xml:space="preserve">SW</t>
        </r>
        <r>
          <rPr>
            <sz val="9"/>
            <color rgb="FF000000"/>
            <rFont val="Tahoma"/>
            <family val="2"/>
            <charset val="1"/>
          </rPr>
          <t xml:space="preserve">) by the equation:
</t>
        </r>
        <r>
          <rPr>
            <b val="true"/>
            <sz val="9"/>
            <color rgb="FF000000"/>
            <rFont val="Tahoma"/>
            <family val="2"/>
            <charset val="1"/>
          </rPr>
          <t xml:space="preserve">R</t>
        </r>
        <r>
          <rPr>
            <b val="true"/>
            <vertAlign val="subscript"/>
            <sz val="9"/>
            <color rgb="FF000000"/>
            <rFont val="Tahoma"/>
            <family val="2"/>
            <charset val="1"/>
          </rPr>
          <t xml:space="preserve">FSW </t>
        </r>
        <r>
          <rPr>
            <b val="true"/>
            <sz val="9"/>
            <color rgb="FF000000"/>
            <rFont val="Tahoma"/>
            <family val="2"/>
            <charset val="1"/>
          </rPr>
          <t xml:space="preserve">= 1/(10*(F</t>
        </r>
        <r>
          <rPr>
            <b val="true"/>
            <vertAlign val="subscript"/>
            <sz val="9"/>
            <color rgb="FF000000"/>
            <rFont val="Tahoma"/>
            <family val="2"/>
            <charset val="1"/>
          </rPr>
          <t xml:space="preserve">SW</t>
        </r>
        <r>
          <rPr>
            <b val="true"/>
            <sz val="9"/>
            <color rgb="FF000000"/>
            <rFont val="Tahoma"/>
            <family val="2"/>
            <charset val="1"/>
          </rPr>
          <t xml:space="preserve">*5*10^-12 - 500*10^-9) )</t>
        </r>
      </text>
    </comment>
    <comment ref="F15" authorId="0">
      <text>
        <r>
          <rPr>
            <sz val="10"/>
            <rFont val="Arial"/>
            <family val="2"/>
          </rPr>
          <t xml:space="preserve">Selected Switching Frequency Resistor:
</t>
        </r>
        <r>
          <rPr>
            <sz val="9"/>
            <color rgb="FF000000"/>
            <rFont val="Tahoma"/>
            <family val="2"/>
            <charset val="1"/>
          </rPr>
          <t xml:space="preserve">Resistor placed between FSW_SYNC to PGND pin. 
</t>
        </r>
        <r>
          <rPr>
            <b val="true"/>
            <sz val="9"/>
            <color rgb="FF000000"/>
            <rFont val="Tahoma"/>
            <family val="2"/>
            <charset val="1"/>
          </rPr>
          <t xml:space="preserve">Text in cell is flagged red if:
</t>
        </r>
        <r>
          <rPr>
            <sz val="9"/>
            <color rgb="FF000000"/>
            <rFont val="Tahoma"/>
            <family val="2"/>
            <charset val="1"/>
          </rPr>
          <t xml:space="preserve">The entered resistance is not in between 40 kΩ to 200 kΩ.</t>
        </r>
      </text>
    </comment>
    <comment ref="F16" authorId="0">
      <text>
        <r>
          <rPr>
            <sz val="10"/>
            <rFont val="Arial"/>
            <family val="2"/>
          </rPr>
          <t xml:space="preserve">Recognized Switching Frequency:
</t>
        </r>
        <r>
          <rPr>
            <sz val="9"/>
            <color rgb="FF000000"/>
            <rFont val="Tahoma"/>
            <family val="2"/>
            <charset val="1"/>
          </rPr>
          <t xml:space="preserve">Recognized Switching Frequency based off the Selected Switching Frequency Resistor.
</t>
        </r>
        <r>
          <rPr>
            <b val="true"/>
            <sz val="9"/>
            <color rgb="FF000000"/>
            <rFont val="Tahoma"/>
            <family val="2"/>
            <charset val="1"/>
          </rPr>
          <t xml:space="preserve">Note:</t>
        </r>
        <r>
          <rPr>
            <sz val="9"/>
            <color rgb="FF000000"/>
            <rFont val="Tahoma"/>
            <family val="2"/>
            <charset val="1"/>
          </rPr>
          <t xml:space="preserve"> The Recognized Switching Frequency is used for all of the calculations that require the Switching Frequency.
</t>
        </r>
        <r>
          <rPr>
            <b val="true"/>
            <sz val="9"/>
            <color rgb="FF000000"/>
            <rFont val="Tahoma"/>
            <family val="2"/>
            <charset val="1"/>
          </rPr>
          <t xml:space="preserve">Text in cell is flagged red if:
</t>
        </r>
        <r>
          <rPr>
            <sz val="9"/>
            <color rgb="FF000000"/>
            <rFont val="Tahoma"/>
            <family val="2"/>
            <charset val="1"/>
          </rPr>
          <t xml:space="preserve">The Recognized Switching Frequency does not match the Desired Switching Frequency.</t>
        </r>
      </text>
    </comment>
    <comment ref="F17" authorId="0">
      <text>
        <r>
          <rPr>
            <sz val="10"/>
            <rFont val="Arial"/>
            <family val="2"/>
          </rPr>
          <t xml:space="preserve">Duty Cycle Limitation:
</t>
        </r>
        <r>
          <rPr>
            <sz val="9"/>
            <color rgb="FF000000"/>
            <rFont val="Tahoma"/>
            <family val="2"/>
            <charset val="1"/>
          </rPr>
          <t xml:space="preserve">During boost mode operation, the HS FET is forced to turn on for 225ns in each switching cycle to ensure inductor energy is delivered to the output, effectively limiting the maximum boosting ratio. 
For, example, when the device is configured to switch at 500 kHz, the switching period is 2us, yielding a duty cycle limit of (1-225ns/2us) = 88.75%. 
Given a 5V input, this translates to a maximum 44V output assuming 100% efficiency. The true output will be lower than this ideal limit. At lower switching frequencies, the maximum duty cycle increases, making the limitation less significant.
</t>
        </r>
      </text>
    </comment>
    <comment ref="F18" authorId="0">
      <text>
        <r>
          <rPr>
            <sz val="10"/>
            <rFont val="Arial"/>
            <family val="2"/>
          </rPr>
          <t xml:space="preserve">Boost Output Limitation at V</t>
        </r>
        <r>
          <rPr>
            <b val="true"/>
            <u val="single"/>
            <vertAlign val="subscript"/>
            <sz val="9"/>
            <color rgb="FF000000"/>
            <rFont val="Tahoma"/>
            <family val="2"/>
            <charset val="1"/>
          </rPr>
          <t xml:space="preserve">AC(min)</t>
        </r>
        <r>
          <rPr>
            <b val="true"/>
            <u val="single"/>
            <sz val="9"/>
            <color rgb="FF000000"/>
            <rFont val="Tahoma"/>
            <family val="2"/>
            <charset val="1"/>
          </rPr>
          <t xml:space="preserve">:
</t>
        </r>
        <r>
          <rPr>
            <sz val="9"/>
            <color rgb="FF000000"/>
            <rFont val="Tahoma"/>
            <family val="2"/>
            <charset val="1"/>
          </rPr>
          <t xml:space="preserve">Maximum boost output voltage based off the Duty Cycle Limitation at the V</t>
        </r>
        <r>
          <rPr>
            <vertAlign val="subscript"/>
            <sz val="9"/>
            <color rgb="FF000000"/>
            <rFont val="Tahoma"/>
            <family val="2"/>
            <charset val="1"/>
          </rPr>
          <t xml:space="preserve">AC(min)</t>
        </r>
        <r>
          <rPr>
            <sz val="9"/>
            <color rgb="FF000000"/>
            <rFont val="Tahoma"/>
            <family val="2"/>
            <charset val="1"/>
          </rPr>
          <t xml:space="preserve"> voltage. 
If V</t>
        </r>
        <r>
          <rPr>
            <vertAlign val="subscript"/>
            <sz val="9"/>
            <color rgb="FF000000"/>
            <rFont val="Tahoma"/>
            <family val="2"/>
            <charset val="1"/>
          </rPr>
          <t xml:space="preserve">AC(min)</t>
        </r>
        <r>
          <rPr>
            <sz val="9"/>
            <color rgb="FF000000"/>
            <rFont val="Tahoma"/>
            <family val="2"/>
            <charset val="1"/>
          </rPr>
          <t xml:space="preserve"> is higher than the Battery Voltage, then this voltage does not apply to the Boost Output Limitation and the cell will display "N/A".
</t>
        </r>
        <r>
          <rPr>
            <b val="true"/>
            <sz val="9"/>
            <color rgb="FF000000"/>
            <rFont val="Tahoma"/>
            <family val="2"/>
            <charset val="1"/>
          </rPr>
          <t xml:space="preserve">Text in cell is flagged red if:
</t>
        </r>
        <r>
          <rPr>
            <sz val="9"/>
            <color rgb="FF000000"/>
            <rFont val="Tahoma"/>
            <family val="2"/>
            <charset val="1"/>
          </rPr>
          <t xml:space="preserve">Boost Output Limitation Voltage is lower than the Battery Voltage. 
</t>
        </r>
      </text>
    </comment>
    <comment ref="F19" authorId="0">
      <text>
        <r>
          <rPr>
            <sz val="10"/>
            <rFont val="Arial"/>
            <family val="2"/>
          </rPr>
          <t xml:space="preserve">Boost Output Limitation at V</t>
        </r>
        <r>
          <rPr>
            <b val="true"/>
            <u val="single"/>
            <vertAlign val="subscript"/>
            <sz val="9"/>
            <color rgb="FF000000"/>
            <rFont val="Tahoma"/>
            <family val="2"/>
            <charset val="1"/>
          </rPr>
          <t xml:space="preserve">AC(nom)</t>
        </r>
        <r>
          <rPr>
            <b val="true"/>
            <u val="single"/>
            <sz val="9"/>
            <color rgb="FF000000"/>
            <rFont val="Tahoma"/>
            <family val="2"/>
            <charset val="1"/>
          </rPr>
          <t xml:space="preserve">:
</t>
        </r>
        <r>
          <rPr>
            <sz val="9"/>
            <color rgb="FF000000"/>
            <rFont val="Tahoma"/>
            <family val="2"/>
            <charset val="1"/>
          </rPr>
          <t xml:space="preserve">Maximum boost output voltage based off the Duty Cycle Limitation at the V</t>
        </r>
        <r>
          <rPr>
            <vertAlign val="subscript"/>
            <sz val="9"/>
            <color rgb="FF000000"/>
            <rFont val="Tahoma"/>
            <family val="2"/>
            <charset val="1"/>
          </rPr>
          <t xml:space="preserve">AC(nom)</t>
        </r>
        <r>
          <rPr>
            <sz val="9"/>
            <color rgb="FF000000"/>
            <rFont val="Tahoma"/>
            <family val="2"/>
            <charset val="1"/>
          </rPr>
          <t xml:space="preserve"> voltage. 
If V</t>
        </r>
        <r>
          <rPr>
            <vertAlign val="subscript"/>
            <sz val="9"/>
            <color rgb="FF000000"/>
            <rFont val="Tahoma"/>
            <family val="2"/>
            <charset val="1"/>
          </rPr>
          <t xml:space="preserve">AC(nom)</t>
        </r>
        <r>
          <rPr>
            <sz val="9"/>
            <color rgb="FF000000"/>
            <rFont val="Tahoma"/>
            <family val="2"/>
            <charset val="1"/>
          </rPr>
          <t xml:space="preserve"> is higher than the Battery Voltage, then this voltage does not apply to the Boost Output Limitation and the cell will display "N/A".
</t>
        </r>
        <r>
          <rPr>
            <b val="true"/>
            <sz val="9"/>
            <color rgb="FF000000"/>
            <rFont val="Tahoma"/>
            <family val="2"/>
            <charset val="1"/>
          </rPr>
          <t xml:space="preserve">Text in cell is flagged red if:
</t>
        </r>
        <r>
          <rPr>
            <sz val="9"/>
            <color rgb="FF000000"/>
            <rFont val="Tahoma"/>
            <family val="2"/>
            <charset val="1"/>
          </rPr>
          <t xml:space="preserve">Boost Output Limitation Voltage is lower than the Battery Voltage. 
</t>
        </r>
      </text>
    </comment>
    <comment ref="F20" authorId="0">
      <text>
        <r>
          <rPr>
            <sz val="10"/>
            <rFont val="Arial"/>
            <family val="2"/>
          </rPr>
          <t xml:space="preserve">Boost Output Limitation at V</t>
        </r>
        <r>
          <rPr>
            <b val="true"/>
            <u val="single"/>
            <vertAlign val="subscript"/>
            <sz val="9"/>
            <color rgb="FF000000"/>
            <rFont val="Tahoma"/>
            <family val="2"/>
            <charset val="1"/>
          </rPr>
          <t xml:space="preserve">AC(max)</t>
        </r>
        <r>
          <rPr>
            <b val="true"/>
            <u val="single"/>
            <sz val="9"/>
            <color rgb="FF000000"/>
            <rFont val="Tahoma"/>
            <family val="2"/>
            <charset val="1"/>
          </rPr>
          <t xml:space="preserve">:
</t>
        </r>
        <r>
          <rPr>
            <sz val="9"/>
            <color rgb="FF000000"/>
            <rFont val="Tahoma"/>
            <family val="2"/>
            <charset val="1"/>
          </rPr>
          <t xml:space="preserve">Maximum boost output voltage based off the Duty Cycle Limitation at the V</t>
        </r>
        <r>
          <rPr>
            <vertAlign val="subscript"/>
            <sz val="9"/>
            <color rgb="FF000000"/>
            <rFont val="Tahoma"/>
            <family val="2"/>
            <charset val="1"/>
          </rPr>
          <t xml:space="preserve">AC(max)</t>
        </r>
        <r>
          <rPr>
            <sz val="9"/>
            <color rgb="FF000000"/>
            <rFont val="Tahoma"/>
            <family val="2"/>
            <charset val="1"/>
          </rPr>
          <t xml:space="preserve"> voltage. 
If V</t>
        </r>
        <r>
          <rPr>
            <vertAlign val="subscript"/>
            <sz val="9"/>
            <color rgb="FF000000"/>
            <rFont val="Tahoma"/>
            <family val="2"/>
            <charset val="1"/>
          </rPr>
          <t xml:space="preserve">AC(max)</t>
        </r>
        <r>
          <rPr>
            <sz val="9"/>
            <color rgb="FF000000"/>
            <rFont val="Tahoma"/>
            <family val="2"/>
            <charset val="1"/>
          </rPr>
          <t xml:space="preserve"> is higher than the Battery Voltage, then this voltage does not apply to the Boost Output Limitation and the cell will display "N/A".
</t>
        </r>
        <r>
          <rPr>
            <b val="true"/>
            <sz val="9"/>
            <color rgb="FF000000"/>
            <rFont val="Tahoma"/>
            <family val="2"/>
            <charset val="1"/>
          </rPr>
          <t xml:space="preserve">Text in cell is flagged red if:
</t>
        </r>
        <r>
          <rPr>
            <sz val="9"/>
            <color rgb="FF000000"/>
            <rFont val="Tahoma"/>
            <family val="2"/>
            <charset val="1"/>
          </rPr>
          <t xml:space="preserve">Boost Output Limitation Voltage is lower than the Battery Voltage. 
</t>
        </r>
      </text>
    </comment>
    <comment ref="F23" authorId="0">
      <text>
        <r>
          <rPr>
            <sz val="10"/>
            <rFont val="Arial"/>
            <family val="2"/>
          </rPr>
          <t xml:space="preserve">Maximum Average Inductor Current:
</t>
        </r>
        <r>
          <rPr>
            <sz val="9"/>
            <color rgb="FF000000"/>
            <rFont val="Tahoma"/>
            <family val="2"/>
            <charset val="1"/>
          </rPr>
          <t xml:space="preserve">The maximum average inductor current occurs at the minimum input voltage and maximum load current:
</t>
        </r>
        <r>
          <rPr>
            <b val="true"/>
            <sz val="9"/>
            <color rgb="FF000000"/>
            <rFont val="Tahoma"/>
            <family val="2"/>
            <charset val="1"/>
          </rPr>
          <t xml:space="preserve">I</t>
        </r>
        <r>
          <rPr>
            <b val="true"/>
            <vertAlign val="subscript"/>
            <sz val="9"/>
            <color rgb="FF000000"/>
            <rFont val="Tahoma"/>
            <family val="2"/>
            <charset val="1"/>
          </rPr>
          <t xml:space="preserve">L(MAX)</t>
        </r>
        <r>
          <rPr>
            <b val="true"/>
            <sz val="9"/>
            <color rgb="FF000000"/>
            <rFont val="Tahoma"/>
            <family val="2"/>
            <charset val="1"/>
          </rPr>
          <t xml:space="preserve">=V</t>
        </r>
        <r>
          <rPr>
            <b val="true"/>
            <vertAlign val="subscript"/>
            <sz val="9"/>
            <color rgb="FF000000"/>
            <rFont val="Tahoma"/>
            <family val="2"/>
            <charset val="1"/>
          </rPr>
          <t xml:space="preserve">BAT</t>
        </r>
        <r>
          <rPr>
            <b val="true"/>
            <sz val="9"/>
            <color rgb="FF000000"/>
            <rFont val="Tahoma"/>
            <family val="2"/>
            <charset val="1"/>
          </rPr>
          <t xml:space="preserve">*I</t>
        </r>
        <r>
          <rPr>
            <b val="true"/>
            <vertAlign val="subscript"/>
            <sz val="9"/>
            <color rgb="FF000000"/>
            <rFont val="Tahoma"/>
            <family val="2"/>
            <charset val="1"/>
          </rPr>
          <t xml:space="preserve">OUT(MAX)</t>
        </r>
        <r>
          <rPr>
            <b val="true"/>
            <sz val="9"/>
            <color rgb="FF000000"/>
            <rFont val="Tahoma"/>
            <family val="2"/>
            <charset val="1"/>
          </rPr>
          <t xml:space="preserve">/(ⴄ*V</t>
        </r>
        <r>
          <rPr>
            <b val="true"/>
            <vertAlign val="subscript"/>
            <sz val="9"/>
            <color rgb="FF000000"/>
            <rFont val="Tahoma"/>
            <family val="2"/>
            <charset val="1"/>
          </rPr>
          <t xml:space="preserve">AC(MIN)</t>
        </r>
        <r>
          <rPr>
            <b val="true"/>
            <sz val="9"/>
            <color rgb="FF000000"/>
            <rFont val="Tahoma"/>
            <family val="2"/>
            <charset val="1"/>
          </rPr>
          <t xml:space="preserve">)</t>
        </r>
      </text>
    </comment>
    <comment ref="F24" authorId="0">
      <text>
        <r>
          <rPr>
            <sz val="10"/>
            <rFont val="Arial"/>
            <family val="2"/>
          </rPr>
          <t xml:space="preserve">Selected Inductor Saturation Current:
</t>
        </r>
        <r>
          <rPr>
            <sz val="9"/>
            <color rgb="FF000000"/>
            <rFont val="Tahoma"/>
            <family val="2"/>
            <charset val="1"/>
          </rPr>
          <t xml:space="preserve">Saturation current of the inductor that the users intends on using. The Saturation current should be higher than the Maximum Average Inductor Current. 
The Maximum Average Inductor Current can be reduced by changing the Operating Specifications. 
</t>
        </r>
        <r>
          <rPr>
            <b val="true"/>
            <sz val="9"/>
            <color rgb="FF000000"/>
            <rFont val="Tahoma"/>
            <family val="2"/>
            <charset val="1"/>
          </rPr>
          <t xml:space="preserve">Text in cell is flagged red if:
</t>
        </r>
        <r>
          <rPr>
            <sz val="9"/>
            <color rgb="FF000000"/>
            <rFont val="Tahoma"/>
            <family val="2"/>
            <charset val="1"/>
          </rPr>
          <t xml:space="preserve">The Selected Inductor Saturation Current is less than the Maximum Average Inductor Current.</t>
        </r>
      </text>
    </comment>
    <comment ref="F25" authorId="0">
      <text>
        <r>
          <rPr>
            <sz val="10"/>
            <rFont val="Arial"/>
            <family val="2"/>
          </rPr>
          <t xml:space="preserve">Minimum Inductance:
</t>
        </r>
        <r>
          <rPr>
            <sz val="9"/>
            <color rgb="FF000000"/>
            <rFont val="Tahoma"/>
            <family val="2"/>
            <charset val="1"/>
          </rPr>
          <t xml:space="preserve">Higher switching frequency allows the use of smaller inductor and capacitor values. Inductor Saturation Current should be higher than the Maximum Average Inductor Current I</t>
        </r>
        <r>
          <rPr>
            <vertAlign val="subscript"/>
            <sz val="9"/>
            <color rgb="FF000000"/>
            <rFont val="Tahoma"/>
            <family val="2"/>
            <charset val="1"/>
          </rPr>
          <t xml:space="preserve">L(max)</t>
        </r>
        <r>
          <rPr>
            <sz val="9"/>
            <color rgb="FF000000"/>
            <rFont val="Tahoma"/>
            <family val="2"/>
            <charset val="1"/>
          </rPr>
          <t xml:space="preserve"> plus half the Maximum Ripple Current I</t>
        </r>
        <r>
          <rPr>
            <vertAlign val="subscript"/>
            <sz val="9"/>
            <color rgb="FF000000"/>
            <rFont val="Tahoma"/>
            <family val="2"/>
            <charset val="1"/>
          </rPr>
          <t xml:space="preserve">Ripple(max)</t>
        </r>
        <r>
          <rPr>
            <sz val="9"/>
            <color rgb="FF000000"/>
            <rFont val="Tahoma"/>
            <family val="2"/>
            <charset val="1"/>
          </rPr>
          <t xml:space="preserve">. 
It is recommended to use an Inductor with and Inductance between 2.2 - 15 µH.
</t>
        </r>
        <r>
          <rPr>
            <b val="true"/>
            <sz val="9"/>
            <color rgb="FF000000"/>
            <rFont val="Tahoma"/>
            <family val="2"/>
            <charset val="1"/>
          </rPr>
          <t xml:space="preserve">I</t>
        </r>
        <r>
          <rPr>
            <b val="true"/>
            <vertAlign val="subscript"/>
            <sz val="9"/>
            <color rgb="FF000000"/>
            <rFont val="Tahoma"/>
            <family val="2"/>
            <charset val="1"/>
          </rPr>
          <t xml:space="preserve">SAT</t>
        </r>
        <r>
          <rPr>
            <b val="true"/>
            <sz val="9"/>
            <color rgb="FF000000"/>
            <rFont val="Tahoma"/>
            <family val="2"/>
            <charset val="1"/>
          </rPr>
          <t xml:space="preserve"> ≥ I</t>
        </r>
        <r>
          <rPr>
            <b val="true"/>
            <vertAlign val="subscript"/>
            <sz val="9"/>
            <color rgb="FF000000"/>
            <rFont val="Tahoma"/>
            <family val="2"/>
            <charset val="1"/>
          </rPr>
          <t xml:space="preserve">L(max)</t>
        </r>
        <r>
          <rPr>
            <b val="true"/>
            <sz val="9"/>
            <color rgb="FF000000"/>
            <rFont val="Tahoma"/>
            <family val="2"/>
            <charset val="1"/>
          </rPr>
          <t xml:space="preserve"> + 0.5 * I</t>
        </r>
        <r>
          <rPr>
            <b val="true"/>
            <vertAlign val="subscript"/>
            <sz val="9"/>
            <color rgb="FF000000"/>
            <rFont val="Tahoma"/>
            <family val="2"/>
            <charset val="1"/>
          </rPr>
          <t xml:space="preserve">Ripple(max)
</t>
        </r>
        <r>
          <rPr>
            <sz val="9"/>
            <color rgb="FF000000"/>
            <rFont val="Tahoma"/>
            <family val="2"/>
            <charset val="1"/>
          </rPr>
          <t xml:space="preserve">
The inductor ripple current in buck operation depends on input voltage (V</t>
        </r>
        <r>
          <rPr>
            <vertAlign val="subscript"/>
            <sz val="9"/>
            <color rgb="FF000000"/>
            <rFont val="Tahoma"/>
            <family val="2"/>
            <charset val="1"/>
          </rPr>
          <t xml:space="preserve">AC</t>
        </r>
        <r>
          <rPr>
            <sz val="9"/>
            <color rgb="FF000000"/>
            <rFont val="Tahoma"/>
            <family val="2"/>
            <charset val="1"/>
          </rPr>
          <t xml:space="preserve">), duty cycle (D</t>
        </r>
        <r>
          <rPr>
            <vertAlign val="subscript"/>
            <sz val="9"/>
            <color rgb="FF000000"/>
            <rFont val="Tahoma"/>
            <family val="2"/>
            <charset val="1"/>
          </rPr>
          <t xml:space="preserve">Buck</t>
        </r>
        <r>
          <rPr>
            <sz val="9"/>
            <color rgb="FF000000"/>
            <rFont val="Tahoma"/>
            <family val="2"/>
            <charset val="1"/>
          </rPr>
          <t xml:space="preserve"> = V</t>
        </r>
        <r>
          <rPr>
            <vertAlign val="subscript"/>
            <sz val="9"/>
            <color rgb="FF000000"/>
            <rFont val="Tahoma"/>
            <family val="2"/>
            <charset val="1"/>
          </rPr>
          <t xml:space="preserve">BAT</t>
        </r>
        <r>
          <rPr>
            <sz val="9"/>
            <color rgb="FF000000"/>
            <rFont val="Tahoma"/>
            <family val="2"/>
            <charset val="1"/>
          </rPr>
          <t xml:space="preserve">/V</t>
        </r>
        <r>
          <rPr>
            <vertAlign val="subscript"/>
            <sz val="9"/>
            <color rgb="FF000000"/>
            <rFont val="Tahoma"/>
            <family val="2"/>
            <charset val="1"/>
          </rPr>
          <t xml:space="preserve">AC</t>
        </r>
        <r>
          <rPr>
            <sz val="9"/>
            <color rgb="FF000000"/>
            <rFont val="Tahoma"/>
            <family val="2"/>
            <charset val="1"/>
          </rPr>
          <t xml:space="preserve">), switching frequency (F</t>
        </r>
        <r>
          <rPr>
            <vertAlign val="subscript"/>
            <sz val="9"/>
            <color rgb="FF000000"/>
            <rFont val="Tahoma"/>
            <family val="2"/>
            <charset val="1"/>
          </rPr>
          <t xml:space="preserve">SW</t>
        </r>
        <r>
          <rPr>
            <sz val="9"/>
            <color rgb="FF000000"/>
            <rFont val="Tahoma"/>
            <family val="2"/>
            <charset val="1"/>
          </rPr>
          <t xml:space="preserve">) and inductance (L).
</t>
        </r>
        <r>
          <rPr>
            <b val="true"/>
            <sz val="9"/>
            <color rgb="FF000000"/>
            <rFont val="Tahoma"/>
            <family val="2"/>
            <charset val="1"/>
          </rPr>
          <t xml:space="preserve">I</t>
        </r>
        <r>
          <rPr>
            <b val="true"/>
            <vertAlign val="subscript"/>
            <sz val="9"/>
            <color rgb="FF000000"/>
            <rFont val="Tahoma"/>
            <family val="2"/>
            <charset val="1"/>
          </rPr>
          <t xml:space="preserve">Ripple_Buck</t>
        </r>
        <r>
          <rPr>
            <b val="true"/>
            <sz val="9"/>
            <color rgb="FF000000"/>
            <rFont val="Tahoma"/>
            <family val="2"/>
            <charset val="1"/>
          </rPr>
          <t xml:space="preserve"> = V</t>
        </r>
        <r>
          <rPr>
            <b val="true"/>
            <vertAlign val="subscript"/>
            <sz val="9"/>
            <color rgb="FF000000"/>
            <rFont val="Tahoma"/>
            <family val="2"/>
            <charset val="1"/>
          </rPr>
          <t xml:space="preserve">AC</t>
        </r>
        <r>
          <rPr>
            <b val="true"/>
            <sz val="9"/>
            <color rgb="FF000000"/>
            <rFont val="Tahoma"/>
            <family val="2"/>
            <charset val="1"/>
          </rPr>
          <t xml:space="preserve">*D</t>
        </r>
        <r>
          <rPr>
            <b val="true"/>
            <vertAlign val="subscript"/>
            <sz val="9"/>
            <color rgb="FF000000"/>
            <rFont val="Tahoma"/>
            <family val="2"/>
            <charset val="1"/>
          </rPr>
          <t xml:space="preserve">Buck</t>
        </r>
        <r>
          <rPr>
            <b val="true"/>
            <sz val="9"/>
            <color rgb="FF000000"/>
            <rFont val="Tahoma"/>
            <family val="2"/>
            <charset val="1"/>
          </rPr>
          <t xml:space="preserve">*(1-D</t>
        </r>
        <r>
          <rPr>
            <b val="true"/>
            <vertAlign val="subscript"/>
            <sz val="9"/>
            <color rgb="FF000000"/>
            <rFont val="Tahoma"/>
            <family val="2"/>
            <charset val="1"/>
          </rPr>
          <t xml:space="preserve">Buck</t>
        </r>
        <r>
          <rPr>
            <b val="true"/>
            <sz val="9"/>
            <color rgb="FF000000"/>
            <rFont val="Tahoma"/>
            <family val="2"/>
            <charset val="1"/>
          </rPr>
          <t xml:space="preserve">)/(F</t>
        </r>
        <r>
          <rPr>
            <b val="true"/>
            <vertAlign val="subscript"/>
            <sz val="9"/>
            <color rgb="FF000000"/>
            <rFont val="Tahoma"/>
            <family val="2"/>
            <charset val="1"/>
          </rPr>
          <t xml:space="preserve">SW</t>
        </r>
        <r>
          <rPr>
            <b val="true"/>
            <sz val="9"/>
            <color rgb="FF000000"/>
            <rFont val="Tahoma"/>
            <family val="2"/>
            <charset val="1"/>
          </rPr>
          <t xml:space="preserve">*L)
</t>
        </r>
        <r>
          <rPr>
            <sz val="9"/>
            <color rgb="FF000000"/>
            <rFont val="Tahoma"/>
            <family val="2"/>
            <charset val="1"/>
          </rPr>
          <t xml:space="preserve">
During boost operation, the duty cycle is: D</t>
        </r>
        <r>
          <rPr>
            <vertAlign val="subscript"/>
            <sz val="9"/>
            <color rgb="FF000000"/>
            <rFont val="Tahoma"/>
            <family val="2"/>
            <charset val="1"/>
          </rPr>
          <t xml:space="preserve">Boost</t>
        </r>
        <r>
          <rPr>
            <sz val="9"/>
            <color rgb="FF000000"/>
            <rFont val="Tahoma"/>
            <family val="2"/>
            <charset val="1"/>
          </rPr>
          <t xml:space="preserve"> = 1 - (V</t>
        </r>
        <r>
          <rPr>
            <vertAlign val="subscript"/>
            <sz val="9"/>
            <color rgb="FF000000"/>
            <rFont val="Tahoma"/>
            <family val="2"/>
            <charset val="1"/>
          </rPr>
          <t xml:space="preserve">AC</t>
        </r>
        <r>
          <rPr>
            <sz val="9"/>
            <color rgb="FF000000"/>
            <rFont val="Tahoma"/>
            <family val="2"/>
            <charset val="1"/>
          </rPr>
          <t xml:space="preserve">/V</t>
        </r>
        <r>
          <rPr>
            <vertAlign val="subscript"/>
            <sz val="9"/>
            <color rgb="FF000000"/>
            <rFont val="Tahoma"/>
            <family val="2"/>
            <charset val="1"/>
          </rPr>
          <t xml:space="preserve">BAT</t>
        </r>
        <r>
          <rPr>
            <sz val="9"/>
            <color rgb="FF000000"/>
            <rFont val="Tahoma"/>
            <family val="2"/>
            <charset val="1"/>
          </rPr>
          <t xml:space="preserve">). The inductor ripple current is:
</t>
        </r>
        <r>
          <rPr>
            <b val="true"/>
            <sz val="9"/>
            <color rgb="FF000000"/>
            <rFont val="Tahoma"/>
            <family val="2"/>
            <charset val="1"/>
          </rPr>
          <t xml:space="preserve">I</t>
        </r>
        <r>
          <rPr>
            <b val="true"/>
            <vertAlign val="subscript"/>
            <sz val="9"/>
            <color rgb="FF000000"/>
            <rFont val="Tahoma"/>
            <family val="2"/>
            <charset val="1"/>
          </rPr>
          <t xml:space="preserve">Ripple_Boost</t>
        </r>
        <r>
          <rPr>
            <b val="true"/>
            <sz val="9"/>
            <color rgb="FF000000"/>
            <rFont val="Tahoma"/>
            <family val="2"/>
            <charset val="1"/>
          </rPr>
          <t xml:space="preserve"> = V</t>
        </r>
        <r>
          <rPr>
            <b val="true"/>
            <vertAlign val="subscript"/>
            <sz val="9"/>
            <color rgb="FF000000"/>
            <rFont val="Tahoma"/>
            <family val="2"/>
            <charset val="1"/>
          </rPr>
          <t xml:space="preserve">AC</t>
        </r>
        <r>
          <rPr>
            <b val="true"/>
            <sz val="9"/>
            <color rgb="FF000000"/>
            <rFont val="Tahoma"/>
            <family val="2"/>
            <charset val="1"/>
          </rPr>
          <t xml:space="preserve">*D</t>
        </r>
        <r>
          <rPr>
            <b val="true"/>
            <vertAlign val="subscript"/>
            <sz val="9"/>
            <color rgb="FF000000"/>
            <rFont val="Tahoma"/>
            <family val="2"/>
            <charset val="1"/>
          </rPr>
          <t xml:space="preserve">Boost</t>
        </r>
        <r>
          <rPr>
            <b val="true"/>
            <sz val="9"/>
            <color rgb="FF000000"/>
            <rFont val="Tahoma"/>
            <family val="2"/>
            <charset val="1"/>
          </rPr>
          <t xml:space="preserve">/(F</t>
        </r>
        <r>
          <rPr>
            <b val="true"/>
            <vertAlign val="subscript"/>
            <sz val="9"/>
            <color rgb="FF000000"/>
            <rFont val="Tahoma"/>
            <family val="2"/>
            <charset val="1"/>
          </rPr>
          <t xml:space="preserve">SW</t>
        </r>
        <r>
          <rPr>
            <b val="true"/>
            <sz val="9"/>
            <color rgb="FF000000"/>
            <rFont val="Tahoma"/>
            <family val="2"/>
            <charset val="1"/>
          </rPr>
          <t xml:space="preserve">*L)
</t>
        </r>
        <r>
          <rPr>
            <sz val="9"/>
            <color rgb="FF000000"/>
            <rFont val="Tahoma"/>
            <family val="2"/>
            <charset val="1"/>
          </rPr>
          <t xml:space="preserve">
The maximum inductor ripple current happens with D = 0.5 or close to 0.5. 
Usually inductor ripple is designed in the range of (20-40%) maximum charging current as a trade-off between inductor size and efficiency for practical design. 
</t>
        </r>
        <r>
          <rPr>
            <b val="true"/>
            <sz val="9"/>
            <color rgb="FF000000"/>
            <rFont val="Tahoma"/>
            <family val="2"/>
            <charset val="1"/>
          </rPr>
          <t xml:space="preserve">Text in cell is flagged red if:
</t>
        </r>
        <r>
          <rPr>
            <sz val="9"/>
            <color rgb="FF000000"/>
            <rFont val="Tahoma"/>
            <family val="2"/>
            <charset val="1"/>
          </rPr>
          <t xml:space="preserve">The minimum inductance is not within the recommended inductance range.
</t>
        </r>
        <r>
          <rPr>
            <b val="true"/>
            <sz val="9"/>
            <color rgb="FF000000"/>
            <rFont val="Tahoma"/>
            <family val="2"/>
            <charset val="1"/>
          </rPr>
          <t xml:space="preserve">Text in cell shows "ERROR" if:
</t>
        </r>
        <r>
          <rPr>
            <sz val="9"/>
            <color rgb="FF000000"/>
            <rFont val="Tahoma"/>
            <family val="2"/>
            <charset val="1"/>
          </rPr>
          <t xml:space="preserve">The Selected Inductor Saturation Current is lower than the Maximum Average Inductor Current.</t>
        </r>
      </text>
    </comment>
    <comment ref="F26" authorId="0">
      <text>
        <r>
          <rPr>
            <sz val="10"/>
            <rFont val="Arial"/>
            <family val="2"/>
          </rPr>
          <t xml:space="preserve">Selected Inductance:
</t>
        </r>
        <r>
          <rPr>
            <sz val="9"/>
            <color rgb="FF000000"/>
            <rFont val="Tahoma"/>
            <family val="2"/>
            <charset val="1"/>
          </rPr>
          <t xml:space="preserve">Recommended to use the Recommended Inductance for the most efficient use of the charger.
</t>
        </r>
        <r>
          <rPr>
            <b val="true"/>
            <sz val="9"/>
            <color rgb="FF000000"/>
            <rFont val="Tahoma"/>
            <family val="2"/>
            <charset val="1"/>
          </rPr>
          <t xml:space="preserve">Text in cell is flagged red if:
</t>
        </r>
        <r>
          <rPr>
            <sz val="9"/>
            <color rgb="FF000000"/>
            <rFont val="Tahoma"/>
            <family val="2"/>
            <charset val="1"/>
          </rPr>
          <t xml:space="preserve">Value is less than Minimum Inductance.</t>
        </r>
      </text>
    </comment>
    <comment ref="F27" authorId="0">
      <text>
        <r>
          <rPr>
            <sz val="10"/>
            <rFont val="Arial"/>
            <family val="2"/>
          </rPr>
          <t xml:space="preserve">Recommended Inductor DCR</t>
        </r>
        <r>
          <rPr>
            <b val="true"/>
            <sz val="9"/>
            <color rgb="FF000000"/>
            <rFont val="Tahoma"/>
            <family val="2"/>
            <charset val="1"/>
          </rPr>
          <t xml:space="preserve">:
</t>
        </r>
        <r>
          <rPr>
            <sz val="9"/>
            <color rgb="FF000000"/>
            <rFont val="Tahoma"/>
            <family val="2"/>
            <charset val="1"/>
          </rPr>
          <t xml:space="preserve">The recommended inductor DCR range is 5mohm~25mohm. Inductor DCR beyond this range may hold system stability risk which is not recommended.</t>
        </r>
      </text>
    </comment>
    <comment ref="F28" authorId="0">
      <text>
        <r>
          <rPr>
            <sz val="10"/>
            <rFont val="Arial"/>
            <family val="2"/>
          </rPr>
          <t xml:space="preserve">Recommended Inductor DCR</t>
        </r>
        <r>
          <rPr>
            <b val="true"/>
            <sz val="9"/>
            <color rgb="FF000000"/>
            <rFont val="Tahoma"/>
            <family val="2"/>
            <charset val="1"/>
          </rPr>
          <t xml:space="preserve">:
</t>
        </r>
        <r>
          <rPr>
            <sz val="9"/>
            <color rgb="FF000000"/>
            <rFont val="Tahoma"/>
            <family val="2"/>
            <charset val="1"/>
          </rPr>
          <t xml:space="preserve">The recommended inductor DCR range is 5mohm~25mohm. Inductor DCR beyond this range may hold system stability risk which is not recommended.</t>
        </r>
      </text>
    </comment>
    <comment ref="F29" authorId="0">
      <text>
        <r>
          <rPr>
            <sz val="10"/>
            <rFont val="Arial"/>
            <family val="2"/>
          </rPr>
          <t xml:space="preserve">Selected Inductor DCR:
</t>
        </r>
        <r>
          <rPr>
            <sz val="9"/>
            <color rgb="FF000000"/>
            <rFont val="Tahoma"/>
            <family val="2"/>
            <charset val="1"/>
          </rPr>
          <t xml:space="preserve">The recommended inductor DCR range is 5~25 mΩ for each phase. Inductor DCR beyond this range may hold system stability risk which is not recommended.
</t>
        </r>
        <r>
          <rPr>
            <b val="true"/>
            <sz val="9"/>
            <color rgb="FF000000"/>
            <rFont val="Tahoma"/>
            <family val="2"/>
            <charset val="1"/>
          </rPr>
          <t xml:space="preserve">Text in cell is flagged red if:
</t>
        </r>
        <r>
          <rPr>
            <sz val="9"/>
            <color rgb="FF000000"/>
            <rFont val="Tahoma"/>
            <family val="2"/>
            <charset val="1"/>
          </rPr>
          <t xml:space="preserve">Value is outside the recommended range.
</t>
        </r>
      </text>
    </comment>
    <comment ref="F36" authorId="0">
      <text>
        <r>
          <rPr>
            <sz val="10"/>
            <rFont val="Arial"/>
            <family val="2"/>
          </rPr>
          <t xml:space="preserve">Peak Inductor Current:
</t>
        </r>
        <r>
          <rPr>
            <sz val="9"/>
            <color rgb="FF000000"/>
            <rFont val="Tahoma"/>
            <family val="2"/>
            <charset val="1"/>
          </rPr>
          <t xml:space="preserve">The peak inductor current occurs at minimum input voltage and is given by:
</t>
        </r>
        <r>
          <rPr>
            <b val="true"/>
            <sz val="9"/>
            <color rgb="FF000000"/>
            <rFont val="Tahoma"/>
            <family val="2"/>
            <charset val="1"/>
          </rPr>
          <t xml:space="preserve">I</t>
        </r>
        <r>
          <rPr>
            <b val="true"/>
            <vertAlign val="subscript"/>
            <sz val="9"/>
            <color rgb="FF000000"/>
            <rFont val="Tahoma"/>
            <family val="2"/>
            <charset val="1"/>
          </rPr>
          <t xml:space="preserve">L(PEAK)</t>
        </r>
        <r>
          <rPr>
            <b val="true"/>
            <sz val="9"/>
            <color rgb="FF000000"/>
            <rFont val="Tahoma"/>
            <family val="2"/>
            <charset val="1"/>
          </rPr>
          <t xml:space="preserve">=I</t>
        </r>
        <r>
          <rPr>
            <b val="true"/>
            <vertAlign val="subscript"/>
            <sz val="9"/>
            <color rgb="FF000000"/>
            <rFont val="Tahoma"/>
            <family val="2"/>
            <charset val="1"/>
          </rPr>
          <t xml:space="preserve">L(MAX)</t>
        </r>
        <r>
          <rPr>
            <b val="true"/>
            <sz val="9"/>
            <color rgb="FF000000"/>
            <rFont val="Tahoma"/>
            <family val="2"/>
            <charset val="1"/>
          </rPr>
          <t xml:space="preserve">+V</t>
        </r>
        <r>
          <rPr>
            <b val="true"/>
            <vertAlign val="subscript"/>
            <sz val="9"/>
            <color rgb="FF000000"/>
            <rFont val="Tahoma"/>
            <family val="2"/>
            <charset val="1"/>
          </rPr>
          <t xml:space="preserve">IN(MIN)</t>
        </r>
        <r>
          <rPr>
            <b val="true"/>
            <sz val="9"/>
            <color rgb="FF000000"/>
            <rFont val="Tahoma"/>
            <family val="2"/>
            <charset val="1"/>
          </rPr>
          <t xml:space="preserve">*(V</t>
        </r>
        <r>
          <rPr>
            <b val="true"/>
            <vertAlign val="subscript"/>
            <sz val="9"/>
            <color rgb="FF000000"/>
            <rFont val="Tahoma"/>
            <family val="2"/>
            <charset val="1"/>
          </rPr>
          <t xml:space="preserve">OUT</t>
        </r>
        <r>
          <rPr>
            <b val="true"/>
            <sz val="9"/>
            <color rgb="FF000000"/>
            <rFont val="Tahoma"/>
            <family val="2"/>
            <charset val="1"/>
          </rPr>
          <t xml:space="preserve">-V</t>
        </r>
        <r>
          <rPr>
            <b val="true"/>
            <vertAlign val="subscript"/>
            <sz val="9"/>
            <color rgb="FF000000"/>
            <rFont val="Tahoma"/>
            <family val="2"/>
            <charset val="1"/>
          </rPr>
          <t xml:space="preserve">IN(MIN)</t>
        </r>
        <r>
          <rPr>
            <b val="true"/>
            <sz val="9"/>
            <color rgb="FF000000"/>
            <rFont val="Tahoma"/>
            <family val="2"/>
            <charset val="1"/>
          </rPr>
          <t xml:space="preserve">)/(2*L*F</t>
        </r>
        <r>
          <rPr>
            <b val="true"/>
            <vertAlign val="subscript"/>
            <sz val="9"/>
            <color rgb="FF000000"/>
            <rFont val="Tahoma"/>
            <family val="2"/>
            <charset val="1"/>
          </rPr>
          <t xml:space="preserve">SW</t>
        </r>
        <r>
          <rPr>
            <b val="true"/>
            <sz val="9"/>
            <color rgb="FF000000"/>
            <rFont val="Tahoma"/>
            <family val="2"/>
            <charset val="1"/>
          </rPr>
          <t xml:space="preserve">*V</t>
        </r>
        <r>
          <rPr>
            <b val="true"/>
            <vertAlign val="subscript"/>
            <sz val="9"/>
            <color rgb="FF000000"/>
            <rFont val="Tahoma"/>
            <family val="2"/>
            <charset val="1"/>
          </rPr>
          <t xml:space="preserve">OUT</t>
        </r>
        <r>
          <rPr>
            <b val="true"/>
            <sz val="9"/>
            <color rgb="FF000000"/>
            <rFont val="Tahoma"/>
            <family val="2"/>
            <charset val="1"/>
          </rPr>
          <t xml:space="preserve">)</t>
        </r>
      </text>
    </comment>
    <comment ref="F39" authorId="0">
      <text>
        <r>
          <rPr>
            <sz val="10"/>
            <rFont val="Arial"/>
            <family val="2"/>
          </rPr>
          <t xml:space="preserve">Recommended Input Current Sense Resistor:
</t>
        </r>
        <r>
          <rPr>
            <sz val="9"/>
            <color rgb="FF000000"/>
            <rFont val="Tahoma"/>
            <family val="2"/>
            <charset val="1"/>
          </rPr>
          <t xml:space="preserve">The input current sense resistor between ACP and ACN is typically 2 mΩ, but can be increased to achieve better accuracy at lower sensed currents. In USB-PD EPR applications, a 5-mΩ sense resistor is recommended to achieve programmability in a 50 mA/step. 
In addition, if input current limit function is not desired, ACP and ACN may be shorted together. A filter network is recommended as shown in section 8.2 Typical Application.</t>
        </r>
      </text>
    </comment>
    <comment ref="F40" authorId="0">
      <text>
        <r>
          <rPr>
            <sz val="10"/>
            <rFont val="Arial"/>
            <family val="2"/>
          </rPr>
          <t xml:space="preserve">Selected Input Current Sense Resistor:
</t>
        </r>
        <r>
          <rPr>
            <sz val="9"/>
            <color rgb="FF000000"/>
            <rFont val="Tahoma"/>
            <family val="2"/>
            <charset val="1"/>
          </rPr>
          <t xml:space="preserve">Enter selected Input Current Sense Resistor. If  the input current limit function is not desired, enter 0 into the cell.
</t>
        </r>
      </text>
    </comment>
    <comment ref="F41" authorId="0">
      <text>
        <r>
          <rPr>
            <sz val="10"/>
            <rFont val="Arial"/>
            <family val="2"/>
          </rPr>
          <t xml:space="preserve">Maximum Input Current Limit:
</t>
        </r>
        <r>
          <rPr>
            <sz val="9"/>
            <color rgb="FF000000"/>
            <rFont val="Tahoma"/>
            <family val="2"/>
            <charset val="1"/>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val="true"/>
            <sz val="9"/>
            <color rgb="FF000000"/>
            <rFont val="Tahoma"/>
            <family val="2"/>
            <charset val="1"/>
          </rPr>
          <t xml:space="preserve">I</t>
        </r>
        <r>
          <rPr>
            <b val="true"/>
            <vertAlign val="subscript"/>
            <sz val="9"/>
            <color rgb="FF000000"/>
            <rFont val="Tahoma"/>
            <family val="2"/>
            <charset val="1"/>
          </rPr>
          <t xml:space="preserve">AC_MAX(max)</t>
        </r>
        <r>
          <rPr>
            <b val="true"/>
            <sz val="9"/>
            <color rgb="FF000000"/>
            <rFont val="Tahoma"/>
            <family val="2"/>
            <charset val="1"/>
          </rPr>
          <t xml:space="preserve"> = 50 A * 2 mΩ/R</t>
        </r>
        <r>
          <rPr>
            <b val="true"/>
            <vertAlign val="subscript"/>
            <sz val="9"/>
            <color rgb="FF000000"/>
            <rFont val="Tahoma"/>
            <family val="2"/>
            <charset val="1"/>
          </rPr>
          <t xml:space="preserve">AC_SNS</t>
        </r>
      </text>
    </comment>
    <comment ref="F42" authorId="0">
      <text>
        <r>
          <rPr>
            <sz val="10"/>
            <rFont val="Arial"/>
            <family val="2"/>
          </rPr>
          <t xml:space="preserve">Input Current Resolution:
</t>
        </r>
        <r>
          <rPr>
            <sz val="9"/>
            <color rgb="FF000000"/>
            <rFont val="Tahoma"/>
            <family val="2"/>
            <charset val="1"/>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val="true"/>
            <sz val="9"/>
            <color rgb="FF000000"/>
            <rFont val="Tahoma"/>
            <family val="2"/>
            <charset val="1"/>
          </rPr>
          <t xml:space="preserve">I</t>
        </r>
        <r>
          <rPr>
            <b val="true"/>
            <vertAlign val="subscript"/>
            <sz val="9"/>
            <color rgb="FF000000"/>
            <rFont val="Tahoma"/>
            <family val="2"/>
            <charset val="1"/>
          </rPr>
          <t xml:space="preserve">AC_MAX(∆)</t>
        </r>
        <r>
          <rPr>
            <b val="true"/>
            <sz val="9"/>
            <color rgb="FF000000"/>
            <rFont val="Tahoma"/>
            <family val="2"/>
            <charset val="1"/>
          </rPr>
          <t xml:space="preserve"> = 125 mA/step * 2 mΩ/R</t>
        </r>
        <r>
          <rPr>
            <b val="true"/>
            <vertAlign val="subscript"/>
            <sz val="9"/>
            <color rgb="FF000000"/>
            <rFont val="Tahoma"/>
            <family val="2"/>
            <charset val="1"/>
          </rPr>
          <t xml:space="preserve">AC_SNS</t>
        </r>
      </text>
    </comment>
    <comment ref="F43" authorId="0">
      <text>
        <r>
          <rPr>
            <sz val="10"/>
            <rFont val="Arial"/>
            <family val="2"/>
          </rPr>
          <t xml:space="preserve">Desired Input Current Limit:
</t>
        </r>
        <r>
          <rPr>
            <sz val="9"/>
            <color rgb="FF000000"/>
            <rFont val="Tahoma"/>
            <family val="2"/>
            <charset val="1"/>
          </rPr>
          <t xml:space="preserve">To set the maximum input current using the IIN pin, a pull-down resistor to PGND is used. When using a 2-mΩ R</t>
        </r>
        <r>
          <rPr>
            <vertAlign val="subscript"/>
            <sz val="9"/>
            <color rgb="FF000000"/>
            <rFont val="Tahoma"/>
            <family val="2"/>
            <charset val="1"/>
          </rPr>
          <t xml:space="preserve">AC_SNS</t>
        </r>
        <r>
          <rPr>
            <sz val="9"/>
            <color rgb="FF000000"/>
            <rFont val="Tahoma"/>
            <family val="2"/>
            <charset val="1"/>
          </rPr>
          <t xml:space="preserve"> resistor, the input current limit is controlled by: 
</t>
        </r>
        <r>
          <rPr>
            <b val="true"/>
            <sz val="9"/>
            <color rgb="FF000000"/>
            <rFont val="Tahoma"/>
            <family val="2"/>
            <charset val="1"/>
          </rPr>
          <t xml:space="preserve">I</t>
        </r>
        <r>
          <rPr>
            <b val="true"/>
            <vertAlign val="subscript"/>
            <sz val="9"/>
            <color rgb="FF000000"/>
            <rFont val="Tahoma"/>
            <family val="2"/>
            <charset val="1"/>
          </rPr>
          <t xml:space="preserve">AC_MAX</t>
        </r>
        <r>
          <rPr>
            <b val="true"/>
            <sz val="9"/>
            <color rgb="FF000000"/>
            <rFont val="Tahoma"/>
            <family val="2"/>
            <charset val="1"/>
          </rPr>
          <t xml:space="preserve"> = K</t>
        </r>
        <r>
          <rPr>
            <b val="true"/>
            <vertAlign val="subscript"/>
            <sz val="9"/>
            <color rgb="FF000000"/>
            <rFont val="Tahoma"/>
            <family val="2"/>
            <charset val="1"/>
          </rPr>
          <t xml:space="preserve">ILIM</t>
        </r>
        <r>
          <rPr>
            <b val="true"/>
            <sz val="9"/>
            <color rgb="FF000000"/>
            <rFont val="Tahoma"/>
            <family val="2"/>
            <charset val="1"/>
          </rPr>
          <t xml:space="preserve"> / R</t>
        </r>
        <r>
          <rPr>
            <b val="true"/>
            <vertAlign val="subscript"/>
            <sz val="9"/>
            <color rgb="FF000000"/>
            <rFont val="Tahoma"/>
            <family val="2"/>
            <charset val="1"/>
          </rPr>
          <t xml:space="preserve">IIN
</t>
        </r>
        <r>
          <rPr>
            <b val="true"/>
            <sz val="9"/>
            <color rgb="FF000000"/>
            <rFont val="Tahoma"/>
            <family val="2"/>
            <charset val="1"/>
          </rPr>
          <t xml:space="preserve">
K</t>
        </r>
        <r>
          <rPr>
            <b val="true"/>
            <vertAlign val="subscript"/>
            <sz val="9"/>
            <color rgb="FF000000"/>
            <rFont val="Tahoma"/>
            <family val="2"/>
            <charset val="1"/>
          </rPr>
          <t xml:space="preserve">ILIM</t>
        </r>
        <r>
          <rPr>
            <b val="true"/>
            <sz val="9"/>
            <color rgb="FF000000"/>
            <rFont val="Tahoma"/>
            <family val="2"/>
            <charset val="1"/>
          </rPr>
          <t xml:space="preserve"> = 50 A-kΩ *2-mΩ/R</t>
        </r>
        <r>
          <rPr>
            <b val="true"/>
            <vertAlign val="subscript"/>
            <sz val="9"/>
            <color rgb="FF000000"/>
            <rFont val="Tahoma"/>
            <family val="2"/>
            <charset val="1"/>
          </rPr>
          <t xml:space="preserve">AC_SNS
</t>
        </r>
        <r>
          <rPr>
            <sz val="9"/>
            <color rgb="FF000000"/>
            <rFont val="Tahoma"/>
            <family val="2"/>
            <charset val="1"/>
          </rPr>
          <t xml:space="preserve">
The actual input current limit is the lower value between IIN pin setting and register setting (IAC_DPM). For example, if the register setting is 20 A, and IIN pin has a 5-kΩ resistor (K</t>
        </r>
        <r>
          <rPr>
            <vertAlign val="subscript"/>
            <sz val="9"/>
            <color rgb="FF000000"/>
            <rFont val="Tahoma"/>
            <family val="2"/>
            <charset val="1"/>
          </rPr>
          <t xml:space="preserve">ILIM</t>
        </r>
        <r>
          <rPr>
            <sz val="9"/>
            <color rgb="FF000000"/>
            <rFont val="Tahoma"/>
            <family val="2"/>
            <charset val="1"/>
          </rPr>
          <t xml:space="preserve"> = 50 A-kΩ) to ground for 10 A, the actual input current limit is 10 A.
The IIN pin can also be used to monitor input current. The voltage on IIN pin (V</t>
        </r>
        <r>
          <rPr>
            <vertAlign val="subscript"/>
            <sz val="9"/>
            <color rgb="FF000000"/>
            <rFont val="Tahoma"/>
            <family val="2"/>
            <charset val="1"/>
          </rPr>
          <t xml:space="preserve">IIN</t>
        </r>
        <r>
          <rPr>
            <sz val="9"/>
            <color rgb="FF000000"/>
            <rFont val="Tahoma"/>
            <family val="2"/>
            <charset val="1"/>
          </rPr>
          <t xml:space="preserve">) is proportional to the input current. Pin voltage can be used to monitor input current with the following relationship:
</t>
        </r>
        <r>
          <rPr>
            <b val="true"/>
            <sz val="9"/>
            <color rgb="FF000000"/>
            <rFont val="Tahoma"/>
            <family val="2"/>
            <charset val="1"/>
          </rPr>
          <t xml:space="preserve">I</t>
        </r>
        <r>
          <rPr>
            <b val="true"/>
            <vertAlign val="subscript"/>
            <sz val="9"/>
            <color rgb="FF000000"/>
            <rFont val="Tahoma"/>
            <family val="2"/>
            <charset val="1"/>
          </rPr>
          <t xml:space="preserve">AC</t>
        </r>
        <r>
          <rPr>
            <b val="true"/>
            <sz val="9"/>
            <color rgb="FF000000"/>
            <rFont val="Tahoma"/>
            <family val="2"/>
            <charset val="1"/>
          </rPr>
          <t xml:space="preserve"> = K</t>
        </r>
        <r>
          <rPr>
            <b val="true"/>
            <vertAlign val="subscript"/>
            <sz val="9"/>
            <color rgb="FF000000"/>
            <rFont val="Tahoma"/>
            <family val="2"/>
            <charset val="1"/>
          </rPr>
          <t xml:space="preserve">ILIM</t>
        </r>
        <r>
          <rPr>
            <b val="true"/>
            <sz val="9"/>
            <color rgb="FF000000"/>
            <rFont val="Tahoma"/>
            <family val="2"/>
            <charset val="1"/>
          </rPr>
          <t xml:space="preserve"> * V</t>
        </r>
        <r>
          <rPr>
            <b val="true"/>
            <vertAlign val="subscript"/>
            <sz val="9"/>
            <color rgb="FF000000"/>
            <rFont val="Tahoma"/>
            <family val="2"/>
            <charset val="1"/>
          </rPr>
          <t xml:space="preserve">IIN</t>
        </r>
        <r>
          <rPr>
            <b val="true"/>
            <sz val="9"/>
            <color rgb="FF000000"/>
            <rFont val="Tahoma"/>
            <family val="2"/>
            <charset val="1"/>
          </rPr>
          <t xml:space="preserve"> / (R</t>
        </r>
        <r>
          <rPr>
            <b val="true"/>
            <vertAlign val="subscript"/>
            <sz val="9"/>
            <color rgb="FF000000"/>
            <rFont val="Tahoma"/>
            <family val="2"/>
            <charset val="1"/>
          </rPr>
          <t xml:space="preserve">IIN</t>
        </r>
        <r>
          <rPr>
            <b val="true"/>
            <sz val="9"/>
            <color rgb="FF000000"/>
            <rFont val="Tahoma"/>
            <family val="2"/>
            <charset val="1"/>
          </rPr>
          <t xml:space="preserve"> * V</t>
        </r>
        <r>
          <rPr>
            <b val="true"/>
            <vertAlign val="subscript"/>
            <sz val="9"/>
            <color rgb="FF000000"/>
            <rFont val="Tahoma"/>
            <family val="2"/>
            <charset val="1"/>
          </rPr>
          <t xml:space="preserve">REF_ILIM_HIZ</t>
        </r>
        <r>
          <rPr>
            <b val="true"/>
            <sz val="9"/>
            <color rgb="FF000000"/>
            <rFont val="Tahoma"/>
            <family val="2"/>
            <charset val="1"/>
          </rPr>
          <t xml:space="preserve">)
</t>
        </r>
        <r>
          <rPr>
            <sz val="9"/>
            <color rgb="FF000000"/>
            <rFont val="Tahoma"/>
            <family val="2"/>
            <charset val="1"/>
          </rPr>
          <t xml:space="preserve">If IIN pin is shorted, the input current limit is set by the IAC_DPM register. If hardware input current limit function is not needed, it is recommended to short this pin to GND. If IIN pin is pulled above V</t>
        </r>
        <r>
          <rPr>
            <vertAlign val="subscript"/>
            <sz val="9"/>
            <color rgb="FF000000"/>
            <rFont val="Tahoma"/>
            <family val="2"/>
            <charset val="1"/>
          </rPr>
          <t xml:space="preserve">IH_ILIM_HIZ</t>
        </r>
        <r>
          <rPr>
            <sz val="9"/>
            <color rgb="FF000000"/>
            <rFont val="Tahoma"/>
            <family val="2"/>
            <charset val="1"/>
          </rPr>
          <t xml:space="preserve">, the device enters HIZ mode. The IIN pin function can be disabled by setting the EN_IIN_PIN bit to 0. When the pin is disabled, input current limit and monitoring functions as well as HIZ mode control via the pin are not available.</t>
        </r>
      </text>
    </comment>
    <comment ref="F45" authorId="0">
      <text>
        <r>
          <rPr>
            <sz val="10"/>
            <rFont val="Arial"/>
            <family val="2"/>
          </rPr>
          <t xml:space="preserve">Selected Input Pull-down Resistor:
</t>
        </r>
        <r>
          <rPr>
            <sz val="9"/>
            <color rgb="FF000000"/>
            <rFont val="Tahoma"/>
            <family val="2"/>
            <charset val="1"/>
          </rPr>
          <t xml:space="preserve">Enter Selected Input Pull-down Resistor.
</t>
        </r>
        <r>
          <rPr>
            <b val="true"/>
            <sz val="9"/>
            <color rgb="FF000000"/>
            <rFont val="Tahoma"/>
            <family val="2"/>
            <charset val="1"/>
          </rPr>
          <t xml:space="preserve">Text in cell is flagged red if:
</t>
        </r>
        <r>
          <rPr>
            <sz val="9"/>
            <color rgb="FF000000"/>
            <rFont val="Tahoma"/>
            <family val="2"/>
            <charset val="1"/>
          </rPr>
          <t xml:space="preserve">Entered Selected Input Pull-down Resistor is not between 1 kΩ and 50 kΩ.</t>
        </r>
      </text>
    </comment>
    <comment ref="F46" authorId="0">
      <text>
        <r>
          <rPr>
            <sz val="10"/>
            <rFont val="Arial"/>
            <family val="2"/>
          </rPr>
          <t xml:space="preserve">Recognized Input Current Limit:
</t>
        </r>
        <r>
          <rPr>
            <sz val="9"/>
            <color rgb="FF000000"/>
            <rFont val="Tahoma"/>
            <family val="2"/>
            <charset val="1"/>
          </rPr>
          <t xml:space="preserve">Recognized Input Current Limit based off the Selected Input Current Sense Resistor and Selected Input Pull-down Resistor. 
</t>
        </r>
        <r>
          <rPr>
            <b val="true"/>
            <sz val="9"/>
            <color rgb="FF000000"/>
            <rFont val="Tahoma"/>
            <family val="2"/>
            <charset val="1"/>
          </rPr>
          <t xml:space="preserve">Text in cell is flagged red if:
</t>
        </r>
        <r>
          <rPr>
            <sz val="9"/>
            <color rgb="FF000000"/>
            <rFont val="Tahoma"/>
            <family val="2"/>
            <charset val="1"/>
          </rPr>
          <t xml:space="preserve">The Recognized Input Current Limit is not within ±5% of Desired Input Current Limit.</t>
        </r>
      </text>
    </comment>
    <comment ref="F49" authorId="0">
      <text>
        <r>
          <rPr>
            <sz val="10"/>
            <rFont val="Arial"/>
            <family val="2"/>
          </rPr>
          <t xml:space="preserve">Battery Current Sense Resistor:
</t>
        </r>
        <r>
          <rPr>
            <sz val="9"/>
            <color rgb="FF000000"/>
            <rFont val="Tahoma"/>
            <family val="2"/>
            <charset val="1"/>
          </rPr>
          <t xml:space="preserve">The battery current sense resistor between SRP and SRN is fixed at 5 mΩ; using a different value is not recommended.
</t>
        </r>
      </text>
    </comment>
    <comment ref="F50" authorId="0">
      <text>
        <r>
          <rPr>
            <sz val="10"/>
            <rFont val="Arial"/>
            <family val="2"/>
          </rPr>
          <t xml:space="preserve">Maximum Output Current Limit:
</t>
        </r>
        <r>
          <rPr>
            <sz val="9"/>
            <color rgb="FF000000"/>
            <rFont val="Tahoma"/>
            <family val="2"/>
            <charset val="1"/>
          </rPr>
          <t xml:space="preserve">Maximum Input Current Limit is fixed at 20 A. </t>
        </r>
      </text>
    </comment>
    <comment ref="F51" authorId="0">
      <text>
        <r>
          <rPr>
            <sz val="10"/>
            <rFont val="Arial"/>
            <family val="2"/>
          </rPr>
          <t xml:space="preserve">Output Current Resolution:
</t>
        </r>
        <r>
          <rPr>
            <sz val="9"/>
            <color rgb="FF000000"/>
            <rFont val="Tahoma"/>
            <family val="2"/>
            <charset val="1"/>
          </rPr>
          <t xml:space="preserve">Output Current Resolution is fixed at 50 mA/step.</t>
        </r>
      </text>
    </comment>
    <comment ref="F52" authorId="0">
      <text>
        <r>
          <rPr>
            <sz val="10"/>
            <rFont val="Arial"/>
            <family val="2"/>
          </rPr>
          <t xml:space="preserve">Recommended Input Current Sense Resistor:
</t>
        </r>
        <r>
          <rPr>
            <sz val="9"/>
            <color rgb="FF000000"/>
            <rFont val="Tahoma"/>
            <family val="2"/>
            <charset val="1"/>
          </rPr>
          <t xml:space="preserve">The input current sense resistor between ACP and ACN is typically 2 mΩ, but can be increased to achieve better accuracy at lower sensed currents. In USB-PD EPR applications, a 5-mΩ sense resistor is recommended to achieve programmability in a 50 mA/step. 
In addition, if input current limit function is not desired, ACP and ACN may be shorted together. A filter network is recommended as shown in section 8.2 Typical Application.</t>
        </r>
      </text>
    </comment>
    <comment ref="F54" authorId="0">
      <text>
        <r>
          <rPr>
            <sz val="10"/>
            <rFont val="Arial"/>
            <family val="2"/>
          </rPr>
          <t xml:space="preserve">Selected Output Pull-down Resistor:
</t>
        </r>
        <r>
          <rPr>
            <sz val="9"/>
            <color rgb="FF000000"/>
            <rFont val="Tahoma"/>
            <family val="2"/>
            <charset val="1"/>
          </rPr>
          <t xml:space="preserve">Enter Selected Output Pull-down Resistor.
</t>
        </r>
        <r>
          <rPr>
            <b val="true"/>
            <sz val="9"/>
            <color rgb="FF000000"/>
            <rFont val="Tahoma"/>
            <family val="2"/>
            <charset val="1"/>
          </rPr>
          <t xml:space="preserve">Text in cell is flagged red if:
</t>
        </r>
        <r>
          <rPr>
            <sz val="9"/>
            <color rgb="FF000000"/>
            <rFont val="Tahoma"/>
            <family val="2"/>
            <charset val="1"/>
          </rPr>
          <t xml:space="preserve">Entered Selected Output Pull-down Resistor is not between 1 kΩ and 50 kΩ.</t>
        </r>
      </text>
    </comment>
    <comment ref="F55" authorId="0">
      <text>
        <r>
          <rPr>
            <sz val="10"/>
            <rFont val="Arial"/>
            <family val="2"/>
          </rPr>
          <t xml:space="preserve">Recognized Output Current Limit:
</t>
        </r>
        <r>
          <rPr>
            <sz val="9"/>
            <color rgb="FF000000"/>
            <rFont val="Tahoma"/>
            <family val="2"/>
            <charset val="1"/>
          </rPr>
          <t xml:space="preserve">Recognized Output Current Limit based off the Battery Current Sense Resistor and Selected Output Pull-down Resistor. 
</t>
        </r>
        <r>
          <rPr>
            <b val="true"/>
            <sz val="9"/>
            <color rgb="FF000000"/>
            <rFont val="Tahoma"/>
            <family val="2"/>
            <charset val="1"/>
          </rPr>
          <t xml:space="preserve">Text in cell is flagged red if:
</t>
        </r>
        <r>
          <rPr>
            <sz val="9"/>
            <color rgb="FF000000"/>
            <rFont val="Tahoma"/>
            <family val="2"/>
            <charset val="1"/>
          </rPr>
          <t xml:space="preserve">The Recognized Output Current Limit is not within ±5% of Desired Output Current Limit.</t>
        </r>
      </text>
    </comment>
    <comment ref="F58" authorId="0">
      <text>
        <r>
          <rPr>
            <sz val="10"/>
            <rFont val="Arial"/>
            <family val="2"/>
          </rPr>
          <t xml:space="preserve">Desired Input Overvoltage Limit:
</t>
        </r>
        <r>
          <rPr>
            <sz val="9"/>
            <color rgb="FF000000"/>
            <rFont val="Tahoma"/>
            <family val="2"/>
            <charset val="1"/>
          </rPr>
          <t xml:space="preserve">The input operating window is programmed via the ACUV and ACOV pins using a three-resistor divider from V</t>
        </r>
        <r>
          <rPr>
            <vertAlign val="subscript"/>
            <sz val="9"/>
            <color rgb="FF000000"/>
            <rFont val="Tahoma"/>
            <family val="2"/>
            <charset val="1"/>
          </rPr>
          <t xml:space="preserve">AC</t>
        </r>
        <r>
          <rPr>
            <sz val="9"/>
            <color rgb="FF000000"/>
            <rFont val="Tahoma"/>
            <family val="2"/>
            <charset val="1"/>
          </rPr>
          <t xml:space="preserve"> to PGND. When the input voltage is outside the programmed window, the device automatically stops switching, and the PG pin pulls HIGH.
</t>
        </r>
        <r>
          <rPr>
            <b val="true"/>
            <sz val="9"/>
            <color rgb="FF000000"/>
            <rFont val="Tahoma"/>
            <family val="2"/>
            <charset val="1"/>
          </rPr>
          <t xml:space="preserve">Note:</t>
        </r>
        <r>
          <rPr>
            <sz val="9"/>
            <color rgb="FF000000"/>
            <rFont val="Tahoma"/>
            <family val="2"/>
            <charset val="1"/>
          </rPr>
          <t xml:space="preserve"> The device also features an internal over-voltage protection preset at V</t>
        </r>
        <r>
          <rPr>
            <vertAlign val="subscript"/>
            <sz val="9"/>
            <color rgb="FF000000"/>
            <rFont val="Tahoma"/>
            <family val="2"/>
            <charset val="1"/>
          </rPr>
          <t xml:space="preserve">VAC_INT_OV</t>
        </r>
        <r>
          <rPr>
            <sz val="9"/>
            <color rgb="FF000000"/>
            <rFont val="Tahoma"/>
            <family val="2"/>
            <charset val="1"/>
          </rPr>
          <t xml:space="preserve">. When the input voltage rises above the lower of these two thresholds, the device disables the charger.</t>
        </r>
      </text>
    </comment>
    <comment ref="F59" authorId="0">
      <text>
        <r>
          <rPr>
            <sz val="10"/>
            <rFont val="Arial"/>
            <family val="2"/>
          </rPr>
          <t xml:space="preserve">Desired Input Undervoltage Limit:
</t>
        </r>
        <r>
          <rPr>
            <sz val="9"/>
            <color rgb="FF000000"/>
            <rFont val="Tahoma"/>
            <family val="2"/>
            <charset val="1"/>
          </rPr>
          <t xml:space="preserve">The input operating window is programmed via the ACUV and ACOV pins using a three-resistor divider from V</t>
        </r>
        <r>
          <rPr>
            <vertAlign val="subscript"/>
            <sz val="9"/>
            <color rgb="FF000000"/>
            <rFont val="Tahoma"/>
            <family val="2"/>
            <charset val="1"/>
          </rPr>
          <t xml:space="preserve">AC</t>
        </r>
        <r>
          <rPr>
            <sz val="9"/>
            <color rgb="FF000000"/>
            <rFont val="Tahoma"/>
            <family val="2"/>
            <charset val="1"/>
          </rPr>
          <t xml:space="preserve"> to PGND. When the input voltage is outside the programmed window, the device automatically stops switching, and the PG pin pulls HIGH.
</t>
        </r>
        <r>
          <rPr>
            <b val="true"/>
            <sz val="9"/>
            <color rgb="FF000000"/>
            <rFont val="Tahoma"/>
            <family val="2"/>
            <charset val="1"/>
          </rPr>
          <t xml:space="preserve">Note:</t>
        </r>
        <r>
          <rPr>
            <sz val="9"/>
            <color rgb="FF000000"/>
            <rFont val="Tahoma"/>
            <family val="2"/>
            <charset val="1"/>
          </rPr>
          <t xml:space="preserve"> If VAC_DPM register is programmed to a value higher than POR, the device regulates the V</t>
        </r>
        <r>
          <rPr>
            <vertAlign val="subscript"/>
            <sz val="9"/>
            <color rgb="FF000000"/>
            <rFont val="Tahoma"/>
            <family val="2"/>
            <charset val="1"/>
          </rPr>
          <t xml:space="preserve">AC</t>
        </r>
        <r>
          <rPr>
            <sz val="9"/>
            <color rgb="FF000000"/>
            <rFont val="Tahoma"/>
            <family val="2"/>
            <charset val="1"/>
          </rPr>
          <t xml:space="preserve"> voltage to the higher of VAC_DPM register or V</t>
        </r>
        <r>
          <rPr>
            <vertAlign val="subscript"/>
            <sz val="9"/>
            <color rgb="FF000000"/>
            <rFont val="Tahoma"/>
            <family val="2"/>
            <charset val="1"/>
          </rPr>
          <t xml:space="preserve">ACUV_DPM</t>
        </r>
        <r>
          <rPr>
            <sz val="9"/>
            <color rgb="FF000000"/>
            <rFont val="Tahoma"/>
            <family val="2"/>
            <charset val="1"/>
          </rPr>
          <t xml:space="preserve"> pin voltage. </t>
        </r>
      </text>
    </comment>
    <comment ref="F60" authorId="0">
      <text>
        <r>
          <rPr>
            <sz val="10"/>
            <rFont val="Arial"/>
            <family val="2"/>
          </rPr>
          <t xml:space="preserve">Recommended Top Resister:
</t>
        </r>
        <r>
          <rPr>
            <sz val="9"/>
            <color rgb="FF000000"/>
            <rFont val="Tahoma"/>
            <family val="2"/>
            <charset val="1"/>
          </rPr>
          <t xml:space="preserve">The top resistor, R</t>
        </r>
        <r>
          <rPr>
            <vertAlign val="subscript"/>
            <sz val="9"/>
            <color rgb="FF000000"/>
            <rFont val="Tahoma"/>
            <family val="2"/>
            <charset val="1"/>
          </rPr>
          <t xml:space="preserve">AC1</t>
        </r>
        <r>
          <rPr>
            <sz val="9"/>
            <color rgb="FF000000"/>
            <rFont val="Tahoma"/>
            <family val="2"/>
            <charset val="1"/>
          </rPr>
          <t xml:space="preserve"> is typically selected as 1,000 kΩ to minimize the input voltage leakage current. The internal reference for the over-voltage threshold (VREF_ACOV) is 1.2 V. The internal reference for the under-voltage threshold (VREF_ACUV) is 1.1 V. 
The resistor divider required can be calculated as follows:
</t>
        </r>
        <r>
          <rPr>
            <b val="true"/>
            <sz val="9"/>
            <color rgb="FF000000"/>
            <rFont val="Tahoma"/>
            <family val="2"/>
            <charset val="1"/>
          </rPr>
          <t xml:space="preserve">V</t>
        </r>
        <r>
          <rPr>
            <b val="true"/>
            <vertAlign val="subscript"/>
            <sz val="9"/>
            <color rgb="FF000000"/>
            <rFont val="Tahoma"/>
            <family val="2"/>
            <charset val="1"/>
          </rPr>
          <t xml:space="preserve">VACOVP</t>
        </r>
        <r>
          <rPr>
            <b val="true"/>
            <sz val="9"/>
            <color rgb="FF000000"/>
            <rFont val="Tahoma"/>
            <family val="2"/>
            <charset val="1"/>
          </rPr>
          <t xml:space="preserve"> = 1.2V(R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AC3
</t>
        </r>
        <r>
          <rPr>
            <b val="true"/>
            <sz val="9"/>
            <color rgb="FF000000"/>
            <rFont val="Tahoma"/>
            <family val="2"/>
            <charset val="1"/>
          </rPr>
          <t xml:space="preserve">
V</t>
        </r>
        <r>
          <rPr>
            <b val="true"/>
            <vertAlign val="subscript"/>
            <sz val="9"/>
            <color rgb="FF000000"/>
            <rFont val="Tahoma"/>
            <family val="2"/>
            <charset val="1"/>
          </rPr>
          <t xml:space="preserve">VACUVP</t>
        </r>
        <r>
          <rPr>
            <b val="true"/>
            <sz val="9"/>
            <color rgb="FF000000"/>
            <rFont val="Tahoma"/>
            <family val="2"/>
            <charset val="1"/>
          </rPr>
          <t xml:space="preserve"> = 1.1V(R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t>
        </r>
      </text>
    </comment>
    <comment ref="F61" authorId="0">
      <text>
        <r>
          <rPr>
            <sz val="10"/>
            <rFont val="Arial"/>
            <family val="2"/>
          </rPr>
          <t xml:space="preserve">Recommended Middle Resister:
</t>
        </r>
        <r>
          <rPr>
            <sz val="9"/>
            <color rgb="FF000000"/>
            <rFont val="Tahoma"/>
            <family val="2"/>
            <charset val="1"/>
          </rPr>
          <t xml:space="preserve">The resistor divider required can be calculated as follows:
</t>
        </r>
        <r>
          <rPr>
            <b val="true"/>
            <sz val="9"/>
            <color rgb="FF000000"/>
            <rFont val="Tahoma"/>
            <family val="2"/>
            <charset val="1"/>
          </rPr>
          <t xml:space="preserve">V</t>
        </r>
        <r>
          <rPr>
            <b val="true"/>
            <vertAlign val="subscript"/>
            <sz val="9"/>
            <color rgb="FF000000"/>
            <rFont val="Tahoma"/>
            <family val="2"/>
            <charset val="1"/>
          </rPr>
          <t xml:space="preserve">VACOVP</t>
        </r>
        <r>
          <rPr>
            <b val="true"/>
            <sz val="9"/>
            <color rgb="FF000000"/>
            <rFont val="Tahoma"/>
            <family val="2"/>
            <charset val="1"/>
          </rPr>
          <t xml:space="preserve"> = 1.2V(R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AC3
</t>
        </r>
        <r>
          <rPr>
            <b val="true"/>
            <sz val="9"/>
            <color rgb="FF000000"/>
            <rFont val="Tahoma"/>
            <family val="2"/>
            <charset val="1"/>
          </rPr>
          <t xml:space="preserve">
V</t>
        </r>
        <r>
          <rPr>
            <b val="true"/>
            <vertAlign val="subscript"/>
            <sz val="9"/>
            <color rgb="FF000000"/>
            <rFont val="Tahoma"/>
            <family val="2"/>
            <charset val="1"/>
          </rPr>
          <t xml:space="preserve">VACUVP</t>
        </r>
        <r>
          <rPr>
            <b val="true"/>
            <sz val="9"/>
            <color rgb="FF000000"/>
            <rFont val="Tahoma"/>
            <family val="2"/>
            <charset val="1"/>
          </rPr>
          <t xml:space="preserve"> = 1.1V(R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t>
        </r>
      </text>
    </comment>
    <comment ref="F62" authorId="0">
      <text>
        <r>
          <rPr>
            <sz val="10"/>
            <rFont val="Arial"/>
            <family val="2"/>
          </rPr>
          <t xml:space="preserve">Recommended Bottom Resister:
</t>
        </r>
        <r>
          <rPr>
            <sz val="9"/>
            <color rgb="FF000000"/>
            <rFont val="Tahoma"/>
            <family val="2"/>
            <charset val="1"/>
          </rPr>
          <t xml:space="preserve">The resistor divider required can be calculated as follows:
</t>
        </r>
        <r>
          <rPr>
            <b val="true"/>
            <sz val="9"/>
            <color rgb="FF000000"/>
            <rFont val="Tahoma"/>
            <family val="2"/>
            <charset val="1"/>
          </rPr>
          <t xml:space="preserve">V</t>
        </r>
        <r>
          <rPr>
            <b val="true"/>
            <vertAlign val="subscript"/>
            <sz val="9"/>
            <color rgb="FF000000"/>
            <rFont val="Tahoma"/>
            <family val="2"/>
            <charset val="1"/>
          </rPr>
          <t xml:space="preserve">VACOVP</t>
        </r>
        <r>
          <rPr>
            <b val="true"/>
            <sz val="9"/>
            <color rgb="FF000000"/>
            <rFont val="Tahoma"/>
            <family val="2"/>
            <charset val="1"/>
          </rPr>
          <t xml:space="preserve"> = 1.2V(R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AC3
</t>
        </r>
        <r>
          <rPr>
            <b val="true"/>
            <sz val="9"/>
            <color rgb="FF000000"/>
            <rFont val="Tahoma"/>
            <family val="2"/>
            <charset val="1"/>
          </rPr>
          <t xml:space="preserve">
V</t>
        </r>
        <r>
          <rPr>
            <b val="true"/>
            <vertAlign val="subscript"/>
            <sz val="9"/>
            <color rgb="FF000000"/>
            <rFont val="Tahoma"/>
            <family val="2"/>
            <charset val="1"/>
          </rPr>
          <t xml:space="preserve">VACUVP</t>
        </r>
        <r>
          <rPr>
            <b val="true"/>
            <sz val="9"/>
            <color rgb="FF000000"/>
            <rFont val="Tahoma"/>
            <family val="2"/>
            <charset val="1"/>
          </rPr>
          <t xml:space="preserve"> = 1.1V(R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t>
        </r>
      </text>
    </comment>
    <comment ref="F66" authorId="0">
      <text>
        <r>
          <rPr>
            <sz val="10"/>
            <rFont val="Arial"/>
            <family val="2"/>
          </rPr>
          <t xml:space="preserve">Recognized Input Overvoltage Limit:
</t>
        </r>
        <r>
          <rPr>
            <sz val="9"/>
            <color rgb="FF000000"/>
            <rFont val="Tahoma"/>
            <family val="2"/>
            <charset val="1"/>
          </rPr>
          <t xml:space="preserve">Recognized Input Overvoltage Limit based off R</t>
        </r>
        <r>
          <rPr>
            <vertAlign val="subscript"/>
            <sz val="9"/>
            <color rgb="FF000000"/>
            <rFont val="Tahoma"/>
            <family val="2"/>
            <charset val="1"/>
          </rPr>
          <t xml:space="preserve">AC1</t>
        </r>
        <r>
          <rPr>
            <sz val="9"/>
            <color rgb="FF000000"/>
            <rFont val="Tahoma"/>
            <family val="2"/>
            <charset val="1"/>
          </rPr>
          <t xml:space="preserve">, R</t>
        </r>
        <r>
          <rPr>
            <vertAlign val="subscript"/>
            <sz val="9"/>
            <color rgb="FF000000"/>
            <rFont val="Tahoma"/>
            <family val="2"/>
            <charset val="1"/>
          </rPr>
          <t xml:space="preserve">AC2</t>
        </r>
        <r>
          <rPr>
            <sz val="9"/>
            <color rgb="FF000000"/>
            <rFont val="Tahoma"/>
            <family val="2"/>
            <charset val="1"/>
          </rPr>
          <t xml:space="preserve">, and R</t>
        </r>
        <r>
          <rPr>
            <vertAlign val="subscript"/>
            <sz val="9"/>
            <color rgb="FF000000"/>
            <rFont val="Tahoma"/>
            <family val="2"/>
            <charset val="1"/>
          </rPr>
          <t xml:space="preserve">AC3</t>
        </r>
        <r>
          <rPr>
            <sz val="9"/>
            <color rgb="FF000000"/>
            <rFont val="Tahoma"/>
            <family val="2"/>
            <charset val="1"/>
          </rPr>
          <t xml:space="preserve">. 
</t>
        </r>
        <r>
          <rPr>
            <b val="true"/>
            <sz val="9"/>
            <color rgb="FF000000"/>
            <rFont val="Tahoma"/>
            <family val="2"/>
            <charset val="1"/>
          </rPr>
          <t xml:space="preserve">Text in cell is flagged red if:
</t>
        </r>
        <r>
          <rPr>
            <sz val="9"/>
            <color rgb="FF000000"/>
            <rFont val="Tahoma"/>
            <family val="2"/>
            <charset val="1"/>
          </rPr>
          <t xml:space="preserve">The Recognized Input Overvoltage Limit is not within ±5% of Desired Input Overvoltage Limit.</t>
        </r>
      </text>
    </comment>
    <comment ref="F67" authorId="0">
      <text>
        <r>
          <rPr>
            <sz val="10"/>
            <rFont val="Arial"/>
            <family val="2"/>
          </rPr>
          <t xml:space="preserve">Recognized Input Undervoltage Limit:
</t>
        </r>
        <r>
          <rPr>
            <sz val="9"/>
            <color rgb="FF000000"/>
            <rFont val="Tahoma"/>
            <family val="2"/>
            <charset val="1"/>
          </rPr>
          <t xml:space="preserve">Recognized Input Undervoltage Limit based off R</t>
        </r>
        <r>
          <rPr>
            <vertAlign val="subscript"/>
            <sz val="9"/>
            <color rgb="FF000000"/>
            <rFont val="Tahoma"/>
            <family val="2"/>
            <charset val="1"/>
          </rPr>
          <t xml:space="preserve">AC1</t>
        </r>
        <r>
          <rPr>
            <sz val="9"/>
            <color rgb="FF000000"/>
            <rFont val="Tahoma"/>
            <family val="2"/>
            <charset val="1"/>
          </rPr>
          <t xml:space="preserve">, R</t>
        </r>
        <r>
          <rPr>
            <vertAlign val="subscript"/>
            <sz val="9"/>
            <color rgb="FF000000"/>
            <rFont val="Tahoma"/>
            <family val="2"/>
            <charset val="1"/>
          </rPr>
          <t xml:space="preserve">AC2</t>
        </r>
        <r>
          <rPr>
            <sz val="9"/>
            <color rgb="FF000000"/>
            <rFont val="Tahoma"/>
            <family val="2"/>
            <charset val="1"/>
          </rPr>
          <t xml:space="preserve">, and R</t>
        </r>
        <r>
          <rPr>
            <vertAlign val="subscript"/>
            <sz val="9"/>
            <color rgb="FF000000"/>
            <rFont val="Tahoma"/>
            <family val="2"/>
            <charset val="1"/>
          </rPr>
          <t xml:space="preserve">AC3</t>
        </r>
        <r>
          <rPr>
            <sz val="9"/>
            <color rgb="FF000000"/>
            <rFont val="Tahoma"/>
            <family val="2"/>
            <charset val="1"/>
          </rPr>
          <t xml:space="preserve">. 
</t>
        </r>
        <r>
          <rPr>
            <b val="true"/>
            <sz val="9"/>
            <color rgb="FF000000"/>
            <rFont val="Tahoma"/>
            <family val="2"/>
            <charset val="1"/>
          </rPr>
          <t xml:space="preserve">Text in cell is flagged red if:
</t>
        </r>
        <r>
          <rPr>
            <sz val="9"/>
            <color rgb="FF000000"/>
            <rFont val="Tahoma"/>
            <family val="2"/>
            <charset val="1"/>
          </rPr>
          <t xml:space="preserve">The Recognized Input Undervoltage Limit is not within ±5% of Desired Input Undervoltage Limit.</t>
        </r>
      </text>
    </comment>
    <comment ref="F70" authorId="0">
      <text>
        <r>
          <rPr>
            <sz val="10"/>
            <rFont val="Arial"/>
            <family val="2"/>
          </rPr>
          <t xml:space="preserve">Desired Battery Regulation Target:
</t>
        </r>
        <r>
          <rPr>
            <sz val="9"/>
            <color rgb="FF000000"/>
            <rFont val="Tahoma"/>
            <family val="2"/>
            <charset val="1"/>
          </rPr>
          <t xml:space="preserve">The battery regulation voltage is programmed using a resistor divider to the FB pin. The default internal voltage reference is 1.536V, and can be changed via the VFB_REG register bits. The top of the resistor divider is recommended to be 249 kΩ.
The bottom resistor can be calculated as:
</t>
        </r>
        <r>
          <rPr>
            <b val="true"/>
            <sz val="9"/>
            <color rgb="FF000000"/>
            <rFont val="Tahoma"/>
            <family val="2"/>
            <charset val="1"/>
          </rPr>
          <t xml:space="preserve">R</t>
        </r>
        <r>
          <rPr>
            <b val="true"/>
            <vertAlign val="subscript"/>
            <sz val="9"/>
            <color rgb="FF000000"/>
            <rFont val="Tahoma"/>
            <family val="2"/>
            <charset val="1"/>
          </rPr>
          <t xml:space="preserve">FB_BOT</t>
        </r>
        <r>
          <rPr>
            <b val="true"/>
            <sz val="9"/>
            <color rgb="FF000000"/>
            <rFont val="Tahoma"/>
            <family val="2"/>
            <charset val="1"/>
          </rPr>
          <t xml:space="preserve"> = (R</t>
        </r>
        <r>
          <rPr>
            <b val="true"/>
            <vertAlign val="subscript"/>
            <sz val="9"/>
            <color rgb="FF000000"/>
            <rFont val="Tahoma"/>
            <family val="2"/>
            <charset val="1"/>
          </rPr>
          <t xml:space="preserve">FB_TOP</t>
        </r>
        <r>
          <rPr>
            <b val="true"/>
            <sz val="9"/>
            <color rgb="FF000000"/>
            <rFont val="Tahoma"/>
            <family val="2"/>
            <charset val="1"/>
          </rPr>
          <t xml:space="preserve">* V</t>
        </r>
        <r>
          <rPr>
            <b val="true"/>
            <vertAlign val="subscript"/>
            <sz val="9"/>
            <color rgb="FF000000"/>
            <rFont val="Tahoma"/>
            <family val="2"/>
            <charset val="1"/>
          </rPr>
          <t xml:space="preserve">FB</t>
        </r>
        <r>
          <rPr>
            <b val="true"/>
            <sz val="9"/>
            <color rgb="FF000000"/>
            <rFont val="Tahoma"/>
            <family val="2"/>
            <charset val="1"/>
          </rPr>
          <t xml:space="preserve"> / (V</t>
        </r>
        <r>
          <rPr>
            <b val="true"/>
            <vertAlign val="subscript"/>
            <sz val="9"/>
            <color rgb="FF000000"/>
            <rFont val="Tahoma"/>
            <family val="2"/>
            <charset val="1"/>
          </rPr>
          <t xml:space="preserve">BATREG</t>
        </r>
        <r>
          <rPr>
            <b val="true"/>
            <sz val="9"/>
            <color rgb="FF000000"/>
            <rFont val="Tahoma"/>
            <family val="2"/>
            <charset val="1"/>
          </rPr>
          <t xml:space="preserve"> - V</t>
        </r>
        <r>
          <rPr>
            <b val="true"/>
            <vertAlign val="subscript"/>
            <sz val="9"/>
            <color rgb="FF000000"/>
            <rFont val="Tahoma"/>
            <family val="2"/>
            <charset val="1"/>
          </rPr>
          <t xml:space="preserve">FB</t>
        </r>
        <r>
          <rPr>
            <b val="true"/>
            <sz val="9"/>
            <color rgb="FF000000"/>
            <rFont val="Tahoma"/>
            <family val="2"/>
            <charset val="1"/>
          </rPr>
          <t xml:space="preserve">) ) + R</t>
        </r>
        <r>
          <rPr>
            <b val="true"/>
            <vertAlign val="subscript"/>
            <sz val="9"/>
            <color rgb="FF000000"/>
            <rFont val="Tahoma"/>
            <family val="2"/>
            <charset val="1"/>
          </rPr>
          <t xml:space="preserve">FBG
</t>
        </r>
        <r>
          <rPr>
            <sz val="9"/>
            <color rgb="FF000000"/>
            <rFont val="Tahoma"/>
            <family val="2"/>
            <charset val="1"/>
          </rPr>
          <t xml:space="preserve">
where:
V</t>
        </r>
        <r>
          <rPr>
            <vertAlign val="subscript"/>
            <sz val="9"/>
            <color rgb="FF000000"/>
            <rFont val="Tahoma"/>
            <family val="2"/>
            <charset val="1"/>
          </rPr>
          <t xml:space="preserve">FB</t>
        </r>
        <r>
          <rPr>
            <sz val="9"/>
            <color rgb="FF000000"/>
            <rFont val="Tahoma"/>
            <family val="2"/>
            <charset val="1"/>
          </rPr>
          <t xml:space="preserve"> is the target feedback voltage programmed through I2C (default 1.536V)
V</t>
        </r>
        <r>
          <rPr>
            <vertAlign val="subscript"/>
            <sz val="9"/>
            <color rgb="FF000000"/>
            <rFont val="Tahoma"/>
            <family val="2"/>
            <charset val="1"/>
          </rPr>
          <t xml:space="preserve">BATREG</t>
        </r>
        <r>
          <rPr>
            <sz val="9"/>
            <color rgb="FF000000"/>
            <rFont val="Tahoma"/>
            <family val="2"/>
            <charset val="1"/>
          </rPr>
          <t xml:space="preserve"> is the desired battery regulation target
R</t>
        </r>
        <r>
          <rPr>
            <vertAlign val="subscript"/>
            <sz val="9"/>
            <color rgb="FF000000"/>
            <rFont val="Tahoma"/>
            <family val="2"/>
            <charset val="1"/>
          </rPr>
          <t xml:space="preserve">FBG</t>
        </r>
        <r>
          <rPr>
            <sz val="9"/>
            <color rgb="FF000000"/>
            <rFont val="Tahoma"/>
            <family val="2"/>
            <charset val="1"/>
          </rPr>
          <t xml:space="preserve"> is the internal FBG pull-down resistor (33 Ω)
Further fine-tuning of the regulation voltage can be achieved by changing the internal feedback reference (V</t>
        </r>
        <r>
          <rPr>
            <vertAlign val="subscript"/>
            <sz val="9"/>
            <color rgb="FF000000"/>
            <rFont val="Tahoma"/>
            <family val="2"/>
            <charset val="1"/>
          </rPr>
          <t xml:space="preserve">FB</t>
        </r>
        <r>
          <rPr>
            <sz val="9"/>
            <color rgb="FF000000"/>
            <rFont val="Tahoma"/>
            <family val="2"/>
            <charset val="1"/>
          </rPr>
          <t xml:space="preserve">).</t>
        </r>
      </text>
    </comment>
    <comment ref="F72" authorId="0">
      <text>
        <r>
          <rPr>
            <sz val="10"/>
            <rFont val="Arial"/>
            <family val="2"/>
          </rPr>
          <t xml:space="preserve">R</t>
        </r>
        <r>
          <rPr>
            <b val="true"/>
            <u val="single"/>
            <vertAlign val="subscript"/>
            <sz val="9"/>
            <color rgb="FF000000"/>
            <rFont val="Tahoma"/>
            <family val="2"/>
            <charset val="1"/>
          </rPr>
          <t xml:space="preserve">FB_BOT</t>
        </r>
        <r>
          <rPr>
            <b val="true"/>
            <u val="single"/>
            <sz val="9"/>
            <color rgb="FF000000"/>
            <rFont val="Tahoma"/>
            <family val="2"/>
            <charset val="1"/>
          </rPr>
          <t xml:space="preserve">:
</t>
        </r>
        <r>
          <rPr>
            <sz val="9"/>
            <color rgb="FF000000"/>
            <rFont val="Tahoma"/>
            <family val="0"/>
            <charset val="1"/>
          </rPr>
          <t xml:space="preserve">This resistor value is calculated based on the default feedback voltage V</t>
        </r>
        <r>
          <rPr>
            <vertAlign val="subscript"/>
            <sz val="9"/>
            <color rgb="FF000000"/>
            <rFont val="Tahoma"/>
            <family val="2"/>
            <charset val="1"/>
          </rPr>
          <t xml:space="preserve">FB</t>
        </r>
        <r>
          <rPr>
            <sz val="9"/>
            <color rgb="FF000000"/>
            <rFont val="Tahoma"/>
            <family val="0"/>
            <charset val="1"/>
          </rPr>
          <t xml:space="preserve"> = 1.536V
</t>
        </r>
      </text>
    </comment>
    <comment ref="F73" authorId="0">
      <text>
        <r>
          <rPr>
            <sz val="10"/>
            <rFont val="Arial"/>
            <family val="2"/>
          </rPr>
          <t xml:space="preserve">V</t>
        </r>
        <r>
          <rPr>
            <b val="true"/>
            <u val="single"/>
            <vertAlign val="subscript"/>
            <sz val="9"/>
            <color rgb="FF000000"/>
            <rFont val="Tahoma"/>
            <family val="2"/>
            <charset val="1"/>
          </rPr>
          <t xml:space="preserve">FB</t>
        </r>
        <r>
          <rPr>
            <b val="true"/>
            <u val="single"/>
            <sz val="9"/>
            <color rgb="FF000000"/>
            <rFont val="Tahoma"/>
            <family val="2"/>
            <charset val="1"/>
          </rPr>
          <t xml:space="preserve"> adjustment:
</t>
        </r>
        <r>
          <rPr>
            <sz val="9"/>
            <color rgb="FF000000"/>
            <rFont val="Tahoma"/>
            <family val="2"/>
            <charset val="1"/>
          </rPr>
          <t xml:space="preserve">Based on the recommended R</t>
        </r>
        <r>
          <rPr>
            <vertAlign val="subscript"/>
            <sz val="9"/>
            <color rgb="FF000000"/>
            <rFont val="Tahoma"/>
            <family val="2"/>
            <charset val="1"/>
          </rPr>
          <t xml:space="preserve">FB_BOT</t>
        </r>
        <r>
          <rPr>
            <sz val="9"/>
            <color rgb="FF000000"/>
            <rFont val="Tahoma"/>
            <family val="2"/>
            <charset val="1"/>
          </rPr>
          <t xml:space="preserve"> resistor, V</t>
        </r>
        <r>
          <rPr>
            <vertAlign val="subscript"/>
            <sz val="9"/>
            <color rgb="FF000000"/>
            <rFont val="Tahoma"/>
            <family val="2"/>
            <charset val="1"/>
          </rPr>
          <t xml:space="preserve">FB</t>
        </r>
        <r>
          <rPr>
            <sz val="9"/>
            <color rgb="FF000000"/>
            <rFont val="Tahoma"/>
            <family val="2"/>
            <charset val="1"/>
          </rPr>
          <t xml:space="preserve"> register is recommened to be set to this value through I2C for accurate battery target voltage regulation.</t>
        </r>
      </text>
    </comment>
    <comment ref="F76" authorId="0">
      <text>
        <r>
          <rPr>
            <sz val="10"/>
            <rFont val="Arial"/>
            <family val="2"/>
          </rPr>
          <t xml:space="preserve">Selected Target Feedback Voltage:
</t>
        </r>
        <r>
          <rPr>
            <sz val="9"/>
            <color rgb="FF000000"/>
            <rFont val="Tahoma"/>
            <family val="2"/>
            <charset val="1"/>
          </rPr>
          <t xml:space="preserve">The default internal voltage reference is 1.536 V, and can be changed via the VFB_REG register bits. 
Range: 1.504 V to 1.566 V
Bit Step: 2 mV
</t>
        </r>
      </text>
    </comment>
    <comment ref="F77" authorId="0">
      <text>
        <r>
          <rPr>
            <sz val="10"/>
            <rFont val="Arial"/>
            <family val="2"/>
          </rPr>
          <t xml:space="preserve">Recognized Battery Regulation Target:
</t>
        </r>
        <r>
          <rPr>
            <sz val="9"/>
            <color rgb="FF000000"/>
            <rFont val="Tahoma"/>
            <family val="2"/>
            <charset val="1"/>
          </rPr>
          <t xml:space="preserve">Recognized Battery Regulation Target based of the Selected Feedback Top and Bottom Resistors. 
</t>
        </r>
        <r>
          <rPr>
            <b val="true"/>
            <sz val="9"/>
            <color rgb="FF000000"/>
            <rFont val="Tahoma"/>
            <family val="2"/>
            <charset val="1"/>
          </rPr>
          <t xml:space="preserve">
Text in cell is flagged red if:
</t>
        </r>
        <r>
          <rPr>
            <sz val="9"/>
            <color rgb="FF000000"/>
            <rFont val="Tahoma"/>
            <family val="2"/>
            <charset val="1"/>
          </rPr>
          <t xml:space="preserve">The Recognized Battery Regulation Target is not within ±0.5% of the Desired Battery Regulation Target.</t>
        </r>
      </text>
    </comment>
    <comment ref="F80" authorId="0">
      <text>
        <r>
          <rPr>
            <sz val="10"/>
            <rFont val="Arial"/>
            <family val="2"/>
          </rPr>
          <t xml:space="preserve">Selected Cold Temperature Threshold:
</t>
        </r>
        <r>
          <rPr>
            <sz val="9"/>
            <color rgb="FF000000"/>
            <rFont val="Tahoma"/>
            <family val="2"/>
            <charset val="1"/>
          </rPr>
          <t xml:space="preserve">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81" authorId="0">
      <text>
        <r>
          <rPr>
            <sz val="10"/>
            <rFont val="Arial"/>
            <family val="2"/>
          </rPr>
          <t xml:space="preserve">Selected Hot Temperature Threshold:
</t>
        </r>
        <r>
          <rPr>
            <sz val="9"/>
            <color rgb="FF000000"/>
            <rFont val="Tahoma"/>
            <family val="2"/>
            <charset val="1"/>
          </rPr>
          <t xml:space="preserve">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82" authorId="0">
      <text>
        <r>
          <rPr>
            <sz val="10"/>
            <rFont val="Arial"/>
            <family val="2"/>
          </rPr>
          <t xml:space="preserve">Selected Thermistor Cold Resistance:
</t>
        </r>
        <r>
          <rPr>
            <sz val="9"/>
            <color rgb="FF000000"/>
            <rFont val="Tahoma"/>
            <family val="2"/>
            <charset val="1"/>
          </rPr>
          <t xml:space="preserve">Resistance of the chosen thermistor at the Selected Cold Temperature threshold. This can be found in the Thermistor's datasheet.</t>
        </r>
      </text>
    </comment>
    <comment ref="F83" authorId="0">
      <text>
        <r>
          <rPr>
            <sz val="10"/>
            <rFont val="Arial"/>
            <family val="2"/>
          </rPr>
          <t xml:space="preserve">Selected Thermistor Hot Resistance:
</t>
        </r>
        <r>
          <rPr>
            <sz val="9"/>
            <color rgb="FF000000"/>
            <rFont val="Tahoma"/>
            <family val="2"/>
            <charset val="1"/>
          </rPr>
          <t xml:space="preserve">Resistance of the chosen thermistor at the Selected Hot Temperature threshold. This can be found in the Thermistor's datasheet.</t>
        </r>
      </text>
    </comment>
    <comment ref="F84" authorId="0">
      <text>
        <r>
          <rPr>
            <sz val="10"/>
            <rFont val="Arial"/>
            <family val="2"/>
          </rPr>
          <t xml:space="preserve">Recommended TS Top Resistor:
</t>
        </r>
        <r>
          <rPr>
            <sz val="9"/>
            <color rgb="FF000000"/>
            <rFont val="Tahoma"/>
            <family val="2"/>
            <charset val="1"/>
          </rPr>
          <t xml:space="preserve">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rgb="FF000000"/>
            <rFont val="Tahoma"/>
            <family val="2"/>
            <charset val="1"/>
          </rPr>
          <t xml:space="preserve">COLD</t>
        </r>
        <r>
          <rPr>
            <sz val="9"/>
            <color rgb="FF000000"/>
            <rFont val="Tahoma"/>
            <family val="2"/>
            <charset val="1"/>
          </rPr>
          <t xml:space="preserve"> * RTH</t>
        </r>
        <r>
          <rPr>
            <vertAlign val="subscript"/>
            <sz val="9"/>
            <color rgb="FF000000"/>
            <rFont val="Tahoma"/>
            <family val="2"/>
            <charset val="1"/>
          </rPr>
          <t xml:space="preserve">HOT </t>
        </r>
        <r>
          <rPr>
            <sz val="9"/>
            <color rgb="FF000000"/>
            <rFont val="Tahoma"/>
            <family val="2"/>
            <charset val="1"/>
          </rPr>
          <t xml:space="preserve">* (1/VT1-1/VT5)
RT2 = -----------------------------------------------------------------
          RTH</t>
        </r>
        <r>
          <rPr>
            <vertAlign val="subscript"/>
            <sz val="9"/>
            <color rgb="FF000000"/>
            <rFont val="Tahoma"/>
            <family val="2"/>
            <charset val="1"/>
          </rPr>
          <t xml:space="preserve">HOT</t>
        </r>
        <r>
          <rPr>
            <sz val="9"/>
            <color rgb="FF000000"/>
            <rFont val="Tahoma"/>
            <family val="2"/>
            <charset val="1"/>
          </rPr>
          <t xml:space="preserve"> * (1/VT5 - 1) - RTH</t>
        </r>
        <r>
          <rPr>
            <vertAlign val="subscript"/>
            <sz val="9"/>
            <color rgb="FF000000"/>
            <rFont val="Tahoma"/>
            <family val="2"/>
            <charset val="1"/>
          </rPr>
          <t xml:space="preserve">COLD</t>
        </r>
        <r>
          <rPr>
            <sz val="9"/>
            <color rgb="FF000000"/>
            <rFont val="Tahoma"/>
            <family val="2"/>
            <charset val="1"/>
          </rPr>
          <t xml:space="preserve"> * (1/VT1 - 1)
                  1/VT1 - 1
RT1 = -------------------------------
            1/RT2 + 1/RTH</t>
        </r>
        <r>
          <rPr>
            <vertAlign val="subscript"/>
            <sz val="9"/>
            <color rgb="FF000000"/>
            <rFont val="Tahoma"/>
            <family val="2"/>
            <charset val="1"/>
          </rPr>
          <t xml:space="preserve">COLD</t>
        </r>
        <r>
          <rPr>
            <sz val="9"/>
            <color rgb="FF000000"/>
            <rFont val="Tahoma"/>
            <family val="2"/>
            <charset val="1"/>
          </rPr>
          <t xml:space="preserve"> 
where VT1 and VT5 are the voltage thresholds that the charger will operate in. VT1 and VT5 can be calculated by multiplying the REGN voltage by the corresponding temperature threshold control ratio. This threshold control ratio can be found in </t>
        </r>
        <r>
          <rPr>
            <b val="true"/>
            <sz val="9"/>
            <color rgb="FF000000"/>
            <rFont val="Tahoma"/>
            <family val="2"/>
            <charset val="1"/>
          </rPr>
          <t xml:space="preserve">Table 7-23. REG0x1b_TS_Chargin_Threshold_Control Register Field Descriptions.</t>
        </r>
      </text>
    </comment>
    <comment ref="F85" authorId="0">
      <text>
        <r>
          <rPr>
            <sz val="10"/>
            <rFont val="Arial"/>
            <family val="2"/>
          </rPr>
          <t xml:space="preserve">Recommended TS Bottom Resistor:
</t>
        </r>
        <r>
          <rPr>
            <sz val="9"/>
            <color rgb="FF000000"/>
            <rFont val="Tahoma"/>
            <family val="2"/>
            <charset val="1"/>
          </rPr>
          <t xml:space="preserve">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rgb="FF000000"/>
            <rFont val="Tahoma"/>
            <family val="2"/>
            <charset val="1"/>
          </rPr>
          <t xml:space="preserve">COLD</t>
        </r>
        <r>
          <rPr>
            <sz val="9"/>
            <color rgb="FF000000"/>
            <rFont val="Tahoma"/>
            <family val="2"/>
            <charset val="1"/>
          </rPr>
          <t xml:space="preserve"> * RTH</t>
        </r>
        <r>
          <rPr>
            <vertAlign val="subscript"/>
            <sz val="9"/>
            <color rgb="FF000000"/>
            <rFont val="Tahoma"/>
            <family val="2"/>
            <charset val="1"/>
          </rPr>
          <t xml:space="preserve">HOT </t>
        </r>
        <r>
          <rPr>
            <sz val="9"/>
            <color rgb="FF000000"/>
            <rFont val="Tahoma"/>
            <family val="2"/>
            <charset val="1"/>
          </rPr>
          <t xml:space="preserve">* (1/VT1-1/VT5)
RT2 = -----------------------------------------------------------------
          RTH</t>
        </r>
        <r>
          <rPr>
            <vertAlign val="subscript"/>
            <sz val="9"/>
            <color rgb="FF000000"/>
            <rFont val="Tahoma"/>
            <family val="2"/>
            <charset val="1"/>
          </rPr>
          <t xml:space="preserve">HOT</t>
        </r>
        <r>
          <rPr>
            <sz val="9"/>
            <color rgb="FF000000"/>
            <rFont val="Tahoma"/>
            <family val="2"/>
            <charset val="1"/>
          </rPr>
          <t xml:space="preserve"> * (1/VT5 - 1) - RTH</t>
        </r>
        <r>
          <rPr>
            <vertAlign val="subscript"/>
            <sz val="9"/>
            <color rgb="FF000000"/>
            <rFont val="Tahoma"/>
            <family val="2"/>
            <charset val="1"/>
          </rPr>
          <t xml:space="preserve">COLD</t>
        </r>
        <r>
          <rPr>
            <sz val="9"/>
            <color rgb="FF000000"/>
            <rFont val="Tahoma"/>
            <family val="2"/>
            <charset val="1"/>
          </rPr>
          <t xml:space="preserve"> * (1/VT1 - 1)
                  1/VT1 - 1
RT1 = -------------------------------
            1/RT2 + 1/RTH</t>
        </r>
        <r>
          <rPr>
            <vertAlign val="subscript"/>
            <sz val="9"/>
            <color rgb="FF000000"/>
            <rFont val="Tahoma"/>
            <family val="2"/>
            <charset val="1"/>
          </rPr>
          <t xml:space="preserve">COLD</t>
        </r>
        <r>
          <rPr>
            <sz val="9"/>
            <color rgb="FF000000"/>
            <rFont val="Tahoma"/>
            <family val="2"/>
            <charset val="1"/>
          </rPr>
          <t xml:space="preserve"> 
where VT1 and VT5 are the voltage thresholds that the charger will operate in. VT1 and VT5 can be calculated by multiplying the REGN voltage by the corresponding temperature threshold control ratio. This threshold control ratio can be found in </t>
        </r>
        <r>
          <rPr>
            <b val="true"/>
            <sz val="9"/>
            <color rgb="FF000000"/>
            <rFont val="Tahoma"/>
            <family val="2"/>
            <charset val="1"/>
          </rPr>
          <t xml:space="preserve">Table 7-23. REG0x1b_TS_Chargin_Threshold_Control Register Field Descriptions.</t>
        </r>
      </text>
    </comment>
    <comment ref="F88" authorId="0">
      <text>
        <r>
          <rPr>
            <sz val="10"/>
            <rFont val="Arial"/>
            <family val="2"/>
          </rPr>
          <t xml:space="preserve">Desired Operation:
</t>
        </r>
        <r>
          <rPr>
            <sz val="9"/>
            <color rgb="FF000000"/>
            <rFont val="Tahoma"/>
            <family val="2"/>
            <charset val="1"/>
          </rPr>
          <t xml:space="preserve">The MODE pin can be used to configure the device as either a Buck-Boost or Buck-Only configuration. When configured as Buck-Only typical inductor value used must be provided to appropriately compensate the converter. 
The Recommended MODE Resistance should be used to get the Desired Operation with the proper converter compensation for the Selected Inductance. 
At POR, the device detects the MODE pin pull down resistance, then sets the device operating mode as shown below. The MODE pin resistance detection is only done one time at the device POR, after that, the charger will not sense the MODE pin voltage anymore. 
Refer to section </t>
        </r>
        <r>
          <rPr>
            <b val="true"/>
            <sz val="9"/>
            <color rgb="FF000000"/>
            <rFont val="Tahoma"/>
            <family val="2"/>
            <charset val="1"/>
          </rPr>
          <t xml:space="preserve">7.3.3.2 MODE Pin Configuration</t>
        </r>
        <r>
          <rPr>
            <sz val="9"/>
            <color rgb="FF000000"/>
            <rFont val="Tahoma"/>
            <family val="2"/>
            <charset val="1"/>
          </rPr>
          <t xml:space="preserve"> of the datasheet for further guidance. </t>
        </r>
      </text>
    </comment>
    <comment ref="F93" authorId="0">
      <text>
        <r>
          <rPr>
            <sz val="10"/>
            <rFont val="Arial"/>
            <family val="2"/>
          </rPr>
          <t xml:space="preserve">Recognized Operation:
</t>
        </r>
        <r>
          <rPr>
            <sz val="9"/>
            <color rgb="FF000000"/>
            <rFont val="Tahoma"/>
            <family val="2"/>
            <charset val="1"/>
          </rPr>
          <t xml:space="preserve">This is the Operation recognized after POR and is solely based off MODE Resistance. 
</t>
        </r>
        <r>
          <rPr>
            <b val="true"/>
            <sz val="9"/>
            <color rgb="FF000000"/>
            <rFont val="Tahoma"/>
            <family val="2"/>
            <charset val="1"/>
          </rPr>
          <t xml:space="preserve">Text in this cell is flagged red if:
</t>
        </r>
        <r>
          <rPr>
            <sz val="9"/>
            <color rgb="FF000000"/>
            <rFont val="Tahoma"/>
            <family val="2"/>
            <charset val="1"/>
          </rPr>
          <t xml:space="preserve">The value in the cell does not match the Desired Operation.
</t>
        </r>
        <r>
          <rPr>
            <b val="true"/>
            <sz val="9"/>
            <color rgb="FF000000"/>
            <rFont val="Tahoma"/>
            <family val="2"/>
            <charset val="1"/>
          </rPr>
          <t xml:space="preserve">Text in this cell is flagged Undefined if:
</t>
        </r>
        <r>
          <rPr>
            <sz val="9"/>
            <color rgb="FF000000"/>
            <rFont val="Tahoma"/>
            <family val="2"/>
            <charset val="1"/>
          </rPr>
          <t xml:space="preserve">MODE resistance fall in between two valid MODE resistance ranges that would result in an Undefined MODE. </t>
        </r>
      </text>
    </comment>
    <comment ref="F94" authorId="0">
      <text>
        <r>
          <rPr>
            <sz val="10"/>
            <rFont val="Arial"/>
            <family val="2"/>
          </rPr>
          <t xml:space="preserve">Recognized Nominal Inductance:
</t>
        </r>
        <r>
          <rPr>
            <sz val="9"/>
            <color rgb="FF000000"/>
            <rFont val="Tahoma"/>
            <family val="2"/>
            <charset val="1"/>
          </rPr>
          <t xml:space="preserve">This is the Nominal Inductance recognized after POR and is solely based off MODE Resistance. 
</t>
        </r>
        <r>
          <rPr>
            <b val="true"/>
            <sz val="9"/>
            <color rgb="FF000000"/>
            <rFont val="Tahoma"/>
            <family val="2"/>
            <charset val="1"/>
          </rPr>
          <t xml:space="preserve">
Text in this cell is flagged red if:
</t>
        </r>
        <r>
          <rPr>
            <sz val="9"/>
            <color rgb="FF000000"/>
            <rFont val="Tahoma"/>
            <family val="2"/>
            <charset val="1"/>
          </rPr>
          <t xml:space="preserve">The MODE Resistance does not fall in between the recommended MODE Resistance range. If the MODE Resistance is not in this recommended range, then the converter will not be compensated properly.
</t>
        </r>
        <r>
          <rPr>
            <b val="true"/>
            <sz val="9"/>
            <color rgb="FF000000"/>
            <rFont val="Tahoma"/>
            <family val="2"/>
            <charset val="1"/>
          </rPr>
          <t xml:space="preserve">Text in this cell is flagged Undefined if:
</t>
        </r>
        <r>
          <rPr>
            <sz val="9"/>
            <color rgb="FF000000"/>
            <rFont val="Tahoma"/>
            <family val="2"/>
            <charset val="1"/>
          </rPr>
          <t xml:space="preserve">MODE resistance fall in between two valid MODE resistance ranges that would result in an Undefined MODE. </t>
        </r>
      </text>
    </comment>
    <comment ref="F95" authorId="0">
      <text>
        <r>
          <rPr>
            <sz val="10"/>
            <rFont val="Arial"/>
            <family val="2"/>
          </rPr>
          <t xml:space="preserve">Minimum Inductor DCR:
</t>
        </r>
        <r>
          <rPr>
            <sz val="9"/>
            <color rgb="FF000000"/>
            <rFont val="Tahoma"/>
            <family val="2"/>
            <charset val="1"/>
          </rPr>
          <t xml:space="preserve">This is the Minimum Inductor DCR recommended for the Selected Inductance. 
</t>
        </r>
        <r>
          <rPr>
            <b val="true"/>
            <sz val="9"/>
            <color rgb="FF000000"/>
            <rFont val="Tahoma"/>
            <family val="2"/>
            <charset val="1"/>
          </rPr>
          <t xml:space="preserve">
Text in this cell is flagged red if:
</t>
        </r>
        <r>
          <rPr>
            <sz val="9"/>
            <color rgb="FF000000"/>
            <rFont val="Tahoma"/>
            <family val="2"/>
            <charset val="1"/>
          </rPr>
          <t xml:space="preserve">The MODE Resistance does not fall in between the recommended MODE Resistance range. If the MODE Resistance is not in this recommended range, then the converter will not be compensated properly.
</t>
        </r>
        <r>
          <rPr>
            <b val="true"/>
            <sz val="9"/>
            <color rgb="FF000000"/>
            <rFont val="Tahoma"/>
            <family val="2"/>
            <charset val="1"/>
          </rPr>
          <t xml:space="preserve">Text in this cell is flagged Undefined if:
</t>
        </r>
        <r>
          <rPr>
            <sz val="9"/>
            <color rgb="FF000000"/>
            <rFont val="Tahoma"/>
            <family val="2"/>
            <charset val="1"/>
          </rPr>
          <t xml:space="preserve">MODE resistance fall in between two valid MODE resistance ranges that would result in an Undefined MODE. </t>
        </r>
      </text>
    </comment>
    <comment ref="F96" authorId="0">
      <text>
        <r>
          <rPr>
            <sz val="10"/>
            <rFont val="Arial"/>
            <family val="2"/>
          </rPr>
          <t xml:space="preserve">Maximum Inductor DCR:
</t>
        </r>
        <r>
          <rPr>
            <sz val="9"/>
            <color rgb="FF000000"/>
            <rFont val="Tahoma"/>
            <family val="2"/>
            <charset val="1"/>
          </rPr>
          <t xml:space="preserve">This is the Maximum Inductor DCR recommended for the Selected Inductance. 
</t>
        </r>
        <r>
          <rPr>
            <b val="true"/>
            <sz val="9"/>
            <color rgb="FF000000"/>
            <rFont val="Tahoma"/>
            <family val="2"/>
            <charset val="1"/>
          </rPr>
          <t xml:space="preserve">
Text in this cell is flagged red if:
</t>
        </r>
        <r>
          <rPr>
            <sz val="9"/>
            <color rgb="FF000000"/>
            <rFont val="Tahoma"/>
            <family val="2"/>
            <charset val="1"/>
          </rPr>
          <t xml:space="preserve">The MODE Resistance does not fall in between the recommended MODE Resistance range. If the MODE Resistance is not in this recommended range, then the converter will not be compensated properly.
</t>
        </r>
        <r>
          <rPr>
            <b val="true"/>
            <sz val="9"/>
            <color rgb="FF000000"/>
            <rFont val="Tahoma"/>
            <family val="2"/>
            <charset val="1"/>
          </rPr>
          <t xml:space="preserve">
Text in this cell is flagged Undefined if:
</t>
        </r>
        <r>
          <rPr>
            <sz val="9"/>
            <color rgb="FF000000"/>
            <rFont val="Tahoma"/>
            <family val="2"/>
            <charset val="1"/>
          </rPr>
          <t xml:space="preserve">MODE resistance fall in between two valid MODE resistance ranges that would result in an Undefined MODE. </t>
        </r>
      </text>
    </comment>
    <comment ref="F100" authorId="0">
      <text>
        <r>
          <rPr>
            <sz val="10"/>
            <rFont val="Arial"/>
            <family val="2"/>
          </rPr>
          <t xml:space="preserve">Input Capacitance:
</t>
        </r>
        <r>
          <rPr>
            <sz val="9"/>
            <color rgb="FF000000"/>
            <rFont val="Tahoma"/>
            <family val="2"/>
            <charset val="1"/>
          </rPr>
          <t xml:space="preserve">Input capacitor should have enough ripple current rating to absorb input switching ripple current. The worse case RMS ripple current is half of the output when duty cycle is 0.5 in forward buck mode, or reverse boost mode. If the converter does not operate at 50% duty cycle, then worst case capacitor RMS current occurs where the duty cycle is closest to 50% and can be estimated by:
</t>
        </r>
        <r>
          <rPr>
            <b val="true"/>
            <sz val="9"/>
            <color rgb="FF000000"/>
            <rFont val="Tahoma"/>
            <family val="2"/>
            <charset val="1"/>
          </rPr>
          <t xml:space="preserve">
I</t>
        </r>
        <r>
          <rPr>
            <b val="true"/>
            <vertAlign val="subscript"/>
            <sz val="9"/>
            <color rgb="FF000000"/>
            <rFont val="Tahoma"/>
            <family val="2"/>
            <charset val="1"/>
          </rPr>
          <t xml:space="preserve">CIN</t>
        </r>
        <r>
          <rPr>
            <b val="true"/>
            <sz val="9"/>
            <color rgb="FF000000"/>
            <rFont val="Tahoma"/>
            <family val="2"/>
            <charset val="1"/>
          </rPr>
          <t xml:space="preserve"> = I</t>
        </r>
        <r>
          <rPr>
            <b val="true"/>
            <vertAlign val="subscript"/>
            <sz val="9"/>
            <color rgb="FF000000"/>
            <rFont val="Tahoma"/>
            <family val="2"/>
            <charset val="1"/>
          </rPr>
          <t xml:space="preserve">CHG</t>
        </r>
        <r>
          <rPr>
            <b val="true"/>
            <sz val="9"/>
            <color rgb="FF000000"/>
            <rFont val="Tahoma"/>
            <family val="2"/>
            <charset val="1"/>
          </rPr>
          <t xml:space="preserve"> * sqrt(D*(1-D))
</t>
        </r>
        <r>
          <rPr>
            <sz val="9"/>
            <color rgb="FF000000"/>
            <rFont val="Tahoma"/>
            <family val="2"/>
            <charset val="1"/>
          </rPr>
          <t xml:space="preserve">
A combination of ceramic and bulk capacitors should be used to provide a short path of high di/dt current and to reduce the voltage ripple. Ceramic capacitors should be placed close to the switching half-bridge. Given total bulk input capacitance, it is recommended to distribute equally on either side of R</t>
        </r>
        <r>
          <rPr>
            <vertAlign val="subscript"/>
            <sz val="9"/>
            <color rgb="FF000000"/>
            <rFont val="Tahoma"/>
            <family val="2"/>
            <charset val="1"/>
          </rPr>
          <t xml:space="preserve">AC_SNS</t>
        </r>
        <r>
          <rPr>
            <sz val="9"/>
            <color rgb="FF000000"/>
            <rFont val="Tahoma"/>
            <family val="2"/>
            <charset val="1"/>
          </rPr>
          <t xml:space="preserve">. 
</t>
        </r>
        <r>
          <rPr>
            <b val="true"/>
            <sz val="9"/>
            <color rgb="FF000000"/>
            <rFont val="Tahoma"/>
            <family val="2"/>
            <charset val="1"/>
          </rPr>
          <t xml:space="preserve">Text in this cell is flagged red if:
</t>
        </r>
        <r>
          <rPr>
            <sz val="9"/>
            <color rgb="FF000000"/>
            <rFont val="Tahoma"/>
            <family val="2"/>
            <charset val="1"/>
          </rPr>
          <t xml:space="preserve">The value entered is </t>
        </r>
        <r>
          <rPr>
            <b val="true"/>
            <sz val="9"/>
            <color rgb="FF000000"/>
            <rFont val="Tahoma"/>
            <family val="2"/>
            <charset val="1"/>
          </rPr>
          <t xml:space="preserve">below</t>
        </r>
        <r>
          <rPr>
            <sz val="9"/>
            <color rgb="FF000000"/>
            <rFont val="Tahoma"/>
            <family val="2"/>
            <charset val="1"/>
          </rPr>
          <t xml:space="preserve"> the </t>
        </r>
        <r>
          <rPr>
            <b val="true"/>
            <sz val="9"/>
            <color rgb="FF000000"/>
            <rFont val="Tahoma"/>
            <family val="2"/>
            <charset val="1"/>
          </rPr>
          <t xml:space="preserve">Minimum Input Capacitance</t>
        </r>
        <r>
          <rPr>
            <sz val="9"/>
            <color rgb="FF000000"/>
            <rFont val="Tahoma"/>
            <family val="2"/>
            <charset val="1"/>
          </rPr>
          <t xml:space="preserve">.</t>
        </r>
      </text>
    </comment>
    <comment ref="F106" authorId="0">
      <text>
        <r>
          <rPr>
            <sz val="10"/>
            <rFont val="Arial"/>
            <family val="2"/>
          </rPr>
          <t xml:space="preserve">Output Capacitance:
</t>
        </r>
        <r>
          <rPr>
            <sz val="9"/>
            <color rgb="FF000000"/>
            <rFont val="Tahoma"/>
            <family val="2"/>
            <charset val="1"/>
          </rPr>
          <t xml:space="preserve">In forward boost mode or reverse buck mode, the output capacitor conducts high ripple current. The output capacitor RMS ripple current is given by where the minimum VAC corresponds to the maximum capacitor current.
</t>
        </r>
        <r>
          <rPr>
            <b val="true"/>
            <sz val="9"/>
            <color rgb="FF000000"/>
            <rFont val="Tahoma"/>
            <family val="2"/>
            <charset val="1"/>
          </rPr>
          <t xml:space="preserve">I</t>
        </r>
        <r>
          <rPr>
            <b val="true"/>
            <vertAlign val="subscript"/>
            <sz val="9"/>
            <color rgb="FF000000"/>
            <rFont val="Tahoma"/>
            <family val="2"/>
            <charset val="1"/>
          </rPr>
          <t xml:space="preserve">CBAT</t>
        </r>
        <r>
          <rPr>
            <b val="true"/>
            <sz val="9"/>
            <color rgb="FF000000"/>
            <rFont val="Tahoma"/>
            <family val="2"/>
            <charset val="1"/>
          </rPr>
          <t xml:space="preserve"> = I</t>
        </r>
        <r>
          <rPr>
            <b val="true"/>
            <vertAlign val="subscript"/>
            <sz val="9"/>
            <color rgb="FF000000"/>
            <rFont val="Tahoma"/>
            <family val="2"/>
            <charset val="1"/>
          </rPr>
          <t xml:space="preserve">BAT</t>
        </r>
        <r>
          <rPr>
            <b val="true"/>
            <sz val="9"/>
            <color rgb="FF000000"/>
            <rFont val="Tahoma"/>
            <family val="2"/>
            <charset val="1"/>
          </rPr>
          <t xml:space="preserve"> * sqrt (V</t>
        </r>
        <r>
          <rPr>
            <b val="true"/>
            <vertAlign val="subscript"/>
            <sz val="9"/>
            <color rgb="FF000000"/>
            <rFont val="Tahoma"/>
            <family val="2"/>
            <charset val="1"/>
          </rPr>
          <t xml:space="preserve">BAT</t>
        </r>
        <r>
          <rPr>
            <b val="true"/>
            <sz val="9"/>
            <color rgb="FF000000"/>
            <rFont val="Tahoma"/>
            <family val="2"/>
            <charset val="1"/>
          </rPr>
          <t xml:space="preserve">/V</t>
        </r>
        <r>
          <rPr>
            <b val="true"/>
            <vertAlign val="subscript"/>
            <sz val="9"/>
            <color rgb="FF000000"/>
            <rFont val="Tahoma"/>
            <family val="2"/>
            <charset val="1"/>
          </rPr>
          <t xml:space="preserve">AC</t>
        </r>
        <r>
          <rPr>
            <b val="true"/>
            <sz val="9"/>
            <color rgb="FF000000"/>
            <rFont val="Tahoma"/>
            <family val="2"/>
            <charset val="1"/>
          </rPr>
          <t xml:space="preserve"> - 1)
</t>
        </r>
        <r>
          <rPr>
            <sz val="9"/>
            <color rgb="FF000000"/>
            <rFont val="Tahoma"/>
            <family val="2"/>
            <charset val="1"/>
          </rPr>
          <t xml:space="preserve">
Output capacitor ESR causes an output voltage ripple given by:
</t>
        </r>
        <r>
          <rPr>
            <b val="true"/>
            <sz val="9"/>
            <color rgb="FF000000"/>
            <rFont val="Tahoma"/>
            <family val="2"/>
            <charset val="1"/>
          </rPr>
          <t xml:space="preserve">V</t>
        </r>
        <r>
          <rPr>
            <b val="true"/>
            <vertAlign val="subscript"/>
            <sz val="9"/>
            <color rgb="FF000000"/>
            <rFont val="Tahoma"/>
            <family val="2"/>
            <charset val="1"/>
          </rPr>
          <t xml:space="preserve">RIPPLE(ESR)</t>
        </r>
        <r>
          <rPr>
            <b val="true"/>
            <sz val="9"/>
            <color rgb="FF000000"/>
            <rFont val="Tahoma"/>
            <family val="2"/>
            <charset val="1"/>
          </rPr>
          <t xml:space="preserve"> = I</t>
        </r>
        <r>
          <rPr>
            <b val="true"/>
            <vertAlign val="subscript"/>
            <sz val="9"/>
            <color rgb="FF000000"/>
            <rFont val="Tahoma"/>
            <family val="2"/>
            <charset val="1"/>
          </rPr>
          <t xml:space="preserve">BAT</t>
        </r>
        <r>
          <rPr>
            <b val="true"/>
            <sz val="9"/>
            <color rgb="FF000000"/>
            <rFont val="Tahoma"/>
            <family val="2"/>
            <charset val="1"/>
          </rPr>
          <t xml:space="preserve"> * V</t>
        </r>
        <r>
          <rPr>
            <b val="true"/>
            <vertAlign val="subscript"/>
            <sz val="9"/>
            <color rgb="FF000000"/>
            <rFont val="Tahoma"/>
            <family val="2"/>
            <charset val="1"/>
          </rPr>
          <t xml:space="preserve">BAT</t>
        </r>
        <r>
          <rPr>
            <b val="true"/>
            <sz val="9"/>
            <color rgb="FF000000"/>
            <rFont val="Tahoma"/>
            <family val="2"/>
            <charset val="1"/>
          </rPr>
          <t xml:space="preserve">/V</t>
        </r>
        <r>
          <rPr>
            <b val="true"/>
            <vertAlign val="subscript"/>
            <sz val="9"/>
            <color rgb="FF000000"/>
            <rFont val="Tahoma"/>
            <family val="2"/>
            <charset val="1"/>
          </rPr>
          <t xml:space="preserve">AC,min</t>
        </r>
        <r>
          <rPr>
            <b val="true"/>
            <sz val="9"/>
            <color rgb="FF000000"/>
            <rFont val="Tahoma"/>
            <family val="2"/>
            <charset val="1"/>
          </rPr>
          <t xml:space="preserve"> * ESR
</t>
        </r>
        <r>
          <rPr>
            <sz val="9"/>
            <color rgb="FF000000"/>
            <rFont val="Tahoma"/>
            <family val="2"/>
            <charset val="1"/>
          </rPr>
          <t xml:space="preserve">
The output capacitor causes a capacitive ripple voltage given by:
</t>
        </r>
        <r>
          <rPr>
            <b val="true"/>
            <sz val="9"/>
            <color rgb="FF000000"/>
            <rFont val="Tahoma"/>
            <family val="2"/>
            <charset val="1"/>
          </rPr>
          <t xml:space="preserve">V</t>
        </r>
        <r>
          <rPr>
            <b val="true"/>
            <vertAlign val="subscript"/>
            <sz val="9"/>
            <color rgb="FF000000"/>
            <rFont val="Tahoma"/>
            <family val="2"/>
            <charset val="1"/>
          </rPr>
          <t xml:space="preserve">RIPPLE(CBAT)</t>
        </r>
        <r>
          <rPr>
            <b val="true"/>
            <sz val="9"/>
            <color rgb="FF000000"/>
            <rFont val="Tahoma"/>
            <family val="2"/>
            <charset val="1"/>
          </rPr>
          <t xml:space="preserve"> = I</t>
        </r>
        <r>
          <rPr>
            <b val="true"/>
            <vertAlign val="subscript"/>
            <sz val="9"/>
            <color rgb="FF000000"/>
            <rFont val="Tahoma"/>
            <family val="2"/>
            <charset val="1"/>
          </rPr>
          <t xml:space="preserve">BAT</t>
        </r>
        <r>
          <rPr>
            <b val="true"/>
            <sz val="9"/>
            <color rgb="FF000000"/>
            <rFont val="Tahoma"/>
            <family val="2"/>
            <charset val="1"/>
          </rPr>
          <t xml:space="preserve"> * (1 - V</t>
        </r>
        <r>
          <rPr>
            <b val="true"/>
            <vertAlign val="subscript"/>
            <sz val="9"/>
            <color rgb="FF000000"/>
            <rFont val="Tahoma"/>
            <family val="2"/>
            <charset val="1"/>
          </rPr>
          <t xml:space="preserve">AC,min</t>
        </r>
        <r>
          <rPr>
            <b val="true"/>
            <sz val="9"/>
            <color rgb="FF000000"/>
            <rFont val="Tahoma"/>
            <family val="2"/>
            <charset val="1"/>
          </rPr>
          <t xml:space="preserve">/V</t>
        </r>
        <r>
          <rPr>
            <b val="true"/>
            <vertAlign val="subscript"/>
            <sz val="9"/>
            <color rgb="FF000000"/>
            <rFont val="Tahoma"/>
            <family val="2"/>
            <charset val="1"/>
          </rPr>
          <t xml:space="preserve">BAT</t>
        </r>
        <r>
          <rPr>
            <b val="true"/>
            <sz val="9"/>
            <color rgb="FF000000"/>
            <rFont val="Tahoma"/>
            <family val="2"/>
            <charset val="1"/>
          </rPr>
          <t xml:space="preserve">)/(C</t>
        </r>
        <r>
          <rPr>
            <b val="true"/>
            <vertAlign val="subscript"/>
            <sz val="9"/>
            <color rgb="FF000000"/>
            <rFont val="Tahoma"/>
            <family val="2"/>
            <charset val="1"/>
          </rPr>
          <t xml:space="preserve">BAT</t>
        </r>
        <r>
          <rPr>
            <b val="true"/>
            <sz val="9"/>
            <color rgb="FF000000"/>
            <rFont val="Tahoma"/>
            <family val="2"/>
            <charset val="1"/>
          </rPr>
          <t xml:space="preserve">*f</t>
        </r>
        <r>
          <rPr>
            <b val="true"/>
            <vertAlign val="subscript"/>
            <sz val="9"/>
            <color rgb="FF000000"/>
            <rFont val="Tahoma"/>
            <family val="2"/>
            <charset val="1"/>
          </rPr>
          <t xml:space="preserve">SW</t>
        </r>
        <r>
          <rPr>
            <b val="true"/>
            <sz val="9"/>
            <color rgb="FF000000"/>
            <rFont val="Tahoma"/>
            <family val="2"/>
            <charset val="1"/>
          </rPr>
          <t xml:space="preserve">)
</t>
        </r>
        <r>
          <rPr>
            <sz val="9"/>
            <color rgb="FF000000"/>
            <rFont val="Tahoma"/>
            <family val="2"/>
            <charset val="1"/>
          </rPr>
          <t xml:space="preserve">
A combination of ceramic and bulk capacitors should be used to provide low ESR and high ripple current capacity. Ceramic capacitors should be placed close to the switching half-bridge. Given total bulk output capacitance, it is recommended to distribute equally on either side of R</t>
        </r>
        <r>
          <rPr>
            <vertAlign val="subscript"/>
            <sz val="9"/>
            <color rgb="FF000000"/>
            <rFont val="Tahoma"/>
            <family val="2"/>
            <charset val="1"/>
          </rPr>
          <t xml:space="preserve">BAT_SNS</t>
        </r>
        <r>
          <rPr>
            <sz val="9"/>
            <color rgb="FF000000"/>
            <rFont val="Tahoma"/>
            <family val="2"/>
            <charset val="1"/>
          </rPr>
          <t xml:space="preserve">. 
</t>
        </r>
        <r>
          <rPr>
            <b val="true"/>
            <u val="single"/>
            <sz val="9"/>
            <color rgb="FF000000"/>
            <rFont val="Tahoma"/>
            <family val="2"/>
            <charset val="1"/>
          </rPr>
          <t xml:space="preserve">
</t>
        </r>
        <r>
          <rPr>
            <b val="true"/>
            <sz val="9"/>
            <color rgb="FF000000"/>
            <rFont val="Tahoma"/>
            <family val="2"/>
            <charset val="1"/>
          </rPr>
          <t xml:space="preserve">Text in this cell is flagged red if:
</t>
        </r>
        <r>
          <rPr>
            <sz val="9"/>
            <color rgb="FF000000"/>
            <rFont val="Tahoma"/>
            <family val="2"/>
            <charset val="1"/>
          </rPr>
          <t xml:space="preserve">The value entered is </t>
        </r>
        <r>
          <rPr>
            <b val="true"/>
            <sz val="9"/>
            <color rgb="FF000000"/>
            <rFont val="Tahoma"/>
            <family val="2"/>
            <charset val="1"/>
          </rPr>
          <t xml:space="preserve">below</t>
        </r>
        <r>
          <rPr>
            <sz val="9"/>
            <color rgb="FF000000"/>
            <rFont val="Tahoma"/>
            <family val="2"/>
            <charset val="1"/>
          </rPr>
          <t xml:space="preserve"> the </t>
        </r>
        <r>
          <rPr>
            <b val="true"/>
            <sz val="9"/>
            <color rgb="FF000000"/>
            <rFont val="Tahoma"/>
            <family val="2"/>
            <charset val="1"/>
          </rPr>
          <t xml:space="preserve">Minimum Output Capacitance</t>
        </r>
        <r>
          <rPr>
            <u val="single"/>
            <sz val="9"/>
            <color rgb="FF000000"/>
            <rFont val="Tahoma"/>
            <family val="2"/>
            <charset val="1"/>
          </rPr>
          <t xml:space="preserve">.
</t>
        </r>
      </text>
    </comment>
    <comment ref="F119" authorId="0">
      <text>
        <r>
          <rPr>
            <sz val="10"/>
            <rFont val="Arial"/>
            <family val="2"/>
          </rPr>
          <t xml:space="preserve">On-State Resistance V</t>
        </r>
        <r>
          <rPr>
            <b val="true"/>
            <u val="single"/>
            <vertAlign val="subscript"/>
            <sz val="9"/>
            <color rgb="FF000000"/>
            <rFont val="Tahoma"/>
            <family val="2"/>
            <charset val="1"/>
          </rPr>
          <t xml:space="preserve">gs</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R</t>
        </r>
        <r>
          <rPr>
            <vertAlign val="subscript"/>
            <sz val="9"/>
            <color rgb="FF000000"/>
            <rFont val="Tahoma"/>
            <family val="2"/>
            <charset val="1"/>
          </rPr>
          <t xml:space="preserve">DS(on)</t>
        </r>
        <r>
          <rPr>
            <sz val="9"/>
            <color rgb="FF000000"/>
            <rFont val="Tahoma"/>
            <family val="2"/>
            <charset val="1"/>
          </rPr>
          <t xml:space="preserve"> with the given Custom Gate Drive Voltage.</t>
        </r>
      </text>
    </comment>
    <comment ref="F122" authorId="0">
      <text>
        <r>
          <rPr>
            <sz val="10"/>
            <rFont val="Arial"/>
            <family val="2"/>
          </rPr>
          <t xml:space="preserve">Total Gate Charge Q</t>
        </r>
        <r>
          <rPr>
            <b val="true"/>
            <u val="single"/>
            <vertAlign val="subscript"/>
            <sz val="9"/>
            <color rgb="FF000000"/>
            <rFont val="Tahoma"/>
            <family val="2"/>
            <charset val="1"/>
          </rPr>
          <t xml:space="preserve">G</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Q</t>
        </r>
        <r>
          <rPr>
            <vertAlign val="subscript"/>
            <sz val="9"/>
            <color rgb="FF000000"/>
            <rFont val="Tahoma"/>
            <family val="2"/>
            <charset val="1"/>
          </rPr>
          <t xml:space="preserve">G</t>
        </r>
        <r>
          <rPr>
            <sz val="9"/>
            <color rgb="FF000000"/>
            <rFont val="Tahoma"/>
            <family val="2"/>
            <charset val="1"/>
          </rPr>
          <t xml:space="preserve"> with the given Custom Gate Drive Voltage.</t>
        </r>
      </text>
    </comment>
    <comment ref="F137" authorId="0">
      <text>
        <r>
          <rPr>
            <sz val="10"/>
            <rFont val="Arial"/>
            <family val="2"/>
          </rPr>
          <t xml:space="preserve">On-State Resistance V</t>
        </r>
        <r>
          <rPr>
            <b val="true"/>
            <u val="single"/>
            <vertAlign val="subscript"/>
            <sz val="9"/>
            <color rgb="FF000000"/>
            <rFont val="Tahoma"/>
            <family val="2"/>
            <charset val="1"/>
          </rPr>
          <t xml:space="preserve">gs</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R</t>
        </r>
        <r>
          <rPr>
            <vertAlign val="subscript"/>
            <sz val="9"/>
            <color rgb="FF000000"/>
            <rFont val="Tahoma"/>
            <family val="2"/>
            <charset val="1"/>
          </rPr>
          <t xml:space="preserve">DS(on)</t>
        </r>
        <r>
          <rPr>
            <sz val="9"/>
            <color rgb="FF000000"/>
            <rFont val="Tahoma"/>
            <family val="2"/>
            <charset val="1"/>
          </rPr>
          <t xml:space="preserve"> with the given Custom Gate Drive Voltage.</t>
        </r>
      </text>
    </comment>
    <comment ref="F140" authorId="0">
      <text>
        <r>
          <rPr>
            <sz val="10"/>
            <rFont val="Arial"/>
            <family val="2"/>
          </rPr>
          <t xml:space="preserve">Total Gate Charge Q</t>
        </r>
        <r>
          <rPr>
            <b val="true"/>
            <u val="single"/>
            <vertAlign val="subscript"/>
            <sz val="9"/>
            <color rgb="FF000000"/>
            <rFont val="Tahoma"/>
            <family val="2"/>
            <charset val="1"/>
          </rPr>
          <t xml:space="preserve">G</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Q</t>
        </r>
        <r>
          <rPr>
            <vertAlign val="subscript"/>
            <sz val="9"/>
            <color rgb="FF000000"/>
            <rFont val="Tahoma"/>
            <family val="2"/>
            <charset val="1"/>
          </rPr>
          <t xml:space="preserve">G</t>
        </r>
        <r>
          <rPr>
            <sz val="9"/>
            <color rgb="FF000000"/>
            <rFont val="Tahoma"/>
            <family val="2"/>
            <charset val="1"/>
          </rPr>
          <t xml:space="preserve"> with the given Custom Gate Drive Voltage.</t>
        </r>
      </text>
    </comment>
    <comment ref="F152" authorId="0">
      <text>
        <r>
          <rPr>
            <sz val="10"/>
            <rFont val="Arial"/>
            <family val="2"/>
          </rPr>
          <t xml:space="preserve">Custom Gate Drive Voltage: 
</t>
        </r>
        <r>
          <rPr>
            <sz val="9"/>
            <color rgb="FF000000"/>
            <rFont val="Tahoma"/>
            <family val="2"/>
            <charset val="1"/>
          </rPr>
          <t xml:space="preserve">In high-voltage applications, it is possible to directly provide the DRV_SUP voltage with an external supply up to 12 V to achieve higher switching efficiency. See </t>
        </r>
        <r>
          <rPr>
            <b val="true"/>
            <sz val="9"/>
            <color rgb="FF000000"/>
            <rFont val="Tahoma"/>
            <family val="2"/>
            <charset val="1"/>
          </rPr>
          <t xml:space="preserve">Section 7.3.3.2</t>
        </r>
        <r>
          <rPr>
            <sz val="9"/>
            <color rgb="FF000000"/>
            <rFont val="Tahoma"/>
            <family val="2"/>
            <charset val="1"/>
          </rPr>
          <t xml:space="preserve"> in the datasheet for more details.
The user can enter their own Custom Gate Drive Voltage, but in order for them to see how this affects the efficiency curves, the user will need to enter the MOSFET R</t>
        </r>
        <r>
          <rPr>
            <vertAlign val="subscript"/>
            <sz val="9"/>
            <color rgb="FF000000"/>
            <rFont val="Tahoma"/>
            <family val="2"/>
            <charset val="1"/>
          </rPr>
          <t xml:space="preserve">DS(on)</t>
        </r>
        <r>
          <rPr>
            <sz val="9"/>
            <color rgb="FF000000"/>
            <rFont val="Tahoma"/>
            <family val="2"/>
            <charset val="1"/>
          </rPr>
          <t xml:space="preserve"> and Q</t>
        </r>
        <r>
          <rPr>
            <vertAlign val="subscript"/>
            <sz val="9"/>
            <color rgb="FF000000"/>
            <rFont val="Tahoma"/>
            <family val="2"/>
            <charset val="1"/>
          </rPr>
          <t xml:space="preserve">G</t>
        </r>
        <r>
          <rPr>
            <sz val="9"/>
            <color rgb="FF000000"/>
            <rFont val="Tahoma"/>
            <family val="2"/>
            <charset val="1"/>
          </rPr>
          <t xml:space="preserve"> for the MOSFET that they are using with that given gate drive.
</t>
        </r>
        <r>
          <rPr>
            <b val="true"/>
            <sz val="9"/>
            <color rgb="FF000000"/>
            <rFont val="Tahoma"/>
            <family val="2"/>
            <charset val="1"/>
          </rPr>
          <t xml:space="preserve">Note:</t>
        </r>
        <r>
          <rPr>
            <sz val="9"/>
            <color rgb="FF000000"/>
            <rFont val="Tahoma"/>
            <family val="2"/>
            <charset val="1"/>
          </rPr>
          <t xml:space="preserve"> If the user does not enter the data for their Custom Gate Drive Voltage, the tool will not be able to plot the estimated efficiency plots with the entered Custom Gate Drive Voltage. The user will need to get this data from empirical testing if the datasheet does not provide the data for their Custom Gate Drive Voltage.</t>
        </r>
      </text>
    </comment>
    <comment ref="G157" authorId="0">
      <text>
        <r>
          <rPr>
            <sz val="10"/>
            <rFont val="Arial"/>
            <family val="2"/>
          </rPr>
          <t xml:space="preserve">MOSFET Selection:
</t>
        </r>
        <r>
          <rPr>
            <sz val="9"/>
            <color rgb="FF000000"/>
            <rFont val="Tahoma"/>
            <family val="2"/>
            <charset val="1"/>
          </rPr>
          <t xml:space="preserve">The user can choose to plot the estimated efficiency curves using the TI Recommended MOSFET by selecting </t>
        </r>
        <r>
          <rPr>
            <b val="true"/>
            <sz val="9"/>
            <color rgb="FF000000"/>
            <rFont val="Tahoma"/>
            <family val="2"/>
            <charset val="1"/>
          </rPr>
          <t xml:space="preserve">TI Recommendation </t>
        </r>
        <r>
          <rPr>
            <sz val="9"/>
            <color rgb="FF000000"/>
            <rFont val="Tahoma"/>
            <family val="2"/>
            <charset val="1"/>
          </rPr>
          <t xml:space="preserve">or the user's Custom MOSFET by selecting </t>
        </r>
        <r>
          <rPr>
            <b val="true"/>
            <sz val="9"/>
            <color rgb="FF000000"/>
            <rFont val="Tahoma"/>
            <family val="2"/>
            <charset val="1"/>
          </rPr>
          <t xml:space="preserve">Custom</t>
        </r>
        <r>
          <rPr>
            <sz val="9"/>
            <color rgb="FF000000"/>
            <rFont val="Tahoma"/>
            <family val="2"/>
            <charset val="1"/>
          </rPr>
          <t xml:space="preserve">. The user can also plot the estimated efficiency curves for both MOSFETs by selecting </t>
        </r>
        <r>
          <rPr>
            <b val="true"/>
            <sz val="9"/>
            <color rgb="FF000000"/>
            <rFont val="Tahoma"/>
            <family val="2"/>
            <charset val="1"/>
          </rPr>
          <t xml:space="preserve">Compare</t>
        </r>
        <r>
          <rPr>
            <sz val="9"/>
            <color rgb="FF000000"/>
            <rFont val="Tahoma"/>
            <family val="2"/>
            <charset val="1"/>
          </rPr>
          <t xml:space="preserve">.
</t>
        </r>
      </text>
    </comment>
    <comment ref="G158" authorId="0">
      <text>
        <r>
          <rPr>
            <sz val="10"/>
            <rFont val="Arial"/>
            <family val="2"/>
          </rPr>
          <t xml:space="preserve">Selected Gate Drive Voltage:
</t>
        </r>
        <r>
          <rPr>
            <sz val="9"/>
            <color rgb="FF000000"/>
            <rFont val="Tahoma"/>
            <family val="2"/>
            <charset val="1"/>
          </rPr>
          <t xml:space="preserve">This is the Gate Drive Voltage used in the efficiency calculation. Only one Gate Drive voltage can be used at a time. To compare how the Gate Drive Voltages affect the efficiency curves, the user will need to save the efficiency data with the </t>
        </r>
        <r>
          <rPr>
            <b val="true"/>
            <sz val="9"/>
            <color rgb="FF000000"/>
            <rFont val="Tahoma"/>
            <family val="2"/>
            <charset val="1"/>
          </rPr>
          <t xml:space="preserve">Save Button</t>
        </r>
        <r>
          <rPr>
            <sz val="9"/>
            <color rgb="FF000000"/>
            <rFont val="Tahoma"/>
            <family val="2"/>
            <charset val="1"/>
          </rPr>
          <t xml:space="preserve">.
The MOSFET parameters shown below are pulled from the corresponded parameters entered above.</t>
        </r>
      </text>
    </comment>
    <comment ref="G159" authorId="0">
      <text>
        <r>
          <rPr>
            <sz val="10"/>
            <rFont val="Arial"/>
            <family val="2"/>
          </rPr>
          <t xml:space="preserve">Save Button:
</t>
        </r>
        <r>
          <rPr>
            <sz val="9"/>
            <color rgb="FF000000"/>
            <rFont val="Tahoma"/>
            <family val="2"/>
            <charset val="1"/>
          </rPr>
          <t xml:space="preserve">Use the save button to save the current efficiency plots. To save the current plots, you will need to clear the previous plot by selecting </t>
        </r>
        <r>
          <rPr>
            <b val="true"/>
            <sz val="9"/>
            <color rgb="FF000000"/>
            <rFont val="Tahoma"/>
            <family val="2"/>
            <charset val="1"/>
          </rPr>
          <t xml:space="preserve">Clear Save</t>
        </r>
        <r>
          <rPr>
            <sz val="9"/>
            <color rgb="FF000000"/>
            <rFont val="Tahoma"/>
            <family val="2"/>
            <charset val="1"/>
          </rPr>
          <t xml:space="preserve"> then you will need to select </t>
        </r>
        <r>
          <rPr>
            <b val="true"/>
            <sz val="9"/>
            <color rgb="FF000000"/>
            <rFont val="Tahoma"/>
            <family val="2"/>
            <charset val="1"/>
          </rPr>
          <t xml:space="preserve">Save</t>
        </r>
        <r>
          <rPr>
            <sz val="9"/>
            <color rgb="FF000000"/>
            <rFont val="Tahoma"/>
            <family val="2"/>
            <charset val="1"/>
          </rPr>
          <t xml:space="preserve"> to save the current efficiency plots. 
Once you have the plots saved, you will be able to change the components to see how the efficiency plots will vary. 
</t>
        </r>
        <r>
          <rPr>
            <b val="true"/>
            <sz val="9"/>
            <color rgb="FF000000"/>
            <rFont val="Tahoma"/>
            <family val="2"/>
            <charset val="1"/>
          </rPr>
          <t xml:space="preserve">Disclaimer:</t>
        </r>
        <r>
          <rPr>
            <sz val="9"/>
            <color rgb="FF000000"/>
            <rFont val="Tahoma"/>
            <family val="2"/>
            <charset val="1"/>
          </rPr>
          <t xml:space="preserve"> The efficiency plots are for </t>
        </r>
        <r>
          <rPr>
            <b val="true"/>
            <u val="single"/>
            <sz val="9"/>
            <color rgb="FF000000"/>
            <rFont val="Tahoma"/>
            <family val="2"/>
            <charset val="1"/>
          </rPr>
          <t xml:space="preserve">relative comparison only</t>
        </r>
        <r>
          <rPr>
            <sz val="9"/>
            <color rgb="FF000000"/>
            <rFont val="Tahoma"/>
            <family val="2"/>
            <charset val="1"/>
          </rPr>
          <t xml:space="preserve"> and </t>
        </r>
        <r>
          <rPr>
            <b val="true"/>
            <u val="single"/>
            <sz val="9"/>
            <color rgb="FF000000"/>
            <rFont val="Tahoma"/>
            <family val="2"/>
            <charset val="1"/>
          </rPr>
          <t xml:space="preserve">do not</t>
        </r>
        <r>
          <rPr>
            <sz val="9"/>
            <color rgb="FF000000"/>
            <rFont val="Tahoma"/>
            <family val="2"/>
            <charset val="1"/>
          </rPr>
          <t xml:space="preserve"> represent the actual efficiency that will be seen from physical tests.
If you don't want to save the previous data, select </t>
        </r>
        <r>
          <rPr>
            <b val="true"/>
            <sz val="9"/>
            <color rgb="FF000000"/>
            <rFont val="Tahoma"/>
            <family val="2"/>
            <charset val="1"/>
          </rPr>
          <t xml:space="preserve">Clear Save</t>
        </r>
        <r>
          <rPr>
            <sz val="9"/>
            <color rgb="FF000000"/>
            <rFont val="Tahoma"/>
            <family val="2"/>
            <charset val="1"/>
          </rPr>
          <t xml:space="preserve">.
</t>
        </r>
        <r>
          <rPr>
            <b val="true"/>
            <sz val="9"/>
            <color rgb="FF000000"/>
            <rFont val="Tahoma"/>
            <family val="2"/>
            <charset val="1"/>
          </rPr>
          <t xml:space="preserve">Text in cell is flagged red if:
</t>
        </r>
        <r>
          <rPr>
            <sz val="9"/>
            <color rgb="FF000000"/>
            <rFont val="Tahoma"/>
            <family val="2"/>
            <charset val="1"/>
          </rPr>
          <t xml:space="preserve">The Full Load Output Current IOUT(max) is changed after selecting </t>
        </r>
        <r>
          <rPr>
            <b val="true"/>
            <sz val="9"/>
            <color rgb="FF000000"/>
            <rFont val="Tahoma"/>
            <family val="2"/>
            <charset val="1"/>
          </rPr>
          <t xml:space="preserve">Save</t>
        </r>
        <r>
          <rPr>
            <sz val="9"/>
            <color rgb="FF000000"/>
            <rFont val="Tahoma"/>
            <family val="2"/>
            <charset val="1"/>
          </rPr>
          <t xml:space="preserve">. The efficiency tool will not catch that you changed the range of IOUT and will not correct the data shown.</t>
        </r>
      </text>
    </comment>
  </commentList>
</comments>
</file>

<file path=xl/comments2.xml><?xml version="1.0" encoding="utf-8"?>
<comments xmlns="http://schemas.openxmlformats.org/spreadsheetml/2006/main" xmlns:xdr="http://schemas.openxmlformats.org/drawingml/2006/spreadsheetDrawing">
  <authors>
    <author>Unbekannter Autor</author>
  </authors>
  <commentList>
    <comment ref="A5" authorId="0">
      <text>
        <r>
          <rPr>
            <sz val="10"/>
            <rFont val="Arial"/>
            <family val="2"/>
          </rPr>
          <t xml:space="preserve">Thermistor Qualification:
</t>
        </r>
        <r>
          <rPr>
            <sz val="9"/>
            <color rgb="FF000000"/>
            <rFont val="Tahoma"/>
            <family val="2"/>
            <charset val="1"/>
          </rPr>
          <t xml:space="preserve">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val="true"/>
            <sz val="9"/>
            <color rgb="FF000000"/>
            <rFont val="Tahoma"/>
            <family val="2"/>
            <charset val="1"/>
          </rPr>
          <t xml:space="preserve">7.3.4.7 Thermistor Qualification</t>
        </r>
        <r>
          <rPr>
            <sz val="9"/>
            <color rgb="FF000000"/>
            <rFont val="Tahoma"/>
            <family val="2"/>
            <charset val="1"/>
          </rPr>
          <t xml:space="preserve"> section of the datasheet. </t>
        </r>
      </text>
    </comment>
    <comment ref="F6" authorId="0">
      <text>
        <r>
          <rPr>
            <sz val="10"/>
            <rFont val="Arial"/>
            <family val="2"/>
          </rPr>
          <t xml:space="preserve">Selected Cold Temperature Threshold:
</t>
        </r>
        <r>
          <rPr>
            <sz val="9"/>
            <color rgb="FF000000"/>
            <rFont val="Tahoma"/>
            <family val="2"/>
            <charset val="1"/>
          </rPr>
          <t xml:space="preserve">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9" authorId="0">
      <text>
        <r>
          <rPr>
            <sz val="10"/>
            <rFont val="Arial"/>
            <family val="2"/>
          </rPr>
          <t xml:space="preserve">Selected Hot Temperature Threshold:
</t>
        </r>
        <r>
          <rPr>
            <sz val="9"/>
            <color rgb="FF000000"/>
            <rFont val="Tahoma"/>
            <family val="2"/>
            <charset val="1"/>
          </rPr>
          <t xml:space="preserve">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10" authorId="0">
      <text>
        <r>
          <rPr>
            <sz val="10"/>
            <rFont val="Arial"/>
            <family val="2"/>
          </rPr>
          <t xml:space="preserve">Thermistor Cold Resistance:
</t>
        </r>
        <r>
          <rPr>
            <sz val="9"/>
            <color rgb="FF000000"/>
            <rFont val="Tahoma"/>
            <family val="2"/>
            <charset val="1"/>
          </rPr>
          <t xml:space="preserve">Resistance of the chosen thermistor at the Selected Cold Temperature threshold. This value is pulled from the entered Thermistor Resistance Profile data. </t>
        </r>
      </text>
    </comment>
    <comment ref="F11" authorId="0">
      <text>
        <r>
          <rPr>
            <sz val="10"/>
            <rFont val="Arial"/>
            <family val="2"/>
          </rPr>
          <t xml:space="preserve">Thermistor Hot Resistance:
</t>
        </r>
        <r>
          <rPr>
            <sz val="9"/>
            <color rgb="FF000000"/>
            <rFont val="Tahoma"/>
            <family val="2"/>
            <charset val="1"/>
          </rPr>
          <t xml:space="preserve">Resistance of the chosen thermistor at the Selected Hot Temperature threshold. This value is pulled from the entered Thermistor Resistance Profile data. </t>
        </r>
      </text>
    </comment>
    <comment ref="F12" authorId="0">
      <text>
        <r>
          <rPr>
            <sz val="10"/>
            <rFont val="Arial"/>
            <family val="2"/>
          </rPr>
          <t xml:space="preserve">Recommended TS Top Resistor:
</t>
        </r>
        <r>
          <rPr>
            <sz val="9"/>
            <color rgb="FF000000"/>
            <rFont val="Tahoma"/>
            <family val="2"/>
            <charset val="1"/>
          </rPr>
          <t xml:space="preserve">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rgb="FF000000"/>
            <rFont val="Tahoma"/>
            <family val="2"/>
            <charset val="1"/>
          </rPr>
          <t xml:space="preserve">COLD</t>
        </r>
        <r>
          <rPr>
            <sz val="9"/>
            <color rgb="FF000000"/>
            <rFont val="Tahoma"/>
            <family val="2"/>
            <charset val="1"/>
          </rPr>
          <t xml:space="preserve"> * RTH</t>
        </r>
        <r>
          <rPr>
            <vertAlign val="subscript"/>
            <sz val="9"/>
            <color rgb="FF000000"/>
            <rFont val="Tahoma"/>
            <family val="2"/>
            <charset val="1"/>
          </rPr>
          <t xml:space="preserve">HOT </t>
        </r>
        <r>
          <rPr>
            <sz val="9"/>
            <color rgb="FF000000"/>
            <rFont val="Tahoma"/>
            <family val="2"/>
            <charset val="1"/>
          </rPr>
          <t xml:space="preserve">* (1/VT1-1/VT5)
RT2 = -----------------------------------------------------------------
          RTH</t>
        </r>
        <r>
          <rPr>
            <vertAlign val="subscript"/>
            <sz val="9"/>
            <color rgb="FF000000"/>
            <rFont val="Tahoma"/>
            <family val="2"/>
            <charset val="1"/>
          </rPr>
          <t xml:space="preserve">HOT</t>
        </r>
        <r>
          <rPr>
            <sz val="9"/>
            <color rgb="FF000000"/>
            <rFont val="Tahoma"/>
            <family val="2"/>
            <charset val="1"/>
          </rPr>
          <t xml:space="preserve"> * (1/VT5 - 1) - RTH</t>
        </r>
        <r>
          <rPr>
            <vertAlign val="subscript"/>
            <sz val="9"/>
            <color rgb="FF000000"/>
            <rFont val="Tahoma"/>
            <family val="2"/>
            <charset val="1"/>
          </rPr>
          <t xml:space="preserve">COLD</t>
        </r>
        <r>
          <rPr>
            <sz val="9"/>
            <color rgb="FF000000"/>
            <rFont val="Tahoma"/>
            <family val="2"/>
            <charset val="1"/>
          </rPr>
          <t xml:space="preserve"> * (1/VT1 - 1)
                  1/VT1 - 1
RT1 = -------------------------------
            1/RT2 + 1/RTH</t>
        </r>
        <r>
          <rPr>
            <vertAlign val="subscript"/>
            <sz val="9"/>
            <color rgb="FF000000"/>
            <rFont val="Tahoma"/>
            <family val="2"/>
            <charset val="1"/>
          </rPr>
          <t xml:space="preserve">COLD</t>
        </r>
        <r>
          <rPr>
            <sz val="9"/>
            <color rgb="FF000000"/>
            <rFont val="Tahoma"/>
            <family val="2"/>
            <charset val="1"/>
          </rPr>
          <t xml:space="preserve"> 
where VT1 and VT5 are the voltage thresholds that the charger will operate in. VT1 and VT5 can be calculated by multiplying the REGN voltage by the corresponding temperature threshold control ratio. This threshold control ratio can be found in </t>
        </r>
        <r>
          <rPr>
            <b val="true"/>
            <sz val="9"/>
            <color rgb="FF000000"/>
            <rFont val="Tahoma"/>
            <family val="2"/>
            <charset val="1"/>
          </rPr>
          <t xml:space="preserve">Table 7-23. REG0x1b_TS_Chargin_Threshold_Control Register Field Descriptions.</t>
        </r>
      </text>
    </comment>
    <comment ref="F13" authorId="0">
      <text>
        <r>
          <rPr>
            <sz val="10"/>
            <rFont val="Arial"/>
            <family val="2"/>
          </rPr>
          <t xml:space="preserve">Recommended TS Bottom Resistor:
</t>
        </r>
        <r>
          <rPr>
            <sz val="9"/>
            <color rgb="FF000000"/>
            <rFont val="Tahoma"/>
            <family val="2"/>
            <charset val="1"/>
          </rPr>
          <t xml:space="preserve">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rgb="FF000000"/>
            <rFont val="Tahoma"/>
            <family val="2"/>
            <charset val="1"/>
          </rPr>
          <t xml:space="preserve">COLD</t>
        </r>
        <r>
          <rPr>
            <sz val="9"/>
            <color rgb="FF000000"/>
            <rFont val="Tahoma"/>
            <family val="2"/>
            <charset val="1"/>
          </rPr>
          <t xml:space="preserve"> * RTH</t>
        </r>
        <r>
          <rPr>
            <vertAlign val="subscript"/>
            <sz val="9"/>
            <color rgb="FF000000"/>
            <rFont val="Tahoma"/>
            <family val="2"/>
            <charset val="1"/>
          </rPr>
          <t xml:space="preserve">HOT </t>
        </r>
        <r>
          <rPr>
            <sz val="9"/>
            <color rgb="FF000000"/>
            <rFont val="Tahoma"/>
            <family val="2"/>
            <charset val="1"/>
          </rPr>
          <t xml:space="preserve">* (1/VT1-1/VT5)
RT2 = -----------------------------------------------------------------
          RTH</t>
        </r>
        <r>
          <rPr>
            <vertAlign val="subscript"/>
            <sz val="9"/>
            <color rgb="FF000000"/>
            <rFont val="Tahoma"/>
            <family val="2"/>
            <charset val="1"/>
          </rPr>
          <t xml:space="preserve">HOT</t>
        </r>
        <r>
          <rPr>
            <sz val="9"/>
            <color rgb="FF000000"/>
            <rFont val="Tahoma"/>
            <family val="2"/>
            <charset val="1"/>
          </rPr>
          <t xml:space="preserve"> * (1/VT5 - 1) - RTH</t>
        </r>
        <r>
          <rPr>
            <vertAlign val="subscript"/>
            <sz val="9"/>
            <color rgb="FF000000"/>
            <rFont val="Tahoma"/>
            <family val="2"/>
            <charset val="1"/>
          </rPr>
          <t xml:space="preserve">COLD</t>
        </r>
        <r>
          <rPr>
            <sz val="9"/>
            <color rgb="FF000000"/>
            <rFont val="Tahoma"/>
            <family val="2"/>
            <charset val="1"/>
          </rPr>
          <t xml:space="preserve"> * (1/VT1 - 1)
                  1/VT1 - 1
RT1 = -------------------------------
            1/RT2 + 1/RTH</t>
        </r>
        <r>
          <rPr>
            <vertAlign val="subscript"/>
            <sz val="9"/>
            <color rgb="FF000000"/>
            <rFont val="Tahoma"/>
            <family val="2"/>
            <charset val="1"/>
          </rPr>
          <t xml:space="preserve">COLD</t>
        </r>
        <r>
          <rPr>
            <sz val="9"/>
            <color rgb="FF000000"/>
            <rFont val="Tahoma"/>
            <family val="2"/>
            <charset val="1"/>
          </rPr>
          <t xml:space="preserve"> 
where VT1 and VT5 are the voltage thresholds that the charger will operate in. VT1 and VT5 can be calculated by multiplying the REGN voltage by the corresponding temperature threshold control ratio. This threshold control ratio can be found in </t>
        </r>
        <r>
          <rPr>
            <b val="true"/>
            <sz val="9"/>
            <color rgb="FF000000"/>
            <rFont val="Tahoma"/>
            <family val="2"/>
            <charset val="1"/>
          </rPr>
          <t xml:space="preserve">Table 7-23. REG0x1b_TS_Chargin_Threshold_Control Register Field Descriptions.</t>
        </r>
      </text>
    </comment>
    <comment ref="F16" authorId="0">
      <text>
        <r>
          <rPr>
            <sz val="10"/>
            <rFont val="Arial"/>
            <family val="2"/>
          </rPr>
          <t xml:space="preserve">Typ Recommended Real TS Top Resistor:
</t>
        </r>
        <r>
          <rPr>
            <sz val="9"/>
            <color rgb="FF000000"/>
            <rFont val="Tahoma"/>
            <family val="2"/>
            <charset val="1"/>
          </rPr>
          <t xml:space="preserve">This is the typical value of the standard 0.1% resistor closest to the </t>
        </r>
        <r>
          <rPr>
            <b val="true"/>
            <sz val="9"/>
            <color rgb="FF000000"/>
            <rFont val="Tahoma"/>
            <family val="2"/>
            <charset val="1"/>
          </rPr>
          <t xml:space="preserve">Ideal TS Top Resistor RT1</t>
        </r>
        <r>
          <rPr>
            <sz val="9"/>
            <color rgb="FF000000"/>
            <rFont val="Tahoma"/>
            <family val="2"/>
            <charset val="1"/>
          </rPr>
          <t xml:space="preserve"> in the </t>
        </r>
        <r>
          <rPr>
            <b val="true"/>
            <sz val="9"/>
            <color rgb="FF000000"/>
            <rFont val="Tahoma"/>
            <family val="2"/>
            <charset val="1"/>
          </rPr>
          <t xml:space="preserve">Thermistor Qualification</t>
        </r>
        <r>
          <rPr>
            <sz val="9"/>
            <color rgb="FF000000"/>
            <rFont val="Tahoma"/>
            <family val="2"/>
            <charset val="1"/>
          </rPr>
          <t xml:space="preserve"> section. 
The cell is green because the user needs to use this resistance value to get the best results for the Thermistor Qualification. </t>
        </r>
      </text>
    </comment>
    <comment ref="F17" authorId="0">
      <text>
        <r>
          <rPr>
            <sz val="10"/>
            <rFont val="Arial"/>
            <family val="2"/>
          </rPr>
          <t xml:space="preserve">Typ Recommended Real TS Bottom Resistor:
</t>
        </r>
        <r>
          <rPr>
            <sz val="9"/>
            <color rgb="FF000000"/>
            <rFont val="Tahoma"/>
            <family val="2"/>
            <charset val="1"/>
          </rPr>
          <t xml:space="preserve">This is the typical value of the standard 0.1% resistor closest to the </t>
        </r>
        <r>
          <rPr>
            <b val="true"/>
            <sz val="9"/>
            <color rgb="FF000000"/>
            <rFont val="Tahoma"/>
            <family val="2"/>
            <charset val="1"/>
          </rPr>
          <t xml:space="preserve">Ideal TS Top Resistor RT2</t>
        </r>
        <r>
          <rPr>
            <sz val="9"/>
            <color rgb="FF000000"/>
            <rFont val="Tahoma"/>
            <family val="2"/>
            <charset val="1"/>
          </rPr>
          <t xml:space="preserve"> in the </t>
        </r>
        <r>
          <rPr>
            <b val="true"/>
            <sz val="9"/>
            <color rgb="FF000000"/>
            <rFont val="Tahoma"/>
            <family val="2"/>
            <charset val="1"/>
          </rPr>
          <t xml:space="preserve">Thermistor Qualification</t>
        </r>
        <r>
          <rPr>
            <sz val="9"/>
            <color rgb="FF000000"/>
            <rFont val="Tahoma"/>
            <family val="2"/>
            <charset val="1"/>
          </rPr>
          <t xml:space="preserve"> section. 
The cell is green because the user needs to use this resistance value to get the best results for the Thermistor Qualification. </t>
        </r>
      </text>
    </comment>
  </commentList>
</comments>
</file>

<file path=xl/sharedStrings.xml><?xml version="1.0" encoding="utf-8"?>
<sst xmlns="http://schemas.openxmlformats.org/spreadsheetml/2006/main" count="845" uniqueCount="348">
  <si>
    <t xml:space="preserve">BQ25756 Buck-Boost Battery Charger Design Calculator </t>
  </si>
  <si>
    <t xml:space="preserve">View Password</t>
  </si>
  <si>
    <t xml:space="preserve"> = Input Box</t>
  </si>
  <si>
    <t xml:space="preserve">BQ2575X</t>
  </si>
  <si>
    <t xml:space="preserve">Step 1: Operating Specifications</t>
  </si>
  <si>
    <t xml:space="preserve">Red Text = Conditional Formatting Conditions</t>
  </si>
  <si>
    <r>
      <rPr>
        <b val="true"/>
        <sz val="10"/>
        <color theme="1"/>
        <rFont val="Arial"/>
        <family val="2"/>
        <charset val="1"/>
      </rPr>
      <t xml:space="preserve">Input Voltage - Min, V</t>
    </r>
    <r>
      <rPr>
        <b val="true"/>
        <vertAlign val="subscript"/>
        <sz val="10"/>
        <color theme="1"/>
        <rFont val="Arial"/>
        <family val="2"/>
        <charset val="1"/>
      </rPr>
      <t xml:space="preserve">AC(min)</t>
    </r>
  </si>
  <si>
    <t xml:space="preserve">V</t>
  </si>
  <si>
    <r>
      <rPr>
        <b val="true"/>
        <sz val="10"/>
        <color theme="1"/>
        <rFont val="Arial"/>
        <family val="2"/>
        <charset val="1"/>
      </rPr>
      <t xml:space="preserve">Input Voltage - Nom, V</t>
    </r>
    <r>
      <rPr>
        <b val="true"/>
        <vertAlign val="subscript"/>
        <sz val="10"/>
        <color theme="1"/>
        <rFont val="Arial"/>
        <family val="2"/>
        <charset val="1"/>
      </rPr>
      <t xml:space="preserve">AC(nom)</t>
    </r>
  </si>
  <si>
    <r>
      <rPr>
        <b val="true"/>
        <sz val="10"/>
        <color theme="1"/>
        <rFont val="Arial"/>
        <family val="2"/>
        <charset val="1"/>
      </rPr>
      <t xml:space="preserve">Input Voltage - Max, V</t>
    </r>
    <r>
      <rPr>
        <b val="true"/>
        <vertAlign val="subscript"/>
        <sz val="10"/>
        <color theme="1"/>
        <rFont val="Arial"/>
        <family val="2"/>
        <charset val="1"/>
      </rPr>
      <t xml:space="preserve">AC(max)</t>
    </r>
  </si>
  <si>
    <r>
      <rPr>
        <b val="true"/>
        <sz val="10"/>
        <color theme="1"/>
        <rFont val="Arial"/>
        <family val="2"/>
        <charset val="1"/>
      </rPr>
      <t xml:space="preserve">Battery Voltage, V</t>
    </r>
    <r>
      <rPr>
        <b val="true"/>
        <vertAlign val="subscript"/>
        <sz val="10"/>
        <color theme="1"/>
        <rFont val="Arial"/>
        <family val="2"/>
        <charset val="1"/>
      </rPr>
      <t xml:space="preserve">BAT</t>
    </r>
  </si>
  <si>
    <r>
      <rPr>
        <b val="true"/>
        <sz val="10"/>
        <color theme="1"/>
        <rFont val="Arial"/>
        <family val="2"/>
        <charset val="1"/>
      </rPr>
      <t xml:space="preserve">Full Load Output Current, I</t>
    </r>
    <r>
      <rPr>
        <b val="true"/>
        <vertAlign val="subscript"/>
        <sz val="10"/>
        <color theme="1"/>
        <rFont val="Arial"/>
        <family val="2"/>
        <charset val="1"/>
      </rPr>
      <t xml:space="preserve">OUT(max)</t>
    </r>
  </si>
  <si>
    <t xml:space="preserve">A</t>
  </si>
  <si>
    <t xml:space="preserve">Black Text = Lists or Formulas</t>
  </si>
  <si>
    <t xml:space="preserve">Step 2: Switching Frequency</t>
  </si>
  <si>
    <r>
      <rPr>
        <b val="true"/>
        <sz val="10"/>
        <color theme="1"/>
        <rFont val="Arial"/>
        <family val="2"/>
        <charset val="1"/>
      </rPr>
      <t xml:space="preserve">Desired Switching Frequency, F</t>
    </r>
    <r>
      <rPr>
        <b val="true"/>
        <vertAlign val="subscript"/>
        <sz val="10"/>
        <color theme="1"/>
        <rFont val="Arial"/>
        <family val="2"/>
        <charset val="1"/>
      </rPr>
      <t xml:space="preserve">DFW</t>
    </r>
  </si>
  <si>
    <t xml:space="preserve">kHz</t>
  </si>
  <si>
    <r>
      <rPr>
        <sz val="10"/>
        <color theme="1"/>
        <rFont val="Arial"/>
        <family val="2"/>
        <charset val="1"/>
      </rPr>
      <t xml:space="preserve">Recommended Switching Frequency Resistor, R</t>
    </r>
    <r>
      <rPr>
        <vertAlign val="subscript"/>
        <sz val="10"/>
        <color theme="1"/>
        <rFont val="Arial"/>
        <family val="2"/>
        <charset val="1"/>
      </rPr>
      <t xml:space="preserve">FSW</t>
    </r>
  </si>
  <si>
    <t xml:space="preserve">kΩ</t>
  </si>
  <si>
    <r>
      <rPr>
        <b val="true"/>
        <sz val="10"/>
        <color theme="1"/>
        <rFont val="Arial"/>
        <family val="2"/>
        <charset val="1"/>
      </rPr>
      <t xml:space="preserve">Selected Switching Frequency Resistor, R</t>
    </r>
    <r>
      <rPr>
        <b val="true"/>
        <vertAlign val="subscript"/>
        <sz val="10"/>
        <color theme="1"/>
        <rFont val="Arial"/>
        <family val="2"/>
        <charset val="1"/>
      </rPr>
      <t xml:space="preserve">FSW</t>
    </r>
  </si>
  <si>
    <r>
      <rPr>
        <sz val="10"/>
        <color theme="1"/>
        <rFont val="Arial"/>
        <family val="2"/>
        <charset val="1"/>
      </rPr>
      <t xml:space="preserve">Recognized Switching Frequency, F</t>
    </r>
    <r>
      <rPr>
        <vertAlign val="subscript"/>
        <sz val="10"/>
        <color theme="1"/>
        <rFont val="Arial"/>
        <family val="2"/>
        <charset val="1"/>
      </rPr>
      <t xml:space="preserve">SW</t>
    </r>
  </si>
  <si>
    <t xml:space="preserve">Boost Duty Cycle Limitation</t>
  </si>
  <si>
    <t xml:space="preserve">%</t>
  </si>
  <si>
    <r>
      <rPr>
        <sz val="10"/>
        <color theme="1"/>
        <rFont val="Arial"/>
        <family val="2"/>
        <charset val="1"/>
      </rPr>
      <t xml:space="preserve">Boost Output Voltage Limitation at V</t>
    </r>
    <r>
      <rPr>
        <vertAlign val="subscript"/>
        <sz val="10"/>
        <color theme="1"/>
        <rFont val="Arial"/>
        <family val="2"/>
        <charset val="1"/>
      </rPr>
      <t xml:space="preserve">AC(min)</t>
    </r>
  </si>
  <si>
    <r>
      <rPr>
        <sz val="10"/>
        <color theme="1"/>
        <rFont val="Arial"/>
        <family val="2"/>
        <charset val="1"/>
      </rPr>
      <t xml:space="preserve">Boost Output Voltage Limitation at V</t>
    </r>
    <r>
      <rPr>
        <vertAlign val="subscript"/>
        <sz val="10"/>
        <color theme="1"/>
        <rFont val="Arial"/>
        <family val="2"/>
        <charset val="1"/>
      </rPr>
      <t xml:space="preserve">AC(nom)</t>
    </r>
  </si>
  <si>
    <r>
      <rPr>
        <sz val="10"/>
        <color theme="1"/>
        <rFont val="Arial"/>
        <family val="2"/>
        <charset val="1"/>
      </rPr>
      <t xml:space="preserve">Boost Output Voltage Limitation at V</t>
    </r>
    <r>
      <rPr>
        <vertAlign val="subscript"/>
        <sz val="10"/>
        <color theme="1"/>
        <rFont val="Arial"/>
        <family val="2"/>
        <charset val="1"/>
      </rPr>
      <t xml:space="preserve">AC(max)</t>
    </r>
  </si>
  <si>
    <t xml:space="preserve">Step 3: Filter Inductor</t>
  </si>
  <si>
    <r>
      <rPr>
        <sz val="10"/>
        <color theme="1"/>
        <rFont val="Arial"/>
        <family val="2"/>
        <charset val="1"/>
      </rPr>
      <t xml:space="preserve">Maximum Average Inductor Current, I</t>
    </r>
    <r>
      <rPr>
        <vertAlign val="subscript"/>
        <sz val="10"/>
        <color theme="1"/>
        <rFont val="Arial"/>
        <family val="2"/>
        <charset val="1"/>
      </rPr>
      <t xml:space="preserve">L(MAX)</t>
    </r>
  </si>
  <si>
    <r>
      <rPr>
        <sz val="10"/>
        <color theme="1"/>
        <rFont val="Arial"/>
        <family val="2"/>
        <charset val="1"/>
      </rPr>
      <t xml:space="preserve">Selected Inductor Saturation Current, I</t>
    </r>
    <r>
      <rPr>
        <vertAlign val="subscript"/>
        <sz val="10"/>
        <color theme="1"/>
        <rFont val="Arial"/>
        <family val="2"/>
        <charset val="1"/>
      </rPr>
      <t xml:space="preserve">SAT</t>
    </r>
  </si>
  <si>
    <t xml:space="preserve">Minimum Inductance, L</t>
  </si>
  <si>
    <t xml:space="preserve">µH</t>
  </si>
  <si>
    <t xml:space="preserve">Selected Inductance, L</t>
  </si>
  <si>
    <t xml:space="preserve">Minimum Recommended Inductor DCR</t>
  </si>
  <si>
    <t xml:space="preserve">mΩ</t>
  </si>
  <si>
    <t xml:space="preserve">Maximum Recommended Inductor DCR</t>
  </si>
  <si>
    <t xml:space="preserve">Selected Inductor DCR</t>
  </si>
  <si>
    <r>
      <rPr>
        <sz val="10"/>
        <color theme="1"/>
        <rFont val="Arial"/>
        <family val="2"/>
        <charset val="1"/>
      </rPr>
      <t xml:space="preserve">Pk-to-Pk Ripple Current at V</t>
    </r>
    <r>
      <rPr>
        <vertAlign val="subscript"/>
        <sz val="10"/>
        <color theme="1"/>
        <rFont val="Arial"/>
        <family val="2"/>
        <charset val="1"/>
      </rPr>
      <t xml:space="preserve">AC(min)</t>
    </r>
    <r>
      <rPr>
        <sz val="10"/>
        <color theme="1"/>
        <rFont val="Arial"/>
        <family val="2"/>
        <charset val="1"/>
      </rPr>
      <t xml:space="preserve">, ∆I</t>
    </r>
    <r>
      <rPr>
        <vertAlign val="subscript"/>
        <sz val="10"/>
        <color theme="1"/>
        <rFont val="Arial"/>
        <family val="2"/>
        <charset val="1"/>
      </rPr>
      <t xml:space="preserve">L1</t>
    </r>
  </si>
  <si>
    <r>
      <rPr>
        <sz val="10"/>
        <color theme="1"/>
        <rFont val="Arial"/>
        <family val="2"/>
        <charset val="1"/>
      </rPr>
      <t xml:space="preserve">A</t>
    </r>
    <r>
      <rPr>
        <vertAlign val="subscript"/>
        <sz val="10"/>
        <color theme="1"/>
        <rFont val="Arial"/>
        <family val="2"/>
        <charset val="1"/>
      </rPr>
      <t xml:space="preserve">pk-pk</t>
    </r>
  </si>
  <si>
    <r>
      <rPr>
        <sz val="10"/>
        <color theme="1"/>
        <rFont val="Arial"/>
        <family val="2"/>
        <charset val="1"/>
      </rPr>
      <t xml:space="preserve">Pk-to-Pk Ripple Current at V</t>
    </r>
    <r>
      <rPr>
        <vertAlign val="subscript"/>
        <sz val="10"/>
        <color theme="1"/>
        <rFont val="Arial"/>
        <family val="2"/>
        <charset val="1"/>
      </rPr>
      <t xml:space="preserve">AC(nom)</t>
    </r>
    <r>
      <rPr>
        <sz val="10"/>
        <color theme="1"/>
        <rFont val="Arial"/>
        <family val="2"/>
        <charset val="1"/>
      </rPr>
      <t xml:space="preserve">, ∆I</t>
    </r>
    <r>
      <rPr>
        <vertAlign val="subscript"/>
        <sz val="10"/>
        <color theme="1"/>
        <rFont val="Arial"/>
        <family val="2"/>
        <charset val="1"/>
      </rPr>
      <t xml:space="preserve">L2</t>
    </r>
  </si>
  <si>
    <r>
      <rPr>
        <sz val="10"/>
        <color theme="1"/>
        <rFont val="Arial"/>
        <family val="2"/>
        <charset val="1"/>
      </rPr>
      <t xml:space="preserve">Pk-to-Pk Ripple Current at V</t>
    </r>
    <r>
      <rPr>
        <vertAlign val="subscript"/>
        <sz val="10"/>
        <color theme="1"/>
        <rFont val="Arial"/>
        <family val="2"/>
        <charset val="1"/>
      </rPr>
      <t xml:space="preserve">AC(max)</t>
    </r>
    <r>
      <rPr>
        <sz val="10"/>
        <color theme="1"/>
        <rFont val="Arial"/>
        <family val="2"/>
        <charset val="1"/>
      </rPr>
      <t xml:space="preserve">, ∆I</t>
    </r>
    <r>
      <rPr>
        <vertAlign val="subscript"/>
        <sz val="10"/>
        <color theme="1"/>
        <rFont val="Arial"/>
        <family val="2"/>
        <charset val="1"/>
      </rPr>
      <t xml:space="preserve">L3</t>
    </r>
  </si>
  <si>
    <r>
      <rPr>
        <sz val="10"/>
        <color theme="1"/>
        <rFont val="Arial"/>
        <family val="2"/>
        <charset val="1"/>
      </rPr>
      <t xml:space="preserve">∆I</t>
    </r>
    <r>
      <rPr>
        <vertAlign val="subscript"/>
        <sz val="10"/>
        <color theme="1"/>
        <rFont val="Arial"/>
        <family val="2"/>
        <charset val="1"/>
      </rPr>
      <t xml:space="preserve">L </t>
    </r>
    <r>
      <rPr>
        <sz val="10"/>
        <color theme="1"/>
        <rFont val="Arial"/>
        <family val="2"/>
        <charset val="1"/>
      </rPr>
      <t xml:space="preserve">as a % at V</t>
    </r>
    <r>
      <rPr>
        <vertAlign val="subscript"/>
        <sz val="10"/>
        <color theme="1"/>
        <rFont val="Arial"/>
        <family val="2"/>
        <charset val="1"/>
      </rPr>
      <t xml:space="preserve">AC(min)</t>
    </r>
  </si>
  <si>
    <r>
      <rPr>
        <sz val="10"/>
        <color theme="1"/>
        <rFont val="Arial"/>
        <family val="2"/>
        <charset val="1"/>
      </rPr>
      <t xml:space="preserve">∆I</t>
    </r>
    <r>
      <rPr>
        <vertAlign val="subscript"/>
        <sz val="10"/>
        <color theme="1"/>
        <rFont val="Arial"/>
        <family val="2"/>
        <charset val="1"/>
      </rPr>
      <t xml:space="preserve">L </t>
    </r>
    <r>
      <rPr>
        <sz val="10"/>
        <color theme="1"/>
        <rFont val="Arial"/>
        <family val="2"/>
        <charset val="1"/>
      </rPr>
      <t xml:space="preserve">as a % at V</t>
    </r>
    <r>
      <rPr>
        <vertAlign val="subscript"/>
        <sz val="10"/>
        <color theme="1"/>
        <rFont val="Arial"/>
        <family val="2"/>
        <charset val="1"/>
      </rPr>
      <t xml:space="preserve">AC(nom)</t>
    </r>
  </si>
  <si>
    <r>
      <rPr>
        <sz val="10"/>
        <color theme="1"/>
        <rFont val="Arial"/>
        <family val="2"/>
        <charset val="1"/>
      </rPr>
      <t xml:space="preserve">∆I</t>
    </r>
    <r>
      <rPr>
        <vertAlign val="subscript"/>
        <sz val="10"/>
        <color theme="1"/>
        <rFont val="Arial"/>
        <family val="2"/>
        <charset val="1"/>
      </rPr>
      <t xml:space="preserve">L </t>
    </r>
    <r>
      <rPr>
        <sz val="10"/>
        <color theme="1"/>
        <rFont val="Arial"/>
        <family val="2"/>
        <charset val="1"/>
      </rPr>
      <t xml:space="preserve">as a % at V</t>
    </r>
    <r>
      <rPr>
        <vertAlign val="subscript"/>
        <sz val="10"/>
        <color theme="1"/>
        <rFont val="Arial"/>
        <family val="2"/>
        <charset val="1"/>
      </rPr>
      <t xml:space="preserve">AC(max)</t>
    </r>
  </si>
  <si>
    <r>
      <rPr>
        <sz val="10"/>
        <color theme="1"/>
        <rFont val="Arial"/>
        <family val="2"/>
        <charset val="1"/>
      </rPr>
      <t xml:space="preserve">Peak Inductor Current, I</t>
    </r>
    <r>
      <rPr>
        <vertAlign val="subscript"/>
        <sz val="10"/>
        <color theme="1"/>
        <rFont val="Arial"/>
        <family val="2"/>
        <charset val="1"/>
      </rPr>
      <t xml:space="preserve">L(PEAK)</t>
    </r>
  </si>
  <si>
    <t xml:space="preserve">Step 4a: Input Sense Resistors and Input Current Limit</t>
  </si>
  <si>
    <r>
      <rPr>
        <sz val="10"/>
        <color theme="1"/>
        <rFont val="Arial"/>
        <family val="2"/>
        <charset val="1"/>
      </rPr>
      <t xml:space="preserve">Recommended Input Current Sense Resistor, R</t>
    </r>
    <r>
      <rPr>
        <vertAlign val="subscript"/>
        <sz val="10"/>
        <color theme="1"/>
        <rFont val="Arial"/>
        <family val="2"/>
        <charset val="1"/>
      </rPr>
      <t xml:space="preserve">AC_SNS</t>
    </r>
  </si>
  <si>
    <r>
      <rPr>
        <b val="true"/>
        <sz val="10"/>
        <color theme="1"/>
        <rFont val="Arial"/>
        <family val="2"/>
        <charset val="1"/>
      </rPr>
      <t xml:space="preserve">Selected Input Current Sense Resistor, R</t>
    </r>
    <r>
      <rPr>
        <b val="true"/>
        <vertAlign val="subscript"/>
        <sz val="10"/>
        <color theme="1"/>
        <rFont val="Arial"/>
        <family val="2"/>
        <charset val="1"/>
      </rPr>
      <t xml:space="preserve">AC_SNS</t>
    </r>
  </si>
  <si>
    <r>
      <rPr>
        <sz val="10"/>
        <color theme="1"/>
        <rFont val="Arial"/>
        <family val="2"/>
        <charset val="1"/>
      </rPr>
      <t xml:space="preserve">Maximum Input Current Limit, I</t>
    </r>
    <r>
      <rPr>
        <vertAlign val="subscript"/>
        <sz val="10"/>
        <color theme="1"/>
        <rFont val="Arial"/>
        <family val="2"/>
        <charset val="1"/>
      </rPr>
      <t xml:space="preserve">AC_MAX(max)</t>
    </r>
  </si>
  <si>
    <r>
      <rPr>
        <sz val="10"/>
        <color theme="1"/>
        <rFont val="Arial"/>
        <family val="2"/>
        <charset val="1"/>
      </rPr>
      <t xml:space="preserve">Input Current Resolution, I</t>
    </r>
    <r>
      <rPr>
        <vertAlign val="subscript"/>
        <sz val="10"/>
        <color theme="1"/>
        <rFont val="Arial"/>
        <family val="2"/>
        <charset val="1"/>
      </rPr>
      <t xml:space="preserve">AC_MAX(</t>
    </r>
    <r>
      <rPr>
        <vertAlign val="subscript"/>
        <sz val="10"/>
        <color theme="1"/>
        <rFont val="Calibri"/>
        <family val="2"/>
        <charset val="1"/>
      </rPr>
      <t xml:space="preserve">∆</t>
    </r>
    <r>
      <rPr>
        <vertAlign val="subscript"/>
        <sz val="10"/>
        <color theme="1"/>
        <rFont val="Arial"/>
        <family val="2"/>
        <charset val="1"/>
      </rPr>
      <t xml:space="preserve">)</t>
    </r>
  </si>
  <si>
    <t xml:space="preserve">mA/step</t>
  </si>
  <si>
    <r>
      <rPr>
        <b val="true"/>
        <sz val="10"/>
        <color theme="1"/>
        <rFont val="Arial"/>
        <family val="2"/>
        <charset val="1"/>
      </rPr>
      <t xml:space="preserve">Desired Input Current Limit, I</t>
    </r>
    <r>
      <rPr>
        <b val="true"/>
        <vertAlign val="subscript"/>
        <sz val="10"/>
        <color theme="1"/>
        <rFont val="Arial"/>
        <family val="2"/>
        <charset val="1"/>
      </rPr>
      <t xml:space="preserve">AC_MAX</t>
    </r>
  </si>
  <si>
    <r>
      <rPr>
        <sz val="10"/>
        <color theme="1"/>
        <rFont val="Arial"/>
        <family val="2"/>
        <charset val="1"/>
      </rPr>
      <t xml:space="preserve">Recommended Input Pull-down Resistor, R</t>
    </r>
    <r>
      <rPr>
        <vertAlign val="subscript"/>
        <sz val="10"/>
        <color theme="1"/>
        <rFont val="Arial"/>
        <family val="2"/>
        <charset val="1"/>
      </rPr>
      <t xml:space="preserve">IIN</t>
    </r>
  </si>
  <si>
    <r>
      <rPr>
        <b val="true"/>
        <sz val="10"/>
        <color theme="1"/>
        <rFont val="Arial"/>
        <family val="2"/>
        <charset val="1"/>
      </rPr>
      <t xml:space="preserve">Selected Input Pull-down Resistor, R</t>
    </r>
    <r>
      <rPr>
        <b val="true"/>
        <vertAlign val="subscript"/>
        <sz val="10"/>
        <color theme="1"/>
        <rFont val="Arial"/>
        <family val="2"/>
        <charset val="1"/>
      </rPr>
      <t xml:space="preserve">IIN</t>
    </r>
  </si>
  <si>
    <r>
      <rPr>
        <sz val="10"/>
        <color theme="1"/>
        <rFont val="Arial"/>
        <family val="2"/>
        <charset val="1"/>
      </rPr>
      <t xml:space="preserve">Recognized Input Current Limit, I</t>
    </r>
    <r>
      <rPr>
        <vertAlign val="subscript"/>
        <sz val="10"/>
        <color theme="1"/>
        <rFont val="Arial"/>
        <family val="2"/>
        <charset val="1"/>
      </rPr>
      <t xml:space="preserve">AC_MAX</t>
    </r>
  </si>
  <si>
    <t xml:space="preserve">Step 4b: Output Current Limit</t>
  </si>
  <si>
    <r>
      <rPr>
        <b val="true"/>
        <sz val="10"/>
        <color theme="1"/>
        <rFont val="Arial"/>
        <family val="2"/>
        <charset val="1"/>
      </rPr>
      <t xml:space="preserve">Battery Current Sense Resistor, R</t>
    </r>
    <r>
      <rPr>
        <b val="true"/>
        <vertAlign val="subscript"/>
        <sz val="10"/>
        <color theme="1"/>
        <rFont val="Arial"/>
        <family val="2"/>
        <charset val="1"/>
      </rPr>
      <t xml:space="preserve">BAT_SNS</t>
    </r>
  </si>
  <si>
    <r>
      <rPr>
        <sz val="10"/>
        <color theme="1"/>
        <rFont val="Arial"/>
        <family val="2"/>
        <charset val="1"/>
      </rPr>
      <t xml:space="preserve">Maximum Output Current Limit, I</t>
    </r>
    <r>
      <rPr>
        <vertAlign val="subscript"/>
        <sz val="10"/>
        <color theme="1"/>
        <rFont val="Arial"/>
        <family val="2"/>
        <charset val="1"/>
      </rPr>
      <t xml:space="preserve">OUT_MAX(max)</t>
    </r>
  </si>
  <si>
    <r>
      <rPr>
        <sz val="10"/>
        <color theme="1"/>
        <rFont val="Arial"/>
        <family val="2"/>
        <charset val="1"/>
      </rPr>
      <t xml:space="preserve">Output Current Resolution, I</t>
    </r>
    <r>
      <rPr>
        <vertAlign val="subscript"/>
        <sz val="10"/>
        <color theme="1"/>
        <rFont val="Arial"/>
        <family val="2"/>
        <charset val="1"/>
      </rPr>
      <t xml:space="preserve">OUT_MAX(</t>
    </r>
    <r>
      <rPr>
        <vertAlign val="subscript"/>
        <sz val="10"/>
        <color theme="1"/>
        <rFont val="Calibri"/>
        <family val="2"/>
        <charset val="1"/>
      </rPr>
      <t xml:space="preserve">∆</t>
    </r>
    <r>
      <rPr>
        <vertAlign val="subscript"/>
        <sz val="10"/>
        <color theme="1"/>
        <rFont val="Arial"/>
        <family val="2"/>
        <charset val="1"/>
      </rPr>
      <t xml:space="preserve">)</t>
    </r>
  </si>
  <si>
    <r>
      <rPr>
        <b val="true"/>
        <sz val="10"/>
        <color theme="1"/>
        <rFont val="Arial"/>
        <family val="2"/>
        <charset val="1"/>
      </rPr>
      <t xml:space="preserve">Desired Output Current Limit, I</t>
    </r>
    <r>
      <rPr>
        <b val="true"/>
        <vertAlign val="subscript"/>
        <sz val="10"/>
        <color theme="1"/>
        <rFont val="Arial"/>
        <family val="2"/>
        <charset val="1"/>
      </rPr>
      <t xml:space="preserve">OUT_MAX</t>
    </r>
  </si>
  <si>
    <r>
      <rPr>
        <sz val="10"/>
        <color theme="1"/>
        <rFont val="Arial"/>
        <family val="2"/>
        <charset val="1"/>
      </rPr>
      <t xml:space="preserve">Recommended Output Pull-down Resistor, R</t>
    </r>
    <r>
      <rPr>
        <vertAlign val="subscript"/>
        <sz val="10"/>
        <color theme="1"/>
        <rFont val="Arial"/>
        <family val="2"/>
        <charset val="1"/>
      </rPr>
      <t xml:space="preserve">IOUT</t>
    </r>
  </si>
  <si>
    <r>
      <rPr>
        <b val="true"/>
        <sz val="10"/>
        <color theme="1"/>
        <rFont val="Arial"/>
        <family val="2"/>
        <charset val="1"/>
      </rPr>
      <t xml:space="preserve">Selected Output Pull-down Resistor, R</t>
    </r>
    <r>
      <rPr>
        <b val="true"/>
        <vertAlign val="subscript"/>
        <sz val="10"/>
        <color theme="1"/>
        <rFont val="Arial"/>
        <family val="2"/>
        <charset val="1"/>
      </rPr>
      <t xml:space="preserve">IOUT</t>
    </r>
  </si>
  <si>
    <r>
      <rPr>
        <sz val="10"/>
        <color theme="1"/>
        <rFont val="Arial"/>
        <family val="2"/>
        <charset val="1"/>
      </rPr>
      <t xml:space="preserve">Recognized Output Current Limit, I</t>
    </r>
    <r>
      <rPr>
        <vertAlign val="subscript"/>
        <sz val="10"/>
        <color theme="1"/>
        <rFont val="Arial"/>
        <family val="2"/>
        <charset val="1"/>
      </rPr>
      <t xml:space="preserve">AC_MAX</t>
    </r>
  </si>
  <si>
    <t xml:space="preserve">Step 5: ACUV / ACOV Input Voltage Operating Window Programming</t>
  </si>
  <si>
    <t xml:space="preserve">Desired Input Overvoltage Limit, ACOV</t>
  </si>
  <si>
    <t xml:space="preserve">Desired Input Undervoltage Limit, ACUV</t>
  </si>
  <si>
    <r>
      <rPr>
        <sz val="10"/>
        <color theme="1"/>
        <rFont val="Arial"/>
        <family val="2"/>
        <charset val="1"/>
      </rPr>
      <t xml:space="preserve">Recommended Top Resistor, R</t>
    </r>
    <r>
      <rPr>
        <vertAlign val="subscript"/>
        <sz val="10"/>
        <color theme="1"/>
        <rFont val="Arial"/>
        <family val="2"/>
        <charset val="1"/>
      </rPr>
      <t xml:space="preserve">AC1</t>
    </r>
  </si>
  <si>
    <r>
      <rPr>
        <sz val="10"/>
        <color theme="1"/>
        <rFont val="Arial"/>
        <family val="2"/>
        <charset val="1"/>
      </rPr>
      <t xml:space="preserve">Recommended Middle Resistor, R</t>
    </r>
    <r>
      <rPr>
        <vertAlign val="subscript"/>
        <sz val="10"/>
        <color theme="1"/>
        <rFont val="Arial"/>
        <family val="2"/>
        <charset val="1"/>
      </rPr>
      <t xml:space="preserve">AC2</t>
    </r>
  </si>
  <si>
    <r>
      <rPr>
        <sz val="10"/>
        <color theme="1"/>
        <rFont val="Arial"/>
        <family val="2"/>
        <charset val="1"/>
      </rPr>
      <t xml:space="preserve">Recommended Bottom Resistor, R</t>
    </r>
    <r>
      <rPr>
        <vertAlign val="subscript"/>
        <sz val="10"/>
        <color theme="1"/>
        <rFont val="Arial"/>
        <family val="2"/>
        <charset val="1"/>
      </rPr>
      <t xml:space="preserve">AC3</t>
    </r>
  </si>
  <si>
    <r>
      <rPr>
        <b val="true"/>
        <sz val="10"/>
        <color theme="1"/>
        <rFont val="Arial"/>
        <family val="2"/>
        <charset val="1"/>
      </rPr>
      <t xml:space="preserve">Selected Top Resistor, R</t>
    </r>
    <r>
      <rPr>
        <b val="true"/>
        <vertAlign val="subscript"/>
        <sz val="10"/>
        <color theme="1"/>
        <rFont val="Arial"/>
        <family val="2"/>
        <charset val="1"/>
      </rPr>
      <t xml:space="preserve">AC1</t>
    </r>
  </si>
  <si>
    <r>
      <rPr>
        <b val="true"/>
        <sz val="10"/>
        <color theme="1"/>
        <rFont val="Arial"/>
        <family val="2"/>
        <charset val="1"/>
      </rPr>
      <t xml:space="preserve">Selected Middle Resistor, R</t>
    </r>
    <r>
      <rPr>
        <b val="true"/>
        <vertAlign val="subscript"/>
        <sz val="10"/>
        <color theme="1"/>
        <rFont val="Arial"/>
        <family val="2"/>
        <charset val="1"/>
      </rPr>
      <t xml:space="preserve">AC2</t>
    </r>
  </si>
  <si>
    <r>
      <rPr>
        <b val="true"/>
        <sz val="10"/>
        <color theme="1"/>
        <rFont val="Arial"/>
        <family val="2"/>
        <charset val="1"/>
      </rPr>
      <t xml:space="preserve">Selected Bottom Resistor, R</t>
    </r>
    <r>
      <rPr>
        <b val="true"/>
        <vertAlign val="subscript"/>
        <sz val="10"/>
        <color theme="1"/>
        <rFont val="Arial"/>
        <family val="2"/>
        <charset val="1"/>
      </rPr>
      <t xml:space="preserve">AC3</t>
    </r>
  </si>
  <si>
    <t xml:space="preserve">Recognized Input Overvoltage Limit, ACOV</t>
  </si>
  <si>
    <t xml:space="preserve">Recognized Input Undervoltage Limit, ACUV</t>
  </si>
  <si>
    <t xml:space="preserve">Step 6: Charge Voltage Selection</t>
  </si>
  <si>
    <r>
      <rPr>
        <b val="true"/>
        <sz val="10"/>
        <color theme="1"/>
        <rFont val="Arial"/>
        <family val="2"/>
        <charset val="1"/>
      </rPr>
      <t xml:space="preserve">Desired Battery Regulation Target, V</t>
    </r>
    <r>
      <rPr>
        <b val="true"/>
        <vertAlign val="subscript"/>
        <sz val="10"/>
        <color theme="1"/>
        <rFont val="Arial"/>
        <family val="2"/>
        <charset val="1"/>
      </rPr>
      <t xml:space="preserve">BATREG</t>
    </r>
  </si>
  <si>
    <r>
      <rPr>
        <sz val="10"/>
        <color theme="1"/>
        <rFont val="Arial"/>
        <family val="2"/>
        <charset val="1"/>
      </rPr>
      <t xml:space="preserve">Recommended Feedback Top Resistor, R</t>
    </r>
    <r>
      <rPr>
        <vertAlign val="subscript"/>
        <sz val="10"/>
        <color theme="1"/>
        <rFont val="Arial"/>
        <family val="2"/>
        <charset val="1"/>
      </rPr>
      <t xml:space="preserve">FB_TOP</t>
    </r>
  </si>
  <si>
    <r>
      <rPr>
        <sz val="10"/>
        <color theme="1"/>
        <rFont val="Arial"/>
        <family val="2"/>
        <charset val="1"/>
      </rPr>
      <t xml:space="preserve">Recommended Feedback Bottom Resistor, R</t>
    </r>
    <r>
      <rPr>
        <vertAlign val="subscript"/>
        <sz val="10"/>
        <color theme="1"/>
        <rFont val="Arial"/>
        <family val="2"/>
        <charset val="1"/>
      </rPr>
      <t xml:space="preserve">FB_BOT</t>
    </r>
  </si>
  <si>
    <r>
      <rPr>
        <sz val="10"/>
        <color theme="1"/>
        <rFont val="Arial"/>
        <family val="2"/>
        <charset val="1"/>
      </rPr>
      <t xml:space="preserve">Recommended Target Feedback Voltage, V</t>
    </r>
    <r>
      <rPr>
        <vertAlign val="subscript"/>
        <sz val="10"/>
        <color theme="1"/>
        <rFont val="Arial"/>
        <family val="2"/>
        <charset val="1"/>
      </rPr>
      <t xml:space="preserve">FB</t>
    </r>
  </si>
  <si>
    <r>
      <rPr>
        <b val="true"/>
        <sz val="10"/>
        <color theme="1"/>
        <rFont val="Arial"/>
        <family val="2"/>
        <charset val="1"/>
      </rPr>
      <t xml:space="preserve">Selected Feedback Top Resistor, R</t>
    </r>
    <r>
      <rPr>
        <b val="true"/>
        <vertAlign val="subscript"/>
        <sz val="10"/>
        <color theme="1"/>
        <rFont val="Arial"/>
        <family val="2"/>
        <charset val="1"/>
      </rPr>
      <t xml:space="preserve">FB_TOP</t>
    </r>
  </si>
  <si>
    <r>
      <rPr>
        <b val="true"/>
        <sz val="10"/>
        <color theme="1"/>
        <rFont val="Arial"/>
        <family val="2"/>
        <charset val="1"/>
      </rPr>
      <t xml:space="preserve">Selected Feedback Bottom Resistor, R</t>
    </r>
    <r>
      <rPr>
        <b val="true"/>
        <vertAlign val="subscript"/>
        <sz val="10"/>
        <color theme="1"/>
        <rFont val="Arial"/>
        <family val="2"/>
        <charset val="1"/>
      </rPr>
      <t xml:space="preserve">FB_BOT</t>
    </r>
  </si>
  <si>
    <r>
      <rPr>
        <b val="true"/>
        <sz val="10"/>
        <color theme="1"/>
        <rFont val="Arial"/>
        <family val="2"/>
        <charset val="1"/>
      </rPr>
      <t xml:space="preserve">Selected Target Feedback Voltage, V</t>
    </r>
    <r>
      <rPr>
        <b val="true"/>
        <vertAlign val="subscript"/>
        <sz val="10"/>
        <color theme="1"/>
        <rFont val="Arial"/>
        <family val="2"/>
        <charset val="1"/>
      </rPr>
      <t xml:space="preserve">FB</t>
    </r>
  </si>
  <si>
    <r>
      <rPr>
        <sz val="10"/>
        <color theme="1"/>
        <rFont val="Arial"/>
        <family val="2"/>
        <charset val="1"/>
      </rPr>
      <t xml:space="preserve">Recognized Battery Regulation Target, V</t>
    </r>
    <r>
      <rPr>
        <vertAlign val="subscript"/>
        <sz val="10"/>
        <color theme="1"/>
        <rFont val="Arial"/>
        <family val="2"/>
        <charset val="1"/>
      </rPr>
      <t xml:space="preserve">BATREG</t>
    </r>
  </si>
  <si>
    <t xml:space="preserve">Step 7: Thermistor Qualification</t>
  </si>
  <si>
    <r>
      <rPr>
        <b val="true"/>
        <sz val="10"/>
        <color theme="1"/>
        <rFont val="Arial"/>
        <family val="2"/>
        <charset val="1"/>
      </rPr>
      <t xml:space="preserve">Desired Cold Temperature Threshold, T</t>
    </r>
    <r>
      <rPr>
        <b val="true"/>
        <vertAlign val="subscript"/>
        <sz val="10"/>
        <color theme="1"/>
        <rFont val="Arial"/>
        <family val="2"/>
        <charset val="1"/>
      </rPr>
      <t xml:space="preserve">COLD</t>
    </r>
  </si>
  <si>
    <r>
      <rPr>
        <sz val="11"/>
        <color theme="1"/>
        <rFont val="Arial"/>
        <family val="2"/>
        <charset val="1"/>
      </rPr>
      <t xml:space="preserve">C</t>
    </r>
    <r>
      <rPr>
        <sz val="11"/>
        <color theme="1"/>
        <rFont val="Calibri"/>
        <family val="2"/>
        <charset val="1"/>
      </rPr>
      <t xml:space="preserve">°</t>
    </r>
  </si>
  <si>
    <r>
      <rPr>
        <b val="true"/>
        <sz val="10"/>
        <color theme="1"/>
        <rFont val="Arial"/>
        <family val="2"/>
        <charset val="1"/>
      </rPr>
      <t xml:space="preserve">Desired Hot Temperature Threshold, T</t>
    </r>
    <r>
      <rPr>
        <b val="true"/>
        <vertAlign val="subscript"/>
        <sz val="10"/>
        <color theme="1"/>
        <rFont val="Arial"/>
        <family val="2"/>
        <charset val="1"/>
      </rPr>
      <t xml:space="preserve">HOT</t>
    </r>
  </si>
  <si>
    <r>
      <rPr>
        <b val="true"/>
        <sz val="10"/>
        <color theme="1"/>
        <rFont val="Arial"/>
        <family val="2"/>
        <charset val="1"/>
      </rPr>
      <t xml:space="preserve">Selected Thermistor Cold Resistance, RTH</t>
    </r>
    <r>
      <rPr>
        <b val="true"/>
        <vertAlign val="subscript"/>
        <sz val="10"/>
        <color theme="1"/>
        <rFont val="Arial"/>
        <family val="2"/>
        <charset val="1"/>
      </rPr>
      <t xml:space="preserve">COLD</t>
    </r>
  </si>
  <si>
    <r>
      <rPr>
        <b val="true"/>
        <sz val="10"/>
        <color theme="1"/>
        <rFont val="Arial"/>
        <family val="2"/>
        <charset val="1"/>
      </rPr>
      <t xml:space="preserve">Selected Thermistor Hot Resistance, RTH</t>
    </r>
    <r>
      <rPr>
        <b val="true"/>
        <vertAlign val="subscript"/>
        <sz val="10"/>
        <color theme="1"/>
        <rFont val="Arial"/>
        <family val="2"/>
        <charset val="1"/>
      </rPr>
      <t xml:space="preserve">HOT</t>
    </r>
  </si>
  <si>
    <t xml:space="preserve">Recommended Ideal TS Top Resistor, RT1</t>
  </si>
  <si>
    <t xml:space="preserve">Recommended Ideal TS Bottom Resistor, RT2</t>
  </si>
  <si>
    <t xml:space="preserve">Step 8: MODE Resistance (BQ25758 Only)</t>
  </si>
  <si>
    <t xml:space="preserve">Desired Operation</t>
  </si>
  <si>
    <t xml:space="preserve">Buck-Boost</t>
  </si>
  <si>
    <t xml:space="preserve">Buck-Only</t>
  </si>
  <si>
    <r>
      <rPr>
        <sz val="10"/>
        <color theme="1"/>
        <rFont val="Arial"/>
        <family val="2"/>
        <charset val="1"/>
      </rPr>
      <t xml:space="preserve">Minimum MODE Resistance, R</t>
    </r>
    <r>
      <rPr>
        <vertAlign val="subscript"/>
        <sz val="10"/>
        <color theme="1"/>
        <rFont val="Arial"/>
        <family val="2"/>
        <charset val="1"/>
      </rPr>
      <t xml:space="preserve">MODE</t>
    </r>
  </si>
  <si>
    <r>
      <rPr>
        <sz val="10"/>
        <color theme="1"/>
        <rFont val="Arial"/>
        <family val="2"/>
        <charset val="1"/>
      </rPr>
      <t xml:space="preserve">Recommended MODE Resistance, R</t>
    </r>
    <r>
      <rPr>
        <vertAlign val="subscript"/>
        <sz val="10"/>
        <color theme="1"/>
        <rFont val="Arial"/>
        <family val="2"/>
        <charset val="1"/>
      </rPr>
      <t xml:space="preserve">MODE</t>
    </r>
  </si>
  <si>
    <t xml:space="preserve">       --     </t>
  </si>
  <si>
    <r>
      <rPr>
        <sz val="10"/>
        <color theme="1"/>
        <rFont val="Arial"/>
        <family val="2"/>
        <charset val="1"/>
      </rPr>
      <t xml:space="preserve">Maximum MODE Resistance, R</t>
    </r>
    <r>
      <rPr>
        <vertAlign val="subscript"/>
        <sz val="10"/>
        <color theme="1"/>
        <rFont val="Arial"/>
        <family val="2"/>
        <charset val="1"/>
      </rPr>
      <t xml:space="preserve">MODE</t>
    </r>
  </si>
  <si>
    <t xml:space="preserve">Open Circuit</t>
  </si>
  <si>
    <r>
      <rPr>
        <b val="true"/>
        <sz val="10"/>
        <color theme="1"/>
        <rFont val="Arial"/>
        <family val="2"/>
        <charset val="1"/>
      </rPr>
      <t xml:space="preserve">Selected MODE Resistance, R</t>
    </r>
    <r>
      <rPr>
        <b val="true"/>
        <vertAlign val="subscript"/>
        <sz val="10"/>
        <color theme="1"/>
        <rFont val="Arial"/>
        <family val="2"/>
        <charset val="1"/>
      </rPr>
      <t xml:space="preserve">MODE</t>
    </r>
  </si>
  <si>
    <t xml:space="preserve">Recognized Topology</t>
  </si>
  <si>
    <r>
      <rPr>
        <sz val="10"/>
        <color theme="1"/>
        <rFont val="Arial"/>
        <family val="2"/>
        <charset val="1"/>
      </rPr>
      <t xml:space="preserve">Recognized Nominal Inductance, L</t>
    </r>
    <r>
      <rPr>
        <vertAlign val="subscript"/>
        <sz val="10"/>
        <color theme="1"/>
        <rFont val="Arial"/>
        <family val="2"/>
        <charset val="1"/>
      </rPr>
      <t xml:space="preserve">(nom)</t>
    </r>
  </si>
  <si>
    <t xml:space="preserve">2.2 - 15</t>
  </si>
  <si>
    <r>
      <rPr>
        <sz val="10"/>
        <color theme="1"/>
        <rFont val="Arial"/>
        <family val="2"/>
        <charset val="1"/>
      </rPr>
      <t xml:space="preserve">Minimum Inductor DCR, R</t>
    </r>
    <r>
      <rPr>
        <vertAlign val="subscript"/>
        <sz val="10"/>
        <color theme="1"/>
        <rFont val="Arial"/>
        <family val="2"/>
        <charset val="1"/>
      </rPr>
      <t xml:space="preserve">DCR(min)</t>
    </r>
  </si>
  <si>
    <r>
      <rPr>
        <sz val="10"/>
        <color theme="1"/>
        <rFont val="Arial"/>
        <family val="2"/>
        <charset val="1"/>
      </rPr>
      <t xml:space="preserve">Maximum Inductor DCR, R</t>
    </r>
    <r>
      <rPr>
        <vertAlign val="subscript"/>
        <sz val="10"/>
        <color theme="1"/>
        <rFont val="Arial"/>
        <family val="2"/>
        <charset val="1"/>
      </rPr>
      <t xml:space="preserve">DCR(max)</t>
    </r>
  </si>
  <si>
    <t xml:space="preserve">Step 9: Input Capacitor</t>
  </si>
  <si>
    <r>
      <rPr>
        <sz val="10"/>
        <color theme="1"/>
        <rFont val="Arial"/>
        <family val="2"/>
        <charset val="1"/>
      </rPr>
      <t xml:space="preserve">Minimum Input Capacitance, C</t>
    </r>
    <r>
      <rPr>
        <vertAlign val="subscript"/>
        <sz val="10"/>
        <color theme="1"/>
        <rFont val="Arial"/>
        <family val="2"/>
        <charset val="1"/>
      </rPr>
      <t xml:space="preserve">IN</t>
    </r>
  </si>
  <si>
    <t xml:space="preserve">µF</t>
  </si>
  <si>
    <r>
      <rPr>
        <b val="true"/>
        <sz val="10"/>
        <color theme="1"/>
        <rFont val="Arial"/>
        <family val="2"/>
        <charset val="1"/>
      </rPr>
      <t xml:space="preserve">Input Capacitance, C</t>
    </r>
    <r>
      <rPr>
        <b val="true"/>
        <vertAlign val="subscript"/>
        <sz val="10"/>
        <color theme="1"/>
        <rFont val="Arial"/>
        <family val="2"/>
        <charset val="1"/>
      </rPr>
      <t xml:space="preserve">OUT</t>
    </r>
  </si>
  <si>
    <t xml:space="preserve">Input Capacitor ESR</t>
  </si>
  <si>
    <r>
      <rPr>
        <sz val="10"/>
        <color theme="1"/>
        <rFont val="Arial"/>
        <family val="2"/>
        <charset val="1"/>
      </rPr>
      <t xml:space="preserve">Input Capacitor RMS Ripple Current, I</t>
    </r>
    <r>
      <rPr>
        <vertAlign val="subscript"/>
        <sz val="10"/>
        <color theme="1"/>
        <rFont val="Arial"/>
        <family val="2"/>
        <charset val="1"/>
      </rPr>
      <t xml:space="preserve">CBAT</t>
    </r>
  </si>
  <si>
    <t xml:space="preserve">Step 10: Output Capacitor</t>
  </si>
  <si>
    <r>
      <rPr>
        <sz val="10"/>
        <color theme="1"/>
        <rFont val="Arial"/>
        <family val="2"/>
        <charset val="1"/>
      </rPr>
      <t xml:space="preserve">Minimum Output Capacitance, C</t>
    </r>
    <r>
      <rPr>
        <vertAlign val="subscript"/>
        <sz val="10"/>
        <color theme="1"/>
        <rFont val="Arial"/>
        <family val="2"/>
        <charset val="1"/>
      </rPr>
      <t xml:space="preserve">OUT</t>
    </r>
  </si>
  <si>
    <r>
      <rPr>
        <b val="true"/>
        <sz val="10"/>
        <color theme="1"/>
        <rFont val="Arial"/>
        <family val="2"/>
        <charset val="1"/>
      </rPr>
      <t xml:space="preserve">Output Capacitance, C</t>
    </r>
    <r>
      <rPr>
        <b val="true"/>
        <vertAlign val="subscript"/>
        <sz val="10"/>
        <color theme="1"/>
        <rFont val="Arial"/>
        <family val="2"/>
        <charset val="1"/>
      </rPr>
      <t xml:space="preserve">OUT</t>
    </r>
  </si>
  <si>
    <t xml:space="preserve">Output Capacitor ESR</t>
  </si>
  <si>
    <r>
      <rPr>
        <sz val="10"/>
        <color theme="1"/>
        <rFont val="Arial"/>
        <family val="2"/>
        <charset val="1"/>
      </rPr>
      <t xml:space="preserve">Output Capacitor RMS Ripple Current, I</t>
    </r>
    <r>
      <rPr>
        <vertAlign val="subscript"/>
        <sz val="10"/>
        <color theme="1"/>
        <rFont val="Arial"/>
        <family val="2"/>
        <charset val="1"/>
      </rPr>
      <t xml:space="preserve">CBAT</t>
    </r>
  </si>
  <si>
    <r>
      <rPr>
        <sz val="10"/>
        <color theme="1"/>
        <rFont val="Arial"/>
        <family val="2"/>
        <charset val="1"/>
      </rPr>
      <t xml:space="preserve">Output ESR Voltage Ripple, V</t>
    </r>
    <r>
      <rPr>
        <vertAlign val="subscript"/>
        <sz val="10"/>
        <color theme="1"/>
        <rFont val="Arial"/>
        <family val="2"/>
        <charset val="1"/>
      </rPr>
      <t xml:space="preserve">RIPPLE(ESR)</t>
    </r>
  </si>
  <si>
    <t xml:space="preserve">mV</t>
  </si>
  <si>
    <r>
      <rPr>
        <sz val="10"/>
        <color theme="1"/>
        <rFont val="Arial"/>
        <family val="2"/>
        <charset val="1"/>
      </rPr>
      <t xml:space="preserve">Output Capacitive Ripple Voltage, V</t>
    </r>
    <r>
      <rPr>
        <vertAlign val="subscript"/>
        <sz val="10"/>
        <color theme="1"/>
        <rFont val="Arial"/>
        <family val="2"/>
        <charset val="1"/>
      </rPr>
      <t xml:space="preserve">RIPPLE(CBAT)</t>
    </r>
  </si>
  <si>
    <t xml:space="preserve">Custom Power MOSFETs</t>
  </si>
  <si>
    <t xml:space="preserve">Custom MOSFET</t>
  </si>
  <si>
    <t xml:space="preserve">TI Recommended MOSFET</t>
  </si>
  <si>
    <r>
      <rPr>
        <b val="true"/>
        <u val="single"/>
        <sz val="10"/>
        <color rgb="FF0000FF"/>
        <rFont val="Arial"/>
        <family val="2"/>
        <charset val="1"/>
      </rPr>
      <t xml:space="preserve">Buck</t>
    </r>
    <r>
      <rPr>
        <b val="true"/>
        <sz val="10"/>
        <color rgb="FF0000FF"/>
        <rFont val="Arial"/>
        <family val="2"/>
        <charset val="1"/>
      </rPr>
      <t xml:space="preserve">-Leg Power MOSFETs (Q</t>
    </r>
    <r>
      <rPr>
        <b val="true"/>
        <vertAlign val="subscript"/>
        <sz val="10"/>
        <color rgb="FF0000FF"/>
        <rFont val="Arial"/>
        <family val="2"/>
        <charset val="1"/>
      </rPr>
      <t xml:space="preserve">1</t>
    </r>
    <r>
      <rPr>
        <b val="true"/>
        <sz val="10"/>
        <color rgb="FF0000FF"/>
        <rFont val="Arial"/>
        <family val="2"/>
        <charset val="1"/>
      </rPr>
      <t xml:space="preserve">, Q</t>
    </r>
    <r>
      <rPr>
        <b val="true"/>
        <vertAlign val="subscript"/>
        <sz val="10"/>
        <color rgb="FF0000FF"/>
        <rFont val="Arial"/>
        <family val="2"/>
        <charset val="1"/>
      </rPr>
      <t xml:space="preserve">2</t>
    </r>
    <r>
      <rPr>
        <b val="true"/>
        <sz val="10"/>
        <color rgb="FF0000FF"/>
        <rFont val="Arial"/>
        <family val="2"/>
        <charset val="1"/>
      </rPr>
      <t xml:space="preserve">)</t>
    </r>
  </si>
  <si>
    <t xml:space="preserve">SiR680LDP</t>
  </si>
  <si>
    <t xml:space="preserve">Show TI MOSFET Recommendation</t>
  </si>
  <si>
    <t xml:space="preserve">Hi-side</t>
  </si>
  <si>
    <t xml:space="preserve">Low-side</t>
  </si>
  <si>
    <t xml:space="preserve">No</t>
  </si>
  <si>
    <t xml:space="preserve">Yes</t>
  </si>
  <si>
    <t xml:space="preserve">Parameter</t>
  </si>
  <si>
    <t xml:space="preserve">CSD18563Q5A</t>
  </si>
  <si>
    <t xml:space="preserve">CSD16321Q5</t>
  </si>
  <si>
    <t xml:space="preserve">AONS66614</t>
  </si>
  <si>
    <t xml:space="preserve">SiR880BDP</t>
  </si>
  <si>
    <t xml:space="preserve">Units</t>
  </si>
  <si>
    <r>
      <rPr>
        <b val="true"/>
        <sz val="10"/>
        <color theme="1"/>
        <rFont val="Arial"/>
        <family val="2"/>
        <charset val="1"/>
      </rPr>
      <t xml:space="preserve">On-State Resistance V</t>
    </r>
    <r>
      <rPr>
        <b val="true"/>
        <vertAlign val="subscript"/>
        <sz val="10"/>
        <color theme="1"/>
        <rFont val="Arial"/>
        <family val="2"/>
        <charset val="1"/>
      </rPr>
      <t xml:space="preserve">gs</t>
    </r>
    <r>
      <rPr>
        <b val="true"/>
        <sz val="10"/>
        <color theme="1"/>
        <rFont val="Arial"/>
        <family val="2"/>
        <charset val="1"/>
      </rPr>
      <t xml:space="preserve"> = 4.5 V, R</t>
    </r>
    <r>
      <rPr>
        <b val="true"/>
        <vertAlign val="subscript"/>
        <sz val="10"/>
        <color theme="1"/>
        <rFont val="Arial"/>
        <family val="2"/>
        <charset val="1"/>
      </rPr>
      <t xml:space="preserve">DS(on)</t>
    </r>
  </si>
  <si>
    <r>
      <rPr>
        <sz val="10"/>
        <color theme="1"/>
        <rFont val="Arial"/>
        <family val="2"/>
        <charset val="1"/>
      </rPr>
      <t xml:space="preserve">m</t>
    </r>
    <r>
      <rPr>
        <sz val="10"/>
        <color theme="1"/>
        <rFont val="Calibri"/>
        <family val="2"/>
        <charset val="1"/>
      </rPr>
      <t xml:space="preserve">Ω</t>
    </r>
  </si>
  <si>
    <r>
      <rPr>
        <b val="true"/>
        <sz val="10"/>
        <color theme="1"/>
        <rFont val="Arial"/>
        <family val="2"/>
        <charset val="1"/>
      </rPr>
      <t xml:space="preserve">On-State Resistance V</t>
    </r>
    <r>
      <rPr>
        <b val="true"/>
        <vertAlign val="subscript"/>
        <sz val="10"/>
        <color theme="1"/>
        <rFont val="Arial"/>
        <family val="2"/>
        <charset val="1"/>
      </rPr>
      <t xml:space="preserve">gs</t>
    </r>
    <r>
      <rPr>
        <b val="true"/>
        <sz val="10"/>
        <color theme="1"/>
        <rFont val="Arial"/>
        <family val="2"/>
        <charset val="1"/>
      </rPr>
      <t xml:space="preserve"> = 10 V, R</t>
    </r>
    <r>
      <rPr>
        <b val="true"/>
        <vertAlign val="subscript"/>
        <sz val="10"/>
        <color theme="1"/>
        <rFont val="Arial"/>
        <family val="2"/>
        <charset val="1"/>
      </rPr>
      <t xml:space="preserve">DS(on)</t>
    </r>
  </si>
  <si>
    <r>
      <rPr>
        <b val="true"/>
        <sz val="10"/>
        <color theme="1"/>
        <rFont val="Arial"/>
        <family val="2"/>
        <charset val="1"/>
      </rPr>
      <t xml:space="preserve">On-State Resistance V</t>
    </r>
    <r>
      <rPr>
        <b val="true"/>
        <vertAlign val="subscript"/>
        <sz val="10"/>
        <color theme="1"/>
        <rFont val="Arial"/>
        <family val="2"/>
        <charset val="1"/>
      </rPr>
      <t xml:space="preserve">gs</t>
    </r>
    <r>
      <rPr>
        <b val="true"/>
        <sz val="10"/>
        <color theme="1"/>
        <rFont val="Arial"/>
        <family val="2"/>
        <charset val="1"/>
      </rPr>
      <t xml:space="preserve"> = Custom Voltage, R</t>
    </r>
    <r>
      <rPr>
        <b val="true"/>
        <vertAlign val="subscript"/>
        <sz val="10"/>
        <color theme="1"/>
        <rFont val="Arial"/>
        <family val="2"/>
        <charset val="1"/>
      </rPr>
      <t xml:space="preserve">DS(on)</t>
    </r>
  </si>
  <si>
    <r>
      <rPr>
        <b val="true"/>
        <sz val="10"/>
        <color theme="1"/>
        <rFont val="Arial"/>
        <family val="2"/>
        <charset val="1"/>
      </rPr>
      <t xml:space="preserve">Total Gate Charge Vgs = 4.5 V, Q</t>
    </r>
    <r>
      <rPr>
        <b val="true"/>
        <vertAlign val="subscript"/>
        <sz val="10"/>
        <color theme="1"/>
        <rFont val="Arial"/>
        <family val="2"/>
        <charset val="1"/>
      </rPr>
      <t xml:space="preserve">G</t>
    </r>
  </si>
  <si>
    <t xml:space="preserve">nC</t>
  </si>
  <si>
    <r>
      <rPr>
        <b val="true"/>
        <sz val="10"/>
        <color theme="1"/>
        <rFont val="Arial"/>
        <family val="2"/>
        <charset val="1"/>
      </rPr>
      <t xml:space="preserve">Total Gate Charge Vgs = 10 V, Q</t>
    </r>
    <r>
      <rPr>
        <b val="true"/>
        <vertAlign val="subscript"/>
        <sz val="10"/>
        <color theme="1"/>
        <rFont val="Arial"/>
        <family val="2"/>
        <charset val="1"/>
      </rPr>
      <t xml:space="preserve">G</t>
    </r>
  </si>
  <si>
    <r>
      <rPr>
        <b val="true"/>
        <sz val="10"/>
        <color theme="1"/>
        <rFont val="Arial"/>
        <family val="2"/>
        <charset val="1"/>
      </rPr>
      <t xml:space="preserve">Total Gate Charge Vgs = Custom Voltage, Q</t>
    </r>
    <r>
      <rPr>
        <b val="true"/>
        <vertAlign val="subscript"/>
        <sz val="10"/>
        <color theme="1"/>
        <rFont val="Arial"/>
        <family val="2"/>
        <charset val="1"/>
      </rPr>
      <t xml:space="preserve">G</t>
    </r>
  </si>
  <si>
    <r>
      <rPr>
        <b val="true"/>
        <sz val="10"/>
        <color theme="1"/>
        <rFont val="Arial"/>
        <family val="2"/>
        <charset val="1"/>
      </rPr>
      <t xml:space="preserve">Gate-Drain Charge, Q</t>
    </r>
    <r>
      <rPr>
        <b val="true"/>
        <vertAlign val="subscript"/>
        <sz val="10"/>
        <color theme="1"/>
        <rFont val="Arial"/>
        <family val="2"/>
        <charset val="1"/>
      </rPr>
      <t xml:space="preserve">GD</t>
    </r>
  </si>
  <si>
    <r>
      <rPr>
        <b val="true"/>
        <sz val="10"/>
        <color theme="1"/>
        <rFont val="Arial"/>
        <family val="2"/>
        <charset val="1"/>
      </rPr>
      <t xml:space="preserve">Gate-Source Charge, Q</t>
    </r>
    <r>
      <rPr>
        <b val="true"/>
        <vertAlign val="subscript"/>
        <sz val="10"/>
        <color theme="1"/>
        <rFont val="Arial"/>
        <family val="2"/>
        <charset val="1"/>
      </rPr>
      <t xml:space="preserve">GS</t>
    </r>
  </si>
  <si>
    <r>
      <rPr>
        <b val="true"/>
        <sz val="10"/>
        <color theme="1"/>
        <rFont val="Arial"/>
        <family val="2"/>
        <charset val="1"/>
      </rPr>
      <t xml:space="preserve">Output Charge, Q</t>
    </r>
    <r>
      <rPr>
        <b val="true"/>
        <vertAlign val="subscript"/>
        <sz val="10"/>
        <color theme="1"/>
        <rFont val="Arial"/>
        <family val="2"/>
        <charset val="1"/>
      </rPr>
      <t xml:space="preserve">OSS</t>
    </r>
  </si>
  <si>
    <r>
      <rPr>
        <b val="true"/>
        <sz val="10"/>
        <color theme="1"/>
        <rFont val="Arial"/>
        <family val="2"/>
        <charset val="1"/>
      </rPr>
      <t xml:space="preserve">Output chare, Q</t>
    </r>
    <r>
      <rPr>
        <b val="true"/>
        <vertAlign val="subscript"/>
        <sz val="10"/>
        <color theme="1"/>
        <rFont val="Arial"/>
        <family val="2"/>
        <charset val="1"/>
      </rPr>
      <t xml:space="preserve">OSS</t>
    </r>
  </si>
  <si>
    <r>
      <rPr>
        <b val="true"/>
        <sz val="10"/>
        <color theme="1"/>
        <rFont val="Arial"/>
        <family val="2"/>
        <charset val="1"/>
      </rPr>
      <t xml:space="preserve">Gate Resistance, R</t>
    </r>
    <r>
      <rPr>
        <b val="true"/>
        <vertAlign val="subscript"/>
        <sz val="10"/>
        <color theme="1"/>
        <rFont val="Arial"/>
        <family val="2"/>
        <charset val="1"/>
      </rPr>
      <t xml:space="preserve">G</t>
    </r>
  </si>
  <si>
    <t xml:space="preserve">Ω</t>
  </si>
  <si>
    <r>
      <rPr>
        <b val="true"/>
        <sz val="10"/>
        <color theme="1"/>
        <rFont val="Arial"/>
        <family val="2"/>
        <charset val="1"/>
      </rPr>
      <t xml:space="preserve">Transconductance, g</t>
    </r>
    <r>
      <rPr>
        <b val="true"/>
        <vertAlign val="subscript"/>
        <sz val="10"/>
        <color theme="1"/>
        <rFont val="Arial"/>
        <family val="2"/>
        <charset val="1"/>
      </rPr>
      <t xml:space="preserve">FS</t>
    </r>
  </si>
  <si>
    <t xml:space="preserve">S</t>
  </si>
  <si>
    <r>
      <rPr>
        <b val="true"/>
        <sz val="10"/>
        <color theme="1"/>
        <rFont val="Arial"/>
        <family val="2"/>
        <charset val="1"/>
      </rPr>
      <t xml:space="preserve">Gate-Source Threshold Voltage, V</t>
    </r>
    <r>
      <rPr>
        <b val="true"/>
        <vertAlign val="subscript"/>
        <sz val="10"/>
        <color theme="1"/>
        <rFont val="Arial"/>
        <family val="2"/>
        <charset val="1"/>
      </rPr>
      <t xml:space="preserve">TH</t>
    </r>
  </si>
  <si>
    <r>
      <rPr>
        <b val="true"/>
        <sz val="10"/>
        <color theme="1"/>
        <rFont val="Arial"/>
        <family val="2"/>
        <charset val="1"/>
      </rPr>
      <t xml:space="preserve">Diode Forward Voltage, V</t>
    </r>
    <r>
      <rPr>
        <b val="true"/>
        <vertAlign val="subscript"/>
        <sz val="10"/>
        <color theme="1"/>
        <rFont val="Arial"/>
        <family val="2"/>
        <charset val="1"/>
      </rPr>
      <t xml:space="preserve">SD</t>
    </r>
  </si>
  <si>
    <r>
      <rPr>
        <b val="true"/>
        <sz val="10"/>
        <color theme="1"/>
        <rFont val="Arial"/>
        <family val="2"/>
        <charset val="1"/>
      </rPr>
      <t xml:space="preserve">Reverse Recovery Charge, Q</t>
    </r>
    <r>
      <rPr>
        <b val="true"/>
        <vertAlign val="subscript"/>
        <sz val="10"/>
        <color theme="1"/>
        <rFont val="Arial"/>
        <family val="2"/>
        <charset val="1"/>
      </rPr>
      <t xml:space="preserve">RR</t>
    </r>
  </si>
  <si>
    <r>
      <rPr>
        <b val="true"/>
        <sz val="10"/>
        <color theme="1"/>
        <rFont val="Arial"/>
        <family val="2"/>
        <charset val="1"/>
      </rPr>
      <t xml:space="preserve">Thermal Resistance, </t>
    </r>
    <r>
      <rPr>
        <b val="true"/>
        <sz val="10"/>
        <color theme="1"/>
        <rFont val="Calibri"/>
        <family val="2"/>
        <charset val="1"/>
      </rPr>
      <t xml:space="preserve">θ</t>
    </r>
    <r>
      <rPr>
        <b val="true"/>
        <vertAlign val="subscript"/>
        <sz val="10"/>
        <color theme="1"/>
        <rFont val="Arial"/>
        <family val="2"/>
        <charset val="1"/>
      </rPr>
      <t xml:space="preserve">JA</t>
    </r>
  </si>
  <si>
    <r>
      <rPr>
        <sz val="10"/>
        <color theme="1"/>
        <rFont val="Calibri"/>
        <family val="2"/>
        <charset val="1"/>
      </rPr>
      <t xml:space="preserve">°</t>
    </r>
    <r>
      <rPr>
        <sz val="10"/>
        <color theme="1"/>
        <rFont val="Arial"/>
        <family val="2"/>
        <charset val="1"/>
      </rPr>
      <t xml:space="preserve">C/W</t>
    </r>
  </si>
  <si>
    <r>
      <rPr>
        <b val="true"/>
        <u val="single"/>
        <sz val="10"/>
        <color rgb="FF0000FF"/>
        <rFont val="Arial"/>
        <family val="2"/>
        <charset val="1"/>
      </rPr>
      <t xml:space="preserve">Boost</t>
    </r>
    <r>
      <rPr>
        <b val="true"/>
        <sz val="10"/>
        <color rgb="FF0000FF"/>
        <rFont val="Arial"/>
        <family val="2"/>
        <charset val="1"/>
      </rPr>
      <t xml:space="preserve">-Leg Power MOSFETs (Q</t>
    </r>
    <r>
      <rPr>
        <b val="true"/>
        <vertAlign val="subscript"/>
        <sz val="10"/>
        <color rgb="FF0000FF"/>
        <rFont val="Arial"/>
        <family val="2"/>
        <charset val="1"/>
      </rPr>
      <t xml:space="preserve">1</t>
    </r>
    <r>
      <rPr>
        <b val="true"/>
        <sz val="10"/>
        <color rgb="FF0000FF"/>
        <rFont val="Arial"/>
        <family val="2"/>
        <charset val="1"/>
      </rPr>
      <t xml:space="preserve">, Q</t>
    </r>
    <r>
      <rPr>
        <b val="true"/>
        <vertAlign val="subscript"/>
        <sz val="10"/>
        <color rgb="FF0000FF"/>
        <rFont val="Arial"/>
        <family val="2"/>
        <charset val="1"/>
      </rPr>
      <t xml:space="preserve">2</t>
    </r>
    <r>
      <rPr>
        <b val="true"/>
        <sz val="10"/>
        <color rgb="FF0000FF"/>
        <rFont val="Arial"/>
        <family val="2"/>
        <charset val="1"/>
      </rPr>
      <t xml:space="preserve">)</t>
    </r>
  </si>
  <si>
    <r>
      <rPr>
        <b val="true"/>
        <sz val="10"/>
        <color theme="1"/>
        <rFont val="Arial"/>
        <family val="2"/>
        <charset val="1"/>
      </rPr>
      <t xml:space="preserve">Body Diode Forward Voltage, V</t>
    </r>
    <r>
      <rPr>
        <b val="true"/>
        <vertAlign val="subscript"/>
        <sz val="10"/>
        <color theme="1"/>
        <rFont val="Arial"/>
        <family val="2"/>
        <charset val="1"/>
      </rPr>
      <t xml:space="preserve">SD</t>
    </r>
  </si>
  <si>
    <r>
      <rPr>
        <b val="true"/>
        <sz val="10"/>
        <color theme="1"/>
        <rFont val="Arial"/>
        <family val="2"/>
        <charset val="1"/>
      </rPr>
      <t xml:space="preserve">Body Diode Rev Recovery Charge, Q</t>
    </r>
    <r>
      <rPr>
        <b val="true"/>
        <vertAlign val="subscript"/>
        <sz val="10"/>
        <color theme="1"/>
        <rFont val="Arial"/>
        <family val="2"/>
        <charset val="1"/>
      </rPr>
      <t xml:space="preserve">RR</t>
    </r>
  </si>
  <si>
    <t xml:space="preserve">Step 11: Gate Drive Voltage</t>
  </si>
  <si>
    <r>
      <rPr>
        <b val="true"/>
        <sz val="10"/>
        <color theme="1"/>
        <rFont val="Arial"/>
        <family val="2"/>
        <charset val="1"/>
      </rPr>
      <t xml:space="preserve">Custom Gate Drive Voltage, V</t>
    </r>
    <r>
      <rPr>
        <b val="true"/>
        <vertAlign val="subscript"/>
        <sz val="10"/>
        <color theme="1"/>
        <rFont val="Arial"/>
        <family val="2"/>
        <charset val="1"/>
      </rPr>
      <t xml:space="preserve">gs</t>
    </r>
  </si>
  <si>
    <t xml:space="preserve">Efficiency / Power Loss Analyzer</t>
  </si>
  <si>
    <t xml:space="preserve">General</t>
  </si>
  <si>
    <t xml:space="preserve">TI MOSFET Recommendation Power Losses</t>
  </si>
  <si>
    <t xml:space="preserve">Custom MOSFET Power Losses</t>
  </si>
  <si>
    <t xml:space="preserve">Sense and Inductor Loss</t>
  </si>
  <si>
    <t xml:space="preserve">TI MOSFET Efficiency</t>
  </si>
  <si>
    <t xml:space="preserve">Custom MOSFET Efficiency</t>
  </si>
  <si>
    <t xml:space="preserve">Plot 1</t>
  </si>
  <si>
    <t xml:space="preserve">Plot 2</t>
  </si>
  <si>
    <t xml:space="preserve">Saved Plot 1</t>
  </si>
  <si>
    <t xml:space="preserve">Saved Plot 2</t>
  </si>
  <si>
    <t xml:space="preserve">Index</t>
  </si>
  <si>
    <r>
      <rPr>
        <sz val="11"/>
        <color theme="1"/>
        <rFont val="Arial"/>
        <family val="2"/>
        <charset val="1"/>
      </rPr>
      <t xml:space="preserve">I</t>
    </r>
    <r>
      <rPr>
        <vertAlign val="subscript"/>
        <sz val="11"/>
        <color theme="1"/>
        <rFont val="Arial"/>
        <family val="2"/>
        <charset val="1"/>
      </rPr>
      <t xml:space="preserve">OUT</t>
    </r>
    <r>
      <rPr>
        <sz val="11"/>
        <color theme="1"/>
        <rFont val="Arial"/>
        <family val="2"/>
        <charset val="1"/>
      </rPr>
      <t xml:space="preserve"> (A)</t>
    </r>
  </si>
  <si>
    <r>
      <rPr>
        <sz val="11"/>
        <color theme="1"/>
        <rFont val="Calibri"/>
        <family val="2"/>
        <charset val="1"/>
      </rPr>
      <t xml:space="preserve">P</t>
    </r>
    <r>
      <rPr>
        <vertAlign val="subscript"/>
        <sz val="11"/>
        <color theme="1"/>
        <rFont val="Calibri"/>
        <family val="2"/>
        <charset val="1"/>
      </rPr>
      <t xml:space="preserve">OUT</t>
    </r>
    <r>
      <rPr>
        <sz val="11"/>
        <color theme="1"/>
        <rFont val="Calibri"/>
        <family val="2"/>
        <charset val="1"/>
      </rPr>
      <t xml:space="preserve"> (W)</t>
    </r>
  </si>
  <si>
    <t xml:space="preserve">Duty Cycle</t>
  </si>
  <si>
    <t xml:space="preserve">I_L</t>
  </si>
  <si>
    <t xml:space="preserve">I_L pkpk</t>
  </si>
  <si>
    <t xml:space="preserve">I_L RMS</t>
  </si>
  <si>
    <t xml:space="preserve">Column2</t>
  </si>
  <si>
    <r>
      <rPr>
        <sz val="11"/>
        <color theme="1"/>
        <rFont val="Calibri"/>
        <family val="2"/>
        <charset val="1"/>
      </rPr>
      <t xml:space="preserve">I</t>
    </r>
    <r>
      <rPr>
        <vertAlign val="subscript"/>
        <sz val="11"/>
        <color theme="1"/>
        <rFont val="Calibri"/>
        <family val="2"/>
        <charset val="1"/>
      </rPr>
      <t xml:space="preserve">valley</t>
    </r>
    <r>
      <rPr>
        <sz val="11"/>
        <color theme="1"/>
        <rFont val="Calibri"/>
        <family val="2"/>
        <charset val="1"/>
      </rPr>
      <t xml:space="preserve"> (A)</t>
    </r>
  </si>
  <si>
    <r>
      <rPr>
        <sz val="11"/>
        <color theme="1"/>
        <rFont val="Calibri"/>
        <family val="2"/>
        <charset val="1"/>
      </rPr>
      <t xml:space="preserve">I</t>
    </r>
    <r>
      <rPr>
        <vertAlign val="subscript"/>
        <sz val="11"/>
        <color theme="1"/>
        <rFont val="Calibri"/>
        <family val="2"/>
        <charset val="1"/>
      </rPr>
      <t xml:space="preserve">peak</t>
    </r>
    <r>
      <rPr>
        <sz val="11"/>
        <color theme="1"/>
        <rFont val="Calibri"/>
        <family val="2"/>
        <charset val="1"/>
      </rPr>
      <t xml:space="preserve"> (A)</t>
    </r>
  </si>
  <si>
    <r>
      <rPr>
        <sz val="11"/>
        <color theme="1"/>
        <rFont val="Calibri"/>
        <family val="2"/>
        <charset val="1"/>
      </rPr>
      <t xml:space="preserve">I</t>
    </r>
    <r>
      <rPr>
        <vertAlign val="subscript"/>
        <sz val="11"/>
        <color theme="1"/>
        <rFont val="Calibri"/>
        <family val="2"/>
        <charset val="1"/>
      </rPr>
      <t xml:space="preserve">on</t>
    </r>
    <r>
      <rPr>
        <sz val="11"/>
        <color theme="1"/>
        <rFont val="Calibri"/>
        <family val="2"/>
        <charset val="1"/>
      </rPr>
      <t xml:space="preserve"> (A)</t>
    </r>
  </si>
  <si>
    <r>
      <rPr>
        <sz val="11"/>
        <color theme="1"/>
        <rFont val="Calibri"/>
        <family val="2"/>
        <charset val="1"/>
      </rPr>
      <t xml:space="preserve">I</t>
    </r>
    <r>
      <rPr>
        <vertAlign val="subscript"/>
        <sz val="11"/>
        <color theme="1"/>
        <rFont val="Calibri"/>
        <family val="2"/>
        <charset val="1"/>
      </rPr>
      <t xml:space="preserve">off</t>
    </r>
    <r>
      <rPr>
        <sz val="11"/>
        <color theme="1"/>
        <rFont val="Calibri"/>
        <family val="2"/>
        <charset val="1"/>
      </rPr>
      <t xml:space="preserve"> (A)</t>
    </r>
  </si>
  <si>
    <r>
      <rPr>
        <sz val="11"/>
        <color theme="1"/>
        <rFont val="Calibri"/>
        <family val="2"/>
        <charset val="1"/>
      </rPr>
      <t xml:space="preserve">t</t>
    </r>
    <r>
      <rPr>
        <vertAlign val="subscript"/>
        <sz val="11"/>
        <color theme="1"/>
        <rFont val="Calibri"/>
        <family val="2"/>
        <charset val="1"/>
      </rPr>
      <t xml:space="preserve">on</t>
    </r>
    <r>
      <rPr>
        <sz val="11"/>
        <color theme="1"/>
        <rFont val="Calibri"/>
        <family val="2"/>
        <charset val="1"/>
      </rPr>
      <t xml:space="preserve"> (ns)</t>
    </r>
  </si>
  <si>
    <r>
      <rPr>
        <sz val="11"/>
        <color theme="1"/>
        <rFont val="Calibri"/>
        <family val="2"/>
        <charset val="1"/>
      </rPr>
      <t xml:space="preserve">t</t>
    </r>
    <r>
      <rPr>
        <vertAlign val="subscript"/>
        <sz val="11"/>
        <color theme="1"/>
        <rFont val="Calibri"/>
        <family val="2"/>
        <charset val="1"/>
      </rPr>
      <t xml:space="preserve">off</t>
    </r>
    <r>
      <rPr>
        <sz val="11"/>
        <color theme="1"/>
        <rFont val="Calibri"/>
        <family val="2"/>
        <charset val="1"/>
      </rPr>
      <t xml:space="preserve"> (ns)</t>
    </r>
  </si>
  <si>
    <r>
      <rPr>
        <sz val="11"/>
        <color theme="1"/>
        <rFont val="Calibri"/>
        <family val="2"/>
        <charset val="1"/>
      </rPr>
      <t xml:space="preserve">P</t>
    </r>
    <r>
      <rPr>
        <vertAlign val="subscript"/>
        <sz val="11"/>
        <color theme="1"/>
        <rFont val="Calibri"/>
        <family val="2"/>
        <charset val="1"/>
      </rPr>
      <t xml:space="preserve">IV</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</si>
  <si>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qoss </t>
    </r>
    <r>
      <rPr>
        <sz val="11"/>
        <color theme="1"/>
        <rFont val="Calibri"/>
        <family val="2"/>
        <charset val="1"/>
      </rPr>
      <t xml:space="preserve">(mW)</t>
    </r>
  </si>
  <si>
    <r>
      <rPr>
        <sz val="11"/>
        <color theme="1"/>
        <rFont val="Calibri"/>
        <family val="2"/>
        <charset val="1"/>
      </rPr>
      <t xml:space="preserve">P</t>
    </r>
    <r>
      <rPr>
        <vertAlign val="subscript"/>
        <sz val="11"/>
        <color theme="1"/>
        <rFont val="Calibri"/>
        <family val="2"/>
        <charset val="1"/>
      </rPr>
      <t xml:space="preserve">gate_top </t>
    </r>
    <r>
      <rPr>
        <sz val="11"/>
        <color theme="1"/>
        <rFont val="Calibri"/>
        <family val="2"/>
        <charset val="1"/>
      </rPr>
      <t xml:space="preserve">(mW)</t>
    </r>
  </si>
  <si>
    <r>
      <rPr>
        <sz val="11"/>
        <color theme="1"/>
        <rFont val="Calibri"/>
        <family val="2"/>
        <charset val="1"/>
      </rPr>
      <t xml:space="preserve">P</t>
    </r>
    <r>
      <rPr>
        <vertAlign val="subscript"/>
        <sz val="11"/>
        <color theme="1"/>
        <rFont val="Calibri"/>
        <family val="2"/>
        <charset val="1"/>
      </rPr>
      <t xml:space="preserve">RR</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</si>
  <si>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dead </t>
    </r>
    <r>
      <rPr>
        <sz val="11"/>
        <color theme="1"/>
        <rFont val="Calibri"/>
        <family val="2"/>
        <charset val="1"/>
      </rPr>
      <t xml:space="preserve">(mW)</t>
    </r>
  </si>
  <si>
    <r>
      <rPr>
        <sz val="11"/>
        <color theme="1"/>
        <rFont val="Calibri"/>
        <family val="2"/>
        <charset val="1"/>
      </rPr>
      <t xml:space="preserve">P</t>
    </r>
    <r>
      <rPr>
        <vertAlign val="subscript"/>
        <sz val="11"/>
        <color theme="1"/>
        <rFont val="Calibri"/>
        <family val="2"/>
        <charset val="1"/>
      </rPr>
      <t xml:space="preserve">gate_bottom</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</si>
  <si>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con_top</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</si>
  <si>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sw_top</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</si>
  <si>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top</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</si>
  <si>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con_bottom</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</si>
  <si>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sw_bottom</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</si>
  <si>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bottom</t>
    </r>
    <r>
      <rPr>
        <sz val="11"/>
        <color theme="1"/>
        <rFont val="Calibri"/>
        <family val="2"/>
        <charset val="1"/>
      </rPr>
      <t xml:space="preserve"> (mW)</t>
    </r>
  </si>
  <si>
    <t xml:space="preserve">Total TI (mW)</t>
  </si>
  <si>
    <t xml:space="preserve">Column1</t>
  </si>
  <si>
    <r>
      <rPr>
        <sz val="11"/>
        <color theme="1"/>
        <rFont val="Calibri"/>
        <family val="2"/>
        <charset val="1"/>
      </rPr>
      <t xml:space="preserve">I</t>
    </r>
    <r>
      <rPr>
        <vertAlign val="subscript"/>
        <sz val="11"/>
        <color theme="1"/>
        <rFont val="Calibri"/>
        <family val="2"/>
        <charset val="1"/>
      </rPr>
      <t xml:space="preserve">valley</t>
    </r>
    <r>
      <rPr>
        <sz val="11"/>
        <color theme="1"/>
        <rFont val="Calibri"/>
        <family val="2"/>
        <charset val="1"/>
      </rPr>
      <t xml:space="preserve"> (A) C</t>
    </r>
  </si>
  <si>
    <r>
      <rPr>
        <sz val="11"/>
        <color theme="1"/>
        <rFont val="Calibri"/>
        <family val="2"/>
        <charset val="1"/>
      </rPr>
      <t xml:space="preserve">I</t>
    </r>
    <r>
      <rPr>
        <vertAlign val="subscript"/>
        <sz val="11"/>
        <color theme="1"/>
        <rFont val="Calibri"/>
        <family val="2"/>
        <charset val="1"/>
      </rPr>
      <t xml:space="preserve">peak</t>
    </r>
    <r>
      <rPr>
        <sz val="11"/>
        <color theme="1"/>
        <rFont val="Calibri"/>
        <family val="2"/>
        <charset val="1"/>
      </rPr>
      <t xml:space="preserve"> (A) C</t>
    </r>
  </si>
  <si>
    <r>
      <rPr>
        <sz val="11"/>
        <color theme="1"/>
        <rFont val="Calibri"/>
        <family val="2"/>
        <charset val="1"/>
      </rPr>
      <t xml:space="preserve">I</t>
    </r>
    <r>
      <rPr>
        <vertAlign val="subscript"/>
        <sz val="11"/>
        <color theme="1"/>
        <rFont val="Calibri"/>
        <family val="2"/>
        <charset val="1"/>
      </rPr>
      <t xml:space="preserve">on</t>
    </r>
    <r>
      <rPr>
        <sz val="11"/>
        <color theme="1"/>
        <rFont val="Calibri"/>
        <family val="2"/>
        <charset val="1"/>
      </rPr>
      <t xml:space="preserve"> (A) C</t>
    </r>
  </si>
  <si>
    <r>
      <rPr>
        <sz val="11"/>
        <color theme="1"/>
        <rFont val="Calibri"/>
        <family val="2"/>
        <charset val="1"/>
      </rPr>
      <t xml:space="preserve">I</t>
    </r>
    <r>
      <rPr>
        <vertAlign val="subscript"/>
        <sz val="11"/>
        <color theme="1"/>
        <rFont val="Calibri"/>
        <family val="2"/>
        <charset val="1"/>
      </rPr>
      <t xml:space="preserve">off</t>
    </r>
    <r>
      <rPr>
        <sz val="11"/>
        <color theme="1"/>
        <rFont val="Calibri"/>
        <family val="2"/>
        <charset val="1"/>
      </rPr>
      <t xml:space="preserve"> (A) C</t>
    </r>
  </si>
  <si>
    <r>
      <rPr>
        <sz val="11"/>
        <color theme="1"/>
        <rFont val="Calibri"/>
        <family val="2"/>
        <charset val="1"/>
      </rPr>
      <t xml:space="preserve">t</t>
    </r>
    <r>
      <rPr>
        <vertAlign val="subscript"/>
        <sz val="11"/>
        <color theme="1"/>
        <rFont val="Calibri"/>
        <family val="2"/>
        <charset val="1"/>
      </rPr>
      <t xml:space="preserve">on</t>
    </r>
    <r>
      <rPr>
        <sz val="11"/>
        <color theme="1"/>
        <rFont val="Calibri"/>
        <family val="2"/>
        <charset val="1"/>
      </rPr>
      <t xml:space="preserve"> (ns) C</t>
    </r>
  </si>
  <si>
    <r>
      <rPr>
        <sz val="11"/>
        <color theme="1"/>
        <rFont val="Calibri"/>
        <family val="2"/>
        <charset val="1"/>
      </rPr>
      <t xml:space="preserve">t</t>
    </r>
    <r>
      <rPr>
        <vertAlign val="subscript"/>
        <sz val="11"/>
        <color theme="1"/>
        <rFont val="Calibri"/>
        <family val="2"/>
        <charset val="1"/>
      </rPr>
      <t xml:space="preserve">off</t>
    </r>
    <r>
      <rPr>
        <sz val="11"/>
        <color theme="1"/>
        <rFont val="Calibri"/>
        <family val="2"/>
        <charset val="1"/>
      </rPr>
      <t xml:space="preserve"> (ns) C</t>
    </r>
  </si>
  <si>
    <r>
      <rPr>
        <sz val="11"/>
        <color theme="1"/>
        <rFont val="Calibri"/>
        <family val="2"/>
        <charset val="1"/>
      </rPr>
      <t xml:space="preserve">P</t>
    </r>
    <r>
      <rPr>
        <vertAlign val="subscript"/>
        <sz val="11"/>
        <color theme="1"/>
        <rFont val="Calibri"/>
        <family val="2"/>
        <charset val="1"/>
      </rPr>
      <t xml:space="preserve">IV</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</si>
  <si>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Qoss</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</si>
  <si>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gate_top</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</si>
  <si>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RR</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</si>
  <si>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dead</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</si>
  <si>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gate_bottom</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</si>
  <si>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con_top</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</si>
  <si>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sw_top</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</si>
  <si>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top</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</si>
  <si>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con_bottom</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</si>
  <si>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sw_bottom</t>
    </r>
    <r>
      <rPr>
        <sz val="11"/>
        <color theme="1"/>
        <rFont val="Calibri"/>
        <family val="2"/>
        <charset val="1"/>
      </rPr>
      <t xml:space="preserve"> (mV) C</t>
    </r>
  </si>
  <si>
    <r>
      <rPr>
        <sz val="11"/>
        <color theme="1"/>
        <rFont val="Calibri"/>
        <family val="2"/>
        <charset val="1"/>
      </rPr>
      <t xml:space="preserve">P</t>
    </r>
    <r>
      <rPr>
        <vertAlign val="subscript"/>
        <sz val="11"/>
        <color theme="1"/>
        <rFont val="Calibri"/>
        <family val="2"/>
        <charset val="1"/>
      </rPr>
      <t xml:space="preserve">bottom</t>
    </r>
    <r>
      <rPr>
        <sz val="11"/>
        <color theme="1"/>
        <rFont val="Calibri"/>
        <family val="2"/>
        <charset val="1"/>
      </rPr>
      <t xml:space="preserve"> (mW) C</t>
    </r>
  </si>
  <si>
    <t xml:space="preserve">Total (mW) C</t>
  </si>
  <si>
    <t xml:space="preserve">Pbottom (mW)20</t>
  </si>
  <si>
    <t xml:space="preserve">R_AC (mW)</t>
  </si>
  <si>
    <t xml:space="preserve">R_SR (mW)</t>
  </si>
  <si>
    <t xml:space="preserve">Inductor Loss (mW)</t>
  </si>
  <si>
    <t xml:space="preserve">Column3</t>
  </si>
  <si>
    <t xml:space="preserve">Total Sense Loss</t>
  </si>
  <si>
    <t xml:space="preserve">Total MOSFET Loss</t>
  </si>
  <si>
    <t xml:space="preserve">Total Power Loss (W)</t>
  </si>
  <si>
    <t xml:space="preserve">Efficiency</t>
  </si>
  <si>
    <t xml:space="preserve">Column4</t>
  </si>
  <si>
    <t xml:space="preserve">Total Sense Loss C</t>
  </si>
  <si>
    <t xml:space="preserve">Total MOSFET Loss C</t>
  </si>
  <si>
    <t xml:space="preserve">Total Power Loss (W) C</t>
  </si>
  <si>
    <t xml:space="preserve">Efficiency C</t>
  </si>
  <si>
    <t xml:space="preserve">Column52</t>
  </si>
  <si>
    <t xml:space="preserve">Total Sense Loss P1</t>
  </si>
  <si>
    <t xml:space="preserve">Total MOSFET Loss P1</t>
  </si>
  <si>
    <t xml:space="preserve">Efficiency P1</t>
  </si>
  <si>
    <t xml:space="preserve">Column5</t>
  </si>
  <si>
    <t xml:space="preserve">Total Sense Loss P2</t>
  </si>
  <si>
    <t xml:space="preserve">Total MOSFET Loss P2</t>
  </si>
  <si>
    <t xml:space="preserve">Efficiency P2</t>
  </si>
  <si>
    <t xml:space="preserve">Column6</t>
  </si>
  <si>
    <t xml:space="preserve">Total Sense Loss P1 Saved</t>
  </si>
  <si>
    <t xml:space="preserve">Total MOSFET Loss P1 Saved</t>
  </si>
  <si>
    <t xml:space="preserve">Efficiency P1 Saved</t>
  </si>
  <si>
    <t xml:space="preserve">Column10</t>
  </si>
  <si>
    <t xml:space="preserve">Total Sense Loss P2 Saved</t>
  </si>
  <si>
    <t xml:space="preserve">Total MOSFET Loss P2 Saved</t>
  </si>
  <si>
    <t xml:space="preserve">Efficiency P2 Saved</t>
  </si>
  <si>
    <t xml:space="preserve">Column7</t>
  </si>
  <si>
    <t xml:space="preserve">Step 12: Efficiency Calculation Configuration</t>
  </si>
  <si>
    <t xml:space="preserve">MOSFET Selection</t>
  </si>
  <si>
    <t xml:space="preserve">TI Recommendation</t>
  </si>
  <si>
    <t xml:space="preserve">Custom</t>
  </si>
  <si>
    <t xml:space="preserve">Compare</t>
  </si>
  <si>
    <r>
      <rPr>
        <b val="true"/>
        <sz val="10"/>
        <color theme="1"/>
        <rFont val="Arial"/>
        <family val="2"/>
        <charset val="1"/>
      </rPr>
      <t xml:space="preserve">Selected Gate Drive Voltage, V</t>
    </r>
    <r>
      <rPr>
        <b val="true"/>
        <vertAlign val="subscript"/>
        <sz val="10"/>
        <color theme="1"/>
        <rFont val="Arial"/>
        <family val="2"/>
        <charset val="1"/>
      </rPr>
      <t xml:space="preserve">gs</t>
    </r>
  </si>
  <si>
    <t xml:space="preserve">Save Button</t>
  </si>
  <si>
    <t xml:space="preserve">Save</t>
  </si>
  <si>
    <t xml:space="preserve">Clear Save</t>
  </si>
  <si>
    <r>
      <rPr>
        <b val="true"/>
        <sz val="10"/>
        <color theme="1"/>
        <rFont val="Arial"/>
        <family val="2"/>
        <charset val="1"/>
      </rPr>
      <t xml:space="preserve">On-State Resistance, R</t>
    </r>
    <r>
      <rPr>
        <b val="true"/>
        <vertAlign val="subscript"/>
        <sz val="10"/>
        <color theme="1"/>
        <rFont val="Arial"/>
        <family val="2"/>
        <charset val="1"/>
      </rPr>
      <t xml:space="preserve">DS(on)</t>
    </r>
  </si>
  <si>
    <r>
      <rPr>
        <b val="true"/>
        <sz val="10"/>
        <color theme="1"/>
        <rFont val="Arial"/>
        <family val="2"/>
        <charset val="1"/>
      </rPr>
      <t xml:space="preserve">Total Gate Charge, Q</t>
    </r>
    <r>
      <rPr>
        <b val="true"/>
        <vertAlign val="subscript"/>
        <sz val="10"/>
        <color theme="1"/>
        <rFont val="Arial"/>
        <family val="2"/>
        <charset val="1"/>
      </rPr>
      <t xml:space="preserve">G</t>
    </r>
  </si>
  <si>
    <t xml:space="preserve">BQ25756 Buck-Boost Battery Charger Design Calculator</t>
  </si>
  <si>
    <t xml:space="preserve">Thermistor Qualification</t>
  </si>
  <si>
    <r>
      <rPr>
        <b val="true"/>
        <sz val="10"/>
        <color theme="1"/>
        <rFont val="Arial"/>
        <family val="2"/>
        <charset val="1"/>
      </rPr>
      <t xml:space="preserve">Selected Cold Temperature Threshold, T</t>
    </r>
    <r>
      <rPr>
        <b val="true"/>
        <vertAlign val="subscript"/>
        <sz val="10"/>
        <color theme="1"/>
        <rFont val="Arial"/>
        <family val="2"/>
        <charset val="1"/>
      </rPr>
      <t xml:space="preserve">1</t>
    </r>
  </si>
  <si>
    <r>
      <rPr>
        <sz val="11"/>
        <color theme="1"/>
        <rFont val="Calibri"/>
        <family val="2"/>
        <charset val="1"/>
      </rPr>
      <t xml:space="preserve">°</t>
    </r>
    <r>
      <rPr>
        <sz val="11"/>
        <color theme="1"/>
        <rFont val="Arial"/>
        <family val="2"/>
        <charset val="1"/>
      </rPr>
      <t xml:space="preserve">C</t>
    </r>
  </si>
  <si>
    <t xml:space="preserve">Min</t>
  </si>
  <si>
    <t xml:space="preserve">Typ</t>
  </si>
  <si>
    <t xml:space="preserve">Max</t>
  </si>
  <si>
    <t xml:space="preserve">Unit</t>
  </si>
  <si>
    <t xml:space="preserve">Target (MIN)</t>
  </si>
  <si>
    <t xml:space="preserve">1st VLOOK MIN</t>
  </si>
  <si>
    <t xml:space="preserve">2nd VLOOK MIN</t>
  </si>
  <si>
    <t xml:space="preserve">1st Diff</t>
  </si>
  <si>
    <t xml:space="preserve">2nd Diff</t>
  </si>
  <si>
    <t xml:space="preserve">Closest VLOOK MIN</t>
  </si>
  <si>
    <t xml:space="preserve">MIN Temp</t>
  </si>
  <si>
    <t xml:space="preserve">Target (Typ)</t>
  </si>
  <si>
    <t xml:space="preserve">1st VLOOK TYP</t>
  </si>
  <si>
    <t xml:space="preserve">2nd VLOOK TYP</t>
  </si>
  <si>
    <t xml:space="preserve">1st Diff Typ</t>
  </si>
  <si>
    <t xml:space="preserve">2nd Diff TYP</t>
  </si>
  <si>
    <t xml:space="preserve">Closest VLOOK TYP</t>
  </si>
  <si>
    <t xml:space="preserve">TYP Temp</t>
  </si>
  <si>
    <t xml:space="preserve">Target (MAX)</t>
  </si>
  <si>
    <t xml:space="preserve">1st VLOOK MAX</t>
  </si>
  <si>
    <t xml:space="preserve">2nd VLOOK MAX</t>
  </si>
  <si>
    <t xml:space="preserve">1st Diff MAX</t>
  </si>
  <si>
    <t xml:space="preserve">2nd Diff MAX</t>
  </si>
  <si>
    <t xml:space="preserve">Closest VLOOK MAX</t>
  </si>
  <si>
    <t xml:space="preserve">MAX Temp</t>
  </si>
  <si>
    <t xml:space="preserve">Temp</t>
  </si>
  <si>
    <t xml:space="preserve">RISE min</t>
  </si>
  <si>
    <t xml:space="preserve">RISE typ</t>
  </si>
  <si>
    <t xml:space="preserve">RISE max</t>
  </si>
  <si>
    <t xml:space="preserve">FALL min</t>
  </si>
  <si>
    <t xml:space="preserve">FALL typ</t>
  </si>
  <si>
    <t xml:space="preserve">FALL max</t>
  </si>
  <si>
    <r>
      <rPr>
        <b val="true"/>
        <sz val="10"/>
        <color theme="1"/>
        <rFont val="Arial"/>
        <family val="2"/>
        <charset val="1"/>
      </rPr>
      <t xml:space="preserve">Selected Cool Temperature Threshold, T</t>
    </r>
    <r>
      <rPr>
        <b val="true"/>
        <vertAlign val="subscript"/>
        <sz val="10"/>
        <color theme="1"/>
        <rFont val="Arial"/>
        <family val="2"/>
        <charset val="1"/>
      </rPr>
      <t xml:space="preserve">2</t>
    </r>
  </si>
  <si>
    <t xml:space="preserve">Enter Cold</t>
  </si>
  <si>
    <t xml:space="preserve">°C</t>
  </si>
  <si>
    <t xml:space="preserve">Enter COLD, VT1_RISE</t>
  </si>
  <si>
    <r>
      <rPr>
        <b val="true"/>
        <sz val="10"/>
        <color theme="1"/>
        <rFont val="Arial"/>
        <family val="2"/>
        <charset val="1"/>
      </rPr>
      <t xml:space="preserve">Selected Warm Temperature Threshold, T</t>
    </r>
    <r>
      <rPr>
        <b val="true"/>
        <vertAlign val="subscript"/>
        <sz val="10"/>
        <color theme="1"/>
        <rFont val="Arial"/>
        <family val="2"/>
        <charset val="1"/>
      </rPr>
      <t xml:space="preserve">3</t>
    </r>
  </si>
  <si>
    <t xml:space="preserve">Exit Cold</t>
  </si>
  <si>
    <t xml:space="preserve">Exit COLD, VT1_FALL</t>
  </si>
  <si>
    <r>
      <rPr>
        <b val="true"/>
        <sz val="10"/>
        <color theme="1"/>
        <rFont val="Arial"/>
        <family val="2"/>
        <charset val="1"/>
      </rPr>
      <t xml:space="preserve">Selected Hot Temperature Threshold, T</t>
    </r>
    <r>
      <rPr>
        <b val="true"/>
        <vertAlign val="subscript"/>
        <sz val="10"/>
        <color theme="1"/>
        <rFont val="Arial"/>
        <family val="2"/>
        <charset val="1"/>
      </rPr>
      <t xml:space="preserve">5</t>
    </r>
  </si>
  <si>
    <t xml:space="preserve">Enter Cool</t>
  </si>
  <si>
    <t xml:space="preserve">Enter COOL, VT2_RISE</t>
  </si>
  <si>
    <r>
      <rPr>
        <b val="true"/>
        <sz val="10"/>
        <color theme="1"/>
        <rFont val="Arial"/>
        <family val="2"/>
        <charset val="1"/>
      </rPr>
      <t xml:space="preserve">Thermistor Cold Resistance, RTH</t>
    </r>
    <r>
      <rPr>
        <b val="true"/>
        <vertAlign val="subscript"/>
        <sz val="10"/>
        <color theme="1"/>
        <rFont val="Arial"/>
        <family val="2"/>
        <charset val="1"/>
      </rPr>
      <t xml:space="preserve">COLD</t>
    </r>
  </si>
  <si>
    <t xml:space="preserve">Exit Cool</t>
  </si>
  <si>
    <t xml:space="preserve">EXIT COOL, VT2_FALL</t>
  </si>
  <si>
    <r>
      <rPr>
        <b val="true"/>
        <sz val="10"/>
        <color theme="1"/>
        <rFont val="Arial"/>
        <family val="2"/>
        <charset val="1"/>
      </rPr>
      <t xml:space="preserve">Thermistor Hot Resistance, RTH</t>
    </r>
    <r>
      <rPr>
        <b val="true"/>
        <vertAlign val="subscript"/>
        <sz val="10"/>
        <color theme="1"/>
        <rFont val="Arial"/>
        <family val="2"/>
        <charset val="1"/>
      </rPr>
      <t xml:space="preserve">HOT</t>
    </r>
  </si>
  <si>
    <t xml:space="preserve">Exit Warm</t>
  </si>
  <si>
    <t xml:space="preserve">Enter WARM, VT3_RISE</t>
  </si>
  <si>
    <t xml:space="preserve">Ideal TS Top Resistor, RT1</t>
  </si>
  <si>
    <t xml:space="preserve">Enter Warm</t>
  </si>
  <si>
    <t xml:space="preserve">EXIT WARM, VT3_FALL</t>
  </si>
  <si>
    <t xml:space="preserve">Ideal TS Bottom Resistor, RT2</t>
  </si>
  <si>
    <t xml:space="preserve">Exit Hot</t>
  </si>
  <si>
    <t xml:space="preserve">Enter HOT, VT5_RISE</t>
  </si>
  <si>
    <t xml:space="preserve">Enter Hot</t>
  </si>
  <si>
    <t xml:space="preserve">EXIT HOT, VT5_FALL</t>
  </si>
  <si>
    <t xml:space="preserve">0.1% Real RT Resistors</t>
  </si>
  <si>
    <t xml:space="preserve">Recommended Real TS Top Resistor, RT1</t>
  </si>
  <si>
    <t xml:space="preserve">Recommended Real TS Bottom Resistor, RT2</t>
  </si>
  <si>
    <t xml:space="preserve">Thermistor Resistance Profile</t>
  </si>
  <si>
    <t xml:space="preserve">Tolerance (%)</t>
  </si>
  <si>
    <t xml:space="preserve">Temperature</t>
  </si>
  <si>
    <r>
      <rPr>
        <sz val="11"/>
        <color theme="1"/>
        <rFont val="Calibri"/>
        <family val="2"/>
        <charset val="1"/>
      </rPr>
      <t xml:space="preserve">RTH</t>
    </r>
    <r>
      <rPr>
        <vertAlign val="subscript"/>
        <sz val="11"/>
        <color theme="1"/>
        <rFont val="Calibri"/>
        <family val="2"/>
        <charset val="1"/>
      </rPr>
      <t xml:space="preserve">(min)</t>
    </r>
    <r>
      <rPr>
        <sz val="11"/>
        <color theme="1"/>
        <rFont val="Calibri"/>
        <family val="2"/>
        <charset val="1"/>
      </rPr>
      <t xml:space="preserve"> (kΩ)</t>
    </r>
  </si>
  <si>
    <r>
      <rPr>
        <sz val="11"/>
        <color theme="1"/>
        <rFont val="Calibri"/>
        <family val="2"/>
        <charset val="1"/>
      </rPr>
      <t xml:space="preserve">RTH</t>
    </r>
    <r>
      <rPr>
        <vertAlign val="subscript"/>
        <sz val="11"/>
        <color theme="1"/>
        <rFont val="Calibri"/>
        <family val="2"/>
        <charset val="1"/>
      </rPr>
      <t xml:space="preserve">(nom)</t>
    </r>
    <r>
      <rPr>
        <sz val="11"/>
        <color theme="1"/>
        <rFont val="Calibri"/>
        <family val="2"/>
        <charset val="1"/>
      </rPr>
      <t xml:space="preserve"> (kΩ)</t>
    </r>
  </si>
  <si>
    <r>
      <rPr>
        <sz val="11"/>
        <color theme="1"/>
        <rFont val="Calibri"/>
        <family val="2"/>
        <charset val="1"/>
      </rPr>
      <t xml:space="preserve">RTH</t>
    </r>
    <r>
      <rPr>
        <vertAlign val="subscript"/>
        <sz val="11"/>
        <color theme="1"/>
        <rFont val="Calibri"/>
        <family val="2"/>
        <charset val="1"/>
      </rPr>
      <t xml:space="preserve">(max)</t>
    </r>
    <r>
      <rPr>
        <sz val="11"/>
        <color theme="1"/>
        <rFont val="Calibri"/>
        <family val="2"/>
        <charset val="1"/>
      </rPr>
      <t xml:space="preserve"> (kΩ)</t>
    </r>
  </si>
  <si>
    <r>
      <rPr>
        <sz val="11"/>
        <color theme="1"/>
        <rFont val="Calibri"/>
        <family val="2"/>
        <charset val="1"/>
      </rPr>
      <t xml:space="preserve">R</t>
    </r>
    <r>
      <rPr>
        <vertAlign val="subscript"/>
        <sz val="11"/>
        <color theme="1"/>
        <rFont val="Calibri"/>
        <family val="2"/>
        <charset val="1"/>
      </rPr>
      <t xml:space="preserve">Lower(min)</t>
    </r>
    <r>
      <rPr>
        <sz val="11"/>
        <color theme="1"/>
        <rFont val="Calibri"/>
        <family val="2"/>
        <charset val="1"/>
      </rPr>
      <t xml:space="preserve"> (kΩ)</t>
    </r>
  </si>
  <si>
    <r>
      <rPr>
        <sz val="11"/>
        <color theme="1"/>
        <rFont val="Calibri"/>
        <family val="2"/>
        <charset val="1"/>
      </rPr>
      <t xml:space="preserve">R</t>
    </r>
    <r>
      <rPr>
        <vertAlign val="subscript"/>
        <sz val="11"/>
        <color theme="1"/>
        <rFont val="Calibri"/>
        <family val="2"/>
        <charset val="1"/>
      </rPr>
      <t xml:space="preserve">Lower(nom)</t>
    </r>
    <r>
      <rPr>
        <sz val="11"/>
        <color theme="1"/>
        <rFont val="Calibri"/>
        <family val="2"/>
        <charset val="1"/>
      </rPr>
      <t xml:space="preserve"> (kΩ)</t>
    </r>
  </si>
  <si>
    <r>
      <rPr>
        <sz val="11"/>
        <color theme="1"/>
        <rFont val="Calibri"/>
        <family val="2"/>
        <charset val="1"/>
      </rPr>
      <t xml:space="preserve">R</t>
    </r>
    <r>
      <rPr>
        <vertAlign val="subscript"/>
        <sz val="11"/>
        <color theme="1"/>
        <rFont val="Calibri"/>
        <family val="2"/>
        <charset val="1"/>
      </rPr>
      <t xml:space="preserve">Lower(max)</t>
    </r>
    <r>
      <rPr>
        <sz val="11"/>
        <color theme="1"/>
        <rFont val="Calibri"/>
        <family val="2"/>
        <charset val="1"/>
      </rPr>
      <t xml:space="preserve"> (kΩ)</t>
    </r>
  </si>
  <si>
    <r>
      <rPr>
        <sz val="11"/>
        <color theme="1"/>
        <rFont val="Calibri"/>
        <family val="2"/>
        <charset val="1"/>
      </rPr>
      <t xml:space="preserve">V</t>
    </r>
    <r>
      <rPr>
        <vertAlign val="subscript"/>
        <sz val="11"/>
        <color theme="1"/>
        <rFont val="Calibri"/>
        <family val="2"/>
        <charset val="1"/>
      </rPr>
      <t xml:space="preserve">min</t>
    </r>
    <r>
      <rPr>
        <sz val="11"/>
        <color theme="1"/>
        <rFont val="Calibri"/>
        <family val="2"/>
        <charset val="1"/>
      </rPr>
      <t xml:space="preserve"> (%)</t>
    </r>
  </si>
  <si>
    <r>
      <rPr>
        <sz val="11"/>
        <color theme="1"/>
        <rFont val="Calibri"/>
        <family val="2"/>
        <charset val="1"/>
      </rPr>
      <t xml:space="preserve">V</t>
    </r>
    <r>
      <rPr>
        <vertAlign val="subscript"/>
        <sz val="11"/>
        <color theme="1"/>
        <rFont val="Calibri"/>
        <family val="2"/>
        <charset val="1"/>
      </rPr>
      <t xml:space="preserve">nom</t>
    </r>
    <r>
      <rPr>
        <sz val="11"/>
        <color theme="1"/>
        <rFont val="Calibri"/>
        <family val="2"/>
        <charset val="1"/>
      </rPr>
      <t xml:space="preserve"> (%)</t>
    </r>
  </si>
  <si>
    <r>
      <rPr>
        <sz val="11"/>
        <color theme="1"/>
        <rFont val="Calibri"/>
        <family val="2"/>
        <charset val="1"/>
      </rPr>
      <t xml:space="preserve">V</t>
    </r>
    <r>
      <rPr>
        <vertAlign val="subscript"/>
        <sz val="11"/>
        <color theme="1"/>
        <rFont val="Calibri"/>
        <family val="2"/>
        <charset val="1"/>
      </rPr>
      <t xml:space="preserve">max</t>
    </r>
    <r>
      <rPr>
        <sz val="11"/>
        <color theme="1"/>
        <rFont val="Calibri"/>
        <family val="2"/>
        <charset val="1"/>
      </rPr>
      <t xml:space="preserve"> (%)</t>
    </r>
  </si>
  <si>
    <t xml:space="preserve">Charging Code</t>
  </si>
  <si>
    <t xml:space="preserve">Hysteresis</t>
  </si>
  <si>
    <t xml:space="preserve">Charging Region</t>
  </si>
  <si>
    <t xml:space="preserve">E24 Standard Resistor Values (±5%)</t>
  </si>
  <si>
    <t xml:space="preserve">E96 Standard Resistor Values (±1%)</t>
  </si>
  <si>
    <t xml:space="preserve">Standard Resistor Values (±0.1%)</t>
  </si>
  <si>
    <t xml:space="preserve">Inductors</t>
  </si>
  <si>
    <t xml:space="preserve">MLCC</t>
  </si>
  <si>
    <t xml:space="preserve">Decade</t>
  </si>
  <si>
    <t xml:space="preserve">Resistance</t>
  </si>
  <si>
    <t xml:space="preserve">N</t>
  </si>
  <si>
    <t xml:space="preserve">L (uH)</t>
  </si>
</sst>
</file>

<file path=xl/styles.xml><?xml version="1.0" encoding="utf-8"?>
<styleSheet xmlns="http://schemas.openxmlformats.org/spreadsheetml/2006/main">
  <numFmts count="12">
    <numFmt numFmtId="164" formatCode="General"/>
    <numFmt numFmtId="165" formatCode="General"/>
    <numFmt numFmtId="166" formatCode="0"/>
    <numFmt numFmtId="167" formatCode="0.00"/>
    <numFmt numFmtId="168" formatCode="dd/\ mmm"/>
    <numFmt numFmtId="169" formatCode="0.000"/>
    <numFmt numFmtId="170" formatCode="0.00E+00"/>
    <numFmt numFmtId="171" formatCode="0.0"/>
    <numFmt numFmtId="172" formatCode="0\ %"/>
    <numFmt numFmtId="173" formatCode="#,##0.000"/>
    <numFmt numFmtId="174" formatCode="##0.0E+0"/>
    <numFmt numFmtId="175" formatCode="0.0%"/>
  </numFmts>
  <fonts count="64">
    <font>
      <sz val="11"/>
      <color theme="1"/>
      <name val="Calibri"/>
      <family val="2"/>
      <charset val="1"/>
    </font>
    <font>
      <sz val="10"/>
      <name val="Arial"/>
      <family val="0"/>
    </font>
    <font>
      <sz val="10"/>
      <name val="Arial"/>
      <family val="0"/>
    </font>
    <font>
      <sz val="10"/>
      <name val="Arial"/>
      <family val="0"/>
    </font>
    <font>
      <sz val="10"/>
      <name val="Arial"/>
      <family val="2"/>
      <charset val="1"/>
    </font>
    <font>
      <b val="true"/>
      <sz val="20"/>
      <color rgb="FFFFFFFF"/>
      <name val="Calibri"/>
      <family val="2"/>
      <charset val="1"/>
    </font>
    <font>
      <sz val="10"/>
      <color theme="1"/>
      <name val="Arial"/>
      <family val="2"/>
      <charset val="1"/>
    </font>
    <font>
      <b val="true"/>
      <sz val="11"/>
      <color theme="0"/>
      <name val="Calibri"/>
      <family val="2"/>
      <charset val="1"/>
    </font>
    <font>
      <sz val="10"/>
      <color rgb="FFFF0000"/>
      <name val="Arial"/>
      <family val="2"/>
      <charset val="1"/>
    </font>
    <font>
      <b val="true"/>
      <sz val="11"/>
      <color rgb="FF0000FF"/>
      <name val="Arial"/>
      <family val="2"/>
      <charset val="1"/>
    </font>
    <font>
      <sz val="11"/>
      <color theme="1"/>
      <name val="Arial"/>
      <family val="2"/>
      <charset val="1"/>
    </font>
    <font>
      <sz val="11"/>
      <color rgb="FFFF0000"/>
      <name val="Arial"/>
      <family val="2"/>
      <charset val="1"/>
    </font>
    <font>
      <b val="true"/>
      <sz val="10"/>
      <color theme="1"/>
      <name val="Arial"/>
      <family val="2"/>
      <charset val="1"/>
    </font>
    <font>
      <b val="true"/>
      <vertAlign val="subscript"/>
      <sz val="10"/>
      <color theme="1"/>
      <name val="Arial"/>
      <family val="2"/>
      <charset val="1"/>
    </font>
    <font>
      <b val="true"/>
      <sz val="10"/>
      <name val="Arial"/>
      <family val="2"/>
      <charset val="1"/>
    </font>
    <font>
      <b val="true"/>
      <sz val="11"/>
      <color theme="1"/>
      <name val="Calibri"/>
      <family val="2"/>
      <charset val="1"/>
    </font>
    <font>
      <sz val="11"/>
      <color rgb="FFFF0000"/>
      <name val="Calibri"/>
      <family val="2"/>
      <charset val="1"/>
    </font>
    <font>
      <b val="true"/>
      <sz val="11"/>
      <color theme="1"/>
      <name val="Arial"/>
      <family val="2"/>
      <charset val="1"/>
    </font>
    <font>
      <vertAlign val="subscript"/>
      <sz val="10"/>
      <color theme="1"/>
      <name val="Arial"/>
      <family val="2"/>
      <charset val="1"/>
    </font>
    <font>
      <vertAlign val="subscript"/>
      <sz val="10"/>
      <color theme="1"/>
      <name val="Calibri"/>
      <family val="2"/>
      <charset val="1"/>
    </font>
    <font>
      <sz val="10"/>
      <color rgb="FF00B050"/>
      <name val="Arial"/>
      <family val="2"/>
      <charset val="1"/>
    </font>
    <font>
      <b val="true"/>
      <sz val="10"/>
      <color theme="1"/>
      <name val="Calibri"/>
      <family val="2"/>
      <charset val="1"/>
    </font>
    <font>
      <b val="true"/>
      <sz val="18"/>
      <color theme="0"/>
      <name val="Arial"/>
      <family val="2"/>
      <charset val="1"/>
    </font>
    <font>
      <sz val="11"/>
      <color theme="1" tint="0.15"/>
      <name val="Calibri"/>
      <family val="2"/>
      <charset val="1"/>
    </font>
    <font>
      <b val="true"/>
      <u val="single"/>
      <sz val="10"/>
      <color rgb="FF0000FF"/>
      <name val="Arial"/>
      <family val="2"/>
      <charset val="1"/>
    </font>
    <font>
      <b val="true"/>
      <sz val="10"/>
      <color rgb="FF0000FF"/>
      <name val="Arial"/>
      <family val="2"/>
      <charset val="1"/>
    </font>
    <font>
      <b val="true"/>
      <vertAlign val="subscript"/>
      <sz val="10"/>
      <color rgb="FF0000FF"/>
      <name val="Arial"/>
      <family val="2"/>
      <charset val="1"/>
    </font>
    <font>
      <b val="true"/>
      <sz val="10"/>
      <color rgb="FFFF0000"/>
      <name val="Arial"/>
      <family val="2"/>
      <charset val="1"/>
    </font>
    <font>
      <sz val="10"/>
      <color theme="1"/>
      <name val="Calibri"/>
      <family val="2"/>
      <charset val="1"/>
    </font>
    <font>
      <b val="true"/>
      <sz val="18"/>
      <color theme="0"/>
      <name val="Calibri"/>
      <family val="2"/>
      <charset val="1"/>
    </font>
    <font>
      <b val="true"/>
      <sz val="16"/>
      <color theme="0"/>
      <name val="Calibri"/>
      <family val="2"/>
      <charset val="1"/>
    </font>
    <font>
      <b val="true"/>
      <sz val="20"/>
      <color theme="0"/>
      <name val="Calibri"/>
      <family val="2"/>
      <charset val="1"/>
    </font>
    <font>
      <vertAlign val="subscript"/>
      <sz val="11"/>
      <color theme="1"/>
      <name val="Arial"/>
      <family val="2"/>
      <charset val="1"/>
    </font>
    <font>
      <vertAlign val="subscript"/>
      <sz val="11"/>
      <color theme="1"/>
      <name val="Calibri"/>
      <family val="2"/>
      <charset val="1"/>
    </font>
    <font>
      <sz val="10"/>
      <name val="Arial"/>
      <family val="2"/>
    </font>
    <font>
      <sz val="9"/>
      <color rgb="FF000000"/>
      <name val="Tahoma"/>
      <family val="2"/>
      <charset val="1"/>
    </font>
    <font>
      <b val="true"/>
      <sz val="9"/>
      <color rgb="FF000000"/>
      <name val="Tahoma"/>
      <family val="2"/>
      <charset val="1"/>
    </font>
    <font>
      <b val="true"/>
      <u val="single"/>
      <sz val="9"/>
      <color rgb="FF000000"/>
      <name val="Tahoma"/>
      <family val="2"/>
      <charset val="1"/>
    </font>
    <font>
      <b val="true"/>
      <u val="single"/>
      <vertAlign val="subscript"/>
      <sz val="9"/>
      <color rgb="FF000000"/>
      <name val="Tahoma"/>
      <family val="2"/>
      <charset val="1"/>
    </font>
    <font>
      <vertAlign val="subscript"/>
      <sz val="9"/>
      <color rgb="FF000000"/>
      <name val="Tahoma"/>
      <family val="2"/>
      <charset val="1"/>
    </font>
    <font>
      <u val="single"/>
      <sz val="9"/>
      <color rgb="FF000000"/>
      <name val="Tahoma"/>
      <family val="2"/>
      <charset val="1"/>
    </font>
    <font>
      <b val="true"/>
      <vertAlign val="subscript"/>
      <sz val="9"/>
      <color rgb="FF000000"/>
      <name val="Tahoma"/>
      <family val="2"/>
      <charset val="1"/>
    </font>
    <font>
      <sz val="9"/>
      <color rgb="FF000000"/>
      <name val="Tahoma"/>
      <family val="0"/>
      <charset val="1"/>
    </font>
    <font>
      <b val="true"/>
      <sz val="24"/>
      <name val="Arial"/>
      <family val="2"/>
    </font>
    <font>
      <b val="true"/>
      <vertAlign val="subscript"/>
      <sz val="24"/>
      <name val="Arial"/>
      <family val="2"/>
    </font>
    <font>
      <b val="true"/>
      <sz val="24"/>
      <color rgb="FF000000"/>
      <name val="Calibri"/>
      <family val="0"/>
    </font>
    <font>
      <b val="true"/>
      <sz val="24"/>
      <name val="Calibri"/>
      <family val="0"/>
    </font>
    <font>
      <b val="true"/>
      <vertAlign val="subscript"/>
      <sz val="24"/>
      <name val="Calibri"/>
      <family val="0"/>
    </font>
    <font>
      <sz val="14"/>
      <color rgb="FF595959"/>
      <name val="Calibri"/>
      <family val="2"/>
    </font>
    <font>
      <vertAlign val="subscript"/>
      <sz val="14"/>
      <color rgb="FF595959"/>
      <name val="Calibri"/>
      <family val="2"/>
    </font>
    <font>
      <sz val="9"/>
      <color rgb="FF595959"/>
      <name val="Calibri"/>
      <family val="2"/>
    </font>
    <font>
      <b val="true"/>
      <sz val="16"/>
      <color rgb="FF595959"/>
      <name val="Calibri"/>
      <family val="2"/>
    </font>
    <font>
      <b val="true"/>
      <vertAlign val="subscript"/>
      <sz val="16"/>
      <color rgb="FF595959"/>
      <name val="Calibri"/>
      <family val="2"/>
    </font>
    <font>
      <sz val="10"/>
      <color rgb="FF000000"/>
      <name val="Calibri"/>
      <family val="2"/>
    </font>
    <font>
      <b val="true"/>
      <sz val="11"/>
      <color theme="1"/>
      <name val="Calibri"/>
      <family val="0"/>
    </font>
    <font>
      <b val="true"/>
      <vertAlign val="subscript"/>
      <sz val="11"/>
      <color theme="1"/>
      <name val="Calibri"/>
      <family val="0"/>
    </font>
    <font>
      <b val="true"/>
      <sz val="11"/>
      <color rgb="FF000000"/>
      <name val="Arial"/>
      <family val="0"/>
    </font>
    <font>
      <b val="true"/>
      <sz val="11"/>
      <color rgb="FF000000"/>
      <name val="Calibri"/>
      <family val="0"/>
    </font>
    <font>
      <sz val="11"/>
      <color theme="1"/>
      <name val="Calibri"/>
      <family val="0"/>
    </font>
    <font>
      <b val="true"/>
      <sz val="12"/>
      <name val="Calibri"/>
      <family val="2"/>
      <charset val="1"/>
    </font>
    <font>
      <sz val="11"/>
      <color rgb="FF006100"/>
      <name val="Calibri"/>
      <family val="2"/>
      <charset val="1"/>
    </font>
    <font>
      <sz val="11"/>
      <name val="Arial"/>
      <family val="2"/>
    </font>
    <font>
      <sz val="11"/>
      <name val="Calibri"/>
      <family val="0"/>
    </font>
    <font>
      <sz val="10"/>
      <color rgb="FF595959"/>
      <name val="Calibri"/>
      <family val="2"/>
    </font>
  </fonts>
  <fills count="14">
    <fill>
      <patternFill patternType="none"/>
    </fill>
    <fill>
      <patternFill patternType="gray125"/>
    </fill>
    <fill>
      <patternFill patternType="solid">
        <fgColor rgb="FFC6EFCE"/>
        <bgColor rgb="FFDAE3F3"/>
      </patternFill>
    </fill>
    <fill>
      <patternFill patternType="solid">
        <fgColor rgb="FFFF0000"/>
        <bgColor rgb="FF993300"/>
      </patternFill>
    </fill>
    <fill>
      <patternFill patternType="solid">
        <fgColor theme="0" tint="-0.35"/>
        <bgColor rgb="FF8FAADC"/>
      </patternFill>
    </fill>
    <fill>
      <patternFill patternType="solid">
        <fgColor theme="1" tint="0.1499"/>
        <bgColor rgb="FF333300"/>
      </patternFill>
    </fill>
    <fill>
      <patternFill patternType="solid">
        <fgColor rgb="FFFFFF00"/>
        <bgColor rgb="FFFFFF00"/>
      </patternFill>
    </fill>
    <fill>
      <patternFill patternType="solid">
        <fgColor theme="0"/>
        <bgColor rgb="FFFBE5D6"/>
      </patternFill>
    </fill>
    <fill>
      <patternFill patternType="solid">
        <fgColor rgb="FF002060"/>
        <bgColor rgb="FF000080"/>
      </patternFill>
    </fill>
    <fill>
      <patternFill patternType="solid">
        <fgColor rgb="FF0070C0"/>
        <bgColor rgb="FF008080"/>
      </patternFill>
    </fill>
    <fill>
      <patternFill patternType="solid">
        <fgColor theme="5"/>
        <bgColor rgb="FFFF8080"/>
      </patternFill>
    </fill>
    <fill>
      <patternFill patternType="solid">
        <fgColor theme="8" tint="0.5999"/>
        <bgColor rgb="FFD9D9D9"/>
      </patternFill>
    </fill>
    <fill>
      <patternFill patternType="solid">
        <fgColor theme="5" tint="0.7999"/>
        <bgColor rgb="FFDAE3F3"/>
      </patternFill>
    </fill>
    <fill>
      <patternFill patternType="solid">
        <fgColor theme="4" tint="0.7999"/>
        <bgColor rgb="FFD9D9D9"/>
      </patternFill>
    </fill>
  </fills>
  <borders count="19">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right style="thin"/>
      <top style="thin"/>
      <bottom style="thin"/>
      <diagonal/>
    </border>
    <border diagonalUp="false" diagonalDown="false">
      <left style="medium"/>
      <right style="medium"/>
      <top style="medium"/>
      <bottom/>
      <diagonal/>
    </border>
    <border diagonalUp="false" diagonalDown="false">
      <left style="thin">
        <color theme="4" tint="0.3999"/>
      </left>
      <right style="thin">
        <color theme="4" tint="0.3999"/>
      </right>
      <top style="thin">
        <color theme="4" tint="0.3999"/>
      </top>
      <bottom style="thin">
        <color theme="4" tint="0.3999"/>
      </bottom>
      <diagonal/>
    </border>
    <border diagonalUp="false" diagonalDown="false">
      <left style="thin">
        <color theme="4" tint="0.3999"/>
      </left>
      <right style="thin">
        <color theme="4" tint="0.3999"/>
      </right>
      <top style="thin">
        <color theme="4" tint="0.3999"/>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60" fillId="2" borderId="0" applyFont="true" applyBorder="false" applyAlignment="true" applyProtection="false">
      <alignment horizontal="general" vertical="bottom" textRotation="0" wrapText="false" indent="0" shrinkToFit="false"/>
    </xf>
  </cellStyleXfs>
  <cellXfs count="2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true"/>
    </xf>
    <xf numFmtId="164" fontId="0" fillId="3" borderId="1" xfId="0" applyFont="false" applyBorder="true" applyAlignment="false" applyProtection="true">
      <alignment horizontal="general" vertical="bottom" textRotation="0" wrapText="false" indent="0" shrinkToFit="false"/>
      <protection locked="true" hidden="true"/>
    </xf>
    <xf numFmtId="164" fontId="0" fillId="3" borderId="2" xfId="0" applyFont="false" applyBorder="true" applyAlignment="false" applyProtection="true">
      <alignment horizontal="general" vertical="bottom" textRotation="0" wrapText="false" indent="0" shrinkToFit="false"/>
      <protection locked="true" hidden="true"/>
    </xf>
    <xf numFmtId="164" fontId="5" fillId="3" borderId="2" xfId="0" applyFont="true" applyBorder="true" applyAlignment="true" applyProtection="true">
      <alignment horizontal="left" vertical="center" textRotation="0" wrapText="false" indent="0" shrinkToFit="false"/>
      <protection locked="true" hidden="true"/>
    </xf>
    <xf numFmtId="164" fontId="0" fillId="3" borderId="3" xfId="0" applyFont="false" applyBorder="true" applyAlignment="false" applyProtection="true">
      <alignment horizontal="general" vertical="bottom" textRotation="0" wrapText="false" indent="0" shrinkToFit="false"/>
      <protection locked="true" hidden="true"/>
    </xf>
    <xf numFmtId="164" fontId="0" fillId="4" borderId="0" xfId="0" applyFont="false" applyBorder="false" applyAlignment="false" applyProtection="true">
      <alignment horizontal="general" vertical="bottom" textRotation="0" wrapText="false" indent="0" shrinkToFit="false"/>
      <protection locked="true" hidden="true"/>
    </xf>
    <xf numFmtId="164" fontId="0" fillId="5" borderId="0" xfId="0" applyFont="false" applyBorder="false" applyAlignment="false" applyProtection="true">
      <alignment horizontal="general" vertical="bottom" textRotation="0" wrapText="false" indent="0" shrinkToFit="false"/>
      <protection locked="true" hidden="true"/>
    </xf>
    <xf numFmtId="164" fontId="6" fillId="4" borderId="0" xfId="0" applyFont="true" applyBorder="false" applyAlignment="false" applyProtection="true">
      <alignment horizontal="general" vertical="bottom" textRotation="0" wrapText="false" indent="0" shrinkToFit="false"/>
      <protection locked="true" hidden="true"/>
    </xf>
    <xf numFmtId="164" fontId="0" fillId="6" borderId="0" xfId="0" applyFont="false" applyBorder="false" applyAlignment="true" applyProtection="true">
      <alignment horizontal="right" vertical="bottom" textRotation="0" wrapText="false" indent="0" shrinkToFit="false"/>
      <protection locked="true" hidden="true"/>
    </xf>
    <xf numFmtId="164" fontId="7" fillId="4" borderId="0" xfId="0" applyFont="true" applyBorder="false" applyAlignment="false" applyProtection="true">
      <alignment horizontal="general" vertical="bottom" textRotation="0" wrapText="false" indent="0" shrinkToFit="false"/>
      <protection locked="true" hidden="true"/>
    </xf>
    <xf numFmtId="164" fontId="8" fillId="4" borderId="0" xfId="0" applyFont="true" applyBorder="false" applyAlignment="false" applyProtection="true">
      <alignment horizontal="general" vertical="bottom" textRotation="0" wrapText="false" indent="0" shrinkToFit="false"/>
      <protection locked="true" hidden="true"/>
    </xf>
    <xf numFmtId="164" fontId="9" fillId="7" borderId="4" xfId="0" applyFont="true" applyBorder="true" applyAlignment="false" applyProtection="true">
      <alignment horizontal="general" vertical="bottom" textRotation="0" wrapText="false" indent="0" shrinkToFit="false"/>
      <protection locked="true" hidden="true"/>
    </xf>
    <xf numFmtId="164" fontId="10" fillId="7" borderId="5" xfId="0" applyFont="true" applyBorder="true" applyAlignment="false" applyProtection="true">
      <alignment horizontal="general" vertical="bottom" textRotation="0" wrapText="false" indent="0" shrinkToFit="false"/>
      <protection locked="true" hidden="true"/>
    </xf>
    <xf numFmtId="164" fontId="10" fillId="0" borderId="5" xfId="0" applyFont="true" applyBorder="true" applyAlignment="false" applyProtection="true">
      <alignment horizontal="general" vertical="bottom" textRotation="0" wrapText="false" indent="0" shrinkToFit="false"/>
      <protection locked="true" hidden="true"/>
    </xf>
    <xf numFmtId="164" fontId="11" fillId="7" borderId="5" xfId="0" applyFont="true" applyBorder="true" applyAlignment="false" applyProtection="true">
      <alignment horizontal="general" vertical="bottom" textRotation="0" wrapText="false" indent="0" shrinkToFit="false"/>
      <protection locked="true" hidden="true"/>
    </xf>
    <xf numFmtId="164" fontId="0" fillId="7" borderId="5" xfId="0" applyFont="false" applyBorder="true" applyAlignment="false" applyProtection="true">
      <alignment horizontal="general" vertical="bottom" textRotation="0" wrapText="false" indent="0" shrinkToFit="false"/>
      <protection locked="true" hidden="true"/>
    </xf>
    <xf numFmtId="164" fontId="0" fillId="7" borderId="6" xfId="0" applyFont="false" applyBorder="true" applyAlignment="false" applyProtection="true">
      <alignment horizontal="general" vertical="bottom" textRotation="0" wrapText="false" indent="0" shrinkToFit="false"/>
      <protection locked="true" hidden="true"/>
    </xf>
    <xf numFmtId="164" fontId="10" fillId="7" borderId="4" xfId="0" applyFont="true" applyBorder="true" applyAlignment="false" applyProtection="true">
      <alignment horizontal="general" vertical="bottom" textRotation="0" wrapText="false" indent="0" shrinkToFit="false"/>
      <protection locked="true" hidden="true"/>
    </xf>
    <xf numFmtId="164" fontId="12" fillId="7" borderId="5" xfId="0" applyFont="true" applyBorder="true" applyAlignment="true" applyProtection="true">
      <alignment horizontal="right" vertical="bottom" textRotation="0" wrapText="false" indent="0" shrinkToFit="false"/>
      <protection locked="true" hidden="true"/>
    </xf>
    <xf numFmtId="164" fontId="14" fillId="6" borderId="5" xfId="0" applyFont="true" applyBorder="true" applyAlignment="true" applyProtection="true">
      <alignment horizontal="general" vertical="center" textRotation="0" wrapText="false" indent="0" shrinkToFit="false"/>
      <protection locked="false" hidden="false"/>
    </xf>
    <xf numFmtId="164" fontId="14" fillId="7" borderId="6" xfId="0" applyFont="true" applyBorder="true" applyAlignment="true" applyProtection="false">
      <alignment horizontal="general" vertical="center" textRotation="0" wrapText="false" indent="0" shrinkToFit="false"/>
      <protection locked="true" hidden="false"/>
    </xf>
    <xf numFmtId="164" fontId="15" fillId="7" borderId="0" xfId="0" applyFont="true" applyBorder="false" applyAlignment="false" applyProtection="true">
      <alignment horizontal="general" vertical="bottom" textRotation="0" wrapText="false" indent="0" shrinkToFit="false"/>
      <protection locked="true" hidden="true"/>
    </xf>
    <xf numFmtId="164" fontId="11" fillId="7" borderId="0" xfId="0" applyFont="true" applyBorder="false" applyAlignment="false" applyProtection="true">
      <alignment horizontal="general" vertical="bottom" textRotation="0" wrapText="false" indent="0" shrinkToFit="false"/>
      <protection locked="true" hidden="true"/>
    </xf>
    <xf numFmtId="164" fontId="0" fillId="7" borderId="0" xfId="0" applyFont="false" applyBorder="false" applyAlignment="false" applyProtection="true">
      <alignment horizontal="general" vertical="bottom" textRotation="0" wrapText="false" indent="0" shrinkToFit="false"/>
      <protection locked="true" hidden="true"/>
    </xf>
    <xf numFmtId="164" fontId="0" fillId="7" borderId="7" xfId="0" applyFont="false" applyBorder="true" applyAlignment="false" applyProtection="true">
      <alignment horizontal="general" vertical="bottom" textRotation="0" wrapText="false" indent="0" shrinkToFit="false"/>
      <protection locked="true" hidden="true"/>
    </xf>
    <xf numFmtId="164" fontId="10" fillId="7" borderId="8" xfId="0" applyFont="true" applyBorder="true" applyAlignment="false" applyProtection="true">
      <alignment horizontal="general" vertical="bottom" textRotation="0" wrapText="false" indent="0" shrinkToFit="false"/>
      <protection locked="true" hidden="true"/>
    </xf>
    <xf numFmtId="164" fontId="10" fillId="7" borderId="0" xfId="0" applyFont="true" applyBorder="false" applyAlignment="false" applyProtection="true">
      <alignment horizontal="general" vertical="bottom" textRotation="0" wrapText="false" indent="0" shrinkToFit="false"/>
      <protection locked="true" hidden="true"/>
    </xf>
    <xf numFmtId="164" fontId="12" fillId="7" borderId="0" xfId="0" applyFont="true" applyBorder="false" applyAlignment="true" applyProtection="true">
      <alignment horizontal="right" vertical="bottom" textRotation="0" wrapText="false" indent="0" shrinkToFit="false"/>
      <protection locked="true" hidden="true"/>
    </xf>
    <xf numFmtId="164" fontId="14" fillId="6" borderId="0" xfId="0" applyFont="true" applyBorder="false" applyAlignment="true" applyProtection="true">
      <alignment horizontal="general" vertical="center" textRotation="0" wrapText="false" indent="0" shrinkToFit="false"/>
      <protection locked="false" hidden="false"/>
    </xf>
    <xf numFmtId="164" fontId="14" fillId="7" borderId="7" xfId="0" applyFont="true" applyBorder="true" applyAlignment="true" applyProtection="false">
      <alignment horizontal="left" vertical="center" textRotation="0" wrapText="false" indent="0" shrinkToFit="false"/>
      <protection locked="true" hidden="false"/>
    </xf>
    <xf numFmtId="165" fontId="16" fillId="7" borderId="0" xfId="0" applyFont="true" applyBorder="false" applyAlignment="false" applyProtection="true">
      <alignment horizontal="general" vertical="bottom" textRotation="0" wrapText="false" indent="0" shrinkToFit="false"/>
      <protection locked="true" hidden="true"/>
    </xf>
    <xf numFmtId="164" fontId="14" fillId="7" borderId="7" xfId="0" applyFont="true" applyBorder="true" applyAlignment="true" applyProtection="false">
      <alignment horizontal="general" vertical="center" textRotation="0" wrapText="false" indent="0" shrinkToFit="false"/>
      <protection locked="true" hidden="false"/>
    </xf>
    <xf numFmtId="164" fontId="10" fillId="7" borderId="9" xfId="0" applyFont="true" applyBorder="true" applyAlignment="false" applyProtection="true">
      <alignment horizontal="general" vertical="bottom" textRotation="0" wrapText="false" indent="0" shrinkToFit="false"/>
      <protection locked="true" hidden="true"/>
    </xf>
    <xf numFmtId="164" fontId="10" fillId="7" borderId="10" xfId="0" applyFont="true" applyBorder="true" applyAlignment="false" applyProtection="true">
      <alignment horizontal="general" vertical="bottom" textRotation="0" wrapText="false" indent="0" shrinkToFit="false"/>
      <protection locked="true" hidden="true"/>
    </xf>
    <xf numFmtId="164" fontId="12" fillId="7" borderId="10" xfId="0" applyFont="true" applyBorder="true" applyAlignment="true" applyProtection="true">
      <alignment horizontal="right" vertical="bottom" textRotation="0" wrapText="false" indent="0" shrinkToFit="false"/>
      <protection locked="true" hidden="true"/>
    </xf>
    <xf numFmtId="164" fontId="14" fillId="6" borderId="10" xfId="0" applyFont="true" applyBorder="true" applyAlignment="true" applyProtection="true">
      <alignment horizontal="general" vertical="center" textRotation="0" wrapText="false" indent="0" shrinkToFit="false"/>
      <protection locked="false" hidden="false"/>
    </xf>
    <xf numFmtId="164" fontId="17" fillId="7" borderId="11" xfId="0" applyFont="true" applyBorder="tru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9" fillId="7" borderId="8" xfId="0" applyFont="true" applyBorder="true" applyAlignment="false" applyProtection="true">
      <alignment horizontal="general" vertical="bottom" textRotation="0" wrapText="false" indent="0" shrinkToFit="false"/>
      <protection locked="true" hidden="true"/>
    </xf>
    <xf numFmtId="166" fontId="14" fillId="6" borderId="5" xfId="0" applyFont="true" applyBorder="true" applyAlignment="true" applyProtection="true">
      <alignment horizontal="general" vertical="center" textRotation="0" wrapText="false" indent="0" shrinkToFit="false"/>
      <protection locked="false" hidden="false"/>
    </xf>
    <xf numFmtId="164" fontId="6" fillId="7" borderId="0" xfId="0" applyFont="true" applyBorder="false" applyAlignment="true" applyProtection="true">
      <alignment horizontal="right" vertical="bottom" textRotation="0" wrapText="false" indent="0" shrinkToFit="false"/>
      <protection locked="true" hidden="true"/>
    </xf>
    <xf numFmtId="167" fontId="10" fillId="7" borderId="0" xfId="0" applyFont="true" applyBorder="false" applyAlignment="false" applyProtection="true">
      <alignment horizontal="general" vertical="bottom" textRotation="0" wrapText="false" indent="0" shrinkToFit="false"/>
      <protection locked="true" hidden="true"/>
    </xf>
    <xf numFmtId="164" fontId="4" fillId="7" borderId="7" xfId="0" applyFont="true" applyBorder="true" applyAlignment="true" applyProtection="false">
      <alignment horizontal="general" vertical="center" textRotation="0" wrapText="false" indent="0" shrinkToFit="false"/>
      <protection locked="true" hidden="false"/>
    </xf>
    <xf numFmtId="166" fontId="14" fillId="6" borderId="0" xfId="0" applyFont="true" applyBorder="false" applyAlignment="true" applyProtection="true">
      <alignment horizontal="general" vertical="center" textRotation="0" wrapText="false" indent="0" shrinkToFit="false"/>
      <protection locked="false" hidden="false"/>
    </xf>
    <xf numFmtId="166" fontId="15" fillId="7" borderId="0" xfId="0" applyFont="true" applyBorder="false" applyAlignment="false" applyProtection="true">
      <alignment horizontal="general" vertical="bottom" textRotation="0" wrapText="false" indent="0" shrinkToFit="false"/>
      <protection locked="true" hidden="true"/>
    </xf>
    <xf numFmtId="166" fontId="11" fillId="7" borderId="0" xfId="0" applyFont="true" applyBorder="false" applyAlignment="false" applyProtection="true">
      <alignment horizontal="general" vertical="bottom" textRotation="0" wrapText="false" indent="0" shrinkToFit="false"/>
      <protection locked="true" hidden="true"/>
    </xf>
    <xf numFmtId="166" fontId="10" fillId="7" borderId="0" xfId="0" applyFont="true" applyBorder="false" applyAlignment="true" applyProtection="true">
      <alignment horizontal="right" vertical="bottom" textRotation="0" wrapText="false" indent="0" shrinkToFit="false"/>
      <protection locked="true" hidden="true"/>
    </xf>
    <xf numFmtId="166" fontId="10" fillId="7" borderId="0" xfId="0" applyFont="true" applyBorder="false" applyAlignment="false" applyProtection="true">
      <alignment horizontal="general" vertical="bottom" textRotation="0" wrapText="false" indent="0" shrinkToFit="false"/>
      <protection locked="true" hidden="true"/>
    </xf>
    <xf numFmtId="165" fontId="11" fillId="7" borderId="0" xfId="0" applyFont="true" applyBorder="false" applyAlignment="false" applyProtection="true">
      <alignment horizontal="general" vertical="bottom" textRotation="0" wrapText="false" indent="0" shrinkToFit="false"/>
      <protection locked="true" hidden="true"/>
    </xf>
    <xf numFmtId="164" fontId="6" fillId="7" borderId="10" xfId="0" applyFont="true" applyBorder="true" applyAlignment="true" applyProtection="true">
      <alignment horizontal="right" vertical="bottom" textRotation="0" wrapText="false" indent="0" shrinkToFit="false"/>
      <protection locked="true" hidden="true"/>
    </xf>
    <xf numFmtId="166" fontId="10" fillId="7" borderId="10" xfId="0" applyFont="true" applyBorder="true" applyAlignment="true" applyProtection="true">
      <alignment horizontal="right" vertical="bottom" textRotation="0" wrapText="false" indent="0" shrinkToFit="false"/>
      <protection locked="true" hidden="true"/>
    </xf>
    <xf numFmtId="164" fontId="4" fillId="7" borderId="11" xfId="0" applyFont="true" applyBorder="true" applyAlignment="true" applyProtection="false">
      <alignment horizontal="general" vertical="center" textRotation="0" wrapText="false" indent="0" shrinkToFit="false"/>
      <protection locked="true" hidden="false"/>
    </xf>
    <xf numFmtId="164" fontId="6" fillId="7" borderId="5" xfId="0" applyFont="true" applyBorder="true" applyAlignment="true" applyProtection="true">
      <alignment horizontal="right" vertical="bottom" textRotation="0" wrapText="false" indent="0" shrinkToFit="false"/>
      <protection locked="true" hidden="true"/>
    </xf>
    <xf numFmtId="167" fontId="10" fillId="7" borderId="5" xfId="0" applyFont="true" applyBorder="true" applyAlignment="false" applyProtection="true">
      <alignment horizontal="general" vertical="bottom" textRotation="0" wrapText="false" indent="0" shrinkToFit="false"/>
      <protection locked="true" hidden="true"/>
    </xf>
    <xf numFmtId="164" fontId="6" fillId="7" borderId="6" xfId="0" applyFont="true" applyBorder="tru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true">
      <alignment horizontal="general" vertical="bottom" textRotation="0" wrapText="false" indent="0" shrinkToFit="false"/>
      <protection locked="false" hidden="false"/>
    </xf>
    <xf numFmtId="164" fontId="10" fillId="7" borderId="7" xfId="0" applyFont="true" applyBorder="true" applyAlignment="false" applyProtection="false">
      <alignment horizontal="general" vertical="bottom" textRotation="0" wrapText="false" indent="0" shrinkToFit="false"/>
      <protection locked="true" hidden="false"/>
    </xf>
    <xf numFmtId="167" fontId="11" fillId="7" borderId="0" xfId="0" applyFont="true" applyBorder="false" applyAlignment="false" applyProtection="true">
      <alignment horizontal="general" vertical="bottom" textRotation="0" wrapText="false" indent="0" shrinkToFit="false"/>
      <protection locked="true" hidden="true"/>
    </xf>
    <xf numFmtId="167" fontId="6" fillId="7" borderId="0" xfId="0" applyFont="true" applyBorder="false" applyAlignment="true" applyProtection="true">
      <alignment horizontal="right" vertical="bottom" textRotation="0" wrapText="false" indent="0" shrinkToFit="false"/>
      <protection locked="true" hidden="true"/>
    </xf>
    <xf numFmtId="164" fontId="6" fillId="7" borderId="7" xfId="0" applyFont="true" applyBorder="true" applyAlignment="false" applyProtection="false">
      <alignment horizontal="general" vertical="bottom" textRotation="0" wrapText="false" indent="0" shrinkToFit="false"/>
      <protection locked="true" hidden="false"/>
    </xf>
    <xf numFmtId="164" fontId="14" fillId="7" borderId="7" xfId="0" applyFont="true" applyBorder="true" applyAlignment="false" applyProtection="false">
      <alignment horizontal="general" vertical="bottom" textRotation="0" wrapText="false" indent="0" shrinkToFit="false"/>
      <protection locked="true" hidden="false"/>
    </xf>
    <xf numFmtId="164" fontId="4" fillId="7" borderId="7" xfId="0" applyFont="true" applyBorder="true" applyAlignment="false" applyProtection="false">
      <alignment horizontal="general" vertical="bottom" textRotation="0" wrapText="false" indent="0" shrinkToFit="false"/>
      <protection locked="true" hidden="false"/>
    </xf>
    <xf numFmtId="167" fontId="10" fillId="7" borderId="10" xfId="0" applyFont="true" applyBorder="true" applyAlignment="false" applyProtection="true">
      <alignment horizontal="general" vertical="bottom" textRotation="0" wrapText="false" indent="0" shrinkToFit="false"/>
      <protection locked="true" hidden="true"/>
    </xf>
    <xf numFmtId="164" fontId="6" fillId="7" borderId="11" xfId="0" applyFont="true" applyBorder="true" applyAlignment="false" applyProtection="false">
      <alignment horizontal="general" vertical="bottom" textRotation="0" wrapText="false" indent="0" shrinkToFit="false"/>
      <protection locked="true" hidden="false"/>
    </xf>
    <xf numFmtId="168" fontId="10" fillId="7" borderId="5" xfId="0" applyFont="true" applyBorder="true" applyAlignment="true" applyProtection="true">
      <alignment horizontal="right" vertical="bottom" textRotation="0" wrapText="false" indent="0" shrinkToFit="false"/>
      <protection locked="true" hidden="true"/>
    </xf>
    <xf numFmtId="164" fontId="12" fillId="7" borderId="7" xfId="0" applyFont="true" applyBorder="true" applyAlignment="false" applyProtection="false">
      <alignment horizontal="general" vertical="bottom" textRotation="0" wrapText="false" indent="0" shrinkToFit="false"/>
      <protection locked="true" hidden="false"/>
    </xf>
    <xf numFmtId="165" fontId="10" fillId="7" borderId="0" xfId="0" applyFont="true" applyBorder="false" applyAlignment="true" applyProtection="true">
      <alignment horizontal="right" vertical="bottom" textRotation="0" wrapText="false" indent="0" shrinkToFit="false"/>
      <protection locked="true" hidden="true"/>
    </xf>
    <xf numFmtId="164" fontId="17" fillId="7" borderId="7" xfId="0" applyFont="true" applyBorder="true" applyAlignment="false" applyProtection="false">
      <alignment horizontal="general" vertical="bottom" textRotation="0" wrapText="false" indent="0" shrinkToFit="false"/>
      <protection locked="true" hidden="false"/>
    </xf>
    <xf numFmtId="164" fontId="9" fillId="7" borderId="9" xfId="0" applyFont="true" applyBorder="true" applyAlignment="false" applyProtection="true">
      <alignment horizontal="general" vertical="bottom" textRotation="0" wrapText="false" indent="0" shrinkToFit="false"/>
      <protection locked="true" hidden="true"/>
    </xf>
    <xf numFmtId="165" fontId="10" fillId="7" borderId="10" xfId="0" applyFont="true" applyBorder="true" applyAlignment="true" applyProtection="true">
      <alignment horizontal="right" vertical="bottom" textRotation="0" wrapText="false" indent="0" shrinkToFit="false"/>
      <protection locked="true" hidden="true"/>
    </xf>
    <xf numFmtId="164" fontId="10" fillId="7" borderId="0" xfId="0" applyFont="true" applyBorder="false" applyAlignment="true" applyProtection="true">
      <alignment horizontal="right" vertical="bottom" textRotation="0" wrapText="false" indent="0" shrinkToFit="false"/>
      <protection locked="true" hidden="true"/>
    </xf>
    <xf numFmtId="164" fontId="6" fillId="7" borderId="0" xfId="0" applyFont="true" applyBorder="false" applyAlignment="false" applyProtection="false">
      <alignment horizontal="general" vertical="bottom" textRotation="0" wrapText="false" indent="0" shrinkToFit="false"/>
      <protection locked="true" hidden="false"/>
    </xf>
    <xf numFmtId="164" fontId="17" fillId="7" borderId="5" xfId="0" applyFont="true" applyBorder="true" applyAlignment="false" applyProtection="true">
      <alignment horizontal="general" vertical="bottom" textRotation="0" wrapText="false" indent="0" shrinkToFit="false"/>
      <protection locked="true" hidden="true"/>
    </xf>
    <xf numFmtId="164" fontId="12" fillId="7" borderId="6" xfId="0" applyFont="true" applyBorder="true" applyAlignment="false" applyProtection="false">
      <alignment horizontal="general" vertical="bottom" textRotation="0" wrapText="false" indent="0" shrinkToFit="false"/>
      <protection locked="true" hidden="false"/>
    </xf>
    <xf numFmtId="164" fontId="10" fillId="6" borderId="5" xfId="0" applyFont="true" applyBorder="true" applyAlignment="false" applyProtection="true">
      <alignment horizontal="general" vertical="bottom" textRotation="0" wrapText="false" indent="0" shrinkToFit="false"/>
      <protection locked="false" hidden="false"/>
    </xf>
    <xf numFmtId="164" fontId="10" fillId="7" borderId="6"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true"/>
    </xf>
    <xf numFmtId="164" fontId="17" fillId="7" borderId="6" xfId="0" applyFont="true" applyBorder="true" applyAlignment="false" applyProtection="false">
      <alignment horizontal="general" vertical="bottom" textRotation="0" wrapText="false" indent="0" shrinkToFit="false"/>
      <protection locked="true" hidden="false"/>
    </xf>
    <xf numFmtId="169" fontId="10" fillId="7" borderId="0" xfId="0" applyFont="true" applyBorder="false" applyAlignment="false" applyProtection="true">
      <alignment horizontal="general" vertical="bottom" textRotation="0" wrapText="false" indent="0" shrinkToFit="false"/>
      <protection locked="true" hidden="true"/>
    </xf>
    <xf numFmtId="165" fontId="0" fillId="0" borderId="0" xfId="0" applyFont="false" applyBorder="false" applyAlignment="false" applyProtection="true">
      <alignment horizontal="general" vertical="bottom" textRotation="0" wrapText="false" indent="0" shrinkToFit="false"/>
      <protection locked="true" hidden="true"/>
    </xf>
    <xf numFmtId="164" fontId="15" fillId="0" borderId="0" xfId="0" applyFont="true" applyBorder="false" applyAlignment="false" applyProtection="true">
      <alignment horizontal="general" vertical="bottom" textRotation="0" wrapText="false" indent="0" shrinkToFit="false"/>
      <protection locked="true" hidden="true"/>
    </xf>
    <xf numFmtId="164" fontId="10" fillId="7" borderId="11" xfId="0" applyFont="true" applyBorder="true" applyAlignment="false" applyProtection="false">
      <alignment horizontal="general" vertical="bottom" textRotation="0" wrapText="false" indent="0" shrinkToFit="false"/>
      <protection locked="true" hidden="false"/>
    </xf>
    <xf numFmtId="164" fontId="9" fillId="7" borderId="9" xfId="0" applyFont="true" applyBorder="true" applyAlignment="true" applyProtection="true">
      <alignment horizontal="left" vertical="bottom" textRotation="0" wrapText="false" indent="0" shrinkToFit="false"/>
      <protection locked="true" hidden="true"/>
    </xf>
    <xf numFmtId="164" fontId="6" fillId="7" borderId="0" xfId="0" applyFont="true" applyBorder="false" applyAlignment="false" applyProtection="true">
      <alignment horizontal="general" vertical="bottom" textRotation="0" wrapText="false" indent="0" shrinkToFit="false"/>
      <protection locked="true" hidden="true"/>
    </xf>
    <xf numFmtId="164" fontId="4" fillId="7" borderId="0" xfId="0" applyFont="true" applyBorder="false" applyAlignment="false" applyProtection="false">
      <alignment horizontal="general" vertical="bottom" textRotation="0" wrapText="false" indent="0" shrinkToFit="false"/>
      <protection locked="true" hidden="false"/>
    </xf>
    <xf numFmtId="164" fontId="6" fillId="7" borderId="5" xfId="0" applyFont="true" applyBorder="true" applyAlignment="false" applyProtection="true">
      <alignment horizontal="general" vertical="bottom" textRotation="0" wrapText="false" indent="0" shrinkToFit="false"/>
      <protection locked="true" hidden="true"/>
    </xf>
    <xf numFmtId="164" fontId="6" fillId="6" borderId="5" xfId="0" applyFont="true" applyBorder="true" applyAlignment="true" applyProtection="true">
      <alignment horizontal="right" vertical="bottom" textRotation="0" wrapText="false" indent="0" shrinkToFit="false"/>
      <protection locked="false" hidden="false"/>
    </xf>
    <xf numFmtId="164" fontId="4" fillId="7" borderId="6"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true" applyProtection="true">
      <alignment horizontal="right" vertical="bottom" textRotation="0" wrapText="false" indent="0" shrinkToFit="false"/>
      <protection locked="true" hidden="true"/>
    </xf>
    <xf numFmtId="170" fontId="0" fillId="7" borderId="0" xfId="0" applyFont="false" applyBorder="false" applyAlignment="true" applyProtection="true">
      <alignment horizontal="right" vertical="bottom" textRotation="0" wrapText="false" indent="0" shrinkToFit="false"/>
      <protection locked="true" hidden="true"/>
    </xf>
    <xf numFmtId="164" fontId="6" fillId="6" borderId="0" xfId="0" applyFont="true" applyBorder="false" applyAlignment="false" applyProtection="true">
      <alignment horizontal="general" vertical="bottom" textRotation="0" wrapText="false" indent="0" shrinkToFit="false"/>
      <protection locked="false" hidden="false"/>
    </xf>
    <xf numFmtId="164" fontId="15" fillId="7" borderId="7" xfId="0" applyFont="true" applyBorder="true" applyAlignment="false" applyProtection="false">
      <alignment horizontal="general" vertical="bottom" textRotation="0" wrapText="false" indent="0" shrinkToFit="false"/>
      <protection locked="true" hidden="false"/>
    </xf>
    <xf numFmtId="165" fontId="20" fillId="7" borderId="0" xfId="0" applyFont="true" applyBorder="false" applyAlignment="true" applyProtection="true">
      <alignment horizontal="right" vertical="bottom" textRotation="0" wrapText="false" indent="0" shrinkToFit="false"/>
      <protection locked="true" hidden="true"/>
    </xf>
    <xf numFmtId="165" fontId="6" fillId="7" borderId="0" xfId="0" applyFont="true" applyBorder="false" applyAlignment="true" applyProtection="true">
      <alignment horizontal="right" vertical="bottom" textRotation="0" wrapText="false" indent="0" shrinkToFit="false"/>
      <protection locked="true" hidden="true"/>
    </xf>
    <xf numFmtId="165" fontId="11" fillId="7" borderId="0" xfId="0" applyFont="true" applyBorder="false" applyAlignment="true" applyProtection="true">
      <alignment horizontal="right" vertical="bottom" textRotation="0" wrapText="false" indent="0" shrinkToFit="false"/>
      <protection locked="true" hidden="true"/>
    </xf>
    <xf numFmtId="164" fontId="6" fillId="7" borderId="9" xfId="0" applyFont="true" applyBorder="true" applyAlignment="false" applyProtection="true">
      <alignment horizontal="general" vertical="bottom" textRotation="0" wrapText="false" indent="0" shrinkToFit="false"/>
      <protection locked="true" hidden="true"/>
    </xf>
    <xf numFmtId="164" fontId="6" fillId="7" borderId="10" xfId="0" applyFont="true" applyBorder="true" applyAlignment="false" applyProtection="true">
      <alignment horizontal="general" vertical="bottom" textRotation="0" wrapText="false" indent="0" shrinkToFit="false"/>
      <protection locked="true" hidden="true"/>
    </xf>
    <xf numFmtId="165" fontId="6" fillId="7" borderId="10" xfId="0" applyFont="true" applyBorder="true" applyAlignment="true" applyProtection="true">
      <alignment horizontal="right" vertical="bottom" textRotation="0" wrapText="false" indent="0" shrinkToFit="false"/>
      <protection locked="true" hidden="true"/>
    </xf>
    <xf numFmtId="164" fontId="4" fillId="7" borderId="11" xfId="0" applyFont="true" applyBorder="true" applyAlignment="false" applyProtection="false">
      <alignment horizontal="general" vertical="bottom" textRotation="0" wrapText="false" indent="0" shrinkToFit="false"/>
      <protection locked="true" hidden="false"/>
    </xf>
    <xf numFmtId="164" fontId="6" fillId="7" borderId="8" xfId="0" applyFont="true" applyBorder="true" applyAlignment="false" applyProtection="true">
      <alignment horizontal="general" vertical="bottom" textRotation="0" wrapText="false" indent="0" shrinkToFit="false"/>
      <protection locked="true" hidden="true"/>
    </xf>
    <xf numFmtId="164" fontId="21" fillId="7" borderId="0" xfId="0" applyFont="true" applyBorder="false" applyAlignment="false" applyProtection="true">
      <alignment horizontal="general" vertical="bottom" textRotation="0" wrapText="false" indent="0" shrinkToFit="false"/>
      <protection locked="true" hidden="true"/>
    </xf>
    <xf numFmtId="164" fontId="6" fillId="7" borderId="4" xfId="0" applyFont="true" applyBorder="true" applyAlignment="false" applyProtection="true">
      <alignment horizontal="general" vertical="bottom" textRotation="0" wrapText="false" indent="0" shrinkToFit="false"/>
      <protection locked="true" hidden="true"/>
    </xf>
    <xf numFmtId="167" fontId="6" fillId="7" borderId="5" xfId="0" applyFont="true" applyBorder="true" applyAlignment="true" applyProtection="true">
      <alignment horizontal="right" vertical="bottom" textRotation="0" wrapText="false" indent="0" shrinkToFit="false"/>
      <protection locked="true" hidden="true"/>
    </xf>
    <xf numFmtId="167" fontId="6" fillId="7" borderId="10" xfId="0" applyFont="true" applyBorder="true" applyAlignment="false" applyProtection="false">
      <alignment horizontal="general" vertical="bottom" textRotation="0" wrapText="false" indent="0" shrinkToFit="false"/>
      <protection locked="true" hidden="false"/>
    </xf>
    <xf numFmtId="167" fontId="6" fillId="7" borderId="0" xfId="0" applyFont="true" applyBorder="false" applyAlignment="false" applyProtection="false">
      <alignment horizontal="general" vertical="bottom" textRotation="0" wrapText="false" indent="0" shrinkToFit="false"/>
      <protection locked="true" hidden="false"/>
    </xf>
    <xf numFmtId="164" fontId="22" fillId="8" borderId="1" xfId="0" applyFont="true" applyBorder="true" applyAlignment="true" applyProtection="true">
      <alignment horizontal="left" vertical="center" textRotation="0" wrapText="false" indent="0" shrinkToFit="false"/>
      <protection locked="true" hidden="true"/>
    </xf>
    <xf numFmtId="164" fontId="6" fillId="8" borderId="2" xfId="0" applyFont="true" applyBorder="true" applyAlignment="false" applyProtection="true">
      <alignment horizontal="general" vertical="bottom" textRotation="0" wrapText="false" indent="0" shrinkToFit="false"/>
      <protection locked="true" hidden="true"/>
    </xf>
    <xf numFmtId="164" fontId="10" fillId="8" borderId="2" xfId="0" applyFont="true" applyBorder="true" applyAlignment="false" applyProtection="true">
      <alignment horizontal="general" vertical="bottom" textRotation="0" wrapText="false" indent="0" shrinkToFit="false"/>
      <protection locked="true" hidden="true"/>
    </xf>
    <xf numFmtId="164" fontId="0" fillId="8" borderId="2" xfId="0" applyFont="false" applyBorder="true" applyAlignment="false" applyProtection="true">
      <alignment horizontal="general" vertical="bottom" textRotation="0" wrapText="false" indent="0" shrinkToFit="false"/>
      <protection locked="true" hidden="true"/>
    </xf>
    <xf numFmtId="164" fontId="0" fillId="8" borderId="3" xfId="0" applyFont="false" applyBorder="true" applyAlignment="false" applyProtection="true">
      <alignment horizontal="general" vertical="bottom" textRotation="0" wrapText="false" indent="0" shrinkToFit="false"/>
      <protection locked="true" hidden="true"/>
    </xf>
    <xf numFmtId="165" fontId="23" fillId="5" borderId="0" xfId="0" applyFont="true" applyBorder="false" applyAlignment="false" applyProtection="true">
      <alignment horizontal="general" vertical="bottom" textRotation="0" wrapText="false" indent="0" shrinkToFit="false"/>
      <protection locked="true" hidden="true"/>
    </xf>
    <xf numFmtId="164" fontId="9" fillId="7" borderId="9" xfId="0" applyFont="true" applyBorder="true" applyAlignment="true" applyProtection="true">
      <alignment horizontal="center" vertical="bottom" textRotation="0" wrapText="false" indent="0" shrinkToFit="false"/>
      <protection locked="true" hidden="true"/>
    </xf>
    <xf numFmtId="164" fontId="9" fillId="7" borderId="0" xfId="0" applyFont="true" applyBorder="true" applyAlignment="true" applyProtection="true">
      <alignment horizontal="center" vertical="bottom" textRotation="0" wrapText="false" indent="0" shrinkToFit="false"/>
      <protection locked="true" hidden="true"/>
    </xf>
    <xf numFmtId="164" fontId="0" fillId="0" borderId="5" xfId="0" applyFont="false" applyBorder="true" applyAlignment="false" applyProtection="true">
      <alignment horizontal="general" vertical="bottom" textRotation="0" wrapText="false" indent="0" shrinkToFit="false"/>
      <protection locked="true" hidden="true"/>
    </xf>
    <xf numFmtId="164" fontId="24" fillId="7" borderId="5" xfId="0" applyFont="true" applyBorder="true" applyAlignment="true" applyProtection="true">
      <alignment horizontal="right" vertical="bottom" textRotation="0" wrapText="false" indent="0" shrinkToFit="false"/>
      <protection locked="true" hidden="true"/>
    </xf>
    <xf numFmtId="164" fontId="27" fillId="7" borderId="5" xfId="0" applyFont="true" applyBorder="true" applyAlignment="false" applyProtection="true">
      <alignment horizontal="general" vertical="bottom" textRotation="0" wrapText="false" indent="0" shrinkToFit="false"/>
      <protection locked="true" hidden="true"/>
    </xf>
    <xf numFmtId="164" fontId="6" fillId="7" borderId="6" xfId="0" applyFont="true" applyBorder="true" applyAlignment="false" applyProtection="true">
      <alignment horizontal="general" vertical="bottom" textRotation="0" wrapText="false" indent="0" shrinkToFit="false"/>
      <protection locked="true" hidden="true"/>
    </xf>
    <xf numFmtId="164" fontId="27" fillId="6" borderId="5" xfId="0" applyFont="true" applyBorder="true" applyAlignment="false" applyProtection="true">
      <alignment horizontal="general" vertical="bottom" textRotation="0" wrapText="false" indent="0" shrinkToFit="false"/>
      <protection locked="false" hidden="false"/>
    </xf>
    <xf numFmtId="164" fontId="6" fillId="7" borderId="7" xfId="0" applyFont="true" applyBorder="true" applyAlignment="false" applyProtection="true">
      <alignment horizontal="general" vertical="bottom" textRotation="0" wrapText="false" indent="0" shrinkToFit="false"/>
      <protection locked="true" hidden="true"/>
    </xf>
    <xf numFmtId="164" fontId="0" fillId="7" borderId="0" xfId="0" applyFont="true" applyBorder="false" applyAlignment="false" applyProtection="true">
      <alignment horizontal="general" vertical="bottom" textRotation="0" wrapText="false" indent="0" shrinkToFit="false"/>
      <protection locked="true" hidden="true"/>
    </xf>
    <xf numFmtId="164" fontId="27" fillId="7" borderId="0" xfId="0" applyFont="true" applyBorder="false" applyAlignment="true" applyProtection="true">
      <alignment horizontal="right" vertical="bottom" textRotation="0" wrapText="false" indent="0" shrinkToFit="false"/>
      <protection locked="true" hidden="true"/>
    </xf>
    <xf numFmtId="164" fontId="27" fillId="7" borderId="0" xfId="0" applyFont="true" applyBorder="false" applyAlignment="false" applyProtection="true">
      <alignment horizontal="general" vertical="bottom" textRotation="0" wrapText="false" indent="0" shrinkToFit="false"/>
      <protection locked="true" hidden="true"/>
    </xf>
    <xf numFmtId="171" fontId="14" fillId="6" borderId="0" xfId="0" applyFont="true" applyBorder="false" applyAlignment="false" applyProtection="true">
      <alignment horizontal="general" vertical="bottom" textRotation="0" wrapText="false" indent="0" shrinkToFit="false"/>
      <protection locked="false" hidden="false"/>
    </xf>
    <xf numFmtId="165" fontId="14" fillId="7" borderId="0" xfId="0" applyFont="true" applyBorder="false" applyAlignment="false" applyProtection="true">
      <alignment horizontal="general" vertical="bottom" textRotation="0" wrapText="false" indent="0" shrinkToFit="false"/>
      <protection locked="true" hidden="true"/>
    </xf>
    <xf numFmtId="171" fontId="14" fillId="6" borderId="0" xfId="0" applyFont="true" applyBorder="false" applyAlignment="false" applyProtection="true">
      <alignment horizontal="general" vertical="bottom" textRotation="0" wrapText="false" indent="0" shrinkToFit="false"/>
      <protection locked="true" hidden="true"/>
    </xf>
    <xf numFmtId="164" fontId="14" fillId="6" borderId="0" xfId="0" applyFont="true" applyBorder="false" applyAlignment="false" applyProtection="true">
      <alignment horizontal="general" vertical="bottom" textRotation="0" wrapText="false" indent="0" shrinkToFit="false"/>
      <protection locked="true" hidden="true"/>
    </xf>
    <xf numFmtId="164" fontId="14" fillId="6" borderId="0" xfId="0" applyFont="true" applyBorder="false" applyAlignment="false" applyProtection="true">
      <alignment horizontal="general" vertical="bottom" textRotation="0" wrapText="false" indent="0" shrinkToFit="false"/>
      <protection locked="false" hidden="false"/>
    </xf>
    <xf numFmtId="164" fontId="28" fillId="7" borderId="7" xfId="0" applyFont="true" applyBorder="true" applyAlignment="false" applyProtection="true">
      <alignment horizontal="general" vertical="bottom" textRotation="0" wrapText="false" indent="0" shrinkToFit="false"/>
      <protection locked="true" hidden="true"/>
    </xf>
    <xf numFmtId="164" fontId="14" fillId="6" borderId="10" xfId="0" applyFont="true" applyBorder="true" applyAlignment="false" applyProtection="true">
      <alignment horizontal="general" vertical="bottom" textRotation="0" wrapText="false" indent="0" shrinkToFit="false"/>
      <protection locked="false" hidden="false"/>
    </xf>
    <xf numFmtId="164" fontId="28" fillId="7" borderId="11" xfId="0" applyFont="true" applyBorder="true" applyAlignment="false" applyProtection="true">
      <alignment horizontal="general" vertical="bottom" textRotation="0" wrapText="false" indent="0" shrinkToFit="false"/>
      <protection locked="true" hidden="true"/>
    </xf>
    <xf numFmtId="164" fontId="0" fillId="7" borderId="10" xfId="0" applyFont="false" applyBorder="true" applyAlignment="false" applyProtection="true">
      <alignment horizontal="general" vertical="bottom" textRotation="0" wrapText="false" indent="0" shrinkToFit="false"/>
      <protection locked="true" hidden="true"/>
    </xf>
    <xf numFmtId="165" fontId="14" fillId="7" borderId="10" xfId="0" applyFont="true" applyBorder="true" applyAlignment="false" applyProtection="true">
      <alignment horizontal="general" vertical="bottom" textRotation="0" wrapText="false" indent="0" shrinkToFit="false"/>
      <protection locked="true" hidden="true"/>
    </xf>
    <xf numFmtId="164" fontId="14" fillId="6" borderId="10" xfId="0" applyFont="true" applyBorder="true" applyAlignment="false" applyProtection="true">
      <alignment horizontal="general" vertical="bottom" textRotation="0" wrapText="false" indent="0" shrinkToFit="false"/>
      <protection locked="true" hidden="true"/>
    </xf>
    <xf numFmtId="164" fontId="6" fillId="0" borderId="0" xfId="0" applyFont="true" applyBorder="false" applyAlignment="false" applyProtection="true">
      <alignment horizontal="general" vertical="bottom" textRotation="0" wrapText="false" indent="0" shrinkToFit="false"/>
      <protection locked="true" hidden="true"/>
    </xf>
    <xf numFmtId="164" fontId="6" fillId="7" borderId="1" xfId="0" applyFont="true" applyBorder="true" applyAlignment="false" applyProtection="true">
      <alignment horizontal="general" vertical="bottom" textRotation="0" wrapText="false" indent="0" shrinkToFit="false"/>
      <protection locked="true" hidden="true"/>
    </xf>
    <xf numFmtId="164" fontId="6" fillId="7" borderId="2" xfId="0" applyFont="true" applyBorder="true" applyAlignment="false" applyProtection="true">
      <alignment horizontal="general" vertical="bottom" textRotation="0" wrapText="false" indent="0" shrinkToFit="false"/>
      <protection locked="true" hidden="true"/>
    </xf>
    <xf numFmtId="164" fontId="12" fillId="7" borderId="2" xfId="0" applyFont="true" applyBorder="true" applyAlignment="true" applyProtection="true">
      <alignment horizontal="right" vertical="bottom" textRotation="0" wrapText="false" indent="0" shrinkToFit="false"/>
      <protection locked="true" hidden="true"/>
    </xf>
    <xf numFmtId="164" fontId="6" fillId="6" borderId="2" xfId="0" applyFont="true" applyBorder="true" applyAlignment="false" applyProtection="true">
      <alignment horizontal="general" vertical="bottom" textRotation="0" wrapText="false" indent="0" shrinkToFit="false"/>
      <protection locked="false" hidden="false"/>
    </xf>
    <xf numFmtId="164" fontId="6" fillId="7" borderId="3" xfId="0" applyFont="true" applyBorder="true" applyAlignment="false" applyProtection="false">
      <alignment horizontal="general" vertical="bottom" textRotation="0" wrapText="false" indent="0" shrinkToFit="false"/>
      <protection locked="true" hidden="false"/>
    </xf>
    <xf numFmtId="164" fontId="22" fillId="8" borderId="1" xfId="0" applyFont="true" applyBorder="true" applyAlignment="true" applyProtection="false">
      <alignment horizontal="center" vertical="center" textRotation="0" wrapText="false" indent="0" shrinkToFit="false"/>
      <protection locked="true" hidden="false"/>
    </xf>
    <xf numFmtId="164" fontId="29" fillId="3" borderId="0" xfId="0" applyFont="true" applyBorder="true" applyAlignment="true" applyProtection="true">
      <alignment horizontal="center" vertical="bottom" textRotation="0" wrapText="false" indent="0" shrinkToFit="false"/>
      <protection locked="true" hidden="true"/>
    </xf>
    <xf numFmtId="164" fontId="0" fillId="3" borderId="0" xfId="0" applyFont="false" applyBorder="false" applyAlignment="false" applyProtection="true">
      <alignment horizontal="general" vertical="bottom" textRotation="0" wrapText="false" indent="0" shrinkToFit="false"/>
      <protection locked="true" hidden="true"/>
    </xf>
    <xf numFmtId="164" fontId="29" fillId="3" borderId="0" xfId="0" applyFont="true" applyBorder="true" applyAlignment="true" applyProtection="true">
      <alignment horizontal="center" vertical="center" textRotation="0" wrapText="false" indent="0" shrinkToFit="false"/>
      <protection locked="true" hidden="true"/>
    </xf>
    <xf numFmtId="164" fontId="30" fillId="3" borderId="0" xfId="0" applyFont="true" applyBorder="true" applyAlignment="true" applyProtection="true">
      <alignment horizontal="center" vertical="center" textRotation="0" wrapText="false" indent="0" shrinkToFit="false"/>
      <protection locked="true" hidden="true"/>
    </xf>
    <xf numFmtId="164" fontId="31" fillId="3" borderId="0" xfId="0" applyFont="true" applyBorder="true" applyAlignment="true" applyProtection="true">
      <alignment horizontal="center" vertical="bottom" textRotation="0" wrapText="false" indent="0" shrinkToFit="false"/>
      <protection locked="true" hidden="true"/>
    </xf>
    <xf numFmtId="164" fontId="10" fillId="3" borderId="0" xfId="0" applyFont="true" applyBorder="false" applyAlignment="true" applyProtection="true">
      <alignment horizontal="left" vertical="center" textRotation="0" wrapText="false" indent="0" shrinkToFit="false"/>
      <protection locked="true" hidden="true"/>
    </xf>
    <xf numFmtId="164" fontId="0" fillId="3" borderId="0" xfId="0" applyFont="true" applyBorder="false" applyAlignment="true" applyProtection="true">
      <alignment horizontal="left" vertical="center" textRotation="0" wrapText="false" indent="0" shrinkToFit="false"/>
      <protection locked="true" hidden="true"/>
    </xf>
    <xf numFmtId="164" fontId="16" fillId="3" borderId="0" xfId="0" applyFont="true" applyBorder="false" applyAlignment="true" applyProtection="true">
      <alignment horizontal="left" vertical="center" textRotation="0" wrapText="false" indent="0" shrinkToFit="false"/>
      <protection locked="true" hidden="true"/>
    </xf>
    <xf numFmtId="164" fontId="0" fillId="3" borderId="12" xfId="0" applyFont="true" applyBorder="true" applyAlignment="true" applyProtection="true">
      <alignment horizontal="left" vertical="center" textRotation="0" wrapText="false" indent="0" shrinkToFit="false"/>
      <protection locked="true" hidden="true"/>
    </xf>
    <xf numFmtId="164" fontId="10" fillId="0" borderId="0" xfId="0" applyFont="true" applyBorder="false" applyAlignment="true" applyProtection="true">
      <alignment horizontal="right" vertical="bottom" textRotation="0" wrapText="false" indent="0" shrinkToFit="false"/>
      <protection locked="true" hidden="true"/>
    </xf>
    <xf numFmtId="165" fontId="0" fillId="0" borderId="0" xfId="0" applyFont="false" applyBorder="false" applyAlignment="true" applyProtection="true">
      <alignment horizontal="right" vertical="bottom" textRotation="0" wrapText="false" indent="0" shrinkToFit="false"/>
      <protection locked="true" hidden="true"/>
    </xf>
    <xf numFmtId="167" fontId="0" fillId="0" borderId="0" xfId="0" applyFont="false" applyBorder="false" applyAlignment="true" applyProtection="true">
      <alignment horizontal="right" vertical="bottom" textRotation="0" wrapText="false" indent="0" shrinkToFit="false"/>
      <protection locked="true" hidden="true"/>
    </xf>
    <xf numFmtId="167" fontId="0" fillId="3" borderId="0" xfId="0" applyFont="false" applyBorder="false" applyAlignment="true" applyProtection="true">
      <alignment horizontal="right" vertical="bottom" textRotation="0" wrapText="false" indent="0" shrinkToFit="false"/>
      <protection locked="true" hidden="true"/>
    </xf>
    <xf numFmtId="167" fontId="0" fillId="0" borderId="13" xfId="0" applyFont="false" applyBorder="true" applyAlignment="true" applyProtection="true">
      <alignment horizontal="right" vertical="bottom" textRotation="0" wrapText="false" indent="0" shrinkToFit="false"/>
      <protection locked="true" hidden="true"/>
    </xf>
    <xf numFmtId="167" fontId="0" fillId="3" borderId="0" xfId="0" applyFont="false" applyBorder="false" applyAlignment="true" applyProtection="true">
      <alignment horizontal="right" vertical="center" textRotation="0" wrapText="false" indent="0" shrinkToFit="false"/>
      <protection locked="true" hidden="true"/>
    </xf>
    <xf numFmtId="167" fontId="16" fillId="3" borderId="0" xfId="0" applyFont="true" applyBorder="false" applyAlignment="true" applyProtection="true">
      <alignment horizontal="right" vertical="bottom" textRotation="0" wrapText="false" indent="0" shrinkToFit="false"/>
      <protection locked="true" hidden="true"/>
    </xf>
    <xf numFmtId="164" fontId="0" fillId="3" borderId="0" xfId="0" applyFont="false" applyBorder="false" applyAlignment="true" applyProtection="true">
      <alignment horizontal="right" vertical="bottom" textRotation="0" wrapText="false" indent="0" shrinkToFit="false"/>
      <protection locked="true" hidden="true"/>
    </xf>
    <xf numFmtId="167" fontId="0" fillId="0" borderId="0" xfId="19" applyFont="true" applyBorder="true" applyAlignment="true" applyProtection="true">
      <alignment horizontal="right" vertical="bottom" textRotation="0" wrapText="false" indent="0" shrinkToFit="false"/>
      <protection locked="true" hidden="true"/>
    </xf>
    <xf numFmtId="167" fontId="0" fillId="3" borderId="0" xfId="19" applyFont="true" applyBorder="true" applyAlignment="true" applyProtection="true">
      <alignment horizontal="right" vertical="bottom" textRotation="0" wrapText="false" indent="0" shrinkToFit="false"/>
      <protection locked="true" hidden="true"/>
    </xf>
    <xf numFmtId="164" fontId="6" fillId="6" borderId="5" xfId="0" applyFont="true" applyBorder="true" applyAlignment="true" applyProtection="true">
      <alignment horizontal="center" vertical="bottom" textRotation="0" wrapText="false" indent="0" shrinkToFit="false"/>
      <protection locked="false" hidden="false"/>
    </xf>
    <xf numFmtId="164" fontId="6" fillId="6" borderId="0" xfId="0" applyFont="true" applyBorder="true" applyAlignment="true" applyProtection="true">
      <alignment horizontal="center" vertical="bottom" textRotation="0" wrapText="false" indent="0" shrinkToFit="false"/>
      <protection locked="false" hidden="false"/>
    </xf>
    <xf numFmtId="164" fontId="0" fillId="6" borderId="10" xfId="0" applyFont="true" applyBorder="true" applyAlignment="true" applyProtection="true">
      <alignment horizontal="center" vertical="bottom" textRotation="0" wrapText="false" indent="0" shrinkToFit="false"/>
      <protection locked="false" hidden="false"/>
    </xf>
    <xf numFmtId="164" fontId="6" fillId="7" borderId="0" xfId="0" applyFont="true" applyBorder="false" applyAlignment="true" applyProtection="true">
      <alignment horizontal="center" vertical="bottom" textRotation="0" wrapText="false" indent="0" shrinkToFit="false"/>
      <protection locked="true" hidden="true"/>
    </xf>
    <xf numFmtId="165" fontId="9" fillId="7" borderId="8" xfId="0" applyFont="true" applyBorder="true" applyAlignment="true" applyProtection="true">
      <alignment horizontal="center" vertical="bottom" textRotation="0" wrapText="false" indent="0" shrinkToFit="false"/>
      <protection locked="true" hidden="true"/>
    </xf>
    <xf numFmtId="165" fontId="9" fillId="7" borderId="10" xfId="0" applyFont="true" applyBorder="true" applyAlignment="true" applyProtection="true">
      <alignment horizontal="center" vertical="bottom" textRotation="0" wrapText="false" indent="0" shrinkToFit="false"/>
      <protection locked="true" hidden="true"/>
    </xf>
    <xf numFmtId="164" fontId="0" fillId="7" borderId="4" xfId="0" applyFont="false" applyBorder="true" applyAlignment="false" applyProtection="true">
      <alignment horizontal="general" vertical="bottom" textRotation="0" wrapText="false" indent="0" shrinkToFit="false"/>
      <protection locked="true" hidden="true"/>
    </xf>
    <xf numFmtId="164" fontId="0" fillId="7" borderId="8" xfId="0" applyFont="false" applyBorder="true" applyAlignment="false" applyProtection="true">
      <alignment horizontal="general" vertical="bottom" textRotation="0" wrapText="false" indent="0" shrinkToFit="false"/>
      <protection locked="true" hidden="true"/>
    </xf>
    <xf numFmtId="165" fontId="14" fillId="7" borderId="0" xfId="0" applyFont="true" applyBorder="false" applyAlignment="true" applyProtection="true">
      <alignment horizontal="right" vertical="bottom" textRotation="0" wrapText="false" indent="0" shrinkToFit="false"/>
      <protection locked="true" hidden="true"/>
    </xf>
    <xf numFmtId="165" fontId="14" fillId="7" borderId="10" xfId="0" applyFont="true" applyBorder="true" applyAlignment="true" applyProtection="true">
      <alignment horizontal="right" vertical="bottom" textRotation="0" wrapText="false" indent="0" shrinkToFit="false"/>
      <protection locked="true" hidden="true"/>
    </xf>
    <xf numFmtId="171" fontId="14" fillId="7" borderId="0" xfId="0" applyFont="true" applyBorder="false" applyAlignment="false" applyProtection="true">
      <alignment horizontal="general" vertical="bottom" textRotation="0" wrapText="false" indent="0" shrinkToFit="false"/>
      <protection locked="true" hidden="true"/>
    </xf>
    <xf numFmtId="164" fontId="25" fillId="7" borderId="8" xfId="0" applyFont="true" applyBorder="true" applyAlignment="false" applyProtection="true">
      <alignment horizontal="general" vertical="bottom" textRotation="0" wrapText="false" indent="0" shrinkToFit="false"/>
      <protection locked="true" hidden="true"/>
    </xf>
    <xf numFmtId="164" fontId="14" fillId="7" borderId="0" xfId="0" applyFont="true" applyBorder="false" applyAlignment="true" applyProtection="true">
      <alignment horizontal="right" vertical="bottom" textRotation="0" wrapText="false" indent="0" shrinkToFit="false"/>
      <protection locked="true" hidden="true"/>
    </xf>
    <xf numFmtId="164" fontId="0" fillId="7" borderId="11" xfId="0" applyFont="false" applyBorder="true" applyAlignment="false" applyProtection="true">
      <alignment horizontal="general" vertical="bottom" textRotation="0" wrapText="false" indent="0" shrinkToFit="false"/>
      <protection locked="true" hidden="true"/>
    </xf>
    <xf numFmtId="164" fontId="28" fillId="5" borderId="0" xfId="0" applyFont="true" applyBorder="false" applyAlignment="false" applyProtection="true">
      <alignment horizontal="general" vertical="bottom" textRotation="0" wrapText="false" indent="0" shrinkToFit="false"/>
      <protection locked="true" hidden="true"/>
    </xf>
    <xf numFmtId="167" fontId="0" fillId="0" borderId="14" xfId="0" applyFont="false" applyBorder="true" applyAlignment="true" applyProtection="true">
      <alignment horizontal="right" vertical="bottom" textRotation="0" wrapText="false" indent="0" shrinkToFit="false"/>
      <protection locked="true" hidden="true"/>
    </xf>
    <xf numFmtId="164" fontId="9" fillId="7" borderId="1" xfId="0" applyFont="true" applyBorder="true" applyAlignment="true" applyProtection="true">
      <alignment horizontal="left" vertical="bottom" textRotation="0" wrapText="false" indent="0" shrinkToFit="false"/>
      <protection locked="true" hidden="true"/>
    </xf>
    <xf numFmtId="164" fontId="10" fillId="7" borderId="5" xfId="0" applyFont="true" applyBorder="true" applyAlignment="false" applyProtection="false">
      <alignment horizontal="general" vertical="bottom" textRotation="0" wrapText="false" indent="0" shrinkToFit="false"/>
      <protection locked="true" hidden="false"/>
    </xf>
    <xf numFmtId="164" fontId="15" fillId="7" borderId="5" xfId="0" applyFont="true" applyBorder="true" applyAlignment="false" applyProtection="true">
      <alignment horizontal="general" vertical="bottom" textRotation="0" wrapText="false" indent="0" shrinkToFit="false"/>
      <protection locked="true" hidden="true"/>
    </xf>
    <xf numFmtId="164" fontId="0" fillId="7" borderId="6" xfId="0" applyFont="true" applyBorder="true" applyAlignment="false" applyProtection="false">
      <alignment horizontal="general" vertical="bottom" textRotation="0" wrapText="false" indent="0" shrinkToFit="false"/>
      <protection locked="true" hidden="false"/>
    </xf>
    <xf numFmtId="164" fontId="59" fillId="0" borderId="15" xfId="0" applyFont="true" applyBorder="true" applyAlignment="false" applyProtection="false">
      <alignment horizontal="general" vertical="bottom" textRotation="0" wrapText="false" indent="0" shrinkToFit="false"/>
      <protection locked="true" hidden="false"/>
    </xf>
    <xf numFmtId="164" fontId="59" fillId="0" borderId="15" xfId="0" applyFont="true" applyBorder="true" applyAlignment="true" applyProtection="false">
      <alignment horizontal="center" vertical="bottom" textRotation="0" wrapText="false" indent="0" shrinkToFit="false"/>
      <protection locked="true" hidden="false"/>
    </xf>
    <xf numFmtId="164" fontId="14"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true"/>
    </xf>
    <xf numFmtId="164" fontId="0" fillId="9" borderId="0" xfId="0" applyFont="true" applyBorder="false" applyAlignment="false" applyProtection="true">
      <alignment horizontal="general" vertical="bottom" textRotation="0" wrapText="false" indent="0" shrinkToFit="false"/>
      <protection locked="true" hidden="true"/>
    </xf>
    <xf numFmtId="164" fontId="7" fillId="10" borderId="0" xfId="0" applyFont="true" applyBorder="false" applyAlignment="false" applyProtection="false">
      <alignment horizontal="general" vertical="bottom"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6" fontId="59" fillId="11" borderId="15" xfId="0" applyFont="true" applyBorder="true" applyAlignment="true" applyProtection="false">
      <alignment horizontal="center"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8" xfId="0" applyFont="fals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9" fillId="7" borderId="8" xfId="0" applyFont="true" applyBorder="true" applyAlignment="true" applyProtection="true">
      <alignment horizontal="left" vertical="bottom" textRotation="0" wrapText="false" indent="0" shrinkToFit="false"/>
      <protection locked="true" hidden="true"/>
    </xf>
    <xf numFmtId="164" fontId="0" fillId="7" borderId="4" xfId="0" applyFont="true" applyBorder="true" applyAlignment="true" applyProtection="false">
      <alignment horizontal="center" vertical="bottom" textRotation="0" wrapText="false" indent="0" shrinkToFit="false"/>
      <protection locked="true" hidden="false"/>
    </xf>
    <xf numFmtId="164" fontId="0" fillId="7" borderId="5" xfId="0" applyFont="true" applyBorder="true" applyAlignment="true" applyProtection="false">
      <alignment horizontal="center" vertical="bottom" textRotation="0" wrapText="false" indent="0" shrinkToFit="false"/>
      <protection locked="true" hidden="false"/>
    </xf>
    <xf numFmtId="164" fontId="0" fillId="7" borderId="6" xfId="0" applyFont="true" applyBorder="true" applyAlignment="true" applyProtection="true">
      <alignment horizontal="center" vertical="bottom" textRotation="0" wrapText="false" indent="0" shrinkToFit="false"/>
      <protection locked="true" hidden="true"/>
    </xf>
    <xf numFmtId="164" fontId="0" fillId="7" borderId="4" xfId="0" applyFont="false" applyBorder="true" applyAlignment="false" applyProtection="false">
      <alignment horizontal="general" vertical="bottom" textRotation="0" wrapText="false" indent="0" shrinkToFit="false"/>
      <protection locked="true" hidden="false"/>
    </xf>
    <xf numFmtId="164" fontId="0" fillId="7" borderId="5" xfId="0" applyFont="false" applyBorder="true" applyAlignment="false" applyProtection="false">
      <alignment horizontal="general" vertical="bottom" textRotation="0" wrapText="false" indent="0" shrinkToFit="false"/>
      <protection locked="true" hidden="false"/>
    </xf>
    <xf numFmtId="167" fontId="0" fillId="7" borderId="4" xfId="0" applyFont="false" applyBorder="true" applyAlignment="false" applyProtection="true">
      <alignment horizontal="general" vertical="bottom" textRotation="0" wrapText="false" indent="0" shrinkToFit="false"/>
      <protection locked="true" hidden="true"/>
    </xf>
    <xf numFmtId="167" fontId="60" fillId="2" borderId="5" xfId="21" applyFont="true" applyBorder="true" applyAlignment="true" applyProtection="true">
      <alignment horizontal="general" vertical="bottom" textRotation="0" wrapText="false" indent="0" shrinkToFit="false"/>
      <protection locked="true" hidden="true"/>
    </xf>
    <xf numFmtId="167" fontId="0" fillId="7" borderId="6" xfId="0" applyFont="false" applyBorder="true" applyAlignment="false" applyProtection="true">
      <alignment horizontal="general" vertical="bottom" textRotation="0" wrapText="false" indent="0" shrinkToFit="false"/>
      <protection locked="true" hidden="true"/>
    </xf>
    <xf numFmtId="164" fontId="0" fillId="7" borderId="9" xfId="0" applyFont="false" applyBorder="true" applyAlignment="fals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7" fontId="0" fillId="7" borderId="9" xfId="0" applyFont="false" applyBorder="true" applyAlignment="false" applyProtection="true">
      <alignment horizontal="general" vertical="bottom" textRotation="0" wrapText="false" indent="0" shrinkToFit="false"/>
      <protection locked="true" hidden="true"/>
    </xf>
    <xf numFmtId="167" fontId="60" fillId="2" borderId="10" xfId="21" applyFont="true" applyBorder="true" applyAlignment="true" applyProtection="true">
      <alignment horizontal="general" vertical="bottom" textRotation="0" wrapText="false" indent="0" shrinkToFit="false"/>
      <protection locked="true" hidden="true"/>
    </xf>
    <xf numFmtId="167" fontId="0" fillId="7" borderId="11" xfId="0" applyFont="false" applyBorder="true" applyAlignment="false" applyProtection="true">
      <alignment horizontal="general" vertical="bottom" textRotation="0" wrapText="false" indent="0" shrinkToFit="false"/>
      <protection locked="true" hidden="true"/>
    </xf>
    <xf numFmtId="164" fontId="9" fillId="7" borderId="10" xfId="0" applyFont="true" applyBorder="true" applyAlignment="false" applyProtection="true">
      <alignment horizontal="general" vertical="bottom" textRotation="0" wrapText="false" indent="0" shrinkToFit="false"/>
      <protection locked="true" hidden="true"/>
    </xf>
    <xf numFmtId="164" fontId="6" fillId="7" borderId="12" xfId="0" applyFont="true" applyBorder="true" applyAlignment="true" applyProtection="true">
      <alignment horizontal="right" vertical="bottom" textRotation="0" wrapText="false" indent="0" shrinkToFit="false"/>
      <protection locked="true" hidden="true"/>
    </xf>
    <xf numFmtId="164" fontId="0" fillId="7" borderId="1"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7" borderId="3" xfId="0" applyFont="true" applyBorder="true" applyAlignment="true" applyProtection="true">
      <alignment horizontal="center" vertical="bottom" textRotation="0" wrapText="false" indent="0" shrinkToFit="false"/>
      <protection locked="true" hidden="true"/>
    </xf>
    <xf numFmtId="164" fontId="0" fillId="10" borderId="0" xfId="0" applyFont="true" applyBorder="false" applyAlignment="false" applyProtection="true">
      <alignment horizontal="general" vertical="bottom" textRotation="0" wrapText="false" indent="0" shrinkToFit="false"/>
      <protection locked="true" hidden="true"/>
    </xf>
    <xf numFmtId="165" fontId="0" fillId="7" borderId="5" xfId="0" applyFont="false" applyBorder="true" applyAlignment="true" applyProtection="false">
      <alignment horizontal="right" vertical="bottom" textRotation="0" wrapText="false" indent="0" shrinkToFit="false"/>
      <protection locked="true" hidden="false"/>
    </xf>
    <xf numFmtId="164" fontId="0" fillId="7" borderId="16" xfId="0" applyFont="false" applyBorder="true" applyAlignment="false" applyProtection="true">
      <alignment horizontal="general" vertical="bottom" textRotation="0" wrapText="false" indent="0" shrinkToFit="false"/>
      <protection locked="false" hidden="false"/>
    </xf>
    <xf numFmtId="164" fontId="0" fillId="6" borderId="4" xfId="0" applyFont="false" applyBorder="true" applyAlignment="false" applyProtection="true">
      <alignment horizontal="general" vertical="bottom" textRotation="0" wrapText="false" indent="0" shrinkToFit="false"/>
      <protection locked="false" hidden="false"/>
    </xf>
    <xf numFmtId="164" fontId="0" fillId="6" borderId="5" xfId="0" applyFont="false" applyBorder="true" applyAlignment="false" applyProtection="true">
      <alignment horizontal="general" vertical="bottom" textRotation="0" wrapText="false" indent="0" shrinkToFit="false"/>
      <protection locked="false" hidden="false"/>
    </xf>
    <xf numFmtId="164" fontId="0" fillId="6" borderId="6" xfId="0" applyFont="false" applyBorder="tru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true" hidden="true"/>
    </xf>
    <xf numFmtId="165" fontId="0" fillId="7" borderId="8" xfId="0" applyFont="false" applyBorder="true" applyAlignment="false" applyProtection="true">
      <alignment horizontal="general" vertical="bottom" textRotation="0" wrapText="false" indent="0" shrinkToFit="false"/>
      <protection locked="true" hidden="true"/>
    </xf>
    <xf numFmtId="165" fontId="0" fillId="7" borderId="0" xfId="0" applyFont="false" applyBorder="false" applyAlignment="true" applyProtection="false">
      <alignment horizontal="right" vertical="bottom" textRotation="0" wrapText="false" indent="0" shrinkToFit="false"/>
      <protection locked="true" hidden="false"/>
    </xf>
    <xf numFmtId="165" fontId="0" fillId="7" borderId="13" xfId="0" applyFont="false" applyBorder="true" applyAlignment="false" applyProtection="true">
      <alignment horizontal="general" vertical="bottom" textRotation="0" wrapText="false" indent="0" shrinkToFit="false"/>
      <protection locked="false" hidden="false"/>
    </xf>
    <xf numFmtId="164" fontId="0" fillId="6" borderId="8" xfId="0" applyFont="false" applyBorder="true" applyAlignment="false" applyProtection="true">
      <alignment horizontal="general" vertical="bottom" textRotation="0" wrapText="false" indent="0" shrinkToFit="false"/>
      <protection locked="false" hidden="false"/>
    </xf>
    <xf numFmtId="164" fontId="0" fillId="6" borderId="0" xfId="0" applyFont="false" applyBorder="false" applyAlignment="false" applyProtection="true">
      <alignment horizontal="general" vertical="bottom" textRotation="0" wrapText="false" indent="0" shrinkToFit="false"/>
      <protection locked="false" hidden="false"/>
    </xf>
    <xf numFmtId="164" fontId="0" fillId="6" borderId="7" xfId="0" applyFont="false" applyBorder="true" applyAlignment="false" applyProtection="true">
      <alignment horizontal="general" vertical="bottom" textRotation="0" wrapText="false" indent="0" shrinkToFit="false"/>
      <protection locked="false" hidden="false"/>
    </xf>
    <xf numFmtId="170" fontId="0" fillId="6" borderId="8" xfId="0" applyFont="false" applyBorder="true" applyAlignment="false" applyProtection="true">
      <alignment horizontal="general" vertical="bottom" textRotation="0" wrapText="false" indent="0" shrinkToFit="false"/>
      <protection locked="false" hidden="false"/>
    </xf>
    <xf numFmtId="170" fontId="0" fillId="6" borderId="0" xfId="0" applyFont="false" applyBorder="false" applyAlignment="false" applyProtection="true">
      <alignment horizontal="general" vertical="bottom" textRotation="0" wrapText="false" indent="0" shrinkToFit="false"/>
      <protection locked="false" hidden="false"/>
    </xf>
    <xf numFmtId="170" fontId="0" fillId="6" borderId="7" xfId="0" applyFont="false" applyBorder="true" applyAlignment="false" applyProtection="true">
      <alignment horizontal="general" vertical="bottom" textRotation="0" wrapText="false" indent="0" shrinkToFit="false"/>
      <protection locked="false" hidden="false"/>
    </xf>
    <xf numFmtId="170" fontId="0" fillId="0" borderId="0" xfId="0" applyFont="false" applyBorder="false" applyAlignment="false" applyProtection="true">
      <alignment horizontal="general" vertical="bottom" textRotation="0" wrapText="false" indent="0" shrinkToFit="false"/>
      <protection locked="true" hidden="true"/>
    </xf>
    <xf numFmtId="165" fontId="0" fillId="7" borderId="9" xfId="0" applyFont="false" applyBorder="true" applyAlignment="false" applyProtection="true">
      <alignment horizontal="general" vertical="bottom" textRotation="0" wrapText="false" indent="0" shrinkToFit="false"/>
      <protection locked="true" hidden="true"/>
    </xf>
    <xf numFmtId="165" fontId="0" fillId="7" borderId="10" xfId="0" applyFont="false" applyBorder="true" applyAlignment="true" applyProtection="false">
      <alignment horizontal="right" vertical="bottom" textRotation="0" wrapText="false" indent="0" shrinkToFit="false"/>
      <protection locked="true" hidden="false"/>
    </xf>
    <xf numFmtId="164" fontId="0" fillId="7" borderId="14" xfId="0" applyFont="false" applyBorder="true" applyAlignment="false" applyProtection="true">
      <alignment horizontal="general" vertical="bottom" textRotation="0" wrapText="false" indent="0" shrinkToFit="false"/>
      <protection locked="false" hidden="false"/>
    </xf>
    <xf numFmtId="170" fontId="0" fillId="6" borderId="9" xfId="0" applyFont="false" applyBorder="true" applyAlignment="false" applyProtection="true">
      <alignment horizontal="general" vertical="bottom" textRotation="0" wrapText="false" indent="0" shrinkToFit="false"/>
      <protection locked="false" hidden="false"/>
    </xf>
    <xf numFmtId="170" fontId="0" fillId="6" borderId="10" xfId="0" applyFont="false" applyBorder="true" applyAlignment="false" applyProtection="true">
      <alignment horizontal="general" vertical="bottom" textRotation="0" wrapText="false" indent="0" shrinkToFit="false"/>
      <protection locked="false" hidden="false"/>
    </xf>
    <xf numFmtId="170" fontId="0" fillId="6" borderId="11" xfId="0" applyFont="false" applyBorder="true" applyAlignment="false" applyProtection="true">
      <alignment horizontal="general" vertical="bottom" textRotation="0" wrapText="false" indent="0" shrinkToFit="false"/>
      <protection locked="false" hidden="false"/>
    </xf>
    <xf numFmtId="173" fontId="0" fillId="0" borderId="0" xfId="0" applyFont="false" applyBorder="false" applyAlignment="false" applyProtection="true">
      <alignment horizontal="general" vertical="bottom" textRotation="0" wrapText="false" indent="0" shrinkToFit="false"/>
      <protection locked="true" hidden="true"/>
    </xf>
    <xf numFmtId="164" fontId="15" fillId="0" borderId="15" xfId="0" applyFont="true" applyBorder="true" applyAlignment="true" applyProtection="true">
      <alignment horizontal="center" vertical="bottom" textRotation="0" wrapText="false" indent="0" shrinkToFit="false"/>
      <protection locked="true" hidden="true"/>
    </xf>
    <xf numFmtId="173" fontId="0" fillId="0" borderId="0" xfId="0" applyFont="true" applyBorder="false" applyAlignment="false" applyProtection="true">
      <alignment horizontal="general" vertical="bottom" textRotation="0" wrapText="false" indent="0" shrinkToFit="false"/>
      <protection locked="true" hidden="true"/>
    </xf>
    <xf numFmtId="164" fontId="0" fillId="0" borderId="0" xfId="0" applyFont="true" applyBorder="false" applyAlignment="true" applyProtection="true">
      <alignment horizontal="center" vertical="bottom" textRotation="0" wrapText="false" indent="0" shrinkToFit="false"/>
      <protection locked="true" hidden="true"/>
    </xf>
    <xf numFmtId="174" fontId="0" fillId="0" borderId="0" xfId="0" applyFont="false" applyBorder="false" applyAlignment="false" applyProtection="true">
      <alignment horizontal="general" vertical="bottom" textRotation="0" wrapText="false" indent="0" shrinkToFit="false"/>
      <protection locked="true" hidden="true"/>
    </xf>
    <xf numFmtId="173" fontId="0" fillId="13" borderId="17" xfId="0" applyFont="false" applyBorder="tru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center" vertical="bottom" textRotation="0" wrapText="false" indent="0" shrinkToFit="false"/>
      <protection locked="true" hidden="true"/>
    </xf>
    <xf numFmtId="175" fontId="0" fillId="0" borderId="0" xfId="19" applyFont="true" applyBorder="true" applyAlignment="true" applyProtection="true">
      <alignment horizontal="general" vertical="bottom" textRotation="0" wrapText="false" indent="0" shrinkToFit="false"/>
      <protection locked="true" hidden="true"/>
    </xf>
    <xf numFmtId="166" fontId="0" fillId="0" borderId="0" xfId="0" applyFont="false" applyBorder="false" applyAlignment="false" applyProtection="true">
      <alignment horizontal="general" vertical="bottom" textRotation="0" wrapText="false" indent="0" shrinkToFit="false"/>
      <protection locked="true" hidden="true"/>
    </xf>
    <xf numFmtId="173" fontId="0" fillId="13" borderId="18" xfId="0" applyFont="false" applyBorder="true" applyAlignment="false" applyProtection="true">
      <alignment horizontal="general" vertical="bottom" textRotation="0" wrapText="false" indent="0" shrinkToFit="false"/>
      <protection locked="true" hidden="tru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Good" xfId="21"/>
  </cellStyles>
  <dxfs count="56">
    <dxf>
      <fill>
        <patternFill patternType="solid">
          <fgColor rgb="FF262626"/>
          <bgColor rgb="FF000000"/>
        </patternFill>
      </fill>
    </dxf>
    <dxf>
      <font>
        <color rgb="FFFFFFFF"/>
      </font>
    </dxf>
    <dxf>
      <font>
        <color rgb="FFA6A6A6"/>
      </font>
    </dxf>
    <dxf>
      <font>
        <color rgb="FFFF0000"/>
      </font>
    </dxf>
    <dxf>
      <font>
        <color rgb="FFFF0000"/>
      </font>
    </dxf>
    <dxf>
      <font>
        <color rgb="FFFF0000"/>
      </font>
    </dxf>
    <dxf>
      <font>
        <color rgb="FFFFFFFF"/>
      </font>
      <fill>
        <patternFill>
          <bgColor theme="0"/>
        </patternFill>
      </fill>
      <border diagonalUp="false" diagonalDown="false">
        <left/>
        <right/>
        <top/>
        <bottom/>
        <diagonal/>
      </border>
    </dxf>
    <dxf>
      <font>
        <color rgb="FFFF0000"/>
      </font>
    </dxf>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1"/>
        <i val="0"/>
        <color rgb="FFFF0000"/>
      </font>
    </dxf>
    <dxf>
      <font>
        <b val="1"/>
        <i val="0"/>
        <color rgb="FFFF0000"/>
      </font>
    </dxf>
    <dxf>
      <fill>
        <patternFill>
          <bgColor rgb="FFFFFF00"/>
        </patternFill>
      </fill>
    </dxf>
    <dxf>
      <fill>
        <patternFill>
          <bgColor rgb="FFFFFF00"/>
        </patternFill>
      </fill>
    </dxf>
    <dxf>
      <font>
        <color rgb="FFFF0000"/>
      </font>
    </dxf>
    <dxf>
      <font>
        <color rgb="FFA6A6A6"/>
      </font>
    </dxf>
    <dxf>
      <font>
        <color rgb="FFFFFFFF"/>
      </font>
    </dxf>
    <dxf>
      <border diagonalUp="false" diagonalDown="false">
        <left/>
        <right/>
        <top/>
        <bottom/>
        <diagonal/>
      </border>
    </dxf>
    <dxf>
      <font>
        <color rgb="FF262626"/>
      </font>
      <fill>
        <patternFill>
          <bgColor theme="1" tint="0.1499"/>
        </patternFill>
      </fill>
      <border diagonalUp="false" diagonalDown="false">
        <left/>
        <right/>
        <top/>
        <bottom/>
        <diagonal/>
      </border>
    </dxf>
    <dxf>
      <font>
        <color rgb="FFA6A6A6"/>
      </font>
    </dxf>
    <dxf>
      <font>
        <color rgb="FF262626"/>
      </font>
      <fill>
        <patternFill>
          <bgColor theme="1" tint="0.1499"/>
        </patternFill>
      </fill>
      <border diagonalUp="false" diagonalDown="false">
        <left/>
        <right/>
        <top/>
        <bottom/>
        <diagonal/>
      </border>
    </dxf>
    <dxf>
      <font>
        <color rgb="FFA6A6A6"/>
      </font>
    </dxf>
    <dxf>
      <font>
        <color rgb="FF262626"/>
      </font>
      <fill>
        <patternFill>
          <bgColor theme="1" tint="0.1499"/>
        </patternFill>
      </fill>
      <border diagonalUp="false" diagonalDown="false">
        <left/>
        <right/>
        <top/>
        <bottom/>
        <diagonal/>
      </border>
    </dxf>
    <dxf>
      <font>
        <color rgb="FFA6A6A6"/>
      </font>
    </dxf>
    <dxf>
      <font>
        <color rgb="FF262626"/>
      </font>
      <fill>
        <patternFill>
          <bgColor theme="1" tint="0.1499"/>
        </patternFill>
      </fill>
      <border diagonalUp="false" diagonalDown="false">
        <left/>
        <right/>
        <top/>
        <bottom/>
        <diagonal/>
      </border>
    </dxf>
    <dxf>
      <font>
        <color rgb="FFFFFFFF"/>
      </font>
    </dxf>
    <dxf>
      <font>
        <color rgb="FFA6A6A6"/>
      </font>
    </dxf>
    <dxf>
      <font>
        <color rgb="FF262626"/>
      </font>
      <fill>
        <patternFill>
          <bgColor theme="1" tint="0.1499"/>
        </patternFill>
      </fill>
      <border diagonalUp="false" diagonalDown="false">
        <left/>
        <right/>
        <top/>
        <bottom/>
        <diagonal/>
      </border>
    </dxf>
    <dxf>
      <fill>
        <patternFill patternType="solid">
          <bgColor rgb="FF000000"/>
        </patternFill>
      </fill>
    </dxf>
    <dxf>
      <fill>
        <patternFill patternType="solid">
          <fgColor rgb="FF000000"/>
          <bgColor rgb="FF000000"/>
        </patternFill>
      </fill>
    </dxf>
    <dxf>
      <fill>
        <patternFill patternType="solid">
          <fgColor rgb="FFDAE3F3"/>
          <bgColor rgb="FF00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B8B8B"/>
      <rgbColor rgb="FF8FAADC"/>
      <rgbColor rgb="FF993366"/>
      <rgbColor rgb="FFFBE5D6"/>
      <rgbColor rgb="FFDAE3F3"/>
      <rgbColor rgb="FF660066"/>
      <rgbColor rgb="FFFF8080"/>
      <rgbColor rgb="FF0070C0"/>
      <rgbColor rgb="FFBDD7EE"/>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99CC"/>
      <rgbColor rgb="FFCC99FF"/>
      <rgbColor rgb="FFD9D9D9"/>
      <rgbColor rgb="FF4472C4"/>
      <rgbColor rgb="FF33CCCC"/>
      <rgbColor rgb="FF99CC00"/>
      <rgbColor rgb="FFFFC000"/>
      <rgbColor rgb="FFFF9900"/>
      <rgbColor rgb="FFED7D31"/>
      <rgbColor rgb="FF595959"/>
      <rgbColor rgb="FFA6A6A6"/>
      <rgbColor rgb="FF002060"/>
      <rgbColor rgb="FF00B050"/>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externalLink" Target="externalLinks/externalLink1.xml"/><Relationship Id="rId7"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2.xml"/>
</Relationships>
</file>

<file path=xl/charts/_rels/chart2.xml.rels><?xml version="1.0" encoding="UTF-8"?>
<Relationships xmlns="http://schemas.openxmlformats.org/package/2006/relationships"><Relationship Id="rId1" Type="http://schemas.openxmlformats.org/officeDocument/2006/relationships/chartUserShapes" Target="../drawings/drawing4.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Efficiency vs IOUT</a:t>
            </a:r>
          </a:p>
        </c:rich>
      </c:tx>
      <c:overlay val="0"/>
      <c:spPr>
        <a:noFill/>
        <a:ln w="0">
          <a:noFill/>
        </a:ln>
      </c:spPr>
    </c:title>
    <c:autoTitleDeleted val="0"/>
    <c:plotArea>
      <c:layout>
        <c:manualLayout>
          <c:layoutTarget val="inner"/>
          <c:xMode val="edge"/>
          <c:yMode val="edge"/>
          <c:x val="0.0639180130629082"/>
          <c:y val="0.06875"/>
          <c:w val="0.889674286696459"/>
          <c:h val="0.744545454545455"/>
        </c:manualLayout>
      </c:layout>
      <c:scatterChart>
        <c:scatterStyle val="line"/>
        <c:varyColors val="0"/>
        <c:ser>
          <c:idx val="0"/>
          <c:order val="0"/>
          <c:tx>
            <c:strRef>
              <c:f>"Plot 1 Efficiency"</c:f>
              <c:strCache>
                <c:ptCount val="1"/>
                <c:pt idx="0">
                  <c:v>Plot 1 Efficiency</c:v>
                </c:pt>
              </c:strCache>
            </c:strRef>
          </c:tx>
          <c:spPr>
            <a:solidFill>
              <a:srgbClr val="ff0000"/>
            </a:solidFill>
            <a:ln cap="rnd" w="19080">
              <a:solidFill>
                <a:srgbClr val="ff000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Calculator'!$CR$156:$CR$256</c:f>
              <c:numCache>
                <c:formatCode>0.00</c:formatCode>
                <c:ptCount val="101"/>
                <c:pt idx="0">
                  <c:v>0</c:v>
                </c:pt>
              </c:numCache>
            </c:numRef>
          </c:yVal>
          <c:smooth val="1"/>
        </c:ser>
        <c:ser>
          <c:idx val="1"/>
          <c:order val="1"/>
          <c:tx>
            <c:strRef>
              <c:f>"Plot 1 Saved Efficiency"</c:f>
              <c:strCache>
                <c:ptCount val="1"/>
                <c:pt idx="0">
                  <c:v>Plot 1 Saved Efficiency</c:v>
                </c:pt>
              </c:strCache>
            </c:strRef>
          </c:tx>
          <c:spPr>
            <a:solidFill>
              <a:srgbClr val="ff0000"/>
            </a:solidFill>
            <a:ln cap="rnd" w="19080">
              <a:solidFill>
                <a:srgbClr val="ff0000"/>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Calculator'!$CZ$156:$CZ$256</c:f>
              <c:numCache>
                <c:formatCode>0.00</c:formatCode>
                <c:ptCount val="101"/>
              </c:numCache>
            </c:numRef>
          </c:yVal>
          <c:smooth val="1"/>
        </c:ser>
        <c:ser>
          <c:idx val="2"/>
          <c:order val="2"/>
          <c:tx>
            <c:strRef>
              <c:f>"Plot 2 Efficiency"</c:f>
              <c:strCache>
                <c:ptCount val="1"/>
                <c:pt idx="0">
                  <c:v>Plot 2 Efficiency</c:v>
                </c:pt>
              </c:strCache>
            </c:strRef>
          </c:tx>
          <c:spPr>
            <a:solidFill>
              <a:srgbClr val="0000ff"/>
            </a:solidFill>
            <a:ln cap="rnd" w="19080">
              <a:solidFill>
                <a:srgbClr val="0000ff"/>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Calculator'!$CV$156:$CV$256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ser>
        <c:ser>
          <c:idx val="3"/>
          <c:order val="3"/>
          <c:tx>
            <c:strRef>
              <c:f>"Plot 2 Saved Efficiency"</c:f>
              <c:strCache>
                <c:ptCount val="1"/>
                <c:pt idx="0">
                  <c:v>Plot 2 Saved Efficiency</c:v>
                </c:pt>
              </c:strCache>
            </c:strRef>
          </c:tx>
          <c:spPr>
            <a:solidFill>
              <a:srgbClr val="0000ff"/>
            </a:solidFill>
            <a:ln cap="rnd" w="19080">
              <a:solidFill>
                <a:srgbClr val="0000ff"/>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Calculator'!$DD$156:$DD$256</c:f>
              <c:numCache>
                <c:formatCode>0.00</c:formatCode>
                <c:ptCount val="101"/>
              </c:numCache>
            </c:numRef>
          </c:yVal>
          <c:smooth val="1"/>
        </c:ser>
        <c:axId val="64392642"/>
        <c:axId val="90313688"/>
      </c:scatterChart>
      <c:scatterChart>
        <c:scatterStyle val="line"/>
        <c:varyColors val="0"/>
        <c:ser>
          <c:idx val="4"/>
          <c:order val="4"/>
          <c:tx>
            <c:strRef>
              <c:f>"Plot 1 Sense Loss"</c:f>
              <c:strCache>
                <c:ptCount val="1"/>
                <c:pt idx="0">
                  <c:v>Plot 1 Sense Loss</c:v>
                </c:pt>
              </c:strCache>
            </c:strRef>
          </c:tx>
          <c:spPr>
            <a:solidFill>
              <a:srgbClr val="ffc000"/>
            </a:solidFill>
            <a:ln cap="rnd" w="19080">
              <a:solidFill>
                <a:srgbClr val="ffc00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Calculator'!$CP$156:$CP$256</c:f>
              <c:numCache>
                <c:formatCode>0.00</c:formatCode>
                <c:ptCount val="101"/>
                <c:pt idx="0">
                  <c:v>0</c:v>
                </c:pt>
                <c:pt idx="1">
                  <c:v>0.000237425</c:v>
                </c:pt>
                <c:pt idx="2">
                  <c:v>0.0009497</c:v>
                </c:pt>
                <c:pt idx="3">
                  <c:v>0.002136825</c:v>
                </c:pt>
                <c:pt idx="4">
                  <c:v>0.0037988</c:v>
                </c:pt>
                <c:pt idx="5">
                  <c:v>0.005935625</c:v>
                </c:pt>
                <c:pt idx="6">
                  <c:v>0.0085473</c:v>
                </c:pt>
                <c:pt idx="7">
                  <c:v>0.011633825</c:v>
                </c:pt>
                <c:pt idx="8">
                  <c:v>0.0151952</c:v>
                </c:pt>
                <c:pt idx="9">
                  <c:v>0.019231425</c:v>
                </c:pt>
                <c:pt idx="10">
                  <c:v>0.0237425</c:v>
                </c:pt>
                <c:pt idx="11">
                  <c:v>0.028728425</c:v>
                </c:pt>
                <c:pt idx="12">
                  <c:v>0.0341892</c:v>
                </c:pt>
                <c:pt idx="13">
                  <c:v>0.040124825</c:v>
                </c:pt>
                <c:pt idx="14">
                  <c:v>0.0465353</c:v>
                </c:pt>
                <c:pt idx="15">
                  <c:v>0.053420625</c:v>
                </c:pt>
                <c:pt idx="16">
                  <c:v>0.0607808</c:v>
                </c:pt>
                <c:pt idx="17">
                  <c:v>0.068615825</c:v>
                </c:pt>
                <c:pt idx="18">
                  <c:v>0.0769257</c:v>
                </c:pt>
                <c:pt idx="19">
                  <c:v>0.085710425</c:v>
                </c:pt>
                <c:pt idx="20">
                  <c:v>0.09497</c:v>
                </c:pt>
                <c:pt idx="21">
                  <c:v>0.104704425</c:v>
                </c:pt>
                <c:pt idx="22">
                  <c:v>0.1149137</c:v>
                </c:pt>
                <c:pt idx="23">
                  <c:v>0.125597825</c:v>
                </c:pt>
                <c:pt idx="24">
                  <c:v>0.1367568</c:v>
                </c:pt>
                <c:pt idx="25">
                  <c:v>0.148390625</c:v>
                </c:pt>
                <c:pt idx="26">
                  <c:v>0.1604993</c:v>
                </c:pt>
                <c:pt idx="27">
                  <c:v>0.173082825</c:v>
                </c:pt>
                <c:pt idx="28">
                  <c:v>0.1861412</c:v>
                </c:pt>
                <c:pt idx="29">
                  <c:v>0.199674425</c:v>
                </c:pt>
                <c:pt idx="30">
                  <c:v>0.2136825</c:v>
                </c:pt>
                <c:pt idx="31">
                  <c:v>0.228165425</c:v>
                </c:pt>
                <c:pt idx="32">
                  <c:v>0.2431232</c:v>
                </c:pt>
                <c:pt idx="33">
                  <c:v>0.258555825</c:v>
                </c:pt>
                <c:pt idx="34">
                  <c:v>0.2744633</c:v>
                </c:pt>
                <c:pt idx="35">
                  <c:v>0.290845625</c:v>
                </c:pt>
                <c:pt idx="36">
                  <c:v>0.3077028</c:v>
                </c:pt>
                <c:pt idx="37">
                  <c:v>0.325034825</c:v>
                </c:pt>
                <c:pt idx="38">
                  <c:v>0.3428417</c:v>
                </c:pt>
                <c:pt idx="39">
                  <c:v>0.361123425</c:v>
                </c:pt>
                <c:pt idx="40">
                  <c:v>0.37988</c:v>
                </c:pt>
                <c:pt idx="41">
                  <c:v>0.399111425</c:v>
                </c:pt>
                <c:pt idx="42">
                  <c:v>0.4188177</c:v>
                </c:pt>
                <c:pt idx="43">
                  <c:v>0.438998825</c:v>
                </c:pt>
                <c:pt idx="44">
                  <c:v>0.4596548</c:v>
                </c:pt>
                <c:pt idx="45">
                  <c:v>0.480785625</c:v>
                </c:pt>
                <c:pt idx="46">
                  <c:v>0.5023913</c:v>
                </c:pt>
                <c:pt idx="47">
                  <c:v>0.524471825</c:v>
                </c:pt>
                <c:pt idx="48">
                  <c:v>0.5470272</c:v>
                </c:pt>
                <c:pt idx="49">
                  <c:v>0.570057425</c:v>
                </c:pt>
                <c:pt idx="50">
                  <c:v>0.5935625</c:v>
                </c:pt>
                <c:pt idx="51">
                  <c:v>0.617542425</c:v>
                </c:pt>
                <c:pt idx="52">
                  <c:v>0.6419972</c:v>
                </c:pt>
                <c:pt idx="53">
                  <c:v>0.666926825</c:v>
                </c:pt>
                <c:pt idx="54">
                  <c:v>0.6923313</c:v>
                </c:pt>
                <c:pt idx="55">
                  <c:v>0.718210625</c:v>
                </c:pt>
                <c:pt idx="56">
                  <c:v>0.7445648</c:v>
                </c:pt>
                <c:pt idx="57">
                  <c:v>0.771393825</c:v>
                </c:pt>
                <c:pt idx="58">
                  <c:v>0.7986977</c:v>
                </c:pt>
                <c:pt idx="59">
                  <c:v>0.826476425</c:v>
                </c:pt>
                <c:pt idx="60">
                  <c:v>0.85473</c:v>
                </c:pt>
                <c:pt idx="61">
                  <c:v>0.883458425</c:v>
                </c:pt>
                <c:pt idx="62">
                  <c:v>0.9126617</c:v>
                </c:pt>
                <c:pt idx="63">
                  <c:v>0.942339825</c:v>
                </c:pt>
                <c:pt idx="64">
                  <c:v>0.9724928</c:v>
                </c:pt>
                <c:pt idx="65">
                  <c:v>1.003120625</c:v>
                </c:pt>
                <c:pt idx="66">
                  <c:v>1.0342233</c:v>
                </c:pt>
                <c:pt idx="67">
                  <c:v>1.065800825</c:v>
                </c:pt>
                <c:pt idx="68">
                  <c:v>1.0978532</c:v>
                </c:pt>
                <c:pt idx="69">
                  <c:v>1.130380425</c:v>
                </c:pt>
                <c:pt idx="70">
                  <c:v>1.1633825</c:v>
                </c:pt>
                <c:pt idx="71">
                  <c:v>1.196859425</c:v>
                </c:pt>
                <c:pt idx="72">
                  <c:v>1.2308112</c:v>
                </c:pt>
                <c:pt idx="73">
                  <c:v>1.265237825</c:v>
                </c:pt>
                <c:pt idx="74">
                  <c:v>1.3001393</c:v>
                </c:pt>
                <c:pt idx="75">
                  <c:v>1.335515625</c:v>
                </c:pt>
                <c:pt idx="76">
                  <c:v>1.3713668</c:v>
                </c:pt>
                <c:pt idx="77">
                  <c:v>1.407692825</c:v>
                </c:pt>
                <c:pt idx="78">
                  <c:v>1.4444937</c:v>
                </c:pt>
                <c:pt idx="79">
                  <c:v>1.481769425</c:v>
                </c:pt>
                <c:pt idx="80">
                  <c:v>1.51952</c:v>
                </c:pt>
                <c:pt idx="81">
                  <c:v>1.557745425</c:v>
                </c:pt>
                <c:pt idx="82">
                  <c:v>1.5964457</c:v>
                </c:pt>
                <c:pt idx="83">
                  <c:v>1.635620825</c:v>
                </c:pt>
                <c:pt idx="84">
                  <c:v>1.6752708</c:v>
                </c:pt>
                <c:pt idx="85">
                  <c:v>1.715395625</c:v>
                </c:pt>
                <c:pt idx="86">
                  <c:v>1.7559953</c:v>
                </c:pt>
                <c:pt idx="87">
                  <c:v>1.797069825</c:v>
                </c:pt>
                <c:pt idx="88">
                  <c:v>1.8386192</c:v>
                </c:pt>
                <c:pt idx="89">
                  <c:v>1.880643425</c:v>
                </c:pt>
                <c:pt idx="90">
                  <c:v>1.9231425</c:v>
                </c:pt>
                <c:pt idx="91">
                  <c:v>1.966116425</c:v>
                </c:pt>
                <c:pt idx="92">
                  <c:v>2.0095652</c:v>
                </c:pt>
                <c:pt idx="93">
                  <c:v>2.053488825</c:v>
                </c:pt>
                <c:pt idx="94">
                  <c:v>2.0978873</c:v>
                </c:pt>
                <c:pt idx="95">
                  <c:v>2.142760625</c:v>
                </c:pt>
                <c:pt idx="96">
                  <c:v>2.1881088</c:v>
                </c:pt>
                <c:pt idx="97">
                  <c:v>2.233931825</c:v>
                </c:pt>
                <c:pt idx="98">
                  <c:v>2.2802297</c:v>
                </c:pt>
                <c:pt idx="99">
                  <c:v>2.327002425</c:v>
                </c:pt>
                <c:pt idx="100">
                  <c:v>2.37425</c:v>
                </c:pt>
              </c:numCache>
            </c:numRef>
          </c:yVal>
          <c:smooth val="1"/>
        </c:ser>
        <c:ser>
          <c:idx val="5"/>
          <c:order val="5"/>
          <c:tx>
            <c:strRef>
              <c:f>"Plot 1 MOSFET Losses"</c:f>
              <c:strCache>
                <c:ptCount val="1"/>
                <c:pt idx="0">
                  <c:v>Plot 1 MOSFET Losses</c:v>
                </c:pt>
              </c:strCache>
            </c:strRef>
          </c:tx>
          <c:spPr>
            <a:solidFill>
              <a:srgbClr val="ed7d31"/>
            </a:solidFill>
            <a:ln cap="rnd" w="19080">
              <a:solidFill>
                <a:srgbClr val="ed7d31"/>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Calculator'!$CQ$156:$CQ$256</c:f>
              <c:numCache>
                <c:formatCode>0.00</c:formatCode>
                <c:ptCount val="101"/>
              </c:numCache>
            </c:numRef>
          </c:yVal>
          <c:smooth val="1"/>
        </c:ser>
        <c:ser>
          <c:idx val="6"/>
          <c:order val="6"/>
          <c:tx>
            <c:strRef>
              <c:f>"Plot 1 Saved Sense Loss"</c:f>
              <c:strCache>
                <c:ptCount val="1"/>
                <c:pt idx="0">
                  <c:v>Plot 1 Saved Sense Loss</c:v>
                </c:pt>
              </c:strCache>
            </c:strRef>
          </c:tx>
          <c:spPr>
            <a:solidFill>
              <a:srgbClr val="ffc000"/>
            </a:solidFill>
            <a:ln cap="rnd" w="19080">
              <a:solidFill>
                <a:srgbClr val="ffc000"/>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Calculator'!$CX$156:$CX$256</c:f>
              <c:numCache>
                <c:formatCode>0.00</c:formatCode>
                <c:ptCount val="101"/>
              </c:numCache>
            </c:numRef>
          </c:yVal>
          <c:smooth val="1"/>
        </c:ser>
        <c:ser>
          <c:idx val="7"/>
          <c:order val="7"/>
          <c:tx>
            <c:strRef>
              <c:f>"Plot 1 Saved MOSFET Losses"</c:f>
              <c:strCache>
                <c:ptCount val="1"/>
                <c:pt idx="0">
                  <c:v>Plot 1 Saved MOSFET Losses</c:v>
                </c:pt>
              </c:strCache>
            </c:strRef>
          </c:tx>
          <c:spPr>
            <a:solidFill>
              <a:srgbClr val="ed7d31"/>
            </a:solidFill>
            <a:ln cap="rnd" w="19080">
              <a:solidFill>
                <a:srgbClr val="ed7d31"/>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Calculator'!$CY$156:$CY$256</c:f>
              <c:numCache>
                <c:formatCode>0.00</c:formatCode>
                <c:ptCount val="101"/>
              </c:numCache>
            </c:numRef>
          </c:yVal>
          <c:smooth val="1"/>
        </c:ser>
        <c:ser>
          <c:idx val="8"/>
          <c:order val="8"/>
          <c:tx>
            <c:strRef>
              <c:f>"Plot 2 Sense Loss"</c:f>
              <c:strCache>
                <c:ptCount val="1"/>
                <c:pt idx="0">
                  <c:v>Plot 2 Sense Loss</c:v>
                </c:pt>
              </c:strCache>
            </c:strRef>
          </c:tx>
          <c:spPr>
            <a:solidFill>
              <a:srgbClr val="00b0f0"/>
            </a:solidFill>
            <a:ln cap="rnd" w="19080">
              <a:solidFill>
                <a:srgbClr val="00b0f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Calculator'!$CT$156:$CT$256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ser>
        <c:ser>
          <c:idx val="9"/>
          <c:order val="9"/>
          <c:tx>
            <c:strRef>
              <c:f>"Plot 2 MOSFET Losses"</c:f>
              <c:strCache>
                <c:ptCount val="1"/>
                <c:pt idx="0">
                  <c:v>Plot 2 MOSFET Losses</c:v>
                </c:pt>
              </c:strCache>
            </c:strRef>
          </c:tx>
          <c:spPr>
            <a:solidFill>
              <a:srgbClr val="0070c0"/>
            </a:solidFill>
            <a:ln cap="rnd" w="19080">
              <a:solidFill>
                <a:srgbClr val="0070c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Calculator'!$CU$156:$CU$256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ser>
        <c:ser>
          <c:idx val="10"/>
          <c:order val="10"/>
          <c:tx>
            <c:strRef>
              <c:f>"Plot 2 Saved Sense Losses"</c:f>
              <c:strCache>
                <c:ptCount val="1"/>
                <c:pt idx="0">
                  <c:v>Plot 2 Saved Sense Losses</c:v>
                </c:pt>
              </c:strCache>
            </c:strRef>
          </c:tx>
          <c:spPr>
            <a:solidFill>
              <a:srgbClr val="00b0f0"/>
            </a:solidFill>
            <a:ln cap="rnd" w="19080">
              <a:solidFill>
                <a:srgbClr val="00b0f0"/>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Calculator'!$DB$156:$DB$256</c:f>
              <c:numCache>
                <c:formatCode>0.00</c:formatCode>
                <c:ptCount val="101"/>
              </c:numCache>
            </c:numRef>
          </c:yVal>
          <c:smooth val="1"/>
        </c:ser>
        <c:ser>
          <c:idx val="11"/>
          <c:order val="11"/>
          <c:tx>
            <c:strRef>
              <c:f>"Plot 2 Saved MOSFET Losses"</c:f>
              <c:strCache>
                <c:ptCount val="1"/>
                <c:pt idx="0">
                  <c:v>Plot 2 Saved MOSFET Losses</c:v>
                </c:pt>
              </c:strCache>
            </c:strRef>
          </c:tx>
          <c:spPr>
            <a:solidFill>
              <a:srgbClr val="0070c0"/>
            </a:solidFill>
            <a:ln cap="rnd" w="19080">
              <a:solidFill>
                <a:srgbClr val="0070c0"/>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2.1</c:v>
                </c:pt>
                <c:pt idx="22">
                  <c:v>2.2</c:v>
                </c:pt>
                <c:pt idx="23">
                  <c:v>2.3</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4.1</c:v>
                </c:pt>
                <c:pt idx="42">
                  <c:v>4.2</c:v>
                </c:pt>
                <c:pt idx="43">
                  <c:v>4.3</c:v>
                </c:pt>
                <c:pt idx="44">
                  <c:v>4.4</c:v>
                </c:pt>
                <c:pt idx="45">
                  <c:v>4.5</c:v>
                </c:pt>
                <c:pt idx="46">
                  <c:v>4.6</c:v>
                </c:pt>
                <c:pt idx="47">
                  <c:v>4.7</c:v>
                </c:pt>
                <c:pt idx="48">
                  <c:v>4.8</c:v>
                </c:pt>
                <c:pt idx="49">
                  <c:v>4.9</c:v>
                </c:pt>
                <c:pt idx="50">
                  <c:v>5</c:v>
                </c:pt>
                <c:pt idx="51">
                  <c:v>5.1</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8.2</c:v>
                </c:pt>
                <c:pt idx="83">
                  <c:v>8.3</c:v>
                </c:pt>
                <c:pt idx="84">
                  <c:v>8.4</c:v>
                </c:pt>
                <c:pt idx="85">
                  <c:v>8.5</c:v>
                </c:pt>
                <c:pt idx="86">
                  <c:v>8.6</c:v>
                </c:pt>
                <c:pt idx="87">
                  <c:v>8.7</c:v>
                </c:pt>
                <c:pt idx="88">
                  <c:v>8.8</c:v>
                </c:pt>
                <c:pt idx="89">
                  <c:v>8.9</c:v>
                </c:pt>
                <c:pt idx="90">
                  <c:v>9</c:v>
                </c:pt>
                <c:pt idx="91">
                  <c:v>9.1</c:v>
                </c:pt>
                <c:pt idx="92">
                  <c:v>9.2</c:v>
                </c:pt>
                <c:pt idx="93">
                  <c:v>9.3</c:v>
                </c:pt>
                <c:pt idx="94">
                  <c:v>9.4</c:v>
                </c:pt>
                <c:pt idx="95">
                  <c:v>9.5</c:v>
                </c:pt>
                <c:pt idx="96">
                  <c:v>9.6</c:v>
                </c:pt>
                <c:pt idx="97">
                  <c:v>9.7</c:v>
                </c:pt>
                <c:pt idx="98">
                  <c:v>9.8</c:v>
                </c:pt>
                <c:pt idx="99">
                  <c:v>9.9</c:v>
                </c:pt>
                <c:pt idx="100">
                  <c:v>10</c:v>
                </c:pt>
              </c:numCache>
            </c:numRef>
          </c:xVal>
          <c:yVal>
            <c:numRef>
              <c:f>'BQ2575X Design Calculator'!$DC$156:$DC$256</c:f>
              <c:numCache>
                <c:formatCode>0.00</c:formatCode>
                <c:ptCount val="101"/>
              </c:numCache>
            </c:numRef>
          </c:yVal>
          <c:smooth val="1"/>
        </c:ser>
        <c:axId val="7182026"/>
        <c:axId val="21056952"/>
      </c:scatterChart>
      <c:valAx>
        <c:axId val="64392642"/>
        <c:scaling>
          <c:orientation val="minMax"/>
        </c:scaling>
        <c:delete val="0"/>
        <c:axPos val="b"/>
        <c:majorGridlines>
          <c:spPr>
            <a:ln w="9360">
              <a:solidFill>
                <a:srgbClr val="d9d9d9"/>
              </a:solidFill>
              <a:round/>
            </a:ln>
          </c:spPr>
        </c:majorGridlines>
        <c:title>
          <c:tx>
            <c:rich>
              <a:bodyPr rot="0"/>
              <a:lstStyle/>
              <a:p>
                <a:pPr>
                  <a:defRPr b="1" lang="en-US" sz="1600" spc="-1" strike="noStrike">
                    <a:solidFill>
                      <a:srgbClr val="595959"/>
                    </a:solidFill>
                    <a:latin typeface="Calibri"/>
                  </a:defRPr>
                </a:pPr>
                <a:r>
                  <a:rPr b="1" lang="en-US" sz="1600" spc="-1" strike="noStrike">
                    <a:solidFill>
                      <a:srgbClr val="595959"/>
                    </a:solidFill>
                    <a:latin typeface="Calibri"/>
                  </a:rPr>
                  <a:t>IOUT (A)</a:t>
                </a:r>
              </a:p>
            </c:rich>
          </c:tx>
          <c:overlay val="0"/>
          <c:spPr>
            <a:noFill/>
            <a:ln w="0">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0313688"/>
        <c:crosses val="autoZero"/>
        <c:crossBetween val="midCat"/>
      </c:valAx>
      <c:valAx>
        <c:axId val="90313688"/>
        <c:scaling>
          <c:orientation val="minMax"/>
          <c:max val="100"/>
          <c:min val="75"/>
        </c:scaling>
        <c:delete val="0"/>
        <c:axPos val="l"/>
        <c:majorGridlines>
          <c:spPr>
            <a:ln w="9360">
              <a:solidFill>
                <a:srgbClr val="d9d9d9"/>
              </a:solidFill>
              <a:round/>
            </a:ln>
          </c:spPr>
        </c:majorGridlines>
        <c:title>
          <c:tx>
            <c:rich>
              <a:bodyPr rot="-5400000"/>
              <a:lstStyle/>
              <a:p>
                <a:pPr>
                  <a:defRPr b="1" lang="en-US" sz="1600" spc="-1" strike="noStrike">
                    <a:solidFill>
                      <a:srgbClr val="595959"/>
                    </a:solidFill>
                    <a:latin typeface="Calibri"/>
                  </a:defRPr>
                </a:pPr>
                <a:r>
                  <a:rPr b="1" lang="en-US" sz="1600" spc="-1" strike="noStrike">
                    <a:solidFill>
                      <a:srgbClr val="595959"/>
                    </a:solidFill>
                    <a:latin typeface="Calibri"/>
                  </a:rPr>
                  <a:t>Efficiency (%)</a:t>
                </a:r>
              </a:p>
            </c:rich>
          </c:tx>
          <c:overlay val="0"/>
          <c:spPr>
            <a:noFill/>
            <a:ln w="0">
              <a:noFill/>
            </a:ln>
          </c:spPr>
        </c:title>
        <c:numFmt formatCode="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4392642"/>
        <c:crosses val="autoZero"/>
        <c:crossBetween val="midCat"/>
      </c:valAx>
      <c:valAx>
        <c:axId val="7182026"/>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1056952"/>
        <c:crossBetween val="midCat"/>
      </c:valAx>
      <c:valAx>
        <c:axId val="21056952"/>
        <c:scaling>
          <c:orientation val="minMax"/>
          <c:min val="0"/>
        </c:scaling>
        <c:delete val="0"/>
        <c:axPos val="r"/>
        <c:title>
          <c:tx>
            <c:rich>
              <a:bodyPr rot="-5400000"/>
              <a:lstStyle/>
              <a:p>
                <a:pPr>
                  <a:defRPr b="1" lang="en-US" sz="1600" spc="-1" strike="noStrike">
                    <a:solidFill>
                      <a:srgbClr val="595959"/>
                    </a:solidFill>
                    <a:latin typeface="Calibri"/>
                  </a:defRPr>
                </a:pPr>
                <a:r>
                  <a:rPr b="1" lang="en-US" sz="1600" spc="-1" strike="noStrike">
                    <a:solidFill>
                      <a:srgbClr val="595959"/>
                    </a:solidFill>
                    <a:latin typeface="Calibri"/>
                  </a:rPr>
                  <a:t>Power Loss (W)</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182026"/>
        <c:crosses val="max"/>
        <c:crossBetween val="midCat"/>
      </c:valAx>
      <c:spPr>
        <a:noFill/>
        <a:ln w="0">
          <a:noFill/>
        </a:ln>
      </c:spPr>
    </c:plotArea>
    <c:legend>
      <c:legendPos val="b"/>
      <c:layout>
        <c:manualLayout>
          <c:xMode val="edge"/>
          <c:yMode val="edge"/>
          <c:x val="0.0250612320518759"/>
          <c:y val="0.861226477427457"/>
          <c:w val="0.316115238536359"/>
          <c:h val="0.133210240235965"/>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57240">
      <a:solidFill>
        <a:srgbClr val="000000"/>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0936877854549713"/>
          <c:y val="0.0431434718604915"/>
          <c:w val="0.964164422063474"/>
          <c:h val="0.82629373796852"/>
        </c:manualLayout>
      </c:layout>
      <c:lineChart>
        <c:grouping val="standard"/>
        <c:varyColors val="0"/>
        <c:ser>
          <c:idx val="0"/>
          <c:order val="0"/>
          <c:tx>
            <c:strRef>
              <c:f>"Charging Window"</c:f>
              <c:strCache>
                <c:ptCount val="1"/>
                <c:pt idx="0">
                  <c:v>Charging Window</c:v>
                </c:pt>
              </c:strCache>
            </c:strRef>
          </c:tx>
          <c:spPr>
            <a:solidFill>
              <a:srgbClr val="4472c4"/>
            </a:solidFill>
            <a:ln cap="rnd" w="28440">
              <a:solidFill>
                <a:srgbClr val="4472c4"/>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'Thermistor Qualification'!$AC$50:$AC$150</c:f>
              <c:strCach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strCache>
            </c:strRef>
          </c:cat>
          <c:val>
            <c:numRef>
              <c:f>'Thermistor Qualification'!$AM$50:$AM$150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4</c:v>
                </c:pt>
                <c:pt idx="23">
                  <c:v>4</c:v>
                </c:pt>
                <c:pt idx="24">
                  <c:v>4</c:v>
                </c:pt>
                <c:pt idx="25">
                  <c:v>4</c:v>
                </c:pt>
                <c:pt idx="26">
                  <c:v>4</c:v>
                </c:pt>
                <c:pt idx="27">
                  <c:v>4</c:v>
                </c:pt>
                <c:pt idx="28">
                  <c:v>4</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0</c:v>
                </c:pt>
                <c:pt idx="92">
                  <c:v>0</c:v>
                </c:pt>
                <c:pt idx="93">
                  <c:v>0</c:v>
                </c:pt>
                <c:pt idx="94">
                  <c:v>0</c:v>
                </c:pt>
                <c:pt idx="95">
                  <c:v>0</c:v>
                </c:pt>
                <c:pt idx="96">
                  <c:v>0</c:v>
                </c:pt>
                <c:pt idx="97">
                  <c:v>0</c:v>
                </c:pt>
                <c:pt idx="98">
                  <c:v>0</c:v>
                </c:pt>
                <c:pt idx="99">
                  <c:v>0</c:v>
                </c:pt>
                <c:pt idx="100">
                  <c:v>0</c:v>
                </c:pt>
              </c:numCache>
            </c:numRef>
          </c:val>
          <c:smooth val="0"/>
        </c:ser>
        <c:ser>
          <c:idx val="1"/>
          <c:order val="1"/>
          <c:tx>
            <c:strRef>
              <c:f>"Hysteresis to recover"</c:f>
              <c:strCache>
                <c:ptCount val="1"/>
                <c:pt idx="0">
                  <c:v>Hysteresis to recover</c:v>
                </c:pt>
              </c:strCache>
            </c:strRef>
          </c:tx>
          <c:spPr>
            <a:solidFill>
              <a:srgbClr val="ed7d31"/>
            </a:solidFill>
            <a:ln cap="rnd" w="28440">
              <a:solidFill>
                <a:srgbClr val="ed7d31"/>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'Thermistor Qualification'!$AC$50:$AC$150</c:f>
              <c:strCach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strCache>
            </c:strRef>
          </c:cat>
          <c:val>
            <c:numRef>
              <c:f>'Thermistor Qualification'!$AN$50:$AN$150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c:v>
                </c:pt>
                <c:pt idx="24">
                  <c:v>4</c:v>
                </c:pt>
                <c:pt idx="25">
                  <c:v>4</c:v>
                </c:pt>
                <c:pt idx="26">
                  <c:v>4</c:v>
                </c:pt>
                <c:pt idx="27">
                  <c:v>4</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ser>
        <c:hiLowLines>
          <c:spPr>
            <a:ln w="0">
              <a:noFill/>
            </a:ln>
          </c:spPr>
        </c:hiLowLines>
        <c:marker val="0"/>
        <c:axId val="84517453"/>
        <c:axId val="78832311"/>
      </c:lineChart>
      <c:catAx>
        <c:axId val="84517453"/>
        <c:scaling>
          <c:orientation val="maxMin"/>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NTC Temperature (°C)</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8832311"/>
        <c:crosses val="autoZero"/>
        <c:auto val="1"/>
        <c:lblAlgn val="ctr"/>
        <c:lblOffset val="100"/>
        <c:noMultiLvlLbl val="0"/>
      </c:catAx>
      <c:valAx>
        <c:axId val="78832311"/>
        <c:scaling>
          <c:orientation val="minMax"/>
        </c:scaling>
        <c:delete val="1"/>
        <c:axPos val="l"/>
        <c:majorGridlines>
          <c:spPr>
            <a:ln w="9360">
              <a:solidFill>
                <a:srgbClr val="d9d9d9"/>
              </a:solidFill>
              <a:round/>
            </a:ln>
          </c:spPr>
        </c:majorGridlines>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4517453"/>
        <c:crossBetween val="between"/>
      </c:valAx>
      <c:spPr>
        <a:noFill/>
        <a:ln w="0">
          <a:noFill/>
        </a:ln>
      </c:spPr>
    </c:plotArea>
    <c:legend>
      <c:legendPos val="b"/>
      <c:layout>
        <c:manualLayout>
          <c:xMode val="edge"/>
          <c:yMode val="edge"/>
          <c:x val="0.370731787897142"/>
          <c:y val="0.58088188976378"/>
          <c:w val="0.281846447515739"/>
          <c:h val="0.114710954356186"/>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 Id="rId3"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2.xml"/>
</Relationships>
</file>

<file path=xl/drawings/_rels/drawing5.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76320</xdr:rowOff>
    </xdr:from>
    <xdr:to>
      <xdr:col>4</xdr:col>
      <xdr:colOff>177480</xdr:colOff>
      <xdr:row>0</xdr:row>
      <xdr:rowOff>550800</xdr:rowOff>
    </xdr:to>
    <xdr:pic>
      <xdr:nvPicPr>
        <xdr:cNvPr id="0" name="Picture 2" descr=""/>
        <xdr:cNvPicPr/>
      </xdr:nvPicPr>
      <xdr:blipFill>
        <a:blip r:embed="rId1"/>
        <a:stretch/>
      </xdr:blipFill>
      <xdr:spPr>
        <a:xfrm>
          <a:off x="104760" y="76320"/>
          <a:ext cx="3753360" cy="474480"/>
        </a:xfrm>
        <a:prstGeom prst="rect">
          <a:avLst/>
        </a:prstGeom>
        <a:ln w="0">
          <a:noFill/>
        </a:ln>
      </xdr:spPr>
    </xdr:pic>
    <xdr:clientData/>
  </xdr:twoCellAnchor>
  <xdr:twoCellAnchor editAs="absolute">
    <xdr:from>
      <xdr:col>5</xdr:col>
      <xdr:colOff>85680</xdr:colOff>
      <xdr:row>6</xdr:row>
      <xdr:rowOff>10800</xdr:rowOff>
    </xdr:from>
    <xdr:to>
      <xdr:col>5</xdr:col>
      <xdr:colOff>199800</xdr:colOff>
      <xdr:row>6</xdr:row>
      <xdr:rowOff>200880</xdr:rowOff>
    </xdr:to>
    <xdr:sp>
      <xdr:nvSpPr>
        <xdr:cNvPr id="1" name="Spinner 46" hidden="1"/>
        <xdr:cNvSpPr/>
      </xdr:nvSpPr>
      <xdr:spPr>
        <a:xfrm>
          <a:off x="4760640" y="1600200"/>
          <a:ext cx="114120" cy="190080"/>
        </a:xfrm>
        <a:prstGeom prst="rect">
          <a:avLst/>
        </a:prstGeom>
        <a:noFill/>
        <a:ln w="9525">
          <a:noFill/>
        </a:ln>
      </xdr:spPr>
      <xdr:style>
        <a:lnRef idx="0"/>
        <a:fillRef idx="0"/>
        <a:effectRef idx="0"/>
        <a:fontRef idx="minor"/>
      </xdr:style>
    </xdr:sp>
    <xdr:clientData/>
  </xdr:twoCellAnchor>
  <xdr:twoCellAnchor editAs="absolute">
    <xdr:from>
      <xdr:col>5</xdr:col>
      <xdr:colOff>85680</xdr:colOff>
      <xdr:row>6</xdr:row>
      <xdr:rowOff>10800</xdr:rowOff>
    </xdr:from>
    <xdr:to>
      <xdr:col>5</xdr:col>
      <xdr:colOff>199800</xdr:colOff>
      <xdr:row>6</xdr:row>
      <xdr:rowOff>200880</xdr:rowOff>
    </xdr:to>
    <xdr:sp>
      <xdr:nvSpPr>
        <xdr:cNvPr id="2" name="Spinner 48" hidden="1"/>
        <xdr:cNvSpPr/>
      </xdr:nvSpPr>
      <xdr:spPr>
        <a:xfrm>
          <a:off x="4760640" y="1600200"/>
          <a:ext cx="114120" cy="190080"/>
        </a:xfrm>
        <a:prstGeom prst="rect">
          <a:avLst/>
        </a:prstGeom>
        <a:noFill/>
        <a:ln w="9525">
          <a:noFill/>
        </a:ln>
      </xdr:spPr>
      <xdr:style>
        <a:lnRef idx="0"/>
        <a:fillRef idx="0"/>
        <a:effectRef idx="0"/>
        <a:fontRef idx="minor"/>
      </xdr:style>
    </xdr:sp>
    <xdr:clientData/>
  </xdr:twoCellAnchor>
  <xdr:twoCellAnchor editAs="oneCell">
    <xdr:from>
      <xdr:col>0</xdr:col>
      <xdr:colOff>0</xdr:colOff>
      <xdr:row>160</xdr:row>
      <xdr:rowOff>65160</xdr:rowOff>
    </xdr:from>
    <xdr:to>
      <xdr:col>18</xdr:col>
      <xdr:colOff>2490840</xdr:colOff>
      <xdr:row>190</xdr:row>
      <xdr:rowOff>152280</xdr:rowOff>
    </xdr:to>
    <xdr:graphicFrame>
      <xdr:nvGraphicFramePr>
        <xdr:cNvPr id="3" name="Chart 1"/>
        <xdr:cNvGraphicFramePr/>
      </xdr:nvGraphicFramePr>
      <xdr:xfrm>
        <a:off x="0" y="32156640"/>
        <a:ext cx="16755480" cy="6335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12</xdr:col>
      <xdr:colOff>174600</xdr:colOff>
      <xdr:row>4</xdr:row>
      <xdr:rowOff>38160</xdr:rowOff>
    </xdr:from>
    <xdr:to>
      <xdr:col>18</xdr:col>
      <xdr:colOff>4768560</xdr:colOff>
      <xdr:row>34</xdr:row>
      <xdr:rowOff>72000</xdr:rowOff>
    </xdr:to>
    <xdr:grpSp>
      <xdr:nvGrpSpPr>
        <xdr:cNvPr id="8" name="Group 53"/>
        <xdr:cNvGrpSpPr/>
      </xdr:nvGrpSpPr>
      <xdr:grpSpPr>
        <a:xfrm>
          <a:off x="10050120" y="1228680"/>
          <a:ext cx="8983080" cy="5944680"/>
          <a:chOff x="10050120" y="1228680"/>
          <a:chExt cx="8983080" cy="5944680"/>
        </a:xfrm>
      </xdr:grpSpPr>
      <xdr:grpSp>
        <xdr:nvGrpSpPr>
          <xdr:cNvPr id="9" name="Group 52"/>
          <xdr:cNvGrpSpPr/>
        </xdr:nvGrpSpPr>
        <xdr:grpSpPr>
          <a:xfrm>
            <a:off x="10050120" y="1228680"/>
            <a:ext cx="8983080" cy="5944680"/>
            <a:chOff x="10050120" y="1228680"/>
            <a:chExt cx="8983080" cy="5944680"/>
          </a:xfrm>
        </xdr:grpSpPr>
        <xdr:pic>
          <xdr:nvPicPr>
            <xdr:cNvPr id="10" name="Picture 4" descr=""/>
            <xdr:cNvPicPr/>
          </xdr:nvPicPr>
          <xdr:blipFill>
            <a:blip r:embed="rId3"/>
            <a:stretch/>
          </xdr:blipFill>
          <xdr:spPr>
            <a:xfrm>
              <a:off x="10050120" y="1285920"/>
              <a:ext cx="8983080" cy="5887440"/>
            </a:xfrm>
            <a:prstGeom prst="rect">
              <a:avLst/>
            </a:prstGeom>
            <a:ln w="76200">
              <a:solidFill>
                <a:srgbClr val="000000"/>
              </a:solidFill>
              <a:round/>
            </a:ln>
          </xdr:spPr>
        </xdr:pic>
        <xdr:sp>
          <xdr:nvSpPr>
            <xdr:cNvPr id="11" name="TextBox 5"/>
            <xdr:cNvSpPr/>
          </xdr:nvSpPr>
          <xdr:spPr>
            <a:xfrm>
              <a:off x="11027880" y="1228680"/>
              <a:ext cx="7167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AC_SNS</a:t>
              </a:r>
              <a:r>
                <a:rPr b="1" lang="en-US" sz="1100" spc="-1" strike="noStrike">
                  <a:solidFill>
                    <a:schemeClr val="dk1"/>
                  </a:solidFill>
                  <a:latin typeface="Calibri"/>
                </a:rPr>
                <a:t> =</a:t>
              </a:r>
              <a:endParaRPr b="0" lang="de-DE" sz="1100" spc="-1" strike="noStrike">
                <a:latin typeface="Times New Roman"/>
              </a:endParaRPr>
            </a:p>
          </xdr:txBody>
        </xdr:sp>
        <xdr:sp>
          <xdr:nvSpPr>
            <xdr:cNvPr id="12" name="TextBox 7"/>
            <xdr:cNvSpPr/>
          </xdr:nvSpPr>
          <xdr:spPr>
            <a:xfrm>
              <a:off x="11588040" y="1257480"/>
              <a:ext cx="5781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Arial"/>
                </a:rPr>
                <a:t>5 mΩ</a:t>
              </a:r>
              <a:endParaRPr b="0" lang="de-DE" sz="1100" spc="-1" strike="noStrike">
                <a:latin typeface="Times New Roman"/>
              </a:endParaRPr>
            </a:p>
          </xdr:txBody>
        </xdr:sp>
        <xdr:sp>
          <xdr:nvSpPr>
            <xdr:cNvPr id="13" name="TextBox 14"/>
            <xdr:cNvSpPr/>
          </xdr:nvSpPr>
          <xdr:spPr>
            <a:xfrm>
              <a:off x="10579680" y="4875120"/>
              <a:ext cx="5292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AC3</a:t>
              </a:r>
              <a:r>
                <a:rPr b="1" lang="en-US" sz="1100" spc="-1" strike="noStrike">
                  <a:solidFill>
                    <a:schemeClr val="dk1"/>
                  </a:solidFill>
                  <a:latin typeface="Calibri"/>
                </a:rPr>
                <a:t> =</a:t>
              </a:r>
              <a:endParaRPr b="0" lang="de-DE" sz="1100" spc="-1" strike="noStrike">
                <a:latin typeface="Times New Roman"/>
              </a:endParaRPr>
            </a:p>
          </xdr:txBody>
        </xdr:sp>
        <xdr:sp>
          <xdr:nvSpPr>
            <xdr:cNvPr id="14" name="TextBox 15"/>
            <xdr:cNvSpPr/>
          </xdr:nvSpPr>
          <xdr:spPr>
            <a:xfrm>
              <a:off x="10569600" y="4599000"/>
              <a:ext cx="5292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AC3</a:t>
              </a:r>
              <a:r>
                <a:rPr b="1" lang="en-US" sz="1100" spc="-1" strike="noStrike">
                  <a:solidFill>
                    <a:schemeClr val="dk1"/>
                  </a:solidFill>
                  <a:latin typeface="Calibri"/>
                </a:rPr>
                <a:t> =</a:t>
              </a:r>
              <a:endParaRPr b="0" lang="de-DE" sz="1100" spc="-1" strike="noStrike">
                <a:latin typeface="Times New Roman"/>
              </a:endParaRPr>
            </a:p>
          </xdr:txBody>
        </xdr:sp>
        <xdr:sp>
          <xdr:nvSpPr>
            <xdr:cNvPr id="15" name="TextBox 16"/>
            <xdr:cNvSpPr/>
          </xdr:nvSpPr>
          <xdr:spPr>
            <a:xfrm>
              <a:off x="10569600" y="4341960"/>
              <a:ext cx="5292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AC3</a:t>
              </a:r>
              <a:r>
                <a:rPr b="1" lang="en-US" sz="1100" spc="-1" strike="noStrike">
                  <a:solidFill>
                    <a:schemeClr val="dk1"/>
                  </a:solidFill>
                  <a:latin typeface="Calibri"/>
                </a:rPr>
                <a:t> =</a:t>
              </a:r>
              <a:endParaRPr b="0" lang="de-DE" sz="1100" spc="-1" strike="noStrike">
                <a:latin typeface="Times New Roman"/>
              </a:endParaRPr>
            </a:p>
          </xdr:txBody>
        </xdr:sp>
        <xdr:sp>
          <xdr:nvSpPr>
            <xdr:cNvPr id="16" name="TextBox 17"/>
            <xdr:cNvSpPr/>
          </xdr:nvSpPr>
          <xdr:spPr>
            <a:xfrm>
              <a:off x="11211120" y="4875120"/>
              <a:ext cx="5781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gn="r">
                <a:lnSpc>
                  <a:spcPct val="100000"/>
                </a:lnSpc>
              </a:pPr>
              <a:r>
                <a:rPr b="1" lang="en-US" sz="1100" spc="-1" strike="noStrike">
                  <a:solidFill>
                    <a:srgbClr val="000000"/>
                  </a:solidFill>
                  <a:latin typeface="Calibri"/>
                </a:rPr>
                <a:t>500 kΩ</a:t>
              </a:r>
              <a:endParaRPr b="0" lang="de-DE" sz="1100" spc="-1" strike="noStrike">
                <a:latin typeface="Times New Roman"/>
              </a:endParaRPr>
            </a:p>
          </xdr:txBody>
        </xdr:sp>
        <xdr:sp>
          <xdr:nvSpPr>
            <xdr:cNvPr id="17" name="TextBox 18"/>
            <xdr:cNvSpPr/>
          </xdr:nvSpPr>
          <xdr:spPr>
            <a:xfrm>
              <a:off x="11190600" y="4608360"/>
              <a:ext cx="5781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gn="r">
                <a:lnSpc>
                  <a:spcPct val="100000"/>
                </a:lnSpc>
              </a:pPr>
              <a:r>
                <a:rPr b="1" lang="en-US" sz="1100" spc="-1" strike="noStrike">
                  <a:solidFill>
                    <a:srgbClr val="000000"/>
                  </a:solidFill>
                  <a:latin typeface="Calibri"/>
                </a:rPr>
                <a:t>800 kΩ</a:t>
              </a:r>
              <a:endParaRPr b="0" lang="de-DE" sz="1100" spc="-1" strike="noStrike">
                <a:latin typeface="Times New Roman"/>
              </a:endParaRPr>
            </a:p>
          </xdr:txBody>
        </xdr:sp>
        <xdr:sp>
          <xdr:nvSpPr>
            <xdr:cNvPr id="18" name="TextBox 19"/>
            <xdr:cNvSpPr/>
          </xdr:nvSpPr>
          <xdr:spPr>
            <a:xfrm>
              <a:off x="11027880" y="4322880"/>
              <a:ext cx="74088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gn="r">
                <a:lnSpc>
                  <a:spcPct val="100000"/>
                </a:lnSpc>
              </a:pPr>
              <a:r>
                <a:rPr b="1" lang="en-US" sz="1100" spc="-1" strike="noStrike">
                  <a:solidFill>
                    <a:srgbClr val="000000"/>
                  </a:solidFill>
                  <a:latin typeface="Calibri"/>
                </a:rPr>
                <a:t>1000 kΩ</a:t>
              </a:r>
              <a:endParaRPr b="0" lang="de-DE" sz="1100" spc="-1" strike="noStrike">
                <a:latin typeface="Times New Roman"/>
              </a:endParaRPr>
            </a:p>
          </xdr:txBody>
        </xdr:sp>
        <xdr:cxnSp>
          <xdr:nvCxnSpPr>
            <xdr:cNvPr id="19" name="Straight Arrow Connector 10"/>
            <xdr:cNvCxnSpPr/>
          </xdr:nvCxnSpPr>
          <xdr:spPr>
            <a:xfrm flipH="1">
              <a:off x="10518480" y="5103360"/>
              <a:ext cx="173520" cy="142920"/>
            </a:xfrm>
            <a:prstGeom prst="straightConnector1">
              <a:avLst/>
            </a:prstGeom>
            <a:ln w="6350">
              <a:solidFill>
                <a:srgbClr val="000000"/>
              </a:solidFill>
              <a:miter/>
              <a:tailEnd len="med" type="triangle" w="med"/>
            </a:ln>
          </xdr:spPr>
        </xdr:cxnSp>
        <xdr:cxnSp>
          <xdr:nvCxnSpPr>
            <xdr:cNvPr id="20" name="Straight Arrow Connector 21"/>
            <xdr:cNvCxnSpPr/>
          </xdr:nvCxnSpPr>
          <xdr:spPr>
            <a:xfrm flipH="1">
              <a:off x="10539000" y="4827240"/>
              <a:ext cx="173520" cy="143280"/>
            </a:xfrm>
            <a:prstGeom prst="straightConnector1">
              <a:avLst/>
            </a:prstGeom>
            <a:ln w="6350">
              <a:solidFill>
                <a:srgbClr val="000000"/>
              </a:solidFill>
              <a:miter/>
              <a:tailEnd len="med" type="triangle" w="med"/>
            </a:ln>
          </xdr:spPr>
        </xdr:cxnSp>
        <xdr:cxnSp>
          <xdr:nvCxnSpPr>
            <xdr:cNvPr id="21" name="Straight Arrow Connector 22"/>
            <xdr:cNvCxnSpPr/>
          </xdr:nvCxnSpPr>
          <xdr:spPr>
            <a:xfrm flipH="1">
              <a:off x="10549080" y="4579560"/>
              <a:ext cx="173520" cy="143280"/>
            </a:xfrm>
            <a:prstGeom prst="straightConnector1">
              <a:avLst/>
            </a:prstGeom>
            <a:ln w="6350">
              <a:solidFill>
                <a:srgbClr val="000000"/>
              </a:solidFill>
              <a:miter/>
              <a:tailEnd len="med" type="triangle" w="med"/>
            </a:ln>
          </xdr:spPr>
        </xdr:cxnSp>
        <xdr:sp>
          <xdr:nvSpPr>
            <xdr:cNvPr id="22" name="TextBox 24"/>
            <xdr:cNvSpPr/>
          </xdr:nvSpPr>
          <xdr:spPr>
            <a:xfrm>
              <a:off x="17688960" y="3884760"/>
              <a:ext cx="7167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BAT_SNS</a:t>
              </a:r>
              <a:r>
                <a:rPr b="1" lang="en-US" sz="1100" spc="-1" strike="noStrike">
                  <a:solidFill>
                    <a:schemeClr val="dk1"/>
                  </a:solidFill>
                  <a:latin typeface="Calibri"/>
                </a:rPr>
                <a:t> =</a:t>
              </a:r>
              <a:endParaRPr b="0" lang="de-DE" sz="1100" spc="-1" strike="noStrike">
                <a:latin typeface="Times New Roman"/>
              </a:endParaRPr>
            </a:p>
          </xdr:txBody>
        </xdr:sp>
        <xdr:sp>
          <xdr:nvSpPr>
            <xdr:cNvPr id="23" name="TextBox 25"/>
            <xdr:cNvSpPr/>
          </xdr:nvSpPr>
          <xdr:spPr>
            <a:xfrm>
              <a:off x="18351000" y="3875400"/>
              <a:ext cx="5781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5 mΩ</a:t>
              </a:r>
              <a:endParaRPr b="0" lang="de-DE" sz="1100" spc="-1" strike="noStrike">
                <a:latin typeface="Times New Roman"/>
              </a:endParaRPr>
            </a:p>
          </xdr:txBody>
        </xdr:sp>
        <xdr:sp>
          <xdr:nvSpPr>
            <xdr:cNvPr id="24" name="TextBox 26"/>
            <xdr:cNvSpPr/>
          </xdr:nvSpPr>
          <xdr:spPr>
            <a:xfrm>
              <a:off x="16324200" y="4313160"/>
              <a:ext cx="7167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FB_TOP</a:t>
              </a:r>
              <a:r>
                <a:rPr b="1" lang="en-US" sz="1100" spc="-1" strike="noStrike">
                  <a:solidFill>
                    <a:schemeClr val="dk1"/>
                  </a:solidFill>
                  <a:latin typeface="Calibri"/>
                </a:rPr>
                <a:t> =</a:t>
              </a:r>
              <a:endParaRPr b="0" lang="de-DE" sz="1100" spc="-1" strike="noStrike">
                <a:latin typeface="Times New Roman"/>
              </a:endParaRPr>
            </a:p>
          </xdr:txBody>
        </xdr:sp>
        <xdr:sp>
          <xdr:nvSpPr>
            <xdr:cNvPr id="25" name="TextBox 27"/>
            <xdr:cNvSpPr/>
          </xdr:nvSpPr>
          <xdr:spPr>
            <a:xfrm>
              <a:off x="16925040" y="4332240"/>
              <a:ext cx="5781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249 kΩ</a:t>
              </a:r>
              <a:endParaRPr b="0" lang="de-DE" sz="1100" spc="-1" strike="noStrike">
                <a:latin typeface="Times New Roman"/>
              </a:endParaRPr>
            </a:p>
          </xdr:txBody>
        </xdr:sp>
        <xdr:sp>
          <xdr:nvSpPr>
            <xdr:cNvPr id="26" name="TextBox 28"/>
            <xdr:cNvSpPr/>
          </xdr:nvSpPr>
          <xdr:spPr>
            <a:xfrm>
              <a:off x="16976160" y="4722840"/>
              <a:ext cx="7167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FB_TOP</a:t>
              </a:r>
              <a:r>
                <a:rPr b="1" lang="en-US" sz="1100" spc="-1" strike="noStrike">
                  <a:solidFill>
                    <a:schemeClr val="dk1"/>
                  </a:solidFill>
                  <a:latin typeface="Calibri"/>
                </a:rPr>
                <a:t> =</a:t>
              </a:r>
              <a:endParaRPr b="0" lang="de-DE" sz="1100" spc="-1" strike="noStrike">
                <a:latin typeface="Times New Roman"/>
              </a:endParaRPr>
            </a:p>
          </xdr:txBody>
        </xdr:sp>
        <xdr:sp>
          <xdr:nvSpPr>
            <xdr:cNvPr id="27" name="TextBox 29"/>
            <xdr:cNvSpPr/>
          </xdr:nvSpPr>
          <xdr:spPr>
            <a:xfrm>
              <a:off x="17587080" y="4722840"/>
              <a:ext cx="7635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25.18 kΩ</a:t>
              </a:r>
              <a:endParaRPr b="0" lang="de-DE" sz="1100" spc="-1" strike="noStrike">
                <a:latin typeface="Times New Roman"/>
              </a:endParaRPr>
            </a:p>
          </xdr:txBody>
        </xdr:sp>
        <xdr:cxnSp>
          <xdr:nvCxnSpPr>
            <xdr:cNvPr id="28" name="Straight Arrow Connector 30"/>
            <xdr:cNvCxnSpPr/>
          </xdr:nvCxnSpPr>
          <xdr:spPr>
            <a:xfrm flipH="1">
              <a:off x="16660080" y="4951080"/>
              <a:ext cx="397800" cy="238320"/>
            </a:xfrm>
            <a:prstGeom prst="straightConnector1">
              <a:avLst/>
            </a:prstGeom>
            <a:ln w="6350">
              <a:solidFill>
                <a:srgbClr val="000000"/>
              </a:solidFill>
              <a:miter/>
              <a:tailEnd len="med" type="triangle" w="med"/>
            </a:ln>
          </xdr:spPr>
        </xdr:cxnSp>
        <xdr:cxnSp>
          <xdr:nvCxnSpPr>
            <xdr:cNvPr id="29" name="Straight Arrow Connector 33"/>
            <xdr:cNvCxnSpPr/>
          </xdr:nvCxnSpPr>
          <xdr:spPr>
            <a:xfrm>
              <a:off x="16456320" y="4570200"/>
              <a:ext cx="82080" cy="266760"/>
            </a:xfrm>
            <a:prstGeom prst="straightConnector1">
              <a:avLst/>
            </a:prstGeom>
            <a:ln w="6350">
              <a:solidFill>
                <a:srgbClr val="000000"/>
              </a:solidFill>
              <a:miter/>
              <a:tailEnd len="med" type="triangle" w="med"/>
            </a:ln>
          </xdr:spPr>
        </xdr:cxnSp>
        <xdr:sp>
          <xdr:nvSpPr>
            <xdr:cNvPr id="30" name="TextBox 37"/>
            <xdr:cNvSpPr/>
          </xdr:nvSpPr>
          <xdr:spPr>
            <a:xfrm>
              <a:off x="15407640" y="6084000"/>
              <a:ext cx="7167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FSW</a:t>
              </a:r>
              <a:r>
                <a:rPr b="1" lang="en-US" sz="1100" spc="-1" strike="noStrike">
                  <a:solidFill>
                    <a:schemeClr val="dk1"/>
                  </a:solidFill>
                  <a:latin typeface="Calibri"/>
                </a:rPr>
                <a:t> =</a:t>
              </a:r>
              <a:endParaRPr b="0" lang="de-DE" sz="1100" spc="-1" strike="noStrike">
                <a:latin typeface="Times New Roman"/>
              </a:endParaRPr>
            </a:p>
          </xdr:txBody>
        </xdr:sp>
        <xdr:sp>
          <xdr:nvSpPr>
            <xdr:cNvPr id="31" name="TextBox 38"/>
            <xdr:cNvSpPr/>
          </xdr:nvSpPr>
          <xdr:spPr>
            <a:xfrm>
              <a:off x="15845400" y="6103080"/>
              <a:ext cx="5598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40 kΩ</a:t>
              </a:r>
              <a:endParaRPr b="0" lang="de-DE" sz="1100" spc="-1" strike="noStrike">
                <a:latin typeface="Times New Roman"/>
              </a:endParaRPr>
            </a:p>
          </xdr:txBody>
        </xdr:sp>
        <xdr:sp>
          <xdr:nvSpPr>
            <xdr:cNvPr id="32" name="TextBox 39"/>
            <xdr:cNvSpPr/>
          </xdr:nvSpPr>
          <xdr:spPr>
            <a:xfrm>
              <a:off x="15580800" y="5950800"/>
              <a:ext cx="5598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IOUT</a:t>
              </a:r>
              <a:r>
                <a:rPr b="1" lang="en-US" sz="1100" spc="-1" strike="noStrike">
                  <a:solidFill>
                    <a:schemeClr val="dk1"/>
                  </a:solidFill>
                  <a:latin typeface="Calibri"/>
                </a:rPr>
                <a:t> =</a:t>
              </a:r>
              <a:endParaRPr b="0" lang="de-DE" sz="1100" spc="-1" strike="noStrike">
                <a:latin typeface="Times New Roman"/>
              </a:endParaRPr>
            </a:p>
          </xdr:txBody>
        </xdr:sp>
        <xdr:sp>
          <xdr:nvSpPr>
            <xdr:cNvPr id="33" name="TextBox 40"/>
            <xdr:cNvSpPr/>
          </xdr:nvSpPr>
          <xdr:spPr>
            <a:xfrm>
              <a:off x="16059240" y="5960160"/>
              <a:ext cx="5598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10 kΩ</a:t>
              </a:r>
              <a:endParaRPr b="0" lang="de-DE" sz="1100" spc="-1" strike="noStrike">
                <a:latin typeface="Times New Roman"/>
              </a:endParaRPr>
            </a:p>
          </xdr:txBody>
        </xdr:sp>
        <xdr:sp>
          <xdr:nvSpPr>
            <xdr:cNvPr id="34" name="TextBox 41"/>
            <xdr:cNvSpPr/>
          </xdr:nvSpPr>
          <xdr:spPr>
            <a:xfrm>
              <a:off x="15764040" y="5807880"/>
              <a:ext cx="4680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IIN</a:t>
              </a:r>
              <a:r>
                <a:rPr b="1" lang="en-US" sz="1100" spc="-1" strike="noStrike">
                  <a:solidFill>
                    <a:schemeClr val="dk1"/>
                  </a:solidFill>
                  <a:latin typeface="Calibri"/>
                </a:rPr>
                <a:t> =</a:t>
              </a:r>
              <a:endParaRPr b="0" lang="de-DE" sz="1100" spc="-1" strike="noStrike">
                <a:latin typeface="Times New Roman"/>
              </a:endParaRPr>
            </a:p>
          </xdr:txBody>
        </xdr:sp>
        <xdr:sp>
          <xdr:nvSpPr>
            <xdr:cNvPr id="35" name="TextBox 42"/>
            <xdr:cNvSpPr/>
          </xdr:nvSpPr>
          <xdr:spPr>
            <a:xfrm>
              <a:off x="16181640" y="5817600"/>
              <a:ext cx="5598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1 kΩ</a:t>
              </a:r>
              <a:endParaRPr b="0" lang="de-DE" sz="1100" spc="-1" strike="noStrike">
                <a:latin typeface="Times New Roman"/>
              </a:endParaRPr>
            </a:p>
          </xdr:txBody>
        </xdr:sp>
        <xdr:sp>
          <xdr:nvSpPr>
            <xdr:cNvPr id="36" name="TextBox 43"/>
            <xdr:cNvSpPr/>
          </xdr:nvSpPr>
          <xdr:spPr>
            <a:xfrm>
              <a:off x="15672240" y="5560560"/>
              <a:ext cx="63108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MODE</a:t>
              </a:r>
              <a:r>
                <a:rPr b="1" lang="en-US" sz="1100" spc="-1" strike="noStrike">
                  <a:solidFill>
                    <a:schemeClr val="dk1"/>
                  </a:solidFill>
                  <a:latin typeface="Calibri"/>
                </a:rPr>
                <a:t> =</a:t>
              </a:r>
              <a:endParaRPr b="0" lang="de-DE" sz="1100" spc="-1" strike="noStrike">
                <a:latin typeface="Times New Roman"/>
              </a:endParaRPr>
            </a:p>
          </xdr:txBody>
        </xdr:sp>
        <xdr:sp>
          <xdr:nvSpPr>
            <xdr:cNvPr id="37" name="TextBox 44"/>
            <xdr:cNvSpPr/>
          </xdr:nvSpPr>
          <xdr:spPr>
            <a:xfrm>
              <a:off x="16202160" y="5579640"/>
              <a:ext cx="5598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0 kΩ</a:t>
              </a:r>
              <a:endParaRPr b="0" lang="de-DE" sz="1100" spc="-1" strike="noStrike">
                <a:latin typeface="Times New Roman"/>
              </a:endParaRPr>
            </a:p>
          </xdr:txBody>
        </xdr:sp>
        <xdr:sp>
          <xdr:nvSpPr>
            <xdr:cNvPr id="38" name="TextBox 45"/>
            <xdr:cNvSpPr/>
          </xdr:nvSpPr>
          <xdr:spPr>
            <a:xfrm>
              <a:off x="15957720" y="5398560"/>
              <a:ext cx="44784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T1</a:t>
              </a:r>
              <a:r>
                <a:rPr b="1" lang="en-US" sz="1100" spc="-1" strike="noStrike">
                  <a:solidFill>
                    <a:schemeClr val="dk1"/>
                  </a:solidFill>
                  <a:latin typeface="Calibri"/>
                </a:rPr>
                <a:t> =</a:t>
              </a:r>
              <a:endParaRPr b="0" lang="de-DE" sz="1100" spc="-1" strike="noStrike">
                <a:latin typeface="Times New Roman"/>
              </a:endParaRPr>
            </a:p>
          </xdr:txBody>
        </xdr:sp>
        <xdr:sp>
          <xdr:nvSpPr>
            <xdr:cNvPr id="39" name="TextBox 46"/>
            <xdr:cNvSpPr/>
          </xdr:nvSpPr>
          <xdr:spPr>
            <a:xfrm>
              <a:off x="16344720" y="5398560"/>
              <a:ext cx="6516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3.61 kΩ</a:t>
              </a:r>
              <a:endParaRPr b="0" lang="de-DE" sz="1100" spc="-1" strike="noStrike">
                <a:latin typeface="Times New Roman"/>
              </a:endParaRPr>
            </a:p>
          </xdr:txBody>
        </xdr:sp>
        <xdr:cxnSp>
          <xdr:nvCxnSpPr>
            <xdr:cNvPr id="40" name="Straight Arrow Connector 47"/>
            <xdr:cNvCxnSpPr/>
          </xdr:nvCxnSpPr>
          <xdr:spPr>
            <a:xfrm flipV="1">
              <a:off x="16354440" y="5322240"/>
              <a:ext cx="581040" cy="162360"/>
            </a:xfrm>
            <a:prstGeom prst="straightConnector1">
              <a:avLst/>
            </a:prstGeom>
            <a:ln w="6350">
              <a:solidFill>
                <a:srgbClr val="000000"/>
              </a:solidFill>
              <a:miter/>
              <a:tailEnd len="med" type="triangle" w="med"/>
            </a:ln>
          </xdr:spPr>
        </xdr:cxnSp>
        <xdr:sp>
          <xdr:nvSpPr>
            <xdr:cNvPr id="41" name="TextBox 54"/>
            <xdr:cNvSpPr/>
          </xdr:nvSpPr>
          <xdr:spPr>
            <a:xfrm>
              <a:off x="16986240" y="6341040"/>
              <a:ext cx="44784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T1</a:t>
              </a:r>
              <a:r>
                <a:rPr b="1" lang="en-US" sz="1100" spc="-1" strike="noStrike">
                  <a:solidFill>
                    <a:schemeClr val="dk1"/>
                  </a:solidFill>
                  <a:latin typeface="Calibri"/>
                </a:rPr>
                <a:t> =</a:t>
              </a:r>
              <a:endParaRPr b="0" lang="de-DE" sz="1100" spc="-1" strike="noStrike">
                <a:latin typeface="Times New Roman"/>
              </a:endParaRPr>
            </a:p>
          </xdr:txBody>
        </xdr:sp>
        <xdr:sp>
          <xdr:nvSpPr>
            <xdr:cNvPr id="42" name="TextBox 55"/>
            <xdr:cNvSpPr/>
          </xdr:nvSpPr>
          <xdr:spPr>
            <a:xfrm>
              <a:off x="17322480" y="6341040"/>
              <a:ext cx="65160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15.48 kΩ</a:t>
              </a:r>
              <a:endParaRPr b="0" lang="de-DE" sz="1100" spc="-1" strike="noStrike">
                <a:latin typeface="Times New Roman"/>
              </a:endParaRPr>
            </a:p>
          </xdr:txBody>
        </xdr:sp>
        <xdr:sp>
          <xdr:nvSpPr>
            <xdr:cNvPr id="43" name="TextBox 56"/>
            <xdr:cNvSpPr/>
          </xdr:nvSpPr>
          <xdr:spPr>
            <a:xfrm>
              <a:off x="13278960" y="2542680"/>
              <a:ext cx="33588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L =</a:t>
              </a:r>
              <a:endParaRPr b="0" lang="de-DE" sz="1100" spc="-1" strike="noStrike">
                <a:latin typeface="Times New Roman"/>
              </a:endParaRPr>
            </a:p>
          </xdr:txBody>
        </xdr:sp>
        <xdr:sp>
          <xdr:nvSpPr>
            <xdr:cNvPr id="44" name="TextBox 57"/>
            <xdr:cNvSpPr/>
          </xdr:nvSpPr>
          <xdr:spPr>
            <a:xfrm>
              <a:off x="13533480" y="2542680"/>
              <a:ext cx="5781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10 µH</a:t>
              </a:r>
              <a:endParaRPr b="0" lang="de-DE" sz="1100" spc="-1" strike="noStrike">
                <a:latin typeface="Times New Roman"/>
              </a:endParaRPr>
            </a:p>
          </xdr:txBody>
        </xdr:sp>
      </xdr:grpSp>
      <xdr:sp>
        <xdr:nvSpPr>
          <xdr:cNvPr id="45" name="TextBox 59"/>
          <xdr:cNvSpPr/>
        </xdr:nvSpPr>
        <xdr:spPr>
          <a:xfrm>
            <a:off x="12830760" y="1542960"/>
            <a:ext cx="7167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CIN</a:t>
            </a:r>
            <a:r>
              <a:rPr b="1" lang="en-US" sz="1100" spc="-1" strike="noStrike">
                <a:solidFill>
                  <a:schemeClr val="dk1"/>
                </a:solidFill>
                <a:latin typeface="Calibri"/>
              </a:rPr>
              <a:t> =</a:t>
            </a:r>
            <a:endParaRPr b="0" lang="de-DE" sz="1100" spc="-1" strike="noStrike">
              <a:latin typeface="Times New Roman"/>
            </a:endParaRPr>
          </a:p>
        </xdr:txBody>
      </xdr:sp>
      <xdr:sp>
        <xdr:nvSpPr>
          <xdr:cNvPr id="46" name="TextBox 60"/>
          <xdr:cNvSpPr/>
        </xdr:nvSpPr>
        <xdr:spPr>
          <a:xfrm>
            <a:off x="13289040" y="1552320"/>
            <a:ext cx="5781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160 µF</a:t>
            </a:r>
            <a:endParaRPr b="0" lang="de-DE" sz="1100" spc="-1" strike="noStrike">
              <a:latin typeface="Times New Roman"/>
            </a:endParaRPr>
          </a:p>
        </xdr:txBody>
      </xdr:sp>
      <xdr:sp>
        <xdr:nvSpPr>
          <xdr:cNvPr id="47" name="TextBox 61"/>
          <xdr:cNvSpPr/>
        </xdr:nvSpPr>
        <xdr:spPr>
          <a:xfrm>
            <a:off x="15580440" y="2399760"/>
            <a:ext cx="7167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chemeClr val="dk1"/>
                </a:solidFill>
                <a:latin typeface="Calibri"/>
              </a:rPr>
              <a:t>R</a:t>
            </a:r>
            <a:r>
              <a:rPr b="1" lang="en-US" sz="1100" spc="-1" strike="noStrike" baseline="-25000">
                <a:solidFill>
                  <a:schemeClr val="dk1"/>
                </a:solidFill>
                <a:latin typeface="Calibri"/>
              </a:rPr>
              <a:t>COUT</a:t>
            </a:r>
            <a:r>
              <a:rPr b="1" lang="en-US" sz="1100" spc="-1" strike="noStrike">
                <a:solidFill>
                  <a:schemeClr val="dk1"/>
                </a:solidFill>
                <a:latin typeface="Calibri"/>
              </a:rPr>
              <a:t> =</a:t>
            </a:r>
            <a:endParaRPr b="0" lang="de-DE" sz="1100" spc="-1" strike="noStrike">
              <a:latin typeface="Times New Roman"/>
            </a:endParaRPr>
          </a:p>
        </xdr:txBody>
      </xdr:sp>
      <xdr:sp>
        <xdr:nvSpPr>
          <xdr:cNvPr id="48" name="TextBox 62"/>
          <xdr:cNvSpPr/>
        </xdr:nvSpPr>
        <xdr:spPr>
          <a:xfrm>
            <a:off x="16079760" y="2390400"/>
            <a:ext cx="578160" cy="26424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pc="-1" strike="noStrike">
                <a:solidFill>
                  <a:srgbClr val="000000"/>
                </a:solidFill>
                <a:latin typeface="Calibri"/>
              </a:rPr>
              <a:t>160 µF</a:t>
            </a:r>
            <a:endParaRPr b="0" lang="de-DE" sz="1100" spc="-1" strike="noStrike">
              <a:latin typeface="Times New Roman"/>
            </a:endParaRPr>
          </a:p>
        </xdr:txBody>
      </xdr:sp>
    </xdr:grpSp>
    <xdr:clientData/>
  </xdr:twoCellAnchor>
  <xdr:twoCellAnchor editAs="twoCell">
    <xdr:from>
      <xdr:col>13</xdr:col>
      <xdr:colOff>549360</xdr:colOff>
      <xdr:row>34</xdr:row>
      <xdr:rowOff>134640</xdr:rowOff>
    </xdr:from>
    <xdr:to>
      <xdr:col>18</xdr:col>
      <xdr:colOff>4825800</xdr:colOff>
      <xdr:row>86</xdr:row>
      <xdr:rowOff>173880</xdr:rowOff>
    </xdr:to>
    <xdr:sp>
      <xdr:nvSpPr>
        <xdr:cNvPr id="49" name="TextBox 49"/>
        <xdr:cNvSpPr/>
      </xdr:nvSpPr>
      <xdr:spPr>
        <a:xfrm>
          <a:off x="11156400" y="7236000"/>
          <a:ext cx="7934040" cy="10318320"/>
        </a:xfrm>
        <a:prstGeom prst="rect">
          <a:avLst/>
        </a:prstGeom>
        <a:solidFill>
          <a:srgbClr val="ffe699"/>
        </a:solidFill>
        <a:ln w="28575">
          <a:solidFill>
            <a:srgbClr val="000000"/>
          </a:solidFill>
          <a:round/>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100" spc="-1" strike="noStrike">
              <a:solidFill>
                <a:schemeClr val="dk1"/>
              </a:solidFill>
              <a:latin typeface="Calibri"/>
            </a:rPr>
            <a:t>How to use BQ25756 Design Tool</a:t>
          </a:r>
          <a:endParaRPr b="0" lang="de-DE" sz="1100" spc="-1" strike="noStrike">
            <a:latin typeface="Times New Roman"/>
          </a:endParaRPr>
        </a:p>
        <a:p>
          <a:pPr algn="ctr">
            <a:lnSpc>
              <a:spcPct val="100000"/>
            </a:lnSpc>
          </a:pPr>
          <a:endParaRPr b="0" lang="de-DE" sz="1100" spc="-1" strike="noStrike">
            <a:latin typeface="Times New Roman"/>
          </a:endParaRPr>
        </a:p>
        <a:p>
          <a:pPr>
            <a:lnSpc>
              <a:spcPct val="100000"/>
            </a:lnSpc>
          </a:pPr>
          <a:r>
            <a:rPr b="1" lang="en-US" sz="1100" spc="-1" strike="noStrike">
              <a:solidFill>
                <a:schemeClr val="dk1"/>
              </a:solidFill>
              <a:latin typeface="Calibri"/>
            </a:rPr>
            <a:t>General</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  If warning message pops up about there being cicular references, just click </a:t>
          </a:r>
          <a:r>
            <a:rPr b="1" lang="en-US" sz="1100" spc="-1" strike="noStrike">
              <a:solidFill>
                <a:schemeClr val="dk1"/>
              </a:solidFill>
              <a:latin typeface="Calibri"/>
            </a:rPr>
            <a:t>OK</a:t>
          </a:r>
          <a:r>
            <a:rPr b="0" lang="en-US" sz="1100" spc="-1" strike="noStrike">
              <a:solidFill>
                <a:schemeClr val="dk1"/>
              </a:solidFill>
              <a:latin typeface="Calibri"/>
            </a:rPr>
            <a:t>. </a:t>
          </a:r>
          <a:endParaRPr b="0" lang="de-DE" sz="1100" spc="-1" strike="noStrike">
            <a:latin typeface="Times New Roman"/>
          </a:endParaRPr>
        </a:p>
        <a:p>
          <a:pPr>
            <a:lnSpc>
              <a:spcPct val="100000"/>
            </a:lnSpc>
          </a:pP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  </a:t>
          </a:r>
          <a:r>
            <a:rPr b="1" lang="en-US" sz="1100" spc="-1" strike="noStrike">
              <a:solidFill>
                <a:schemeClr val="dk1"/>
              </a:solidFill>
              <a:latin typeface="Calibri"/>
            </a:rPr>
            <a:t>Yellow cells </a:t>
          </a:r>
          <a:r>
            <a:rPr b="0" lang="en-US" sz="1100" spc="-1" strike="noStrike">
              <a:solidFill>
                <a:schemeClr val="dk1"/>
              </a:solidFill>
              <a:latin typeface="Calibri"/>
            </a:rPr>
            <a:t>are where the user inputs their design requirements/choices. </a:t>
          </a:r>
          <a:endParaRPr b="0" lang="de-DE" sz="1100" spc="-1" strike="noStrike">
            <a:latin typeface="Times New Roman"/>
          </a:endParaRPr>
        </a:p>
        <a:p>
          <a:pPr>
            <a:lnSpc>
              <a:spcPct val="100000"/>
            </a:lnSpc>
          </a:pP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Cells with </a:t>
          </a:r>
          <a:r>
            <a:rPr b="1" lang="en-US" sz="1100" spc="-1" strike="noStrike">
              <a:solidFill>
                <a:schemeClr val="dk1"/>
              </a:solidFill>
              <a:latin typeface="Calibri"/>
            </a:rPr>
            <a:t>red text </a:t>
          </a:r>
          <a:r>
            <a:rPr b="0" lang="en-US" sz="1100" spc="-1" strike="noStrike">
              <a:solidFill>
                <a:schemeClr val="dk1"/>
              </a:solidFill>
              <a:latin typeface="Calibri"/>
            </a:rPr>
            <a:t>indicate potential issues with the user's inputs. If a cell's text is flagged red, there will be a note to the</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left of the cell explain why the cell is flagged red. </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There are notes throughout the whole tool, if the user has any questions about the tool, the user should look at the note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for the cell that they are looking at. There may also be addition useful information in nearby cell notes. </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Sections follow a </a:t>
          </a:r>
          <a:r>
            <a:rPr b="1" lang="en-US" sz="1100" spc="-1" strike="noStrike">
              <a:solidFill>
                <a:schemeClr val="dk1"/>
              </a:solidFill>
              <a:latin typeface="Calibri"/>
            </a:rPr>
            <a:t>Desired</a:t>
          </a:r>
          <a:r>
            <a:rPr b="0" lang="en-US" sz="1100" spc="-1" strike="noStrike">
              <a:solidFill>
                <a:schemeClr val="dk1"/>
              </a:solidFill>
              <a:latin typeface="Calibri"/>
            </a:rPr>
            <a:t>, </a:t>
          </a:r>
          <a:r>
            <a:rPr b="1" lang="en-US" sz="1100" spc="-1" strike="noStrike">
              <a:solidFill>
                <a:schemeClr val="dk1"/>
              </a:solidFill>
              <a:latin typeface="Calibri"/>
            </a:rPr>
            <a:t>Recommended</a:t>
          </a:r>
          <a:r>
            <a:rPr b="0" lang="en-US" sz="1100" spc="-1" strike="noStrike">
              <a:solidFill>
                <a:schemeClr val="dk1"/>
              </a:solidFill>
              <a:latin typeface="Calibri"/>
            </a:rPr>
            <a:t>, </a:t>
          </a:r>
          <a:r>
            <a:rPr b="1" lang="en-US" sz="1100" spc="-1" strike="noStrike">
              <a:solidFill>
                <a:schemeClr val="dk1"/>
              </a:solidFill>
              <a:latin typeface="Calibri"/>
            </a:rPr>
            <a:t>Selected</a:t>
          </a:r>
          <a:r>
            <a:rPr b="0" lang="en-US" sz="1100" spc="-1" strike="noStrike">
              <a:solidFill>
                <a:schemeClr val="dk1"/>
              </a:solidFill>
              <a:latin typeface="Calibri"/>
            </a:rPr>
            <a:t>, and </a:t>
          </a:r>
          <a:r>
            <a:rPr b="1" lang="en-US" sz="1100" spc="-1" strike="noStrike">
              <a:solidFill>
                <a:schemeClr val="dk1"/>
              </a:solidFill>
              <a:latin typeface="Calibri"/>
            </a:rPr>
            <a:t>Recognized</a:t>
          </a:r>
          <a:r>
            <a:rPr b="0" lang="en-US" sz="1100" spc="-1" strike="noStrike">
              <a:solidFill>
                <a:schemeClr val="dk1"/>
              </a:solidFill>
              <a:latin typeface="Calibri"/>
            </a:rPr>
            <a:t> format.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Cells with </a:t>
          </a:r>
          <a:r>
            <a:rPr b="1" lang="en-US" sz="1100" spc="-1" strike="noStrike">
              <a:solidFill>
                <a:schemeClr val="dk1"/>
              </a:solidFill>
              <a:latin typeface="Calibri"/>
            </a:rPr>
            <a:t>Desired</a:t>
          </a:r>
          <a:r>
            <a:rPr b="0" lang="en-US" sz="1100" spc="-1" strike="noStrike">
              <a:solidFill>
                <a:schemeClr val="dk1"/>
              </a:solidFill>
              <a:latin typeface="Calibri"/>
            </a:rPr>
            <a:t> in their name are user input cells where the user inputs what they Desire for their design.</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Cells with </a:t>
          </a:r>
          <a:r>
            <a:rPr b="1" lang="en-US" sz="1100" spc="-1" strike="noStrike">
              <a:solidFill>
                <a:schemeClr val="dk1"/>
              </a:solidFill>
              <a:latin typeface="Calibri"/>
            </a:rPr>
            <a:t>Recommended</a:t>
          </a:r>
          <a:r>
            <a:rPr b="0" lang="en-US" sz="1100" spc="-1" strike="noStrike">
              <a:solidFill>
                <a:schemeClr val="dk1"/>
              </a:solidFill>
              <a:latin typeface="Calibri"/>
            </a:rPr>
            <a:t> in their name are what the tool </a:t>
          </a:r>
          <a:r>
            <a:rPr b="1" lang="en-US" sz="1100" spc="-1" strike="noStrike">
              <a:solidFill>
                <a:schemeClr val="dk1"/>
              </a:solidFill>
              <a:latin typeface="Calibri"/>
            </a:rPr>
            <a:t>Recommends</a:t>
          </a:r>
          <a:r>
            <a:rPr b="0" lang="en-US" sz="1100" spc="-1" strike="noStrike">
              <a:solidFill>
                <a:schemeClr val="dk1"/>
              </a:solidFill>
              <a:latin typeface="Calibri"/>
            </a:rPr>
            <a:t> to get the </a:t>
          </a:r>
          <a:r>
            <a:rPr b="1" lang="en-US" sz="1100" spc="-1" strike="noStrike">
              <a:solidFill>
                <a:schemeClr val="dk1"/>
              </a:solidFill>
              <a:latin typeface="Calibri"/>
            </a:rPr>
            <a:t>Desired</a:t>
          </a:r>
          <a:r>
            <a:rPr b="0" lang="en-US" sz="1100" spc="-1" strike="noStrike">
              <a:solidFill>
                <a:schemeClr val="dk1"/>
              </a:solidFill>
              <a:latin typeface="Calibri"/>
            </a:rPr>
            <a:t> input or is a general</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recommendation based off user's previously entered data.</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Cells with </a:t>
          </a:r>
          <a:r>
            <a:rPr b="1" lang="en-US" sz="1100" spc="-1" strike="noStrike">
              <a:solidFill>
                <a:schemeClr val="dk1"/>
              </a:solidFill>
              <a:latin typeface="Calibri"/>
            </a:rPr>
            <a:t>Selected</a:t>
          </a:r>
          <a:r>
            <a:rPr b="0" lang="en-US" sz="1100" spc="-1" strike="noStrike">
              <a:solidFill>
                <a:schemeClr val="dk1"/>
              </a:solidFill>
              <a:latin typeface="Calibri"/>
            </a:rPr>
            <a:t> in their name are user input cells where the user inputs the actual component/parameter that they</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will use in their design.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Cells with </a:t>
          </a:r>
          <a:r>
            <a:rPr b="1" lang="en-US" sz="1100" spc="-1" strike="noStrike">
              <a:solidFill>
                <a:schemeClr val="dk1"/>
              </a:solidFill>
              <a:latin typeface="Calibri"/>
            </a:rPr>
            <a:t>Recognized</a:t>
          </a:r>
          <a:r>
            <a:rPr b="0" lang="en-US" sz="1100" spc="-1" strike="noStrike">
              <a:solidFill>
                <a:schemeClr val="dk1"/>
              </a:solidFill>
              <a:latin typeface="Calibri"/>
            </a:rPr>
            <a:t> in their name are what BQ2575X will </a:t>
          </a:r>
          <a:r>
            <a:rPr b="1" lang="en-US" sz="1100" spc="-1" strike="noStrike">
              <a:solidFill>
                <a:schemeClr val="dk1"/>
              </a:solidFill>
              <a:latin typeface="Calibri"/>
            </a:rPr>
            <a:t>Recognize</a:t>
          </a:r>
          <a:r>
            <a:rPr b="0" lang="en-US" sz="1100" spc="-1" strike="noStrike">
              <a:solidFill>
                <a:schemeClr val="dk1"/>
              </a:solidFill>
              <a:latin typeface="Calibri"/>
            </a:rPr>
            <a:t> based off what is entered in the </a:t>
          </a:r>
          <a:r>
            <a:rPr b="1" lang="en-US" sz="1100" spc="-1" strike="noStrike">
              <a:solidFill>
                <a:schemeClr val="dk1"/>
              </a:solidFill>
              <a:latin typeface="Calibri"/>
            </a:rPr>
            <a:t>Selected</a:t>
          </a:r>
          <a:r>
            <a:rPr b="0" lang="en-US" sz="1100" spc="-1" strike="noStrike">
              <a:solidFill>
                <a:schemeClr val="dk1"/>
              </a:solidFill>
              <a:latin typeface="Calibri"/>
            </a:rPr>
            <a:t> cells. </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It is recommended that the user completes each section in order because many sections will use the user's input from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the previous sections to provide recommendations for that section.</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1" lang="en-US" sz="1100" spc="-1" strike="noStrike">
              <a:solidFill>
                <a:schemeClr val="dk1"/>
              </a:solidFill>
              <a:latin typeface="Calibri"/>
            </a:rPr>
            <a:t>Step 7: Thermistor Qualification</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This step provides the Recommended Ideal RT1 &amp; RT2 resistances, however, the resistance provided may not be a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standard resistance. Furthermore, this step does not allow the user to "</a:t>
          </a:r>
          <a:r>
            <a:rPr b="1" lang="en-US" sz="1100" spc="-1" strike="noStrike">
              <a:solidFill>
                <a:schemeClr val="dk1"/>
              </a:solidFill>
              <a:latin typeface="Calibri"/>
            </a:rPr>
            <a:t>Select</a:t>
          </a:r>
          <a:r>
            <a:rPr b="0" lang="en-US" sz="1100" spc="-1" strike="noStrike">
              <a:solidFill>
                <a:schemeClr val="dk1"/>
              </a:solidFill>
              <a:latin typeface="Calibri"/>
            </a:rPr>
            <a:t>" and check that their "</a:t>
          </a:r>
          <a:r>
            <a:rPr b="1" lang="en-US" sz="1100" spc="-1" strike="noStrike">
              <a:solidFill>
                <a:schemeClr val="dk1"/>
              </a:solidFill>
              <a:latin typeface="Calibri"/>
            </a:rPr>
            <a:t>Recognized</a:t>
          </a:r>
          <a:r>
            <a:rPr b="0" lang="en-US" sz="1100" spc="-1" strike="noStrike">
              <a:solidFill>
                <a:schemeClr val="dk1"/>
              </a:solidFill>
              <a:latin typeface="Calibri"/>
            </a:rPr>
            <a:t>"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Temperature Thresholds match their "</a:t>
          </a:r>
          <a:r>
            <a:rPr b="1" lang="en-US" sz="1100" spc="-1" strike="noStrike">
              <a:solidFill>
                <a:schemeClr val="dk1"/>
              </a:solidFill>
              <a:latin typeface="Calibri"/>
            </a:rPr>
            <a:t>Desired</a:t>
          </a:r>
          <a:r>
            <a:rPr b="0" lang="en-US" sz="1100" spc="-1" strike="noStrike">
              <a:solidFill>
                <a:schemeClr val="dk1"/>
              </a:solidFill>
              <a:latin typeface="Calibri"/>
            </a:rPr>
            <a:t>" Temperature Thresholds. For a more in-depth look into the Thermistor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Qualification, please look at the Thermistor Qualification tab. </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1" lang="en-US" sz="1100" spc="-1" strike="noStrike">
              <a:solidFill>
                <a:schemeClr val="dk1"/>
              </a:solidFill>
              <a:latin typeface="Calibri"/>
            </a:rPr>
            <a:t>Efficiency / Power Loss Analyzer</a:t>
          </a:r>
          <a:endParaRPr b="0" lang="de-DE" sz="1100" spc="-1" strike="noStrike">
            <a:latin typeface="Times New Roman"/>
          </a:endParaRPr>
        </a:p>
        <a:p>
          <a:pPr defTabSz="914400">
            <a:lnSpc>
              <a:spcPct val="100000"/>
            </a:lnSpc>
            <a:tabLst>
              <a:tab algn="l" pos="0"/>
            </a:tabLst>
          </a:pPr>
          <a:r>
            <a:rPr b="1" lang="en-US" sz="1100" spc="-1" strike="noStrike">
              <a:solidFill>
                <a:schemeClr val="dk1"/>
              </a:solidFill>
              <a:latin typeface="Calibri"/>
            </a:rPr>
            <a:t>     </a:t>
          </a:r>
          <a:r>
            <a:rPr b="0" lang="en-US" sz="1100" spc="-1" strike="noStrike">
              <a:solidFill>
                <a:schemeClr val="dk1"/>
              </a:solidFill>
              <a:latin typeface="Calibri"/>
            </a:rPr>
            <a:t>- </a:t>
          </a:r>
          <a:r>
            <a:rPr b="1" lang="en-US" sz="1100" spc="-1" strike="noStrike">
              <a:solidFill>
                <a:schemeClr val="dk1"/>
              </a:solidFill>
              <a:latin typeface="Calibri"/>
            </a:rPr>
            <a:t>NOTE: This tool is NOT an accurate representation of the actual efficiency that will be seen in real tests. The efficiency</a:t>
          </a:r>
          <a:endParaRPr b="0" lang="de-DE" sz="1100" spc="-1" strike="noStrike">
            <a:latin typeface="Times New Roman"/>
          </a:endParaRPr>
        </a:p>
        <a:p>
          <a:pPr defTabSz="914400">
            <a:lnSpc>
              <a:spcPct val="100000"/>
            </a:lnSpc>
            <a:tabLst>
              <a:tab algn="l" pos="0"/>
            </a:tabLst>
          </a:pPr>
          <a:r>
            <a:rPr b="1" lang="en-US" sz="1100" spc="-1" strike="noStrike">
              <a:solidFill>
                <a:schemeClr val="dk1"/>
              </a:solidFill>
              <a:latin typeface="Calibri"/>
            </a:rPr>
            <a:t>       </a:t>
          </a:r>
          <a:r>
            <a:rPr b="1" lang="en-US" sz="1100" spc="-1" strike="noStrike">
              <a:solidFill>
                <a:schemeClr val="dk1"/>
              </a:solidFill>
              <a:latin typeface="Calibri"/>
            </a:rPr>
            <a:t>plots are only for relative efficiency comparison of different components/design requirements. </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1" lang="en-US" sz="1100" spc="-1" strike="noStrike">
              <a:solidFill>
                <a:schemeClr val="dk1"/>
              </a:solidFill>
              <a:latin typeface="Calibri"/>
            </a:rPr>
            <a:t>     </a:t>
          </a:r>
          <a:r>
            <a:rPr b="0" lang="en-US" sz="1100" spc="-1" strike="noStrike">
              <a:solidFill>
                <a:schemeClr val="dk1"/>
              </a:solidFill>
              <a:latin typeface="Calibri"/>
            </a:rPr>
            <a:t>- This tool takes the user's inputs from the previous sections and plots the estimated efficiency and power loss curves. </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By default, the tool will plot the efficiency curves using the </a:t>
          </a:r>
          <a:r>
            <a:rPr b="1" lang="en-US" sz="1100" spc="-1" strike="noStrike">
              <a:solidFill>
                <a:schemeClr val="dk1"/>
              </a:solidFill>
              <a:latin typeface="Calibri"/>
            </a:rPr>
            <a:t>TI Recommended MOSFETs</a:t>
          </a:r>
          <a:r>
            <a:rPr b="0" lang="en-US" sz="1100" spc="-1" strike="noStrike">
              <a:solidFill>
                <a:schemeClr val="dk1"/>
              </a:solidFill>
              <a:latin typeface="Calibri"/>
            </a:rPr>
            <a:t>. But, if the user would like to see</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how other MOSFETs might compare to the </a:t>
          </a:r>
          <a:r>
            <a:rPr b="1" lang="en-US" sz="1100" spc="-1" strike="noStrike">
              <a:solidFill>
                <a:schemeClr val="dk1"/>
              </a:solidFill>
              <a:latin typeface="Calibri"/>
            </a:rPr>
            <a:t>TI Recommended MOSFETs</a:t>
          </a:r>
          <a:r>
            <a:rPr b="0" lang="en-US" sz="1100" spc="-1" strike="noStrike">
              <a:solidFill>
                <a:schemeClr val="dk1"/>
              </a:solidFill>
              <a:latin typeface="Calibri"/>
            </a:rPr>
            <a:t>, they can enter in the MOSFET's parameters in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the </a:t>
          </a:r>
          <a:r>
            <a:rPr b="1" lang="en-US" sz="1100" spc="-1" strike="noStrike">
              <a:solidFill>
                <a:schemeClr val="dk1"/>
              </a:solidFill>
              <a:latin typeface="Calibri"/>
            </a:rPr>
            <a:t>Custom Power MOSFETs </a:t>
          </a:r>
          <a:r>
            <a:rPr b="0" lang="en-US" sz="1100" spc="-1" strike="noStrike">
              <a:solidFill>
                <a:schemeClr val="dk1"/>
              </a:solidFill>
              <a:latin typeface="Calibri"/>
            </a:rPr>
            <a:t>section then select </a:t>
          </a:r>
          <a:r>
            <a:rPr b="1" lang="en-US" sz="1100" spc="-1" strike="noStrike">
              <a:solidFill>
                <a:schemeClr val="dk1"/>
              </a:solidFill>
              <a:latin typeface="Calibri"/>
            </a:rPr>
            <a:t>Compare</a:t>
          </a:r>
          <a:r>
            <a:rPr b="0" lang="en-US" sz="1100" spc="-1" strike="noStrike">
              <a:solidFill>
                <a:schemeClr val="dk1"/>
              </a:solidFill>
              <a:latin typeface="Calibri"/>
            </a:rPr>
            <a:t> for the </a:t>
          </a:r>
          <a:r>
            <a:rPr b="1" lang="en-US" sz="1100" spc="-1" strike="noStrike">
              <a:solidFill>
                <a:schemeClr val="dk1"/>
              </a:solidFill>
              <a:latin typeface="Calibri"/>
            </a:rPr>
            <a:t>MOSFET Selection </a:t>
          </a:r>
          <a:r>
            <a:rPr b="0" lang="en-US" sz="1100" spc="-1" strike="noStrike">
              <a:solidFill>
                <a:schemeClr val="dk1"/>
              </a:solidFill>
              <a:latin typeface="Calibri"/>
            </a:rPr>
            <a:t>in </a:t>
          </a:r>
          <a:r>
            <a:rPr b="1" lang="en-US" sz="1100" spc="-1" strike="noStrike">
              <a:solidFill>
                <a:schemeClr val="dk1"/>
              </a:solidFill>
              <a:latin typeface="Calibri"/>
            </a:rPr>
            <a:t>Step 12: Efficiency Calculation</a:t>
          </a:r>
          <a:endParaRPr b="0" lang="de-DE" sz="1100" spc="-1" strike="noStrike">
            <a:latin typeface="Times New Roman"/>
          </a:endParaRPr>
        </a:p>
        <a:p>
          <a:pPr defTabSz="914400">
            <a:lnSpc>
              <a:spcPct val="100000"/>
            </a:lnSpc>
            <a:tabLst>
              <a:tab algn="l" pos="0"/>
            </a:tabLst>
          </a:pPr>
          <a:r>
            <a:rPr b="1" lang="en-US" sz="1100" spc="-1" strike="noStrike">
              <a:solidFill>
                <a:schemeClr val="dk1"/>
              </a:solidFill>
              <a:latin typeface="Calibri"/>
            </a:rPr>
            <a:t>       </a:t>
          </a:r>
          <a:r>
            <a:rPr b="1" lang="en-US" sz="1100" spc="-1" strike="noStrike">
              <a:solidFill>
                <a:schemeClr val="dk1"/>
              </a:solidFill>
              <a:latin typeface="Calibri"/>
            </a:rPr>
            <a:t>Configuration</a:t>
          </a:r>
          <a:r>
            <a:rPr b="0" lang="en-US" sz="1100" spc="-1" strike="noStrike">
              <a:solidFill>
                <a:schemeClr val="dk1"/>
              </a:solidFill>
              <a:latin typeface="Calibri"/>
            </a:rPr>
            <a:t>. This will plot the efficiency and power loss curves using the TI Recommended MOSFET and the user's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Custom MOSFET. </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The user can chose to plot only the efficiency and power loss curves using TI Recommended MOSFET or only the Custom</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MOSFET by selecting TI Recommendation or Custom for the MOSFET Selection respectively in Step 12. </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BQ25756 allows the user to use their own gate drive voltage. To plot the efficiency curves using a custom gate drive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voltage, the user will need to enter their </a:t>
          </a:r>
          <a:r>
            <a:rPr b="1" lang="en-US" sz="1100" spc="-1" strike="noStrike">
              <a:solidFill>
                <a:schemeClr val="dk1"/>
              </a:solidFill>
              <a:latin typeface="Calibri"/>
            </a:rPr>
            <a:t>Custom Gate Drive Voltage</a:t>
          </a:r>
          <a:r>
            <a:rPr b="0" lang="en-US" sz="1100" spc="-1" strike="noStrike">
              <a:solidFill>
                <a:schemeClr val="dk1"/>
              </a:solidFill>
              <a:latin typeface="Calibri"/>
            </a:rPr>
            <a:t> in </a:t>
          </a:r>
          <a:r>
            <a:rPr b="1" lang="en-US" sz="1100" spc="-1" strike="noStrike">
              <a:solidFill>
                <a:schemeClr val="dk1"/>
              </a:solidFill>
              <a:latin typeface="Calibri"/>
            </a:rPr>
            <a:t>Step 11</a:t>
          </a:r>
          <a:r>
            <a:rPr b="0" lang="en-US" sz="1100" spc="-1" strike="noStrike">
              <a:solidFill>
                <a:schemeClr val="dk1"/>
              </a:solidFill>
              <a:latin typeface="Calibri"/>
            </a:rPr>
            <a:t>, then enter the </a:t>
          </a:r>
          <a:r>
            <a:rPr b="1" lang="en-US" sz="1100" spc="-1" strike="noStrike">
              <a:solidFill>
                <a:schemeClr val="dk1"/>
              </a:solidFill>
              <a:latin typeface="Calibri"/>
            </a:rPr>
            <a:t>On-State Resistance </a:t>
          </a:r>
          <a:r>
            <a:rPr b="0" lang="en-US" sz="1100" spc="-1" strike="noStrike">
              <a:solidFill>
                <a:schemeClr val="dk1"/>
              </a:solidFill>
              <a:latin typeface="Calibri"/>
            </a:rPr>
            <a:t>and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1" lang="en-US" sz="1100" spc="-1" strike="noStrike">
              <a:solidFill>
                <a:schemeClr val="dk1"/>
              </a:solidFill>
              <a:latin typeface="Calibri"/>
            </a:rPr>
            <a:t>Gate Charge </a:t>
          </a:r>
          <a:r>
            <a:rPr b="0" lang="en-US" sz="1100" spc="-1" strike="noStrike">
              <a:solidFill>
                <a:schemeClr val="dk1"/>
              </a:solidFill>
              <a:latin typeface="Calibri"/>
            </a:rPr>
            <a:t>for the </a:t>
          </a:r>
          <a:r>
            <a:rPr b="1" lang="en-US" sz="1100" spc="-1" strike="noStrike">
              <a:solidFill>
                <a:schemeClr val="dk1"/>
              </a:solidFill>
              <a:latin typeface="Calibri"/>
            </a:rPr>
            <a:t>Custom MOSFET </a:t>
          </a:r>
          <a:r>
            <a:rPr b="0" lang="en-US" sz="1100" spc="-1" strike="noStrike">
              <a:solidFill>
                <a:schemeClr val="dk1"/>
              </a:solidFill>
              <a:latin typeface="Calibri"/>
            </a:rPr>
            <a:t>that they will be using. The user will then need to select their </a:t>
          </a:r>
          <a:r>
            <a:rPr b="1" lang="en-US" sz="1100" spc="-1" strike="noStrike">
              <a:solidFill>
                <a:schemeClr val="dk1"/>
              </a:solidFill>
              <a:latin typeface="Calibri"/>
            </a:rPr>
            <a:t>Custom Gate Drive </a:t>
          </a:r>
          <a:endParaRPr b="0" lang="de-DE" sz="1100" spc="-1" strike="noStrike">
            <a:latin typeface="Times New Roman"/>
          </a:endParaRPr>
        </a:p>
        <a:p>
          <a:pPr defTabSz="914400">
            <a:lnSpc>
              <a:spcPct val="100000"/>
            </a:lnSpc>
            <a:tabLst>
              <a:tab algn="l" pos="0"/>
            </a:tabLst>
          </a:pPr>
          <a:r>
            <a:rPr b="1" lang="en-US" sz="1100" spc="-1" strike="noStrike">
              <a:solidFill>
                <a:schemeClr val="dk1"/>
              </a:solidFill>
              <a:latin typeface="Calibri"/>
            </a:rPr>
            <a:t>       </a:t>
          </a:r>
          <a:r>
            <a:rPr b="1" lang="en-US" sz="1100" spc="-1" strike="noStrike">
              <a:solidFill>
                <a:schemeClr val="dk1"/>
              </a:solidFill>
              <a:latin typeface="Calibri"/>
            </a:rPr>
            <a:t>Voltage </a:t>
          </a:r>
          <a:r>
            <a:rPr b="0" lang="en-US" sz="1100" spc="-1" strike="noStrike">
              <a:solidFill>
                <a:schemeClr val="dk1"/>
              </a:solidFill>
              <a:latin typeface="Calibri"/>
            </a:rPr>
            <a:t>in </a:t>
          </a:r>
          <a:r>
            <a:rPr b="1" lang="en-US" sz="1100" spc="-1" strike="noStrike">
              <a:solidFill>
                <a:schemeClr val="dk1"/>
              </a:solidFill>
              <a:latin typeface="Calibri"/>
            </a:rPr>
            <a:t>Step 12</a:t>
          </a:r>
          <a:r>
            <a:rPr b="0" lang="en-US" sz="1100" spc="-1" strike="noStrike">
              <a:solidFill>
                <a:schemeClr val="dk1"/>
              </a:solidFill>
              <a:latin typeface="Calibri"/>
            </a:rPr>
            <a:t>.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a:t>
          </a:r>
          <a:r>
            <a:rPr b="1" lang="en-US" sz="1100" spc="-1" strike="noStrike">
              <a:solidFill>
                <a:schemeClr val="dk1"/>
              </a:solidFill>
              <a:latin typeface="Calibri"/>
            </a:rPr>
            <a:t>NOTE</a:t>
          </a:r>
          <a:r>
            <a:rPr b="0" lang="en-US" sz="1100" spc="-1" strike="noStrike">
              <a:solidFill>
                <a:schemeClr val="dk1"/>
              </a:solidFill>
              <a:latin typeface="Calibri"/>
            </a:rPr>
            <a:t>: Most MOSFET datasheets only provide the </a:t>
          </a:r>
          <a:r>
            <a:rPr b="1" lang="en-US" sz="1100" spc="-1" strike="noStrike">
              <a:solidFill>
                <a:schemeClr val="dk1"/>
              </a:solidFill>
              <a:latin typeface="Calibri"/>
            </a:rPr>
            <a:t>On-State Resistance </a:t>
          </a:r>
          <a:r>
            <a:rPr b="0" lang="en-US" sz="1100" spc="-1" strike="noStrike">
              <a:solidFill>
                <a:schemeClr val="dk1"/>
              </a:solidFill>
              <a:latin typeface="Calibri"/>
            </a:rPr>
            <a:t>and </a:t>
          </a:r>
          <a:r>
            <a:rPr b="1" lang="en-US" sz="1100" spc="-1" strike="noStrike">
              <a:solidFill>
                <a:schemeClr val="dk1"/>
              </a:solidFill>
              <a:latin typeface="Calibri"/>
            </a:rPr>
            <a:t>Gate Charge </a:t>
          </a:r>
          <a:r>
            <a:rPr b="0" lang="en-US" sz="1100" spc="-1" strike="noStrike">
              <a:solidFill>
                <a:schemeClr val="dk1"/>
              </a:solidFill>
              <a:latin typeface="Calibri"/>
            </a:rPr>
            <a:t>parameters for a Gate Drive</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Voltage of 4.5 V and 10 V. If the user decides to use their own custom gate drive voltage, they will need to get the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1" lang="en-US" sz="1100" spc="-1" strike="noStrike">
              <a:solidFill>
                <a:schemeClr val="dk1"/>
              </a:solidFill>
              <a:latin typeface="Calibri"/>
            </a:rPr>
            <a:t>On-State Resistance </a:t>
          </a:r>
          <a:r>
            <a:rPr b="0" lang="en-US" sz="1100" spc="-1" strike="noStrike">
              <a:solidFill>
                <a:schemeClr val="dk1"/>
              </a:solidFill>
              <a:latin typeface="Calibri"/>
            </a:rPr>
            <a:t>and </a:t>
          </a:r>
          <a:r>
            <a:rPr b="1" lang="en-US" sz="1100" spc="-1" strike="noStrike">
              <a:solidFill>
                <a:schemeClr val="dk1"/>
              </a:solidFill>
              <a:latin typeface="Calibri"/>
            </a:rPr>
            <a:t>Gate Charge </a:t>
          </a:r>
          <a:r>
            <a:rPr b="0" lang="en-US" sz="1100" spc="-1" strike="noStrike">
              <a:solidFill>
                <a:schemeClr val="dk1"/>
              </a:solidFill>
              <a:latin typeface="Calibri"/>
            </a:rPr>
            <a:t>parameters for that given gate drive voltage from the manufacturer or by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measuring those parameters themselves. Furthermore, since all of the different gate drive voltages for TI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recommended MOSFETs are not available, the tool </a:t>
          </a:r>
          <a:r>
            <a:rPr b="1" lang="en-US" sz="1100" spc="-1" strike="noStrike">
              <a:solidFill>
                <a:schemeClr val="dk1"/>
              </a:solidFill>
              <a:latin typeface="Calibri"/>
            </a:rPr>
            <a:t>can not </a:t>
          </a:r>
          <a:r>
            <a:rPr b="0" lang="en-US" sz="1100" spc="-1" strike="noStrike">
              <a:solidFill>
                <a:schemeClr val="dk1"/>
              </a:solidFill>
              <a:latin typeface="Calibri"/>
            </a:rPr>
            <a:t>plot the efficiency and power loss curves with the user's </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custom gate drive voltage. </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 The Efficiency and Power Loss Tool also allows the user to save the current efficiency and power loss curves. To save the</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current efficiency and power loss curves, the user will need to select </a:t>
          </a:r>
          <a:r>
            <a:rPr b="1" lang="en-US" sz="1100" spc="-1" strike="noStrike">
              <a:solidFill>
                <a:schemeClr val="dk1"/>
              </a:solidFill>
              <a:latin typeface="Calibri"/>
            </a:rPr>
            <a:t>Save</a:t>
          </a:r>
          <a:r>
            <a:rPr b="0" lang="en-US" sz="1100" spc="-1" strike="noStrike">
              <a:solidFill>
                <a:schemeClr val="dk1"/>
              </a:solidFill>
              <a:latin typeface="Calibri"/>
            </a:rPr>
            <a:t> for the </a:t>
          </a:r>
          <a:r>
            <a:rPr b="1" lang="en-US" sz="1100" spc="-1" strike="noStrike">
              <a:solidFill>
                <a:schemeClr val="dk1"/>
              </a:solidFill>
              <a:latin typeface="Calibri"/>
            </a:rPr>
            <a:t>Save Button</a:t>
          </a:r>
          <a:r>
            <a:rPr b="0" lang="en-US" sz="1100" spc="-1" strike="noStrike">
              <a:solidFill>
                <a:schemeClr val="dk1"/>
              </a:solidFill>
              <a:latin typeface="Calibri"/>
            </a:rPr>
            <a:t> in </a:t>
          </a:r>
          <a:r>
            <a:rPr b="1" lang="en-US" sz="1100" spc="-1" strike="noStrike">
              <a:solidFill>
                <a:schemeClr val="dk1"/>
              </a:solidFill>
              <a:latin typeface="Calibri"/>
            </a:rPr>
            <a:t>Step 12</a:t>
          </a:r>
          <a:r>
            <a:rPr b="0" lang="en-US" sz="1100" spc="-1" strike="noStrike">
              <a:solidFill>
                <a:schemeClr val="dk1"/>
              </a:solidFill>
              <a:latin typeface="Calibri"/>
            </a:rPr>
            <a:t>. To clear the</a:t>
          </a:r>
          <a:endParaRPr b="0" lang="de-DE" sz="1100" spc="-1" strike="noStrike">
            <a:latin typeface="Times New Roman"/>
          </a:endParaRPr>
        </a:p>
        <a:p>
          <a:pPr defTabSz="914400">
            <a:lnSpc>
              <a:spcPct val="100000"/>
            </a:lnSpc>
            <a:tabLst>
              <a:tab algn="l" pos="0"/>
            </a:tabLst>
          </a:pPr>
          <a:r>
            <a:rPr b="0" lang="en-US" sz="1100" spc="-1" strike="noStrike">
              <a:solidFill>
                <a:schemeClr val="dk1"/>
              </a:solidFill>
              <a:latin typeface="Calibri"/>
            </a:rPr>
            <a:t>        </a:t>
          </a:r>
          <a:r>
            <a:rPr b="0" lang="en-US" sz="1100" spc="-1" strike="noStrike">
              <a:solidFill>
                <a:schemeClr val="dk1"/>
              </a:solidFill>
              <a:latin typeface="Calibri"/>
            </a:rPr>
            <a:t>saved curves, the user will need to select </a:t>
          </a:r>
          <a:r>
            <a:rPr b="1" lang="en-US" sz="1100" spc="-1" strike="noStrike">
              <a:solidFill>
                <a:schemeClr val="dk1"/>
              </a:solidFill>
              <a:latin typeface="Calibri"/>
            </a:rPr>
            <a:t>Clear Save </a:t>
          </a:r>
          <a:r>
            <a:rPr b="0" lang="en-US" sz="1100" spc="-1" strike="noStrike">
              <a:solidFill>
                <a:schemeClr val="dk1"/>
              </a:solidFill>
              <a:latin typeface="Calibri"/>
            </a:rPr>
            <a:t>for the </a:t>
          </a:r>
          <a:r>
            <a:rPr b="1" lang="en-US" sz="1100" spc="-1" strike="noStrike">
              <a:solidFill>
                <a:schemeClr val="dk1"/>
              </a:solidFill>
              <a:latin typeface="Calibri"/>
            </a:rPr>
            <a:t>Save Button </a:t>
          </a:r>
          <a:r>
            <a:rPr b="0" lang="en-US" sz="1100" spc="-1" strike="noStrike">
              <a:solidFill>
                <a:schemeClr val="dk1"/>
              </a:solidFill>
              <a:latin typeface="Calibri"/>
            </a:rPr>
            <a:t>in </a:t>
          </a:r>
          <a:r>
            <a:rPr b="1" lang="en-US" sz="1100" spc="-1" strike="noStrike">
              <a:solidFill>
                <a:schemeClr val="dk1"/>
              </a:solidFill>
              <a:latin typeface="Calibri"/>
            </a:rPr>
            <a:t>Step 12</a:t>
          </a:r>
          <a:r>
            <a:rPr b="0" lang="en-US" sz="1100" spc="-1" strike="noStrike">
              <a:solidFill>
                <a:schemeClr val="dk1"/>
              </a:solidFill>
              <a:latin typeface="Calibri"/>
            </a:rPr>
            <a:t>.</a:t>
          </a: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a:p>
          <a:pPr defTabSz="914400">
            <a:lnSpc>
              <a:spcPct val="100000"/>
            </a:lnSpc>
            <a:tabLst>
              <a:tab algn="l" pos="0"/>
            </a:tabLst>
          </a:pPr>
          <a:endParaRPr b="0" lang="de-DE" sz="1100" spc="-1" strike="noStrike">
            <a:latin typeface="Times New Roman"/>
          </a:endParaRPr>
        </a:p>
      </xdr:txBody>
    </xdr:sp>
    <xdr:clientData/>
  </xdr:twoCellAnchor>
</xdr:wsDr>
</file>

<file path=xl/drawings/drawing2.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0.764695771742867</cdr:x>
      <cdr:y>0.870909090909091</cdr:y>
    </cdr:from>
    <cdr:to>
      <cdr:x>0.889674286696459</cdr:x>
      <cdr:y>0.983465909090909</cdr:y>
    </cdr:to>
    <cdr:sp>
      <cdr:nvSpPr>
        <cdr:cNvPr id="4" name="TextBox 1"/>
        <cdr:cNvSpPr/>
      </cdr:nvSpPr>
      <cdr:spPr>
        <a:xfrm>
          <a:off x="12813120" y="5518080"/>
          <a:ext cx="2094120" cy="713160"/>
        </a:xfrm>
        <a:prstGeom prst="rect">
          <a:avLst/>
        </a:prstGeom>
        <a:noFill/>
        <a:ln w="0">
          <a:noFill/>
        </a:ln>
      </cdr:spPr>
      <cdr:style>
        <a:lnRef idx="0"/>
        <a:fillRef idx="0"/>
        <a:effectRef idx="0"/>
        <a:fontRef idx="minor"/>
      </cdr:style>
      <cdr:txBody>
        <a:bodyPr wrap="none" vertOverflow="clip" lIns="90000" rIns="90000" tIns="45000" bIns="45000" anchor="ctr">
          <a:noAutofit/>
        </a:bodyPr>
        <a:p>
          <a:pPr algn="ctr">
            <a:lnSpc>
              <a:spcPct val="100000"/>
            </a:lnSpc>
          </a:pPr>
          <a:r>
            <a:rPr b="1" lang="en-US" sz="2400" spc="-1" strike="noStrike">
              <a:latin typeface="Times New Roman"/>
            </a:rPr>
            <a:t>V</a:t>
          </a:r>
          <a:r>
            <a:rPr b="1" lang="en-US" sz="2400" spc="-1" strike="noStrike" baseline="-25000">
              <a:latin typeface="Times New Roman"/>
            </a:rPr>
            <a:t>AC</a:t>
          </a:r>
          <a:r>
            <a:rPr b="1" lang="en-US" sz="2400" spc="-1" strike="noStrike">
              <a:latin typeface="Times New Roman"/>
            </a:rPr>
            <a:t> = V</a:t>
          </a:r>
          <a:r>
            <a:rPr b="1" lang="en-US" sz="2400" spc="-1" strike="noStrike" baseline="-25000">
              <a:latin typeface="Times New Roman"/>
            </a:rPr>
            <a:t>AC(nom)</a:t>
          </a:r>
          <a:r>
            <a:rPr b="1" lang="en-US" sz="2400" spc="-1" strike="noStrike">
              <a:latin typeface="Times New Roman"/>
            </a:rPr>
            <a:t> =</a:t>
          </a:r>
          <a:endParaRPr b="0" sz="2400" spc="-1" strike="noStrike">
            <a:latin typeface="Times New Roman"/>
          </a:endParaRPr>
        </a:p>
      </cdr:txBody>
    </cdr:sp>
  </cdr:relSizeAnchor>
  <cdr:relSizeAnchor>
    <cdr:from>
      <cdr:x>0.894873667927123</cdr:x>
      <cdr:y>0.887386363636364</cdr:y>
    </cdr:from>
    <cdr:to>
      <cdr:x>0.965559470608457</cdr:x>
      <cdr:y>0.954261363636364</cdr:y>
    </cdr:to>
    <cdr:sp>
      <cdr:nvSpPr>
        <cdr:cNvPr id="5" name="TextBox 2"/>
        <cdr:cNvSpPr/>
      </cdr:nvSpPr>
      <cdr:spPr>
        <a:xfrm>
          <a:off x="14994360" y="5622480"/>
          <a:ext cx="1184400" cy="423720"/>
        </a:xfrm>
        <a:prstGeom prst="rect">
          <a:avLst/>
        </a:prstGeom>
        <a:noFill/>
        <a:ln w="0">
          <a:noFill/>
        </a:ln>
      </cdr:spPr>
      <cdr:style>
        <a:lnRef idx="0"/>
        <a:fillRef idx="0"/>
        <a:effectRef idx="0"/>
        <a:fontRef idx="minor"/>
      </cdr:style>
      <cdr:txBody>
        <a:bodyPr vertOverflow="clip" lIns="90000" rIns="90000" tIns="45000" bIns="45000" anchor="t">
          <a:noAutofit/>
        </a:bodyPr>
        <a:p>
          <a:pPr>
            <a:lnSpc>
              <a:spcPct val="100000"/>
            </a:lnSpc>
          </a:pPr>
          <a:r>
            <a:rPr b="1" lang="en-US" sz="2400" spc="-1" strike="noStrike">
              <a:solidFill>
                <a:srgbClr val="000000"/>
              </a:solidFill>
              <a:latin typeface="Calibri"/>
            </a:rPr>
            <a:t>12 V</a:t>
          </a:r>
          <a:endParaRPr b="0" sz="2400" spc="-1" strike="noStrike">
            <a:latin typeface="Times New Roman"/>
          </a:endParaRPr>
        </a:p>
      </cdr:txBody>
    </cdr:sp>
  </cdr:relSizeAnchor>
  <cdr:relSizeAnchor>
    <cdr:from>
      <cdr:x>0.567720866277071</cdr:x>
      <cdr:y>0.864545454545455</cdr:y>
    </cdr:from>
    <cdr:to>
      <cdr:x>0.634367480233757</cdr:x>
      <cdr:y>0.977102272727273</cdr:y>
    </cdr:to>
    <cdr:sp>
      <cdr:nvSpPr>
        <cdr:cNvPr id="6" name="TextBox 1"/>
        <cdr:cNvSpPr/>
      </cdr:nvSpPr>
      <cdr:spPr>
        <a:xfrm>
          <a:off x="9512640" y="5477760"/>
          <a:ext cx="1116720" cy="713160"/>
        </a:xfrm>
        <a:prstGeom prst="rect">
          <a:avLst/>
        </a:prstGeom>
        <a:noFill/>
        <a:ln w="0">
          <a:no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1" lang="en-US" sz="2400" spc="-1" strike="noStrike">
              <a:latin typeface="Calibri"/>
            </a:rPr>
            <a:t>V</a:t>
          </a:r>
          <a:r>
            <a:rPr b="1" lang="en-US" sz="2400" spc="-1" strike="noStrike" baseline="-25000">
              <a:latin typeface="Calibri"/>
            </a:rPr>
            <a:t>BAT</a:t>
          </a:r>
          <a:r>
            <a:rPr b="1" lang="en-US" sz="2400" spc="-1" strike="noStrike">
              <a:latin typeface="Calibri"/>
            </a:rPr>
            <a:t> = </a:t>
          </a:r>
          <a:endParaRPr b="0" sz="2400" spc="-1" strike="noStrike">
            <a:latin typeface="Times New Roman"/>
          </a:endParaRPr>
        </a:p>
      </cdr:txBody>
    </cdr:sp>
  </cdr:relSizeAnchor>
  <cdr:relSizeAnchor>
    <cdr:from>
      <cdr:x>0.628845823306978</cdr:x>
      <cdr:y>0.884772727272727</cdr:y>
    </cdr:from>
    <cdr:to>
      <cdr:x>0.699531625988312</cdr:x>
      <cdr:y>0.951647727272727</cdr:y>
    </cdr:to>
    <cdr:sp>
      <cdr:nvSpPr>
        <cdr:cNvPr id="7" name="TextBox 1"/>
        <cdr:cNvSpPr/>
      </cdr:nvSpPr>
      <cdr:spPr>
        <a:xfrm>
          <a:off x="10536840" y="5605920"/>
          <a:ext cx="1184400" cy="42372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1" lang="en-US" sz="2400" spc="-1" strike="noStrike">
              <a:solidFill>
                <a:srgbClr val="000000"/>
              </a:solidFill>
              <a:latin typeface="Calibri"/>
            </a:rPr>
            <a:t>21 V</a:t>
          </a:r>
          <a:endParaRPr b="0" sz="2400" spc="-1" strike="noStrike">
            <a:latin typeface="Times New Roman"/>
          </a:endParaRPr>
        </a:p>
      </cdr:txBody>
    </cdr:sp>
  </cdr:relSizeAnchor>
</c:userShape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85680</xdr:colOff>
      <xdr:row>0</xdr:row>
      <xdr:rowOff>57240</xdr:rowOff>
    </xdr:from>
    <xdr:to>
      <xdr:col>3</xdr:col>
      <xdr:colOff>205920</xdr:colOff>
      <xdr:row>0</xdr:row>
      <xdr:rowOff>531720</xdr:rowOff>
    </xdr:to>
    <xdr:pic>
      <xdr:nvPicPr>
        <xdr:cNvPr id="50" name="Picture 4" descr=""/>
        <xdr:cNvPicPr/>
      </xdr:nvPicPr>
      <xdr:blipFill>
        <a:blip r:embed="rId1"/>
        <a:stretch/>
      </xdr:blipFill>
      <xdr:spPr>
        <a:xfrm>
          <a:off x="85680" y="57240"/>
          <a:ext cx="3699720" cy="474480"/>
        </a:xfrm>
        <a:prstGeom prst="rect">
          <a:avLst/>
        </a:prstGeom>
        <a:ln w="0">
          <a:noFill/>
        </a:ln>
      </xdr:spPr>
    </xdr:pic>
    <xdr:clientData/>
  </xdr:twoCellAnchor>
  <xdr:twoCellAnchor editAs="oneCell">
    <xdr:from>
      <xdr:col>9</xdr:col>
      <xdr:colOff>488160</xdr:colOff>
      <xdr:row>5</xdr:row>
      <xdr:rowOff>6480</xdr:rowOff>
    </xdr:from>
    <xdr:to>
      <xdr:col>18</xdr:col>
      <xdr:colOff>446400</xdr:colOff>
      <xdr:row>45</xdr:row>
      <xdr:rowOff>61200</xdr:rowOff>
    </xdr:to>
    <xdr:graphicFrame>
      <xdr:nvGraphicFramePr>
        <xdr:cNvPr id="51" name="Chart 8"/>
        <xdr:cNvGraphicFramePr/>
      </xdr:nvGraphicFramePr>
      <xdr:xfrm>
        <a:off x="8521560" y="1368720"/>
        <a:ext cx="6147720" cy="3178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12</xdr:col>
      <xdr:colOff>438120</xdr:colOff>
      <xdr:row>46</xdr:row>
      <xdr:rowOff>68040</xdr:rowOff>
    </xdr:from>
    <xdr:to>
      <xdr:col>24</xdr:col>
      <xdr:colOff>272520</xdr:colOff>
      <xdr:row>71</xdr:row>
      <xdr:rowOff>38880</xdr:rowOff>
    </xdr:to>
    <xdr:sp>
      <xdr:nvSpPr>
        <xdr:cNvPr id="57" name="TextBox 1"/>
        <xdr:cNvSpPr/>
      </xdr:nvSpPr>
      <xdr:spPr>
        <a:xfrm>
          <a:off x="10534680" y="4762440"/>
          <a:ext cx="8471520" cy="5177880"/>
        </a:xfrm>
        <a:prstGeom prst="rect">
          <a:avLst/>
        </a:prstGeom>
        <a:solidFill>
          <a:srgbClr val="ffe699"/>
        </a:solidFill>
        <a:ln w="28575">
          <a:solidFill>
            <a:srgbClr val="000000"/>
          </a:solidFill>
          <a:round/>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100" spc="-1" strike="noStrike">
              <a:solidFill>
                <a:schemeClr val="dk1"/>
              </a:solidFill>
              <a:latin typeface="Calibri"/>
            </a:rPr>
            <a:t>How to use Thermistor Qualification tool</a:t>
          </a:r>
          <a:endParaRPr b="0" lang="de-DE" sz="1100" spc="-1" strike="noStrike">
            <a:latin typeface="Times New Roman"/>
          </a:endParaRPr>
        </a:p>
        <a:p>
          <a:pPr algn="ctr">
            <a:lnSpc>
              <a:spcPct val="100000"/>
            </a:lnSpc>
          </a:pPr>
          <a:endParaRPr b="0" lang="de-DE" sz="1100" spc="-1" strike="noStrike">
            <a:latin typeface="Times New Roman"/>
          </a:endParaRPr>
        </a:p>
        <a:p>
          <a:pPr>
            <a:lnSpc>
              <a:spcPct val="100000"/>
            </a:lnSpc>
          </a:pPr>
          <a:r>
            <a:rPr b="0" lang="en-US" sz="1100" spc="-1" strike="noStrike">
              <a:solidFill>
                <a:schemeClr val="dk1"/>
              </a:solidFill>
              <a:latin typeface="Calibri"/>
            </a:rPr>
            <a:t>1. Enter </a:t>
          </a:r>
          <a:r>
            <a:rPr b="1" lang="en-US" sz="1100" spc="-1" strike="noStrike">
              <a:solidFill>
                <a:schemeClr val="dk1"/>
              </a:solidFill>
              <a:latin typeface="Calibri"/>
            </a:rPr>
            <a:t>Selected Temperature Thresholds </a:t>
          </a:r>
          <a:r>
            <a:rPr b="0" lang="en-US" sz="1100" spc="-1" strike="noStrike">
              <a:solidFill>
                <a:schemeClr val="dk1"/>
              </a:solidFill>
              <a:latin typeface="Calibri"/>
            </a:rPr>
            <a:t>in the </a:t>
          </a:r>
          <a:r>
            <a:rPr b="1" lang="en-US" sz="1100" spc="-1" strike="noStrike">
              <a:solidFill>
                <a:schemeClr val="dk1"/>
              </a:solidFill>
              <a:latin typeface="Calibri"/>
            </a:rPr>
            <a:t>Thermistor Qualification </a:t>
          </a:r>
          <a:r>
            <a:rPr b="0" lang="en-US" sz="1100" spc="-1" strike="noStrike">
              <a:solidFill>
                <a:schemeClr val="dk1"/>
              </a:solidFill>
              <a:latin typeface="Calibri"/>
            </a:rPr>
            <a:t>Section.</a:t>
          </a:r>
          <a:endParaRPr b="0" lang="de-DE" sz="1100" spc="-1" strike="noStrike">
            <a:latin typeface="Times New Roman"/>
          </a:endParaRPr>
        </a:p>
        <a:p>
          <a:pPr>
            <a:lnSpc>
              <a:spcPct val="100000"/>
            </a:lnSpc>
          </a:pPr>
          <a:endParaRPr b="0" lang="de-DE" sz="1100" spc="-1" strike="noStrike">
            <a:latin typeface="Times New Roman"/>
          </a:endParaRPr>
        </a:p>
        <a:p>
          <a:pPr>
            <a:lnSpc>
              <a:spcPct val="100000"/>
            </a:lnSpc>
          </a:pPr>
          <a:r>
            <a:rPr b="0" lang="en-US" sz="1100" spc="-1" strike="noStrike">
              <a:solidFill>
                <a:schemeClr val="dk1"/>
              </a:solidFill>
              <a:latin typeface="Calibri"/>
            </a:rPr>
            <a:t>2. Enter </a:t>
          </a:r>
          <a:r>
            <a:rPr b="1" lang="en-US" sz="1100" spc="-1" strike="noStrike">
              <a:solidFill>
                <a:schemeClr val="dk1"/>
              </a:solidFill>
              <a:latin typeface="Calibri"/>
            </a:rPr>
            <a:t>Thermistor Resistance Profile </a:t>
          </a:r>
          <a:r>
            <a:rPr b="0" lang="en-US" sz="1100" spc="-1" strike="noStrike">
              <a:solidFill>
                <a:schemeClr val="dk1"/>
              </a:solidFill>
              <a:latin typeface="Calibri"/>
            </a:rPr>
            <a:t>data.</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 The </a:t>
          </a:r>
          <a:r>
            <a:rPr b="1" lang="en-US" sz="1100" spc="-1" strike="noStrike">
              <a:solidFill>
                <a:schemeClr val="dk1"/>
              </a:solidFill>
              <a:latin typeface="Calibri"/>
            </a:rPr>
            <a:t>whole</a:t>
          </a:r>
          <a:r>
            <a:rPr b="0" lang="en-US" sz="1100" spc="-1" strike="noStrike">
              <a:solidFill>
                <a:schemeClr val="dk1"/>
              </a:solidFill>
              <a:latin typeface="Calibri"/>
            </a:rPr>
            <a:t> table needs to be filled in or the tool </a:t>
          </a:r>
          <a:r>
            <a:rPr b="1" lang="en-US" sz="1100" spc="-1" strike="noStrike">
              <a:solidFill>
                <a:schemeClr val="dk1"/>
              </a:solidFill>
              <a:latin typeface="Calibri"/>
            </a:rPr>
            <a:t>will not </a:t>
          </a:r>
          <a:r>
            <a:rPr b="0" lang="en-US" sz="1100" spc="-1" strike="noStrike">
              <a:solidFill>
                <a:schemeClr val="dk1"/>
              </a:solidFill>
              <a:latin typeface="Calibri"/>
            </a:rPr>
            <a:t>be able to do it's calculations.</a:t>
          </a:r>
          <a:endParaRPr b="0" lang="de-DE" sz="1100" spc="-1" strike="noStrike">
            <a:latin typeface="Times New Roman"/>
          </a:endParaRPr>
        </a:p>
        <a:p>
          <a:pPr>
            <a:lnSpc>
              <a:spcPct val="100000"/>
            </a:lnSpc>
          </a:pPr>
          <a:r>
            <a:rPr b="0" lang="en-US" sz="1100" spc="-1" strike="noStrike">
              <a:solidFill>
                <a:schemeClr val="dk1"/>
              </a:solidFill>
              <a:latin typeface="Calibri"/>
            </a:rPr>
            <a:t> </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 If the thermistor datasheet does not have all the Min, Typ, and Max data to fill in the whole table, we recommend</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contacting the manufacturer for this data. </a:t>
          </a:r>
          <a:endParaRPr b="0" lang="de-DE" sz="1100" spc="-1" strike="noStrike">
            <a:latin typeface="Times New Roman"/>
          </a:endParaRPr>
        </a:p>
        <a:p>
          <a:pPr>
            <a:lnSpc>
              <a:spcPct val="100000"/>
            </a:lnSpc>
          </a:pP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 The </a:t>
          </a:r>
          <a:r>
            <a:rPr b="1" lang="en-US" sz="1100" spc="-1" strike="noStrike">
              <a:solidFill>
                <a:schemeClr val="dk1"/>
              </a:solidFill>
              <a:latin typeface="Calibri"/>
            </a:rPr>
            <a:t>Tolerance</a:t>
          </a:r>
          <a:r>
            <a:rPr b="0" lang="en-US" sz="1100" spc="-1" strike="noStrike">
              <a:solidFill>
                <a:schemeClr val="dk1"/>
              </a:solidFill>
              <a:latin typeface="Calibri"/>
            </a:rPr>
            <a:t> column is </a:t>
          </a:r>
          <a:r>
            <a:rPr b="1" lang="en-US" sz="1100" spc="-1" strike="noStrike">
              <a:solidFill>
                <a:schemeClr val="dk1"/>
              </a:solidFill>
              <a:latin typeface="Calibri"/>
            </a:rPr>
            <a:t>not</a:t>
          </a:r>
          <a:r>
            <a:rPr b="0" lang="en-US" sz="1100" spc="-1" strike="noStrike">
              <a:solidFill>
                <a:schemeClr val="dk1"/>
              </a:solidFill>
              <a:latin typeface="Calibri"/>
            </a:rPr>
            <a:t> necessary for the Thermistor Qualification tool's calculations, but it can be useful for entering</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in the </a:t>
          </a:r>
          <a:r>
            <a:rPr b="1" lang="en-US" sz="1100" spc="-1" strike="noStrike">
              <a:solidFill>
                <a:schemeClr val="dk1"/>
              </a:solidFill>
              <a:latin typeface="Calibri"/>
            </a:rPr>
            <a:t>Min</a:t>
          </a:r>
          <a:r>
            <a:rPr b="0" lang="en-US" sz="1100" spc="-1" strike="noStrike">
              <a:solidFill>
                <a:schemeClr val="dk1"/>
              </a:solidFill>
              <a:latin typeface="Calibri"/>
            </a:rPr>
            <a:t>, </a:t>
          </a:r>
          <a:r>
            <a:rPr b="1" lang="en-US" sz="1100" spc="-1" strike="noStrike">
              <a:solidFill>
                <a:schemeClr val="dk1"/>
              </a:solidFill>
              <a:latin typeface="Calibri"/>
            </a:rPr>
            <a:t>Typ</a:t>
          </a:r>
          <a:r>
            <a:rPr b="0" lang="en-US" sz="1100" spc="-1" strike="noStrike">
              <a:solidFill>
                <a:schemeClr val="dk1"/>
              </a:solidFill>
              <a:latin typeface="Calibri"/>
            </a:rPr>
            <a:t>, and </a:t>
          </a:r>
          <a:r>
            <a:rPr b="1" lang="en-US" sz="1100" spc="-1" strike="noStrike">
              <a:solidFill>
                <a:schemeClr val="dk1"/>
              </a:solidFill>
              <a:latin typeface="Calibri"/>
            </a:rPr>
            <a:t>Max</a:t>
          </a:r>
          <a:r>
            <a:rPr b="0" lang="en-US" sz="1100" spc="-1" strike="noStrike">
              <a:solidFill>
                <a:schemeClr val="dk1"/>
              </a:solidFill>
              <a:latin typeface="Calibri"/>
            </a:rPr>
            <a:t> data. Some datasheets provide the typical resistance and tolerance for over the temperature</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range and if this is your case, you can enter the data in the </a:t>
          </a:r>
          <a:r>
            <a:rPr b="1" lang="en-US" sz="1100" spc="-1" strike="noStrike">
              <a:solidFill>
                <a:schemeClr val="dk1"/>
              </a:solidFill>
              <a:latin typeface="Calibri"/>
            </a:rPr>
            <a:t>Tolerance</a:t>
          </a:r>
          <a:r>
            <a:rPr b="0" lang="en-US" sz="1100" spc="-1" strike="noStrike">
              <a:solidFill>
                <a:schemeClr val="dk1"/>
              </a:solidFill>
              <a:latin typeface="Calibri"/>
            </a:rPr>
            <a:t> and </a:t>
          </a:r>
          <a:r>
            <a:rPr b="1" lang="en-US" sz="1100" spc="-1" strike="noStrike">
              <a:solidFill>
                <a:schemeClr val="dk1"/>
              </a:solidFill>
              <a:latin typeface="Calibri"/>
            </a:rPr>
            <a:t>Typ</a:t>
          </a:r>
          <a:r>
            <a:rPr b="0" lang="en-US" sz="1100" spc="-1" strike="noStrike">
              <a:solidFill>
                <a:schemeClr val="dk1"/>
              </a:solidFill>
              <a:latin typeface="Calibri"/>
            </a:rPr>
            <a:t> columns, then use equations to calculation</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the </a:t>
          </a:r>
          <a:r>
            <a:rPr b="1" lang="en-US" sz="1100" spc="-1" strike="noStrike">
              <a:solidFill>
                <a:schemeClr val="dk1"/>
              </a:solidFill>
              <a:latin typeface="Calibri"/>
            </a:rPr>
            <a:t>Min</a:t>
          </a:r>
          <a:r>
            <a:rPr b="0" lang="en-US" sz="1100" spc="-1" strike="noStrike">
              <a:solidFill>
                <a:schemeClr val="dk1"/>
              </a:solidFill>
              <a:latin typeface="Calibri"/>
            </a:rPr>
            <a:t> and </a:t>
          </a:r>
          <a:r>
            <a:rPr b="1" lang="en-US" sz="1100" spc="-1" strike="noStrike">
              <a:solidFill>
                <a:schemeClr val="dk1"/>
              </a:solidFill>
              <a:latin typeface="Calibri"/>
            </a:rPr>
            <a:t>Max</a:t>
          </a:r>
          <a:r>
            <a:rPr b="0" lang="en-US" sz="1100" spc="-1" strike="noStrike">
              <a:solidFill>
                <a:schemeClr val="dk1"/>
              </a:solidFill>
              <a:latin typeface="Calibri"/>
            </a:rPr>
            <a:t> columns. </a:t>
          </a:r>
          <a:endParaRPr b="0" lang="de-DE" sz="1100" spc="-1" strike="noStrike">
            <a:latin typeface="Times New Roman"/>
          </a:endParaRPr>
        </a:p>
        <a:p>
          <a:pPr>
            <a:lnSpc>
              <a:spcPct val="100000"/>
            </a:lnSpc>
          </a:pP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 Some datasheets provide plots of their tolerances vs temperature rather than give the actual data and some datasheets do</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not provide the resistance data with a temperature resolution of 1 °C. In these cases, the user may choose to estimate the</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tolerances/resistances by using their own custom equations to fill in this data. </a:t>
          </a:r>
          <a:r>
            <a:rPr b="1" lang="en-US" sz="1100" spc="-1" strike="noStrike">
              <a:solidFill>
                <a:schemeClr val="dk1"/>
              </a:solidFill>
              <a:latin typeface="Calibri"/>
            </a:rPr>
            <a:t>However, if the user chooses to do this, the</a:t>
          </a:r>
          <a:endParaRPr b="0" lang="de-DE" sz="1100" spc="-1" strike="noStrike">
            <a:latin typeface="Times New Roman"/>
          </a:endParaRPr>
        </a:p>
        <a:p>
          <a:pPr>
            <a:lnSpc>
              <a:spcPct val="100000"/>
            </a:lnSpc>
          </a:pPr>
          <a:r>
            <a:rPr b="1" lang="en-US" sz="1100" spc="-1" strike="noStrike">
              <a:solidFill>
                <a:schemeClr val="dk1"/>
              </a:solidFill>
              <a:latin typeface="Calibri"/>
            </a:rPr>
            <a:t>       </a:t>
          </a:r>
          <a:r>
            <a:rPr b="1" lang="en-US" sz="1100" spc="-1" strike="noStrike">
              <a:solidFill>
                <a:schemeClr val="dk1"/>
              </a:solidFill>
              <a:latin typeface="Calibri"/>
            </a:rPr>
            <a:t>user should note that the calculations will only be as accurate as the data entered in the Min, Typ, and Max columns. </a:t>
          </a:r>
          <a:endParaRPr b="0" lang="de-DE" sz="1100" spc="-1" strike="noStrike">
            <a:latin typeface="Times New Roman"/>
          </a:endParaRPr>
        </a:p>
        <a:p>
          <a:pPr>
            <a:lnSpc>
              <a:spcPct val="100000"/>
            </a:lnSpc>
          </a:pPr>
          <a:endParaRPr b="0" lang="de-DE" sz="1100" spc="-1" strike="noStrike">
            <a:latin typeface="Times New Roman"/>
          </a:endParaRPr>
        </a:p>
        <a:p>
          <a:pPr>
            <a:lnSpc>
              <a:spcPct val="100000"/>
            </a:lnSpc>
          </a:pPr>
          <a:r>
            <a:rPr b="0" lang="en-US" sz="1100" spc="-1" strike="noStrike">
              <a:solidFill>
                <a:schemeClr val="dk1"/>
              </a:solidFill>
              <a:latin typeface="Calibri"/>
            </a:rPr>
            <a:t>3. After the </a:t>
          </a:r>
          <a:r>
            <a:rPr b="1" lang="en-US" sz="1100" spc="-1" strike="noStrike">
              <a:solidFill>
                <a:schemeClr val="dk1"/>
              </a:solidFill>
              <a:latin typeface="Calibri"/>
            </a:rPr>
            <a:t>Selected Temperature Thresholds </a:t>
          </a:r>
          <a:r>
            <a:rPr b="0" lang="en-US" sz="1100" spc="-1" strike="noStrike">
              <a:solidFill>
                <a:schemeClr val="dk1"/>
              </a:solidFill>
              <a:latin typeface="Calibri"/>
            </a:rPr>
            <a:t>and </a:t>
          </a:r>
          <a:r>
            <a:rPr b="1" lang="en-US" sz="1100" spc="-1" strike="noStrike">
              <a:solidFill>
                <a:schemeClr val="dk1"/>
              </a:solidFill>
              <a:latin typeface="Calibri"/>
            </a:rPr>
            <a:t>Thermistor Resistance Profile </a:t>
          </a:r>
          <a:r>
            <a:rPr b="0" lang="en-US" sz="1100" spc="-1" strike="noStrike">
              <a:solidFill>
                <a:schemeClr val="dk1"/>
              </a:solidFill>
              <a:latin typeface="Calibri"/>
            </a:rPr>
            <a:t>data is entered, the tool will provide a</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Recommended RT1 and RT2 resistance. These resistances are selected from a list of Standard 0.1% Resistances. </a:t>
          </a:r>
          <a:endParaRPr b="0" lang="de-DE" sz="1100" spc="-1" strike="noStrike">
            <a:latin typeface="Times New Roman"/>
          </a:endParaRPr>
        </a:p>
        <a:p>
          <a:pPr>
            <a:lnSpc>
              <a:spcPct val="100000"/>
            </a:lnSpc>
          </a:pPr>
          <a:endParaRPr b="0" lang="de-DE" sz="1100" spc="-1" strike="noStrike">
            <a:latin typeface="Times New Roman"/>
          </a:endParaRPr>
        </a:p>
        <a:p>
          <a:pPr>
            <a:lnSpc>
              <a:spcPct val="100000"/>
            </a:lnSpc>
          </a:pPr>
          <a:r>
            <a:rPr b="0" lang="en-US" sz="1100" spc="-1" strike="noStrike">
              <a:solidFill>
                <a:schemeClr val="dk1"/>
              </a:solidFill>
              <a:latin typeface="Calibri"/>
            </a:rPr>
            <a:t>4. The tool will then calculate the </a:t>
          </a:r>
          <a:r>
            <a:rPr b="1" lang="en-US" sz="1100" spc="-1" strike="noStrike">
              <a:solidFill>
                <a:schemeClr val="dk1"/>
              </a:solidFill>
              <a:latin typeface="Calibri"/>
            </a:rPr>
            <a:t>Min</a:t>
          </a:r>
          <a:r>
            <a:rPr b="0" lang="en-US" sz="1100" spc="-1" strike="noStrike">
              <a:solidFill>
                <a:schemeClr val="dk1"/>
              </a:solidFill>
              <a:latin typeface="Calibri"/>
            </a:rPr>
            <a:t>, </a:t>
          </a:r>
          <a:r>
            <a:rPr b="1" lang="en-US" sz="1100" spc="-1" strike="noStrike">
              <a:solidFill>
                <a:schemeClr val="dk1"/>
              </a:solidFill>
              <a:latin typeface="Calibri"/>
            </a:rPr>
            <a:t>Typ</a:t>
          </a:r>
          <a:r>
            <a:rPr b="0" lang="en-US" sz="1100" spc="-1" strike="noStrike">
              <a:solidFill>
                <a:schemeClr val="dk1"/>
              </a:solidFill>
              <a:latin typeface="Calibri"/>
            </a:rPr>
            <a:t>, and </a:t>
          </a:r>
          <a:r>
            <a:rPr b="1" lang="en-US" sz="1100" spc="-1" strike="noStrike">
              <a:solidFill>
                <a:schemeClr val="dk1"/>
              </a:solidFill>
              <a:latin typeface="Calibri"/>
            </a:rPr>
            <a:t>Max</a:t>
          </a:r>
          <a:r>
            <a:rPr b="0" lang="en-US" sz="1100" spc="-1" strike="noStrike">
              <a:solidFill>
                <a:schemeClr val="dk1"/>
              </a:solidFill>
              <a:latin typeface="Calibri"/>
            </a:rPr>
            <a:t> </a:t>
          </a:r>
          <a:r>
            <a:rPr b="1" lang="en-US" sz="1100" spc="-1" strike="noStrike">
              <a:solidFill>
                <a:schemeClr val="dk1"/>
              </a:solidFill>
              <a:latin typeface="Calibri"/>
            </a:rPr>
            <a:t>Temperature Thresholds </a:t>
          </a:r>
          <a:r>
            <a:rPr b="0" lang="en-US" sz="1100" spc="-1" strike="noStrike">
              <a:solidFill>
                <a:schemeClr val="dk1"/>
              </a:solidFill>
              <a:latin typeface="Calibri"/>
            </a:rPr>
            <a:t>for </a:t>
          </a:r>
          <a:r>
            <a:rPr b="1" lang="en-US" sz="1100" spc="-1" strike="noStrike">
              <a:solidFill>
                <a:schemeClr val="dk1"/>
              </a:solidFill>
              <a:latin typeface="Calibri"/>
            </a:rPr>
            <a:t>Entering</a:t>
          </a:r>
          <a:r>
            <a:rPr b="0" lang="en-US" sz="1100" spc="-1" strike="noStrike">
              <a:solidFill>
                <a:schemeClr val="dk1"/>
              </a:solidFill>
              <a:latin typeface="Calibri"/>
            </a:rPr>
            <a:t> and </a:t>
          </a:r>
          <a:r>
            <a:rPr b="1" lang="en-US" sz="1100" spc="-1" strike="noStrike">
              <a:solidFill>
                <a:schemeClr val="dk1"/>
              </a:solidFill>
              <a:latin typeface="Calibri"/>
            </a:rPr>
            <a:t>Exiting</a:t>
          </a:r>
          <a:r>
            <a:rPr b="0" lang="en-US" sz="1100" spc="-1" strike="noStrike">
              <a:solidFill>
                <a:schemeClr val="dk1"/>
              </a:solidFill>
              <a:latin typeface="Calibri"/>
            </a:rPr>
            <a:t> the </a:t>
          </a:r>
          <a:r>
            <a:rPr b="1" lang="en-US" sz="1100" spc="-1" strike="noStrike">
              <a:solidFill>
                <a:schemeClr val="dk1"/>
              </a:solidFill>
              <a:latin typeface="Calibri"/>
            </a:rPr>
            <a:t>Cold</a:t>
          </a:r>
          <a:r>
            <a:rPr b="0" lang="en-US" sz="1100" spc="-1" strike="noStrike">
              <a:solidFill>
                <a:schemeClr val="dk1"/>
              </a:solidFill>
              <a:latin typeface="Calibri"/>
            </a:rPr>
            <a:t>, </a:t>
          </a:r>
          <a:r>
            <a:rPr b="1" lang="en-US" sz="1100" spc="-1" strike="noStrike">
              <a:solidFill>
                <a:schemeClr val="dk1"/>
              </a:solidFill>
              <a:latin typeface="Calibri"/>
            </a:rPr>
            <a:t>Cool</a:t>
          </a:r>
          <a:r>
            <a:rPr b="0" lang="en-US" sz="1100" spc="-1" strike="noStrike">
              <a:solidFill>
                <a:schemeClr val="dk1"/>
              </a:solidFill>
              <a:latin typeface="Calibri"/>
            </a:rPr>
            <a:t>, </a:t>
          </a:r>
          <a:r>
            <a:rPr b="1" lang="en-US" sz="1100" spc="-1" strike="noStrike">
              <a:solidFill>
                <a:schemeClr val="dk1"/>
              </a:solidFill>
              <a:latin typeface="Calibri"/>
            </a:rPr>
            <a:t>Warm</a:t>
          </a:r>
          <a:endParaRPr b="0" lang="de-DE" sz="1100" spc="-1" strike="noStrike">
            <a:latin typeface="Times New Roman"/>
          </a:endParaRPr>
        </a:p>
        <a:p>
          <a:pPr>
            <a:lnSpc>
              <a:spcPct val="100000"/>
            </a:lnSpc>
          </a:pPr>
          <a:r>
            <a:rPr b="1" lang="en-US" sz="1100" spc="-1" strike="noStrike">
              <a:solidFill>
                <a:schemeClr val="dk1"/>
              </a:solidFill>
              <a:latin typeface="Calibri"/>
            </a:rPr>
            <a:t>   </a:t>
          </a:r>
          <a:r>
            <a:rPr b="0" lang="en-US" sz="1100" spc="-1" strike="noStrike">
              <a:solidFill>
                <a:schemeClr val="dk1"/>
              </a:solidFill>
              <a:latin typeface="Calibri"/>
            </a:rPr>
            <a:t> </a:t>
          </a:r>
          <a:r>
            <a:rPr b="0" lang="en-US" sz="1100" spc="-1" strike="noStrike">
              <a:solidFill>
                <a:schemeClr val="dk1"/>
              </a:solidFill>
              <a:latin typeface="Calibri"/>
            </a:rPr>
            <a:t>and </a:t>
          </a:r>
          <a:r>
            <a:rPr b="1" lang="en-US" sz="1100" spc="-1" strike="noStrike">
              <a:solidFill>
                <a:schemeClr val="dk1"/>
              </a:solidFill>
              <a:latin typeface="Calibri"/>
            </a:rPr>
            <a:t>Hot</a:t>
          </a:r>
          <a:r>
            <a:rPr b="0" lang="en-US" sz="1100" spc="-1" strike="noStrike">
              <a:solidFill>
                <a:schemeClr val="dk1"/>
              </a:solidFill>
              <a:latin typeface="Calibri"/>
            </a:rPr>
            <a:t> regions. These thresholds will be shown in the table on the top right and a Graphic showing these thresholds will be</a:t>
          </a:r>
          <a:endParaRPr b="0" lang="de-DE" sz="1100" spc="-1" strike="noStrike">
            <a:latin typeface="Times New Roman"/>
          </a:endParaRPr>
        </a:p>
        <a:p>
          <a:pPr>
            <a:lnSpc>
              <a:spcPct val="100000"/>
            </a:lnSpc>
          </a:pPr>
          <a:r>
            <a:rPr b="0" lang="en-US" sz="1100" spc="-1" strike="noStrike">
              <a:solidFill>
                <a:schemeClr val="dk1"/>
              </a:solidFill>
              <a:latin typeface="Calibri"/>
            </a:rPr>
            <a:t>    </a:t>
          </a:r>
          <a:r>
            <a:rPr b="0" lang="en-US" sz="1100" spc="-1" strike="noStrike">
              <a:solidFill>
                <a:schemeClr val="dk1"/>
              </a:solidFill>
              <a:latin typeface="Calibri"/>
            </a:rPr>
            <a:t>produced.</a:t>
          </a:r>
          <a:endParaRPr b="0" lang="de-DE" sz="1100" spc="-1" strike="noStrike">
            <a:latin typeface="Times New Roman"/>
          </a:endParaRPr>
        </a:p>
      </xdr:txBody>
    </xdr:sp>
    <xdr:clientData/>
  </xdr:twoCellAnchor>
</xdr:wsDr>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0.0454385759456611</cdr:x>
      <cdr:y>0.741139168837051</cdr:y>
    </cdr:from>
    <cdr:to>
      <cdr:x>0.186965686848577</cdr:x>
      <cdr:y>0.841014607632205</cdr:y>
    </cdr:to>
    <cdr:sp>
      <cdr:nvSpPr>
        <cdr:cNvPr id="52" name="TextBox 1"/>
        <cdr:cNvSpPr/>
      </cdr:nvSpPr>
      <cdr:spPr>
        <a:xfrm>
          <a:off x="279360" y="2356200"/>
          <a:ext cx="870120" cy="317520"/>
        </a:xfrm>
        <a:prstGeom prst="rect">
          <a:avLst/>
        </a:prstGeom>
        <a:solidFill>
          <a:srgbClr val="ffffff"/>
        </a:solidFill>
        <a:ln w="0">
          <a:solidFill>
            <a:srgbClr val="000000"/>
          </a:solidFill>
        </a:ln>
      </cdr:spPr>
      <cdr:style>
        <a:lnRef idx="0"/>
        <a:fillRef idx="0"/>
        <a:effectRef idx="0"/>
        <a:fontRef idx="minor"/>
      </cdr:style>
      <cdr:txBody>
        <a:bodyPr wrap="none" vertOverflow="clip" lIns="90000" rIns="90000" tIns="45000" bIns="45000" anchor="ctr">
          <a:noAutofit/>
        </a:bodyPr>
        <a:p>
          <a:pPr algn="ctr">
            <a:lnSpc>
              <a:spcPct val="100000"/>
            </a:lnSpc>
          </a:pPr>
          <a:r>
            <a:rPr b="0" lang="en-US" sz="1100" spc="-1" strike="noStrike">
              <a:latin typeface="Times New Roman"/>
            </a:rPr>
            <a:t>COLD</a:t>
          </a:r>
          <a:endParaRPr b="0" sz="1100" spc="-1" strike="noStrike">
            <a:latin typeface="Times New Roman"/>
          </a:endParaRPr>
        </a:p>
      </cdr:txBody>
    </cdr:sp>
  </cdr:relSizeAnchor>
  <cdr:relSizeAnchor>
    <cdr:from>
      <cdr:x>0.0984892844595386</cdr:x>
      <cdr:y>0.350922885290454</cdr:y>
    </cdr:from>
    <cdr:to>
      <cdr:x>0.240016395362455</cdr:x>
      <cdr:y>0.450798324085608</cdr:y>
    </cdr:to>
    <cdr:sp>
      <cdr:nvSpPr>
        <cdr:cNvPr id="53" name="TextBox 1"/>
        <cdr:cNvSpPr/>
      </cdr:nvSpPr>
      <cdr:spPr>
        <a:xfrm>
          <a:off x="605520" y="1115640"/>
          <a:ext cx="870120" cy="317520"/>
        </a:xfrm>
        <a:prstGeom prst="rect">
          <a:avLst/>
        </a:prstGeom>
        <a:solidFill>
          <a:srgbClr val="ffffff"/>
        </a:solidFill>
        <a:ln w="0">
          <a:solidFill>
            <a:srgbClr val="000000"/>
          </a:solid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0" lang="en-US" sz="1100" spc="-1" strike="noStrike">
              <a:latin typeface="Calibri"/>
            </a:rPr>
            <a:t>COOL</a:t>
          </a:r>
          <a:endParaRPr b="0" sz="1100" spc="-1" strike="noStrike">
            <a:latin typeface="Times New Roman"/>
          </a:endParaRPr>
        </a:p>
      </cdr:txBody>
    </cdr:sp>
  </cdr:relSizeAnchor>
  <cdr:relSizeAnchor>
    <cdr:from>
      <cdr:x>0.677128469375805</cdr:x>
      <cdr:y>0.0157400067942475</cdr:y>
    </cdr:from>
    <cdr:to>
      <cdr:x>0.818655580278721</cdr:x>
      <cdr:y>0.115615445589401</cdr:y>
    </cdr:to>
    <cdr:sp>
      <cdr:nvSpPr>
        <cdr:cNvPr id="54" name="TextBox 1"/>
        <cdr:cNvSpPr/>
      </cdr:nvSpPr>
      <cdr:spPr>
        <a:xfrm>
          <a:off x="4163040" y="50040"/>
          <a:ext cx="870120" cy="317520"/>
        </a:xfrm>
        <a:prstGeom prst="rect">
          <a:avLst/>
        </a:prstGeom>
        <a:solidFill>
          <a:srgbClr val="ffffff"/>
        </a:solidFill>
        <a:ln w="0">
          <a:solidFill>
            <a:srgbClr val="000000"/>
          </a:solid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0" lang="en-US" sz="1100" spc="-1" strike="noStrike">
              <a:latin typeface="Calibri"/>
            </a:rPr>
            <a:t>WARM</a:t>
          </a:r>
          <a:endParaRPr b="0" sz="1100" spc="-1" strike="noStrike">
            <a:latin typeface="Times New Roman"/>
          </a:endParaRPr>
        </a:p>
      </cdr:txBody>
    </cdr:sp>
  </cdr:relSizeAnchor>
  <cdr:relSizeAnchor>
    <cdr:from>
      <cdr:x>0.829195456142405</cdr:x>
      <cdr:y>0.736156720643189</cdr:y>
    </cdr:from>
    <cdr:to>
      <cdr:x>0.970722567045321</cdr:x>
      <cdr:y>0.836032159438342</cdr:y>
    </cdr:to>
    <cdr:sp>
      <cdr:nvSpPr>
        <cdr:cNvPr id="55" name="TextBox 1"/>
        <cdr:cNvSpPr/>
      </cdr:nvSpPr>
      <cdr:spPr>
        <a:xfrm>
          <a:off x="5097960" y="2340360"/>
          <a:ext cx="870120" cy="317520"/>
        </a:xfrm>
        <a:prstGeom prst="rect">
          <a:avLst/>
        </a:prstGeom>
        <a:solidFill>
          <a:srgbClr val="ffffff"/>
        </a:solidFill>
        <a:ln w="0">
          <a:solidFill>
            <a:srgbClr val="000000"/>
          </a:solid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0" lang="en-US" sz="1100" spc="-1" strike="noStrike">
              <a:latin typeface="Calibri"/>
            </a:rPr>
            <a:t>HOT</a:t>
          </a:r>
          <a:endParaRPr b="0" sz="1100" spc="-1" strike="noStrike">
            <a:latin typeface="Times New Roman"/>
          </a:endParaRPr>
        </a:p>
      </cdr:txBody>
    </cdr:sp>
  </cdr:relSizeAnchor>
  <cdr:relSizeAnchor>
    <cdr:from>
      <cdr:x>0.435882421829254</cdr:x>
      <cdr:y>0.168610576378666</cdr:y>
    </cdr:from>
    <cdr:to>
      <cdr:x>0.57740953273217</cdr:x>
      <cdr:y>0.26848601517382</cdr:y>
    </cdr:to>
    <cdr:sp>
      <cdr:nvSpPr>
        <cdr:cNvPr id="56" name="TextBox 1"/>
        <cdr:cNvSpPr/>
      </cdr:nvSpPr>
      <cdr:spPr>
        <a:xfrm>
          <a:off x="2679840" y="536040"/>
          <a:ext cx="870120" cy="317520"/>
        </a:xfrm>
        <a:prstGeom prst="rect">
          <a:avLst/>
        </a:prstGeom>
        <a:solidFill>
          <a:srgbClr val="ffffff"/>
        </a:solidFill>
        <a:ln w="0">
          <a:solidFill>
            <a:srgbClr val="000000"/>
          </a:solid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0" lang="en-US" sz="1100" spc="-1" strike="noStrike">
              <a:latin typeface="Calibri"/>
            </a:rPr>
            <a:t>NORMAL</a:t>
          </a:r>
          <a:endParaRPr b="0" sz="1100" spc="-1" strike="noStrike">
            <a:latin typeface="Times New Roman"/>
          </a:endParaRPr>
        </a:p>
      </cdr:txBody>
    </cdr:sp>
  </cdr:relSizeAnchor>
</c:userShape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152280</xdr:colOff>
      <xdr:row>18</xdr:row>
      <xdr:rowOff>58680</xdr:rowOff>
    </xdr:from>
    <xdr:to>
      <xdr:col>25</xdr:col>
      <xdr:colOff>284400</xdr:colOff>
      <xdr:row>54</xdr:row>
      <xdr:rowOff>133560</xdr:rowOff>
    </xdr:to>
    <xdr:pic>
      <xdr:nvPicPr>
        <xdr:cNvPr id="58" name="Picture 1" descr=""/>
        <xdr:cNvPicPr/>
      </xdr:nvPicPr>
      <xdr:blipFill>
        <a:blip r:embed="rId1"/>
        <a:stretch/>
      </xdr:blipFill>
      <xdr:spPr>
        <a:xfrm>
          <a:off x="10542240" y="3505320"/>
          <a:ext cx="8910360" cy="693288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Users/a0504716/TI%20Drive/Projects/Applications/Draco%20Tool/LM5176%20Buck-Boost%20Quickstart%20Tool%20r1.0.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esign Converter"/>
      <sheetName val="BOM &amp; Schematic"/>
      <sheetName val="EVMs"/>
      <sheetName val="Variable Management"/>
      <sheetName val="Schematic Management"/>
      <sheetName val="Efficiency Plot Management"/>
      <sheetName val="Efficiency vs VIN Calculations"/>
      <sheetName val="Efficiency vs Load Calculations"/>
      <sheetName val="Stability Calculations"/>
      <sheetName val="Standard Value Calculator"/>
      <sheetName val="Snubber"/>
      <sheetName val="Parallel Output Cap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id="1" name="MOSFET_Selection" displayName="MOSFET_Selection" ref="X116:AD131" headerRowCount="1" totalsRowCount="0" totalsRowShown="0">
  <autoFilter ref="X116:AD13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Parameter"/>
    <tableColumn id="2" name="CSD18563Q5A"/>
    <tableColumn id="3" name="CSD16321Q5"/>
    <tableColumn id="4" name="AONS66614"/>
    <tableColumn id="5" name="SiR680LDP"/>
    <tableColumn id="6" name="SiR880BDP"/>
    <tableColumn id="7" name="Units"/>
  </tableColumns>
</table>
</file>

<file path=xl/tables/table10.xml><?xml version="1.0" encoding="utf-8"?>
<table xmlns="http://schemas.openxmlformats.org/spreadsheetml/2006/main" id="10" name="Table9" displayName="Table9" ref="AC19:AO180" headerRowCount="1" totalsRowCount="0" totalsRowShown="0">
  <autoFilter ref="AC19:AO1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Temperature"/>
    <tableColumn id="2" name="RTH(min) (kΩ)"/>
    <tableColumn id="3" name="RTH(nom) (kΩ)"/>
    <tableColumn id="4" name="RTH(max) (kΩ)"/>
    <tableColumn id="5" name="RLower(min) (kΩ)"/>
    <tableColumn id="6" name="RLower(nom) (kΩ)"/>
    <tableColumn id="7" name="RLower(max) (kΩ)"/>
    <tableColumn id="8" name="Vmin (%)"/>
    <tableColumn id="9" name="Vnom (%)"/>
    <tableColumn id="10" name="Vmax (%)"/>
    <tableColumn id="11" name="Charging Code"/>
    <tableColumn id="12" name="Hysteresis"/>
    <tableColumn id="13" name="Charging Region"/>
  </tableColumns>
</table>
</file>

<file path=xl/tables/table2.xml><?xml version="1.0" encoding="utf-8"?>
<table xmlns="http://schemas.openxmlformats.org/spreadsheetml/2006/main" id="2" name="stdind" displayName="stdind" ref="N3:N11" headerRowCount="1" totalsRowCount="0" totalsRowShown="0">
  <autoFilter ref="N3:N11"/>
  <tableColumns count="1">
    <tableColumn id="1" name="L (uH)"/>
  </tableColumns>
</table>
</file>

<file path=xl/tables/table3.xml><?xml version="1.0" encoding="utf-8"?>
<table xmlns="http://schemas.openxmlformats.org/spreadsheetml/2006/main" id="3" name="stdres_0p1pct" displayName="stdres_0p1pct" ref="L3:L1348" headerRowCount="1" totalsRowCount="0" totalsRowShown="0">
  <autoFilter ref="L3:L1348"/>
  <tableColumns count="1">
    <tableColumn id="1" name="Resistance"/>
  </tableColumns>
</table>
</file>

<file path=xl/tables/table4.xml><?xml version="1.0" encoding="utf-8"?>
<table xmlns="http://schemas.openxmlformats.org/spreadsheetml/2006/main" id="4" name="stdres_1pct" displayName="stdres_1pct" ref="H3:H676" headerRowCount="1" totalsRowCount="0" totalsRowShown="0">
  <autoFilter ref="H3:H676"/>
  <tableColumns count="1">
    <tableColumn id="1" name="Resistance"/>
  </tableColumns>
</table>
</file>

<file path=xl/tables/table5.xml><?xml version="1.0" encoding="utf-8"?>
<table xmlns="http://schemas.openxmlformats.org/spreadsheetml/2006/main" id="5" name="stdres_5pct" displayName="stdres_5pct" ref="D3:D172" headerRowCount="1" totalsRowCount="0" totalsRowShown="0">
  <autoFilter ref="D3:D172"/>
  <tableColumns count="1">
    <tableColumn id="1" name="Resistance"/>
  </tableColumns>
</table>
</file>

<file path=xl/tables/table6.xml><?xml version="1.0" encoding="utf-8"?>
<table xmlns="http://schemas.openxmlformats.org/spreadsheetml/2006/main" id="6" name="Table10" displayName="Table10" ref="AC6:AW14" headerRowCount="1" totalsRowCount="0" totalsRowShown="0">
  <autoFilter ref="AC6:AW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Target (MIN)"/>
    <tableColumn id="2" name="1st VLOOK MIN"/>
    <tableColumn id="3" name="2nd VLOOK MIN"/>
    <tableColumn id="4" name="1st Diff"/>
    <tableColumn id="5" name="2nd Diff"/>
    <tableColumn id="6" name="Closest VLOOK MIN"/>
    <tableColumn id="7" name="MIN Temp"/>
    <tableColumn id="8" name="Target (Typ)"/>
    <tableColumn id="9" name="1st VLOOK TYP"/>
    <tableColumn id="10" name="2nd VLOOK TYP"/>
    <tableColumn id="11" name="1st Diff Typ"/>
    <tableColumn id="12" name="2nd Diff TYP"/>
    <tableColumn id="13" name="Closest VLOOK TYP"/>
    <tableColumn id="14" name="TYP Temp"/>
    <tableColumn id="15" name="Target (MAX)"/>
    <tableColumn id="16" name="1st VLOOK MAX"/>
    <tableColumn id="17" name="2nd VLOOK MAX"/>
    <tableColumn id="18" name="1st Diff MAX"/>
    <tableColumn id="19" name="2nd Diff MAX"/>
    <tableColumn id="20" name="Closest VLOOK MAX"/>
    <tableColumn id="21" name="MAX Temp"/>
  </tableColumns>
</table>
</file>

<file path=xl/tables/table7.xml><?xml version="1.0" encoding="utf-8"?>
<table xmlns="http://schemas.openxmlformats.org/spreadsheetml/2006/main" id="7" name="Table13" displayName="Table13" ref="AY6:BB14" headerRowCount="1" totalsRowCount="0" totalsRowShown="0">
  <autoFilter ref="AY6:BB14">
    <filterColumn colId="0" hiddenButton="1"/>
    <filterColumn colId="1" hiddenButton="1"/>
    <filterColumn colId="2" hiddenButton="1"/>
    <filterColumn colId="3" hiddenButton="1"/>
  </autoFilter>
  <tableColumns count="4">
    <tableColumn id="1" name="MAX Temp"/>
    <tableColumn id="2" name="Min"/>
    <tableColumn id="3" name="Typ"/>
    <tableColumn id="4" name="Max"/>
  </tableColumns>
</table>
</file>

<file path=xl/tables/table8.xml><?xml version="1.0" encoding="utf-8"?>
<table xmlns="http://schemas.openxmlformats.org/spreadsheetml/2006/main" id="8" name="Table7" displayName="Table7" ref="AF155:DE256" headerRowCount="1" totalsRowCount="0" totalsRowShown="0">
  <autoFilter ref="AF155:DE2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autoFilter>
  <tableColumns count="78">
    <tableColumn id="1" name="Index"/>
    <tableColumn id="2" name="IOUT (A)"/>
    <tableColumn id="3" name="POUT (W)"/>
    <tableColumn id="4" name="Duty Cycle"/>
    <tableColumn id="5" name="I_L"/>
    <tableColumn id="6" name="I_L pkpk"/>
    <tableColumn id="7" name="I_L RMS"/>
    <tableColumn id="8" name="Column2"/>
    <tableColumn id="9" name="Ivalley (A)"/>
    <tableColumn id="10" name="Ipeak (A)"/>
    <tableColumn id="11" name="Ion (A)"/>
    <tableColumn id="12" name="Ioff (A)"/>
    <tableColumn id="13" name="ton (ns)"/>
    <tableColumn id="14" name="toff (ns)"/>
    <tableColumn id="15" name="PIV (mW)"/>
    <tableColumn id="16" name="Pqoss (mW)"/>
    <tableColumn id="17" name="Pgate_top (mW)"/>
    <tableColumn id="18" name="PRR (mW)"/>
    <tableColumn id="19" name="Pdead (mW)"/>
    <tableColumn id="20" name="Pgate_bottom (mW)"/>
    <tableColumn id="21" name="Pcon_top (mW)"/>
    <tableColumn id="22" name="Psw_top (mW)"/>
    <tableColumn id="23" name="Ptop (mW)"/>
    <tableColumn id="24" name="Pcon_bottom (mW)"/>
    <tableColumn id="25" name="Psw_bottom (mW)"/>
    <tableColumn id="26" name="Pbottom (mW)"/>
    <tableColumn id="27" name="Total TI (mW)"/>
    <tableColumn id="28" name="Column1"/>
    <tableColumn id="29" name="Ivalley (A) C"/>
    <tableColumn id="30" name="Ipeak (A) C"/>
    <tableColumn id="31" name="Ion (A) C"/>
    <tableColumn id="32" name="Ioff (A) C"/>
    <tableColumn id="33" name="ton (ns) C"/>
    <tableColumn id="34" name="toff (ns) C"/>
    <tableColumn id="35" name="PIV (mW) C"/>
    <tableColumn id="36" name="PQoss (mW) C"/>
    <tableColumn id="37" name="Pgate_top (mW) C"/>
    <tableColumn id="38" name="PRR (mW) C"/>
    <tableColumn id="39" name="Pdead (mW) C"/>
    <tableColumn id="40" name="Pgate_bottom (mW) C"/>
    <tableColumn id="41" name="Pcon_top (mW) C"/>
    <tableColumn id="42" name="Psw_top (mW) C"/>
    <tableColumn id="43" name="Ptop (mW) C"/>
    <tableColumn id="44" name="Pcon_bottom (mW) C"/>
    <tableColumn id="45" name="Psw_bottom (mV) C"/>
    <tableColumn id="46" name="Pbottom (mW) C"/>
    <tableColumn id="47" name="Total (mW) C"/>
    <tableColumn id="48" name="Pbottom (mW)20"/>
    <tableColumn id="49" name="R_AC (mW)"/>
    <tableColumn id="50" name="R_SR (mW)"/>
    <tableColumn id="51" name="Inductor Loss (mW)"/>
    <tableColumn id="52" name="Column3"/>
    <tableColumn id="53" name="Total Sense Loss"/>
    <tableColumn id="54" name="Total MOSFET Loss"/>
    <tableColumn id="55" name="Total Power Loss (W)"/>
    <tableColumn id="56" name="Efficiency" totalsRowFunction="sum"/>
    <tableColumn id="57" name="Column4"/>
    <tableColumn id="58" name="Total Sense Loss C"/>
    <tableColumn id="59" name="Total MOSFET Loss C"/>
    <tableColumn id="60" name="Total Power Loss (W) C"/>
    <tableColumn id="61" name="Efficiency C"/>
    <tableColumn id="62" name="Column52"/>
    <tableColumn id="63" name="Total Sense Loss P1"/>
    <tableColumn id="64" name="Total MOSFET Loss P1"/>
    <tableColumn id="65" name="Efficiency P1"/>
    <tableColumn id="66" name="Column5"/>
    <tableColumn id="67" name="Total Sense Loss P2"/>
    <tableColumn id="68" name="Total MOSFET Loss P2"/>
    <tableColumn id="69" name="Efficiency P2"/>
    <tableColumn id="70" name="Column6"/>
    <tableColumn id="71" name="Total Sense Loss P1 Saved"/>
    <tableColumn id="72" name="Total MOSFET Loss P1 Saved"/>
    <tableColumn id="73" name="Efficiency P1 Saved"/>
    <tableColumn id="74" name="Column10"/>
    <tableColumn id="75" name="Total Sense Loss P2 Saved"/>
    <tableColumn id="76" name="Total MOSFET Loss P2 Saved"/>
    <tableColumn id="77" name="Efficiency P2 Saved"/>
    <tableColumn id="78" name="Column7"/>
  </tableColumns>
</table>
</file>

<file path=xl/tables/table9.xml><?xml version="1.0" encoding="utf-8"?>
<table xmlns="http://schemas.openxmlformats.org/spreadsheetml/2006/main" id="9" name="Table8" displayName="Table8" ref="BD6:BJ19" headerRowCount="1" totalsRowCount="0" totalsRowShown="0">
  <autoFilter ref="BD6:BJ1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Temp"/>
    <tableColumn id="2" name="RISE min"/>
    <tableColumn id="3" name="RISE typ"/>
    <tableColumn id="4" name="RISE max"/>
    <tableColumn id="5" name="FALL min"/>
    <tableColumn id="6" name="FALL typ"/>
    <tableColumn id="7" name="FALL max"/>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table" Target="../tables/table8.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4" Type="http://schemas.openxmlformats.org/officeDocument/2006/relationships/table" Target="../tables/table6.xml"/><Relationship Id="rId5" Type="http://schemas.openxmlformats.org/officeDocument/2006/relationships/table" Target="../tables/table7.xml"/><Relationship Id="rId6" Type="http://schemas.openxmlformats.org/officeDocument/2006/relationships/table" Target="../tables/table9.xml"/><Relationship Id="rId7" Type="http://schemas.openxmlformats.org/officeDocument/2006/relationships/table" Target="../tables/table10.xml"/>
</Relationships>
</file>

<file path=xl/worksheets/_rels/sheet3.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J503"/>
  <sheetViews>
    <sheetView showFormulas="false" showGridLines="true" showRowColHeaders="true" showZeros="true" rightToLeft="false" tabSelected="true" showOutlineSymbols="true" defaultGridColor="true" view="normal" topLeftCell="A208" colorId="64" zoomScale="100" zoomScaleNormal="100" zoomScalePageLayoutView="100" workbookViewId="0">
      <selection pane="topLeft" activeCell="E88" activeCellId="0" sqref="E88"/>
    </sheetView>
  </sheetViews>
  <sheetFormatPr defaultColWidth="9.14453125" defaultRowHeight="15" zeroHeight="false" outlineLevelRow="0" outlineLevelCol="0"/>
  <cols>
    <col collapsed="false" customWidth="true" hidden="false" outlineLevel="0" max="1" min="1" style="1" width="7.86"/>
    <col collapsed="false" customWidth="true" hidden="false" outlineLevel="0" max="2" min="2" style="1" width="7.57"/>
    <col collapsed="false" customWidth="true" hidden="false" outlineLevel="0" max="3" min="3" style="1" width="20"/>
    <col collapsed="false" customWidth="true" hidden="false" outlineLevel="0" max="4" min="4" style="1" width="10.57"/>
    <col collapsed="false" customWidth="true" hidden="false" outlineLevel="0" max="5" min="5" style="1" width="12.43"/>
    <col collapsed="false" customWidth="false" hidden="false" outlineLevel="0" max="8" min="6" style="1" width="9.14"/>
    <col collapsed="false" customWidth="true" hidden="false" outlineLevel="0" max="9" min="9" style="1" width="10.14"/>
    <col collapsed="false" customWidth="false" hidden="false" outlineLevel="0" max="18" min="10" style="1" width="9.14"/>
    <col collapsed="false" customWidth="true" hidden="false" outlineLevel="0" max="19" min="19" style="1" width="72.72"/>
    <col collapsed="false" customWidth="false" hidden="false" outlineLevel="0" max="23" min="20" style="1" width="9.14"/>
    <col collapsed="false" customWidth="true" hidden="false" outlineLevel="0" max="24" min="24" style="1" width="47.28"/>
    <col collapsed="false" customWidth="true" hidden="false" outlineLevel="0" max="25" min="25" style="1" width="15.72"/>
    <col collapsed="false" customWidth="true" hidden="false" outlineLevel="0" max="26" min="26" style="1" width="14.57"/>
    <col collapsed="false" customWidth="true" hidden="false" outlineLevel="0" max="27" min="27" style="1" width="13.57"/>
    <col collapsed="false" customWidth="true" hidden="false" outlineLevel="0" max="28" min="28" style="1" width="13.29"/>
    <col collapsed="false" customWidth="true" hidden="false" outlineLevel="0" max="29" min="29" style="1" width="7.72"/>
    <col collapsed="false" customWidth="false" hidden="false" outlineLevel="0" max="31" min="30" style="1" width="9.14"/>
    <col collapsed="false" customWidth="true" hidden="false" outlineLevel="0" max="32" min="32" style="1" width="12"/>
    <col collapsed="false" customWidth="true" hidden="false" outlineLevel="0" max="33" min="33" style="1" width="10.29"/>
    <col collapsed="false" customWidth="true" hidden="false" outlineLevel="0" max="34" min="34" style="1" width="13.71"/>
    <col collapsed="false" customWidth="true" hidden="false" outlineLevel="0" max="38" min="35" style="1" width="12.57"/>
    <col collapsed="false" customWidth="true" hidden="false" outlineLevel="0" max="39" min="39" style="1" width="12.43"/>
    <col collapsed="false" customWidth="true" hidden="false" outlineLevel="0" max="40" min="40" style="1" width="10.43"/>
    <col collapsed="false" customWidth="true" hidden="false" outlineLevel="0" max="41" min="41" style="1" width="9.86"/>
    <col collapsed="false" customWidth="true" hidden="false" outlineLevel="0" max="42" min="42" style="1" width="8.43"/>
    <col collapsed="false" customWidth="true" hidden="false" outlineLevel="0" max="43" min="43" style="1" width="8.57"/>
    <col collapsed="false" customWidth="true" hidden="false" outlineLevel="0" max="44" min="44" style="1" width="9.29"/>
    <col collapsed="false" customWidth="true" hidden="false" outlineLevel="0" max="45" min="45" style="1" width="9.43"/>
    <col collapsed="false" customWidth="true" hidden="false" outlineLevel="0" max="46" min="46" style="1" width="11.15"/>
    <col collapsed="false" customWidth="true" hidden="false" outlineLevel="0" max="47" min="47" style="1" width="12.29"/>
    <col collapsed="false" customWidth="true" hidden="false" outlineLevel="0" max="48" min="48" style="1" width="14.86"/>
    <col collapsed="false" customWidth="true" hidden="false" outlineLevel="0" max="49" min="49" style="1" width="11.28"/>
    <col collapsed="false" customWidth="true" hidden="false" outlineLevel="0" max="50" min="50" style="1" width="12.57"/>
    <col collapsed="false" customWidth="true" hidden="false" outlineLevel="0" max="51" min="51" style="1" width="17.43"/>
    <col collapsed="false" customWidth="true" hidden="false" outlineLevel="0" max="52" min="52" style="1" width="14.43"/>
    <col collapsed="false" customWidth="true" hidden="false" outlineLevel="0" max="53" min="53" style="1" width="14"/>
    <col collapsed="false" customWidth="true" hidden="false" outlineLevel="0" max="54" min="54" style="1" width="11.72"/>
    <col collapsed="false" customWidth="true" hidden="false" outlineLevel="0" max="55" min="55" style="1" width="16.86"/>
    <col collapsed="false" customWidth="true" hidden="false" outlineLevel="0" max="56" min="56" style="1" width="15.86"/>
    <col collapsed="false" customWidth="true" hidden="false" outlineLevel="0" max="57" min="57" style="1" width="14"/>
    <col collapsed="false" customWidth="true" hidden="false" outlineLevel="0" max="58" min="58" style="1" width="13.29"/>
    <col collapsed="false" customWidth="false" hidden="false" outlineLevel="0" max="59" min="59" style="1" width="9.14"/>
    <col collapsed="false" customWidth="true" hidden="false" outlineLevel="0" max="60" min="60" style="1" width="13.29"/>
    <col collapsed="false" customWidth="true" hidden="false" outlineLevel="0" max="61" min="61" style="1" width="12.29"/>
    <col collapsed="false" customWidth="true" hidden="false" outlineLevel="0" max="62" min="62" style="1" width="10.29"/>
    <col collapsed="false" customWidth="true" hidden="false" outlineLevel="0" max="63" min="63" style="1" width="10.57"/>
    <col collapsed="false" customWidth="true" hidden="false" outlineLevel="0" max="64" min="64" style="1" width="11.15"/>
    <col collapsed="false" customWidth="true" hidden="false" outlineLevel="0" max="65" min="65" style="1" width="11.43"/>
    <col collapsed="false" customWidth="true" hidden="false" outlineLevel="0" max="66" min="66" style="1" width="12.86"/>
    <col collapsed="false" customWidth="true" hidden="false" outlineLevel="0" max="67" min="67" style="1" width="14.29"/>
    <col collapsed="false" customWidth="true" hidden="false" outlineLevel="0" max="68" min="68" style="1" width="16.72"/>
    <col collapsed="false" customWidth="true" hidden="false" outlineLevel="0" max="69" min="69" style="1" width="12.86"/>
    <col collapsed="false" customWidth="true" hidden="false" outlineLevel="0" max="70" min="70" style="1" width="14.29"/>
    <col collapsed="false" customWidth="true" hidden="false" outlineLevel="0" max="71" min="71" style="1" width="19"/>
    <col collapsed="false" customWidth="true" hidden="false" outlineLevel="0" max="72" min="72" style="1" width="16.14"/>
    <col collapsed="false" customWidth="true" hidden="false" outlineLevel="0" max="73" min="73" style="1" width="15.72"/>
    <col collapsed="false" customWidth="true" hidden="false" outlineLevel="0" max="74" min="74" style="1" width="13.29"/>
    <col collapsed="false" customWidth="true" hidden="false" outlineLevel="0" max="75" min="75" style="1" width="16.14"/>
    <col collapsed="false" customWidth="true" hidden="false" outlineLevel="0" max="76" min="76" style="1" width="15.15"/>
    <col collapsed="false" customWidth="true" hidden="false" outlineLevel="0" max="77" min="77" style="1" width="13.43"/>
    <col collapsed="false" customWidth="true" hidden="false" outlineLevel="0" max="78" min="78" style="1" width="14.86"/>
    <col collapsed="false" customWidth="false" hidden="false" outlineLevel="0" max="79" min="79" style="1" width="9.14"/>
    <col collapsed="false" customWidth="true" hidden="false" outlineLevel="0" max="80" min="80" style="1" width="12"/>
    <col collapsed="false" customWidth="true" hidden="false" outlineLevel="0" max="81" min="81" style="1" width="10.86"/>
    <col collapsed="false" customWidth="true" hidden="false" outlineLevel="0" max="82" min="82" style="1" width="18.43"/>
    <col collapsed="false" customWidth="false" hidden="false" outlineLevel="0" max="83" min="83" style="1" width="9.14"/>
    <col collapsed="false" customWidth="true" hidden="false" outlineLevel="0" max="84" min="84" style="1" width="15.43"/>
    <col collapsed="false" customWidth="true" hidden="false" outlineLevel="0" max="85" min="85" style="1" width="17.57"/>
    <col collapsed="false" customWidth="true" hidden="false" outlineLevel="0" max="86" min="86" style="1" width="19.86"/>
    <col collapsed="false" customWidth="true" hidden="false" outlineLevel="0" max="87" min="87" style="1" width="9.57"/>
    <col collapsed="false" customWidth="true" hidden="false" outlineLevel="0" max="88" min="88" style="1" width="11.15"/>
    <col collapsed="false" customWidth="true" hidden="false" outlineLevel="0" max="89" min="89" style="1" width="19.28"/>
    <col collapsed="false" customWidth="true" hidden="false" outlineLevel="0" max="90" min="90" style="1" width="21.43"/>
    <col collapsed="false" customWidth="true" hidden="false" outlineLevel="0" max="91" min="91" style="1" width="23.86"/>
    <col collapsed="false" customWidth="true" hidden="false" outlineLevel="0" max="92" min="92" style="1" width="13.43"/>
    <col collapsed="false" customWidth="true" hidden="false" outlineLevel="0" max="93" min="93" style="1" width="12.14"/>
    <col collapsed="false" customWidth="true" hidden="false" outlineLevel="0" max="94" min="94" style="1" width="18.14"/>
    <col collapsed="false" customWidth="true" hidden="false" outlineLevel="0" max="95" min="95" style="1" width="20.14"/>
    <col collapsed="false" customWidth="true" hidden="false" outlineLevel="0" max="96" min="96" style="1" width="12.14"/>
    <col collapsed="false" customWidth="false" hidden="false" outlineLevel="0" max="97" min="97" style="1" width="9.14"/>
    <col collapsed="false" customWidth="true" hidden="false" outlineLevel="0" max="98" min="98" style="1" width="19.15"/>
    <col collapsed="false" customWidth="true" hidden="false" outlineLevel="0" max="99" min="99" style="1" width="21.14"/>
    <col collapsed="false" customWidth="true" hidden="false" outlineLevel="0" max="100" min="100" style="1" width="15.57"/>
    <col collapsed="false" customWidth="false" hidden="false" outlineLevel="0" max="101" min="101" style="1" width="9.14"/>
    <col collapsed="false" customWidth="true" hidden="false" outlineLevel="0" max="102" min="102" style="1" width="21.43"/>
    <col collapsed="false" customWidth="true" hidden="false" outlineLevel="0" max="103" min="103" style="1" width="23.43"/>
    <col collapsed="false" customWidth="true" hidden="false" outlineLevel="0" max="104" min="104" style="1" width="20.43"/>
    <col collapsed="false" customWidth="false" hidden="false" outlineLevel="0" max="105" min="105" style="1" width="9.14"/>
    <col collapsed="false" customWidth="true" hidden="false" outlineLevel="0" max="106" min="106" style="1" width="27.28"/>
    <col collapsed="false" customWidth="true" hidden="false" outlineLevel="0" max="107" min="107" style="1" width="29.43"/>
    <col collapsed="false" customWidth="true" hidden="false" outlineLevel="0" max="108" min="108" style="1" width="21.43"/>
    <col collapsed="false" customWidth="false" hidden="false" outlineLevel="0" max="16384" min="109" style="1" width="9.14"/>
  </cols>
  <sheetData>
    <row r="1" customFormat="false" ht="48.75" hidden="false" customHeight="true" outlineLevel="0" collapsed="false">
      <c r="A1" s="2"/>
      <c r="B1" s="3"/>
      <c r="C1" s="3"/>
      <c r="D1" s="3"/>
      <c r="E1" s="3"/>
      <c r="F1" s="3"/>
      <c r="G1" s="4" t="s">
        <v>0</v>
      </c>
      <c r="H1" s="3"/>
      <c r="I1" s="3"/>
      <c r="J1" s="3"/>
      <c r="K1" s="3"/>
      <c r="L1" s="3"/>
      <c r="M1" s="3"/>
      <c r="N1" s="3"/>
      <c r="O1" s="3"/>
      <c r="P1" s="3"/>
      <c r="Q1" s="3"/>
      <c r="R1" s="3"/>
      <c r="S1" s="5"/>
      <c r="T1" s="6"/>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row>
    <row r="2" customFormat="false" ht="15" hidden="false" customHeight="false" outlineLevel="0" collapsed="false">
      <c r="A2" s="6"/>
      <c r="B2" s="6"/>
      <c r="C2" s="6"/>
      <c r="D2" s="6"/>
      <c r="E2" s="6"/>
      <c r="F2" s="6"/>
      <c r="G2" s="6"/>
      <c r="H2" s="8" t="s">
        <v>1</v>
      </c>
      <c r="I2" s="6"/>
      <c r="J2" s="6"/>
      <c r="K2" s="6"/>
      <c r="L2" s="6"/>
      <c r="M2" s="6"/>
      <c r="N2" s="6"/>
      <c r="O2" s="6"/>
      <c r="P2" s="6"/>
      <c r="Q2" s="6"/>
      <c r="R2" s="6"/>
      <c r="S2" s="6"/>
      <c r="T2" s="6"/>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row>
    <row r="3" customFormat="false" ht="15" hidden="false" customHeight="false" outlineLevel="0" collapsed="false">
      <c r="A3" s="6"/>
      <c r="B3" s="6"/>
      <c r="C3" s="6"/>
      <c r="D3" s="6"/>
      <c r="E3" s="9"/>
      <c r="F3" s="10" t="s">
        <v>2</v>
      </c>
      <c r="G3" s="6"/>
      <c r="H3" s="11" t="s">
        <v>3</v>
      </c>
      <c r="I3" s="6"/>
      <c r="J3" s="6"/>
      <c r="K3" s="6"/>
      <c r="L3" s="6"/>
      <c r="M3" s="6"/>
      <c r="N3" s="6"/>
      <c r="O3" s="6"/>
      <c r="P3" s="6"/>
      <c r="Q3" s="6"/>
      <c r="R3" s="6"/>
      <c r="S3" s="6"/>
      <c r="T3" s="6"/>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row>
    <row r="4" customFormat="false" ht="15" hidden="false" customHeight="false" outlineLevel="0" collapsed="false">
      <c r="A4" s="6"/>
      <c r="B4" s="6"/>
      <c r="C4" s="6"/>
      <c r="D4" s="6"/>
      <c r="E4" s="6"/>
      <c r="F4" s="6"/>
      <c r="G4" s="6"/>
      <c r="H4" s="6"/>
      <c r="I4" s="6"/>
      <c r="J4" s="6"/>
      <c r="K4" s="6"/>
      <c r="L4" s="6"/>
      <c r="M4" s="6"/>
      <c r="N4" s="6"/>
      <c r="O4" s="6"/>
      <c r="P4" s="6"/>
      <c r="Q4" s="6"/>
      <c r="R4" s="6"/>
      <c r="S4" s="6"/>
      <c r="T4" s="6"/>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row>
    <row r="5" customFormat="false" ht="15" hidden="false" customHeight="false" outlineLevel="0" collapsed="false">
      <c r="A5" s="12" t="s">
        <v>4</v>
      </c>
      <c r="B5" s="13"/>
      <c r="C5" s="13"/>
      <c r="D5" s="13"/>
      <c r="E5" s="14"/>
      <c r="F5" s="13"/>
      <c r="G5" s="13"/>
      <c r="H5" s="15" t="s">
        <v>5</v>
      </c>
      <c r="I5" s="13"/>
      <c r="J5" s="16"/>
      <c r="K5" s="16"/>
      <c r="L5" s="16"/>
      <c r="M5" s="16"/>
      <c r="N5" s="16"/>
      <c r="O5" s="16"/>
      <c r="P5" s="16"/>
      <c r="Q5" s="16"/>
      <c r="R5" s="16"/>
      <c r="S5" s="17"/>
      <c r="T5" s="6"/>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row>
    <row r="6" customFormat="false" ht="16.4" hidden="false" customHeight="false" outlineLevel="0" collapsed="false">
      <c r="A6" s="18"/>
      <c r="B6" s="13"/>
      <c r="C6" s="14"/>
      <c r="D6" s="19" t="s">
        <v>6</v>
      </c>
      <c r="E6" s="20" t="n">
        <v>10</v>
      </c>
      <c r="F6" s="21" t="s">
        <v>7</v>
      </c>
      <c r="G6" s="22" t="str">
        <f aca="false">_xlfn.CONCAT(E6, " ",F6)</f>
        <v>10 V</v>
      </c>
      <c r="H6" s="23" t="n">
        <v>4.2</v>
      </c>
      <c r="I6" s="23" t="n">
        <v>70</v>
      </c>
      <c r="J6" s="24"/>
      <c r="K6" s="24"/>
      <c r="L6" s="24"/>
      <c r="M6" s="24"/>
      <c r="N6" s="24"/>
      <c r="O6" s="24"/>
      <c r="P6" s="24"/>
      <c r="Q6" s="24"/>
      <c r="R6" s="24"/>
      <c r="S6" s="25"/>
      <c r="T6" s="6"/>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row>
    <row r="7" customFormat="false" ht="16.4" hidden="false" customHeight="false" outlineLevel="0" collapsed="false">
      <c r="A7" s="26"/>
      <c r="B7" s="27"/>
      <c r="C7" s="27"/>
      <c r="D7" s="28" t="s">
        <v>8</v>
      </c>
      <c r="E7" s="29" t="n">
        <v>12</v>
      </c>
      <c r="F7" s="30" t="s">
        <v>7</v>
      </c>
      <c r="G7" s="22" t="str">
        <f aca="false">_xlfn.CONCAT(E7, " ",F7)</f>
        <v>12 V</v>
      </c>
      <c r="H7" s="23" t="n">
        <v>4.2</v>
      </c>
      <c r="I7" s="23" t="n">
        <v>70</v>
      </c>
      <c r="J7" s="31" t="n">
        <f aca="false">$E$6</f>
        <v>10</v>
      </c>
      <c r="K7" s="31" t="n">
        <f aca="false">$E$8</f>
        <v>15</v>
      </c>
      <c r="L7" s="24"/>
      <c r="M7" s="24"/>
      <c r="N7" s="24"/>
      <c r="O7" s="24"/>
      <c r="P7" s="24"/>
      <c r="Q7" s="24"/>
      <c r="R7" s="24"/>
      <c r="S7" s="25"/>
      <c r="T7" s="6"/>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row>
    <row r="8" customFormat="false" ht="16.4" hidden="false" customHeight="false" outlineLevel="0" collapsed="false">
      <c r="A8" s="26"/>
      <c r="B8" s="27"/>
      <c r="C8" s="27"/>
      <c r="D8" s="28" t="s">
        <v>9</v>
      </c>
      <c r="E8" s="29" t="n">
        <v>15</v>
      </c>
      <c r="F8" s="32" t="s">
        <v>7</v>
      </c>
      <c r="G8" s="22" t="str">
        <f aca="false">_xlfn.CONCAT(E8, " ",F8)</f>
        <v>15 V</v>
      </c>
      <c r="H8" s="23" t="n">
        <v>4.2</v>
      </c>
      <c r="I8" s="23" t="n">
        <v>70</v>
      </c>
      <c r="J8" s="24"/>
      <c r="K8" s="24"/>
      <c r="L8" s="24"/>
      <c r="M8" s="24"/>
      <c r="N8" s="24"/>
      <c r="O8" s="24"/>
      <c r="P8" s="24"/>
      <c r="Q8" s="24"/>
      <c r="R8" s="24"/>
      <c r="S8" s="25"/>
      <c r="T8" s="6"/>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row>
    <row r="9" customFormat="false" ht="16.4" hidden="false" customHeight="false" outlineLevel="0" collapsed="false">
      <c r="A9" s="26"/>
      <c r="B9" s="27"/>
      <c r="C9" s="27"/>
      <c r="D9" s="28" t="s">
        <v>10</v>
      </c>
      <c r="E9" s="29" t="n">
        <v>12.6</v>
      </c>
      <c r="F9" s="32" t="s">
        <v>7</v>
      </c>
      <c r="G9" s="22" t="str">
        <f aca="false">_xlfn.CONCAT(E9, " ",F9)</f>
        <v>12,6 V</v>
      </c>
      <c r="H9" s="23" t="n">
        <v>3.3</v>
      </c>
      <c r="I9" s="23" t="n">
        <v>70</v>
      </c>
      <c r="J9" s="24"/>
      <c r="K9" s="24"/>
      <c r="L9" s="24"/>
      <c r="M9" s="24"/>
      <c r="N9" s="24"/>
      <c r="O9" s="24"/>
      <c r="P9" s="24"/>
      <c r="Q9" s="24"/>
      <c r="R9" s="24"/>
      <c r="S9" s="25"/>
      <c r="T9" s="6"/>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row>
    <row r="10" customFormat="false" ht="16.4" hidden="false" customHeight="false" outlineLevel="0" collapsed="false">
      <c r="A10" s="33"/>
      <c r="B10" s="34"/>
      <c r="C10" s="34"/>
      <c r="D10" s="35" t="s">
        <v>11</v>
      </c>
      <c r="E10" s="36" t="n">
        <v>10</v>
      </c>
      <c r="F10" s="37" t="s">
        <v>12</v>
      </c>
      <c r="G10" s="22" t="str">
        <f aca="false">_xlfn.CONCAT(E10, " ",F10)</f>
        <v>10 A</v>
      </c>
      <c r="H10" s="27"/>
      <c r="I10" s="27"/>
      <c r="J10" s="24"/>
      <c r="K10" s="24"/>
      <c r="L10" s="24"/>
      <c r="M10" s="24"/>
      <c r="N10" s="24"/>
      <c r="O10" s="24"/>
      <c r="P10" s="24"/>
      <c r="Q10" s="24"/>
      <c r="R10" s="24"/>
      <c r="S10" s="25"/>
      <c r="T10" s="6"/>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row>
    <row r="11" customFormat="false" ht="15" hidden="false" customHeight="false" outlineLevel="0" collapsed="false">
      <c r="A11" s="26"/>
      <c r="B11" s="27"/>
      <c r="C11" s="27"/>
      <c r="D11" s="27"/>
      <c r="E11" s="27"/>
      <c r="F11" s="38"/>
      <c r="G11" s="22"/>
      <c r="H11" s="27" t="s">
        <v>13</v>
      </c>
      <c r="I11" s="27"/>
      <c r="J11" s="24"/>
      <c r="K11" s="24"/>
      <c r="L11" s="24"/>
      <c r="M11" s="24"/>
      <c r="N11" s="24"/>
      <c r="O11" s="24"/>
      <c r="P11" s="24"/>
      <c r="Q11" s="24"/>
      <c r="R11" s="24"/>
      <c r="S11" s="25"/>
      <c r="T11" s="6"/>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row>
    <row r="12" customFormat="false" ht="15" hidden="false" customHeight="false" outlineLevel="0" collapsed="false">
      <c r="A12" s="39" t="s">
        <v>14</v>
      </c>
      <c r="B12" s="27"/>
      <c r="C12" s="27"/>
      <c r="D12" s="27"/>
      <c r="E12" s="27"/>
      <c r="F12" s="38"/>
      <c r="G12" s="22"/>
      <c r="H12" s="27"/>
      <c r="I12" s="27"/>
      <c r="J12" s="24"/>
      <c r="K12" s="24"/>
      <c r="L12" s="24"/>
      <c r="M12" s="24"/>
      <c r="N12" s="24"/>
      <c r="O12" s="24"/>
      <c r="P12" s="24"/>
      <c r="Q12" s="24"/>
      <c r="R12" s="24"/>
      <c r="S12" s="25"/>
      <c r="T12" s="6"/>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row>
    <row r="13" customFormat="false" ht="16.4" hidden="false" customHeight="false" outlineLevel="0" collapsed="false">
      <c r="A13" s="18"/>
      <c r="B13" s="13"/>
      <c r="C13" s="13"/>
      <c r="D13" s="19" t="s">
        <v>15</v>
      </c>
      <c r="E13" s="40" t="n">
        <v>200</v>
      </c>
      <c r="F13" s="21" t="s">
        <v>16</v>
      </c>
      <c r="G13" s="22" t="str">
        <f aca="false">_xlfn.CONCAT(E13, " ",F13)</f>
        <v>200 kHz</v>
      </c>
      <c r="H13" s="23" t="n">
        <v>200</v>
      </c>
      <c r="I13" s="23" t="n">
        <v>600</v>
      </c>
      <c r="J13" s="24"/>
      <c r="K13" s="24"/>
      <c r="L13" s="24"/>
      <c r="M13" s="24"/>
      <c r="N13" s="24"/>
      <c r="O13" s="24"/>
      <c r="P13" s="24"/>
      <c r="Q13" s="24"/>
      <c r="R13" s="24"/>
      <c r="S13" s="25"/>
      <c r="T13" s="6"/>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row>
    <row r="14" customFormat="false" ht="16.4" hidden="false" customHeight="false" outlineLevel="0" collapsed="false">
      <c r="A14" s="39"/>
      <c r="B14" s="27"/>
      <c r="C14" s="27"/>
      <c r="D14" s="41" t="s">
        <v>17</v>
      </c>
      <c r="E14" s="42" t="n">
        <f aca="false">MAX(MIN(1/(10*($E$13*10^3*5*10^-12-500*10^-9))/10^3,$I$15),$H$15)</f>
        <v>200</v>
      </c>
      <c r="F14" s="43" t="s">
        <v>18</v>
      </c>
      <c r="G14" s="22" t="str">
        <f aca="false">_xlfn.CONCAT(E14, " ",F14)</f>
        <v>200 kΩ</v>
      </c>
      <c r="H14" s="27"/>
      <c r="I14" s="27"/>
      <c r="J14" s="24"/>
      <c r="K14" s="24"/>
      <c r="L14" s="24"/>
      <c r="M14" s="24"/>
      <c r="N14" s="24"/>
      <c r="O14" s="24"/>
      <c r="P14" s="24"/>
      <c r="Q14" s="24"/>
      <c r="R14" s="24"/>
      <c r="S14" s="25"/>
      <c r="T14" s="6"/>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row>
    <row r="15" customFormat="false" ht="16.4" hidden="false" customHeight="false" outlineLevel="0" collapsed="false">
      <c r="A15" s="39"/>
      <c r="B15" s="27"/>
      <c r="C15" s="27"/>
      <c r="D15" s="28" t="s">
        <v>19</v>
      </c>
      <c r="E15" s="44" t="n">
        <v>200</v>
      </c>
      <c r="F15" s="32" t="s">
        <v>18</v>
      </c>
      <c r="G15" s="45" t="str">
        <f aca="false">_xlfn.CONCAT(E15, " ",F15)</f>
        <v>200 kΩ</v>
      </c>
      <c r="H15" s="23" t="n">
        <v>40</v>
      </c>
      <c r="I15" s="23" t="n">
        <v>200</v>
      </c>
      <c r="J15" s="24"/>
      <c r="K15" s="24"/>
      <c r="L15" s="24"/>
      <c r="M15" s="24"/>
      <c r="N15" s="24"/>
      <c r="O15" s="24"/>
      <c r="P15" s="24"/>
      <c r="Q15" s="24"/>
      <c r="R15" s="24"/>
      <c r="S15" s="25"/>
      <c r="T15" s="6"/>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row>
    <row r="16" customFormat="false" ht="15" hidden="false" customHeight="false" outlineLevel="0" collapsed="false">
      <c r="A16" s="26"/>
      <c r="B16" s="27"/>
      <c r="C16" s="27"/>
      <c r="D16" s="41" t="s">
        <v>20</v>
      </c>
      <c r="E16" s="42" t="n">
        <f aca="false">(1/(10*$E$15*10^3)+500*10^-9)/(5*10^-12)/10^3</f>
        <v>200</v>
      </c>
      <c r="F16" s="43" t="s">
        <v>16</v>
      </c>
      <c r="G16" s="22"/>
      <c r="H16" s="46" t="n">
        <f aca="false">$E$13*0.95</f>
        <v>190</v>
      </c>
      <c r="I16" s="23" t="n">
        <f aca="false">Desired_Fsw*1.05</f>
        <v>210</v>
      </c>
      <c r="J16" s="24"/>
      <c r="K16" s="24"/>
      <c r="L16" s="24"/>
      <c r="M16" s="24"/>
      <c r="N16" s="24"/>
      <c r="O16" s="24"/>
      <c r="P16" s="24"/>
      <c r="Q16" s="24"/>
      <c r="R16" s="24"/>
      <c r="S16" s="25"/>
      <c r="T16" s="6"/>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row>
    <row r="17" customFormat="false" ht="15" hidden="false" customHeight="false" outlineLevel="0" collapsed="false">
      <c r="A17" s="26"/>
      <c r="B17" s="27"/>
      <c r="C17" s="27"/>
      <c r="D17" s="41" t="s">
        <v>21</v>
      </c>
      <c r="E17" s="42" t="n">
        <f aca="false">(1-225*10^-9*Fsw*10^3)*100</f>
        <v>95.5</v>
      </c>
      <c r="F17" s="43" t="s">
        <v>22</v>
      </c>
      <c r="G17" s="22"/>
      <c r="H17" s="46"/>
      <c r="I17" s="27"/>
      <c r="J17" s="24"/>
      <c r="K17" s="24"/>
      <c r="L17" s="24"/>
      <c r="M17" s="24"/>
      <c r="N17" s="24"/>
      <c r="O17" s="24"/>
      <c r="P17" s="24"/>
      <c r="Q17" s="24"/>
      <c r="R17" s="24"/>
      <c r="S17" s="25"/>
      <c r="T17" s="6"/>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row>
    <row r="18" customFormat="false" ht="15" hidden="false" customHeight="false" outlineLevel="0" collapsed="false">
      <c r="A18" s="26"/>
      <c r="B18" s="27"/>
      <c r="C18" s="27"/>
      <c r="D18" s="41" t="s">
        <v>23</v>
      </c>
      <c r="E18" s="47" t="n">
        <f aca="false">IF(VACmin&lt;Vbat, MIN(VACmin/(1-$E$17/100),H18), "N/A")</f>
        <v>70</v>
      </c>
      <c r="F18" s="43" t="s">
        <v>7</v>
      </c>
      <c r="G18" s="22"/>
      <c r="H18" s="48" t="n">
        <v>70</v>
      </c>
      <c r="I18" s="49" t="n">
        <f aca="false">Vbat</f>
        <v>12.6</v>
      </c>
      <c r="J18" s="24"/>
      <c r="K18" s="24"/>
      <c r="L18" s="24"/>
      <c r="M18" s="24"/>
      <c r="N18" s="24"/>
      <c r="O18" s="24"/>
      <c r="P18" s="24"/>
      <c r="Q18" s="24"/>
      <c r="R18" s="24"/>
      <c r="S18" s="25"/>
      <c r="T18" s="6"/>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row>
    <row r="19" customFormat="false" ht="15" hidden="false" customHeight="false" outlineLevel="0" collapsed="false">
      <c r="A19" s="26"/>
      <c r="B19" s="27"/>
      <c r="C19" s="27"/>
      <c r="D19" s="41" t="s">
        <v>24</v>
      </c>
      <c r="E19" s="47" t="n">
        <f aca="false">IF(VACnom&lt;Vbat, MIN(VACnom/(1-$E$17/100),H19), "N/A")</f>
        <v>70</v>
      </c>
      <c r="F19" s="43" t="s">
        <v>7</v>
      </c>
      <c r="G19" s="22"/>
      <c r="H19" s="48" t="n">
        <v>70</v>
      </c>
      <c r="I19" s="49" t="n">
        <f aca="false">Vbat</f>
        <v>12.6</v>
      </c>
      <c r="J19" s="24"/>
      <c r="K19" s="24"/>
      <c r="L19" s="24"/>
      <c r="M19" s="24"/>
      <c r="N19" s="24"/>
      <c r="O19" s="24"/>
      <c r="P19" s="24"/>
      <c r="Q19" s="24"/>
      <c r="R19" s="24"/>
      <c r="S19" s="25"/>
      <c r="T19" s="6"/>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row>
    <row r="20" customFormat="false" ht="15" hidden="false" customHeight="false" outlineLevel="0" collapsed="false">
      <c r="A20" s="33"/>
      <c r="B20" s="34"/>
      <c r="C20" s="34"/>
      <c r="D20" s="50" t="s">
        <v>25</v>
      </c>
      <c r="E20" s="51" t="str">
        <f aca="false">IF(VACmax&lt;Vbat, MIN(VACmax/(1-$E$17/100),H20), "N/A")</f>
        <v>N/A</v>
      </c>
      <c r="F20" s="52" t="s">
        <v>7</v>
      </c>
      <c r="G20" s="22"/>
      <c r="H20" s="48" t="n">
        <v>70</v>
      </c>
      <c r="I20" s="49" t="n">
        <f aca="false">Vbat</f>
        <v>12.6</v>
      </c>
      <c r="J20" s="24"/>
      <c r="K20" s="24"/>
      <c r="L20" s="24"/>
      <c r="M20" s="24"/>
      <c r="N20" s="24"/>
      <c r="O20" s="24"/>
      <c r="P20" s="24"/>
      <c r="Q20" s="24"/>
      <c r="R20" s="24"/>
      <c r="S20" s="25"/>
      <c r="T20" s="6"/>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row>
    <row r="21" customFormat="false" ht="15" hidden="false" customHeight="false" outlineLevel="0" collapsed="false">
      <c r="A21" s="26"/>
      <c r="B21" s="27"/>
      <c r="C21" s="27"/>
      <c r="D21" s="41"/>
      <c r="E21" s="27"/>
      <c r="F21" s="38"/>
      <c r="G21" s="22"/>
      <c r="H21" s="27"/>
      <c r="I21" s="27"/>
      <c r="J21" s="24"/>
      <c r="K21" s="24"/>
      <c r="L21" s="24"/>
      <c r="M21" s="24"/>
      <c r="N21" s="24"/>
      <c r="O21" s="24"/>
      <c r="P21" s="24"/>
      <c r="Q21" s="24"/>
      <c r="R21" s="24"/>
      <c r="S21" s="25"/>
      <c r="T21" s="6"/>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row>
    <row r="22" customFormat="false" ht="15" hidden="false" customHeight="false" outlineLevel="0" collapsed="false">
      <c r="A22" s="39" t="s">
        <v>26</v>
      </c>
      <c r="B22" s="27"/>
      <c r="C22" s="27"/>
      <c r="D22" s="27"/>
      <c r="E22" s="27"/>
      <c r="F22" s="38"/>
      <c r="G22" s="22"/>
      <c r="H22" s="27"/>
      <c r="I22" s="27"/>
      <c r="J22" s="24"/>
      <c r="K22" s="24"/>
      <c r="L22" s="24"/>
      <c r="M22" s="24"/>
      <c r="N22" s="24"/>
      <c r="O22" s="24"/>
      <c r="P22" s="24"/>
      <c r="Q22" s="24"/>
      <c r="R22" s="24"/>
      <c r="S22" s="25"/>
      <c r="T22" s="6"/>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row>
    <row r="23" customFormat="false" ht="15" hidden="false" customHeight="false" outlineLevel="0" collapsed="false">
      <c r="A23" s="12"/>
      <c r="B23" s="13"/>
      <c r="C23" s="13"/>
      <c r="D23" s="53" t="s">
        <v>27</v>
      </c>
      <c r="E23" s="54" t="n">
        <f aca="false">Vbat*Ioutmax/(0.9*VACmin)</f>
        <v>14</v>
      </c>
      <c r="F23" s="55" t="s">
        <v>12</v>
      </c>
      <c r="G23" s="22"/>
      <c r="H23" s="27"/>
      <c r="I23" s="27"/>
      <c r="J23" s="24"/>
      <c r="K23" s="24"/>
      <c r="L23" s="24"/>
      <c r="M23" s="24"/>
      <c r="N23" s="24"/>
      <c r="O23" s="24"/>
      <c r="P23" s="24"/>
      <c r="Q23" s="24"/>
      <c r="R23" s="24"/>
      <c r="S23" s="25"/>
      <c r="T23" s="6"/>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row>
    <row r="24" customFormat="false" ht="15" hidden="false" customHeight="false" outlineLevel="0" collapsed="false">
      <c r="A24" s="39"/>
      <c r="B24" s="27"/>
      <c r="C24" s="27"/>
      <c r="D24" s="41" t="s">
        <v>28</v>
      </c>
      <c r="E24" s="56" t="n">
        <v>15</v>
      </c>
      <c r="F24" s="57" t="s">
        <v>12</v>
      </c>
      <c r="G24" s="22"/>
      <c r="H24" s="58" t="n">
        <f aca="false">ILmax</f>
        <v>14</v>
      </c>
      <c r="I24" s="27"/>
      <c r="J24" s="24"/>
      <c r="K24" s="24"/>
      <c r="L24" s="24"/>
      <c r="M24" s="24"/>
      <c r="N24" s="24"/>
      <c r="O24" s="24"/>
      <c r="P24" s="24"/>
      <c r="Q24" s="24"/>
      <c r="R24" s="24"/>
      <c r="S24" s="25"/>
      <c r="T24" s="6"/>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row>
    <row r="25" customFormat="false" ht="16.4" hidden="false" customHeight="false" outlineLevel="0" collapsed="false">
      <c r="A25" s="26"/>
      <c r="B25" s="27"/>
      <c r="C25" s="27"/>
      <c r="D25" s="41" t="s">
        <v>29</v>
      </c>
      <c r="E25" s="59" t="n">
        <f aca="false">IF((MAX( 0.5*MIN( 2*Vbat,VACmax )*(Vbat/MIN( 2*Vbat,VACmax ))*(1- (Vbat/MIN( 2*Vbat,VACmax )) )/(Fsw*10^3 *(Isat-ILmax) ), 0.5*MAX( Vbat/2, VACmin )*(1- MAX( Vbat/2, VACmin )/Vbat)/(Fsw*10^3*(Isat-ILmax)))/10^-6)&lt;0, "ERROR", (MAX( 0.5*MIN( 2*Vbat,VACmax )*(Vbat/MIN( 2*Vbat,VACmax ))*(1- (Vbat/MIN( 2*Vbat,VACmax )) )/(Fsw*10^3 *(Isat-ILmax) ), 0.5*MAX( Vbat/2, VACmin )*(1- MAX( Vbat/2, VACmin )/Vbat)/(Fsw*10^3*(Isat-ILmax)))/10^-6))</f>
        <v>5.15873015873016</v>
      </c>
      <c r="F25" s="60" t="s">
        <v>30</v>
      </c>
      <c r="G25" s="45" t="str">
        <f aca="false">_xlfn.CONCAT(E25, " ",F25)</f>
        <v>5,15873015873016 µH</v>
      </c>
      <c r="H25" s="23" t="n">
        <v>2.2</v>
      </c>
      <c r="I25" s="23" t="n">
        <v>15</v>
      </c>
      <c r="J25" s="24"/>
      <c r="K25" s="24"/>
      <c r="L25" s="24"/>
      <c r="M25" s="24"/>
      <c r="N25" s="24"/>
      <c r="O25" s="24"/>
      <c r="P25" s="24"/>
      <c r="Q25" s="24"/>
      <c r="R25" s="24"/>
      <c r="S25" s="25"/>
      <c r="T25" s="6"/>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row>
    <row r="26" customFormat="false" ht="16.4" hidden="false" customHeight="false" outlineLevel="0" collapsed="false">
      <c r="A26" s="26"/>
      <c r="B26" s="27"/>
      <c r="C26" s="27"/>
      <c r="D26" s="28" t="s">
        <v>31</v>
      </c>
      <c r="E26" s="56" t="n">
        <v>10</v>
      </c>
      <c r="F26" s="61" t="s">
        <v>30</v>
      </c>
      <c r="G26" s="22" t="str">
        <f aca="false">_xlfn.CONCAT(E26, " ",F26)</f>
        <v>10 µH</v>
      </c>
      <c r="H26" s="58" t="n">
        <f aca="false">$E$25</f>
        <v>5.15873015873016</v>
      </c>
      <c r="I26" s="23"/>
      <c r="J26" s="24"/>
      <c r="K26" s="24"/>
      <c r="L26" s="24"/>
      <c r="M26" s="24"/>
      <c r="N26" s="24"/>
      <c r="O26" s="24"/>
      <c r="P26" s="24"/>
      <c r="Q26" s="24"/>
      <c r="R26" s="24"/>
      <c r="S26" s="25"/>
      <c r="T26" s="6"/>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row>
    <row r="27" customFormat="false" ht="15" hidden="false" customHeight="false" outlineLevel="0" collapsed="false">
      <c r="A27" s="26"/>
      <c r="B27" s="27"/>
      <c r="C27" s="27"/>
      <c r="D27" s="41" t="s">
        <v>32</v>
      </c>
      <c r="E27" s="59" t="n">
        <v>2.6</v>
      </c>
      <c r="F27" s="62" t="s">
        <v>33</v>
      </c>
      <c r="G27" s="22"/>
      <c r="H27" s="27"/>
      <c r="I27" s="27"/>
      <c r="J27" s="24"/>
      <c r="K27" s="24"/>
      <c r="L27" s="24"/>
      <c r="M27" s="24"/>
      <c r="N27" s="24"/>
      <c r="O27" s="24"/>
      <c r="P27" s="24"/>
      <c r="Q27" s="24"/>
      <c r="R27" s="24"/>
      <c r="S27" s="25"/>
      <c r="T27" s="6"/>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row>
    <row r="28" customFormat="false" ht="15" hidden="false" customHeight="false" outlineLevel="0" collapsed="false">
      <c r="A28" s="26"/>
      <c r="B28" s="27"/>
      <c r="C28" s="27"/>
      <c r="D28" s="41" t="s">
        <v>34</v>
      </c>
      <c r="E28" s="59" t="n">
        <v>60</v>
      </c>
      <c r="F28" s="62" t="s">
        <v>33</v>
      </c>
      <c r="G28" s="22"/>
      <c r="H28" s="27"/>
      <c r="I28" s="27"/>
      <c r="J28" s="24"/>
      <c r="K28" s="24"/>
      <c r="L28" s="24"/>
      <c r="M28" s="24"/>
      <c r="N28" s="24"/>
      <c r="O28" s="24"/>
      <c r="P28" s="24"/>
      <c r="Q28" s="24"/>
      <c r="R28" s="24"/>
      <c r="S28" s="25"/>
      <c r="T28" s="6"/>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row>
    <row r="29" customFormat="false" ht="16.4" hidden="false" customHeight="false" outlineLevel="0" collapsed="false">
      <c r="A29" s="26"/>
      <c r="B29" s="27"/>
      <c r="C29" s="27"/>
      <c r="D29" s="28" t="s">
        <v>35</v>
      </c>
      <c r="E29" s="44" t="n">
        <v>12</v>
      </c>
      <c r="F29" s="61" t="s">
        <v>33</v>
      </c>
      <c r="G29" s="22" t="str">
        <f aca="false">_xlfn.CONCAT(E29, " ",F29)</f>
        <v>12 mΩ</v>
      </c>
      <c r="H29" s="58" t="n">
        <f aca="false">E27</f>
        <v>2.6</v>
      </c>
      <c r="I29" s="58" t="n">
        <f aca="false">E28</f>
        <v>60</v>
      </c>
      <c r="J29" s="24"/>
      <c r="K29" s="24"/>
      <c r="L29" s="24"/>
      <c r="M29" s="24"/>
      <c r="N29" s="24"/>
      <c r="O29" s="24"/>
      <c r="P29" s="24"/>
      <c r="Q29" s="24"/>
      <c r="R29" s="24"/>
      <c r="S29" s="25"/>
      <c r="T29" s="6"/>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row>
    <row r="30" customFormat="false" ht="15" hidden="false" customHeight="false" outlineLevel="0" collapsed="false">
      <c r="A30" s="26"/>
      <c r="B30" s="27"/>
      <c r="C30" s="27"/>
      <c r="D30" s="41" t="s">
        <v>36</v>
      </c>
      <c r="E30" s="42" t="n">
        <f aca="false">IF(VACmin&lt;Vbat,VACmin*(1-VACmin/Vbat)/(Fsw*10^3*L*10^-6),VACmin*Vbat/VACmin*(1-Vbat/VACmin)/(Fsw*10^3*L*10^-6))</f>
        <v>1.03174603174603</v>
      </c>
      <c r="F30" s="60" t="s">
        <v>37</v>
      </c>
      <c r="G30" s="22"/>
      <c r="H30" s="27"/>
      <c r="I30" s="27"/>
      <c r="J30" s="24"/>
      <c r="K30" s="24"/>
      <c r="L30" s="24"/>
      <c r="M30" s="24"/>
      <c r="N30" s="24"/>
      <c r="O30" s="24"/>
      <c r="P30" s="24"/>
      <c r="Q30" s="24"/>
      <c r="R30" s="24"/>
      <c r="S30" s="25"/>
      <c r="T30" s="6"/>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row>
    <row r="31" customFormat="false" ht="15" hidden="false" customHeight="false" outlineLevel="0" collapsed="false">
      <c r="A31" s="26"/>
      <c r="B31" s="27"/>
      <c r="C31" s="27"/>
      <c r="D31" s="41" t="s">
        <v>38</v>
      </c>
      <c r="E31" s="42" t="n">
        <f aca="false">IF(VACnom&lt;Vbat,VACnom*(1-VACnom/Vbat)/(Fsw*10^3*L*10^-6),VACnom*Vbat/VACnom*(1-Vbat/VACnom)/(Fsw*10^3*L*10^-6))</f>
        <v>0.285714285714285</v>
      </c>
      <c r="F31" s="60" t="s">
        <v>37</v>
      </c>
      <c r="G31" s="22"/>
      <c r="H31" s="27"/>
      <c r="I31" s="27"/>
      <c r="J31" s="24"/>
      <c r="K31" s="24"/>
      <c r="L31" s="24"/>
      <c r="M31" s="24"/>
      <c r="N31" s="24"/>
      <c r="O31" s="24"/>
      <c r="P31" s="24"/>
      <c r="Q31" s="24"/>
      <c r="R31" s="24"/>
      <c r="S31" s="25"/>
      <c r="T31" s="6"/>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row>
    <row r="32" customFormat="false" ht="15" hidden="false" customHeight="false" outlineLevel="0" collapsed="false">
      <c r="A32" s="26"/>
      <c r="B32" s="27"/>
      <c r="C32" s="27"/>
      <c r="D32" s="41" t="s">
        <v>39</v>
      </c>
      <c r="E32" s="42" t="n">
        <f aca="false">IF(VACmax&lt;Vbat,VACmax*(1-VACmax/Vbat)/(Fsw*10^3*L*10^-6),VACmax*Vbat/VACmax*(1-Vbat/VACmax)/(Fsw*10^3*L*10^-6))</f>
        <v>1.008</v>
      </c>
      <c r="F32" s="60" t="s">
        <v>37</v>
      </c>
      <c r="G32" s="22"/>
      <c r="H32" s="27"/>
      <c r="I32" s="27"/>
      <c r="J32" s="24"/>
      <c r="K32" s="24"/>
      <c r="L32" s="24"/>
      <c r="M32" s="24"/>
      <c r="N32" s="24"/>
      <c r="O32" s="24"/>
      <c r="P32" s="24"/>
      <c r="Q32" s="24"/>
      <c r="R32" s="24"/>
      <c r="S32" s="25"/>
      <c r="T32" s="6"/>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row>
    <row r="33" customFormat="false" ht="15" hidden="false" customHeight="false" outlineLevel="0" collapsed="false">
      <c r="A33" s="26"/>
      <c r="B33" s="27"/>
      <c r="C33" s="27"/>
      <c r="D33" s="41" t="s">
        <v>40</v>
      </c>
      <c r="E33" s="42" t="n">
        <f aca="false">E30/Ioutmax*100</f>
        <v>10.3174603174603</v>
      </c>
      <c r="F33" s="60" t="s">
        <v>22</v>
      </c>
      <c r="G33" s="22"/>
      <c r="H33" s="27"/>
      <c r="I33" s="27"/>
      <c r="J33" s="24"/>
      <c r="K33" s="24"/>
      <c r="L33" s="24"/>
      <c r="M33" s="24"/>
      <c r="N33" s="24"/>
      <c r="O33" s="24"/>
      <c r="P33" s="24"/>
      <c r="Q33" s="24"/>
      <c r="R33" s="24"/>
      <c r="S33" s="25"/>
      <c r="T33" s="6"/>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row>
    <row r="34" customFormat="false" ht="15" hidden="false" customHeight="false" outlineLevel="0" collapsed="false">
      <c r="A34" s="26"/>
      <c r="B34" s="27"/>
      <c r="C34" s="27"/>
      <c r="D34" s="41" t="s">
        <v>41</v>
      </c>
      <c r="E34" s="42" t="n">
        <f aca="false">E31/Ioutmax*100</f>
        <v>2.85714285714285</v>
      </c>
      <c r="F34" s="60" t="s">
        <v>22</v>
      </c>
      <c r="G34" s="22"/>
      <c r="H34" s="27"/>
      <c r="I34" s="27"/>
      <c r="J34" s="24"/>
      <c r="K34" s="24"/>
      <c r="L34" s="24"/>
      <c r="M34" s="24"/>
      <c r="N34" s="24"/>
      <c r="O34" s="24"/>
      <c r="P34" s="24"/>
      <c r="Q34" s="24"/>
      <c r="R34" s="24"/>
      <c r="S34" s="25"/>
      <c r="T34" s="6"/>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row>
    <row r="35" customFormat="false" ht="15" hidden="false" customHeight="false" outlineLevel="0" collapsed="false">
      <c r="A35" s="26"/>
      <c r="B35" s="27"/>
      <c r="C35" s="27"/>
      <c r="D35" s="41" t="s">
        <v>42</v>
      </c>
      <c r="E35" s="42" t="n">
        <f aca="false">E32/Ioutmax*100</f>
        <v>10.08</v>
      </c>
      <c r="F35" s="60" t="s">
        <v>22</v>
      </c>
      <c r="G35" s="22"/>
      <c r="H35" s="27"/>
      <c r="I35" s="27"/>
      <c r="J35" s="24"/>
      <c r="K35" s="24"/>
      <c r="L35" s="24"/>
      <c r="M35" s="24"/>
      <c r="N35" s="24"/>
      <c r="O35" s="24"/>
      <c r="P35" s="24"/>
      <c r="Q35" s="24"/>
      <c r="R35" s="24"/>
      <c r="S35" s="25"/>
      <c r="T35" s="6"/>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row>
    <row r="36" customFormat="false" ht="15" hidden="false" customHeight="false" outlineLevel="0" collapsed="false">
      <c r="A36" s="33"/>
      <c r="B36" s="34"/>
      <c r="C36" s="34"/>
      <c r="D36" s="50" t="s">
        <v>43</v>
      </c>
      <c r="E36" s="63" t="n">
        <f aca="false">ILmax+VACmin*(Vbat-VACmin)/(2*L*10^-6*Fsw*10^3*Vbat)</f>
        <v>14.515873015873</v>
      </c>
      <c r="F36" s="64" t="s">
        <v>12</v>
      </c>
      <c r="G36" s="22"/>
      <c r="H36" s="27"/>
      <c r="I36" s="27"/>
      <c r="J36" s="24"/>
      <c r="K36" s="24"/>
      <c r="L36" s="24"/>
      <c r="M36" s="24"/>
      <c r="N36" s="24"/>
      <c r="O36" s="24"/>
      <c r="P36" s="24"/>
      <c r="Q36" s="24"/>
      <c r="R36" s="24"/>
      <c r="S36" s="25"/>
      <c r="T36" s="6"/>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row>
    <row r="37" customFormat="false" ht="15" hidden="false" customHeight="false" outlineLevel="0" collapsed="false">
      <c r="A37" s="26"/>
      <c r="B37" s="27"/>
      <c r="C37" s="27"/>
      <c r="D37" s="27"/>
      <c r="E37" s="27"/>
      <c r="F37" s="38"/>
      <c r="G37" s="22"/>
      <c r="H37" s="27"/>
      <c r="I37" s="27"/>
      <c r="J37" s="24"/>
      <c r="K37" s="24"/>
      <c r="L37" s="24"/>
      <c r="M37" s="24"/>
      <c r="N37" s="24"/>
      <c r="O37" s="24"/>
      <c r="P37" s="24"/>
      <c r="Q37" s="24"/>
      <c r="R37" s="24"/>
      <c r="S37" s="25"/>
      <c r="T37" s="6"/>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row>
    <row r="38" customFormat="false" ht="15" hidden="false" customHeight="false" outlineLevel="0" collapsed="false">
      <c r="A38" s="39" t="s">
        <v>44</v>
      </c>
      <c r="B38" s="27"/>
      <c r="C38" s="27"/>
      <c r="D38" s="27"/>
      <c r="E38" s="27"/>
      <c r="F38" s="38"/>
      <c r="G38" s="22"/>
      <c r="H38" s="27"/>
      <c r="I38" s="27"/>
      <c r="J38" s="24"/>
      <c r="K38" s="24"/>
      <c r="L38" s="24"/>
      <c r="M38" s="24"/>
      <c r="N38" s="24"/>
      <c r="O38" s="24"/>
      <c r="P38" s="24"/>
      <c r="Q38" s="24"/>
      <c r="R38" s="24"/>
      <c r="S38" s="25"/>
      <c r="T38" s="6"/>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row>
    <row r="39" customFormat="false" ht="15" hidden="false" customHeight="false" outlineLevel="0" collapsed="false">
      <c r="A39" s="12"/>
      <c r="B39" s="13"/>
      <c r="C39" s="13"/>
      <c r="D39" s="53" t="s">
        <v>45</v>
      </c>
      <c r="E39" s="65" t="str">
        <f aca="false">"2-5"</f>
        <v>2-5</v>
      </c>
      <c r="F39" s="55" t="s">
        <v>33</v>
      </c>
      <c r="G39" s="22"/>
      <c r="H39" s="27"/>
      <c r="I39" s="27"/>
      <c r="J39" s="24"/>
      <c r="K39" s="24"/>
      <c r="L39" s="24"/>
      <c r="M39" s="24"/>
      <c r="N39" s="24"/>
      <c r="O39" s="24"/>
      <c r="P39" s="24"/>
      <c r="Q39" s="24"/>
      <c r="R39" s="24"/>
      <c r="S39" s="25"/>
      <c r="T39" s="6"/>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row>
    <row r="40" customFormat="false" ht="16.4" hidden="false" customHeight="false" outlineLevel="0" collapsed="false">
      <c r="A40" s="39"/>
      <c r="B40" s="27"/>
      <c r="C40" s="27"/>
      <c r="D40" s="28" t="s">
        <v>46</v>
      </c>
      <c r="E40" s="56" t="n">
        <v>5</v>
      </c>
      <c r="F40" s="66" t="s">
        <v>33</v>
      </c>
      <c r="G40" s="45" t="str">
        <f aca="false">_xlfn.CONCAT(E40, " ",F40)</f>
        <v>5 mΩ</v>
      </c>
      <c r="H40" s="27"/>
      <c r="I40" s="27"/>
      <c r="J40" s="24"/>
      <c r="K40" s="24"/>
      <c r="L40" s="24"/>
      <c r="M40" s="24"/>
      <c r="N40" s="24"/>
      <c r="O40" s="24"/>
      <c r="P40" s="24"/>
      <c r="Q40" s="24"/>
      <c r="R40" s="24"/>
      <c r="S40" s="25"/>
      <c r="T40" s="6"/>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row>
    <row r="41" customFormat="false" ht="15" hidden="false" customHeight="false" outlineLevel="0" collapsed="false">
      <c r="A41" s="39"/>
      <c r="B41" s="27"/>
      <c r="C41" s="27"/>
      <c r="D41" s="41" t="s">
        <v>47</v>
      </c>
      <c r="E41" s="67" t="n">
        <f aca="false">IF(RAC_SNS=0, "Disabled", 50*2/RAC_SNS)</f>
        <v>20</v>
      </c>
      <c r="F41" s="60" t="s">
        <v>12</v>
      </c>
      <c r="G41" s="22"/>
      <c r="H41" s="27"/>
      <c r="I41" s="27"/>
      <c r="J41" s="24"/>
      <c r="K41" s="24"/>
      <c r="L41" s="24"/>
      <c r="M41" s="24"/>
      <c r="N41" s="24"/>
      <c r="O41" s="24"/>
      <c r="P41" s="24"/>
      <c r="Q41" s="24"/>
      <c r="R41" s="24"/>
      <c r="S41" s="25"/>
      <c r="T41" s="6"/>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row>
    <row r="42" customFormat="false" ht="15" hidden="false" customHeight="false" outlineLevel="0" collapsed="false">
      <c r="A42" s="39"/>
      <c r="B42" s="27"/>
      <c r="C42" s="27"/>
      <c r="D42" s="41" t="s">
        <v>48</v>
      </c>
      <c r="E42" s="67" t="n">
        <f aca="false">IF(RAC_SNS=0,"Disabled",125*2/RAC_SNS)</f>
        <v>50</v>
      </c>
      <c r="F42" s="60" t="s">
        <v>49</v>
      </c>
      <c r="G42" s="22"/>
      <c r="H42" s="27"/>
      <c r="I42" s="27"/>
      <c r="J42" s="24"/>
      <c r="K42" s="24"/>
      <c r="L42" s="24"/>
      <c r="M42" s="24"/>
      <c r="N42" s="24"/>
      <c r="O42" s="24"/>
      <c r="P42" s="24"/>
      <c r="Q42" s="24"/>
      <c r="R42" s="24"/>
      <c r="S42" s="25"/>
      <c r="T42" s="6"/>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row>
    <row r="43" customFormat="false" ht="15" hidden="false" customHeight="false" outlineLevel="0" collapsed="false">
      <c r="A43" s="39"/>
      <c r="B43" s="27"/>
      <c r="C43" s="27"/>
      <c r="D43" s="28" t="s">
        <v>50</v>
      </c>
      <c r="E43" s="56" t="n">
        <v>20</v>
      </c>
      <c r="F43" s="60" t="s">
        <v>12</v>
      </c>
      <c r="G43" s="22"/>
      <c r="H43" s="23" t="n">
        <f aca="false">1*2/RAC_SNS</f>
        <v>0.4</v>
      </c>
      <c r="I43" s="23" t="n">
        <f aca="false">E41</f>
        <v>20</v>
      </c>
      <c r="J43" s="24"/>
      <c r="K43" s="24"/>
      <c r="L43" s="24"/>
      <c r="M43" s="24"/>
      <c r="N43" s="24"/>
      <c r="O43" s="24"/>
      <c r="P43" s="24"/>
      <c r="Q43" s="24"/>
      <c r="R43" s="24"/>
      <c r="S43" s="25"/>
      <c r="T43" s="6"/>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row>
    <row r="44" customFormat="false" ht="15" hidden="false" customHeight="false" outlineLevel="0" collapsed="false">
      <c r="A44" s="39"/>
      <c r="B44" s="27"/>
      <c r="C44" s="27"/>
      <c r="D44" s="41" t="s">
        <v>51</v>
      </c>
      <c r="E44" s="67" t="n">
        <f aca="false">IF(RAC_SNS=0, "Disabled", MAX(MIN(50*2/RAC_SNS/$E$43, 50), H431))</f>
        <v>1</v>
      </c>
      <c r="F44" s="57" t="s">
        <v>18</v>
      </c>
      <c r="G44" s="22"/>
      <c r="H44" s="23"/>
      <c r="I44" s="23"/>
      <c r="J44" s="24"/>
      <c r="K44" s="24"/>
      <c r="L44" s="24"/>
      <c r="M44" s="24"/>
      <c r="N44" s="24"/>
      <c r="O44" s="24"/>
      <c r="P44" s="24"/>
      <c r="Q44" s="24"/>
      <c r="R44" s="24"/>
      <c r="S44" s="25"/>
      <c r="T44" s="6"/>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row>
    <row r="45" customFormat="false" ht="16.4" hidden="false" customHeight="false" outlineLevel="0" collapsed="false">
      <c r="A45" s="39"/>
      <c r="B45" s="27"/>
      <c r="C45" s="27"/>
      <c r="D45" s="28" t="s">
        <v>52</v>
      </c>
      <c r="E45" s="56" t="n">
        <v>1</v>
      </c>
      <c r="F45" s="68" t="s">
        <v>18</v>
      </c>
      <c r="G45" s="45" t="str">
        <f aca="false">_xlfn.CONCAT(E45, " ",F45)</f>
        <v>1 kΩ</v>
      </c>
      <c r="H45" s="23" t="n">
        <v>1</v>
      </c>
      <c r="I45" s="23" t="n">
        <v>50</v>
      </c>
      <c r="J45" s="24"/>
      <c r="K45" s="24"/>
      <c r="L45" s="24"/>
      <c r="M45" s="24"/>
      <c r="N45" s="24"/>
      <c r="O45" s="24"/>
      <c r="P45" s="24"/>
      <c r="Q45" s="24"/>
      <c r="R45" s="24"/>
      <c r="S45" s="25"/>
      <c r="T45" s="6"/>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row>
    <row r="46" customFormat="false" ht="15" hidden="false" customHeight="false" outlineLevel="0" collapsed="false">
      <c r="A46" s="69"/>
      <c r="B46" s="34"/>
      <c r="C46" s="34"/>
      <c r="D46" s="50" t="s">
        <v>53</v>
      </c>
      <c r="E46" s="70" t="n">
        <f aca="false">IF(OR(RAC_SNS=0, RIIN=0), "Disabled", 50*2/RAC_SNS/$E$45)</f>
        <v>20</v>
      </c>
      <c r="F46" s="64" t="s">
        <v>12</v>
      </c>
      <c r="G46" s="22"/>
      <c r="H46" s="23" t="n">
        <f aca="false">$E$43*0.95</f>
        <v>19</v>
      </c>
      <c r="I46" s="23" t="n">
        <f aca="false">$E$43*1.05</f>
        <v>21</v>
      </c>
      <c r="J46" s="24"/>
      <c r="K46" s="24"/>
      <c r="L46" s="24"/>
      <c r="M46" s="24"/>
      <c r="N46" s="24"/>
      <c r="O46" s="24"/>
      <c r="P46" s="24"/>
      <c r="Q46" s="24"/>
      <c r="R46" s="24"/>
      <c r="S46" s="25"/>
      <c r="T46" s="6"/>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row>
    <row r="47" customFormat="false" ht="15" hidden="false" customHeight="false" outlineLevel="0" collapsed="false">
      <c r="A47" s="39"/>
      <c r="B47" s="27"/>
      <c r="C47" s="27"/>
      <c r="D47" s="41"/>
      <c r="E47" s="71"/>
      <c r="F47" s="72"/>
      <c r="G47" s="22"/>
      <c r="H47" s="23"/>
      <c r="I47" s="23"/>
      <c r="J47" s="24"/>
      <c r="K47" s="24"/>
      <c r="L47" s="24"/>
      <c r="M47" s="24"/>
      <c r="N47" s="24"/>
      <c r="O47" s="24"/>
      <c r="P47" s="24"/>
      <c r="Q47" s="24"/>
      <c r="R47" s="24"/>
      <c r="S47" s="25"/>
      <c r="T47" s="6"/>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row>
    <row r="48" customFormat="false" ht="15" hidden="false" customHeight="false" outlineLevel="0" collapsed="false">
      <c r="A48" s="39" t="s">
        <v>54</v>
      </c>
      <c r="B48" s="27"/>
      <c r="C48" s="27"/>
      <c r="D48" s="41"/>
      <c r="E48" s="71"/>
      <c r="F48" s="72"/>
      <c r="G48" s="22"/>
      <c r="H48" s="23"/>
      <c r="I48" s="23"/>
      <c r="J48" s="24"/>
      <c r="K48" s="24"/>
      <c r="L48" s="24"/>
      <c r="M48" s="24"/>
      <c r="N48" s="24"/>
      <c r="O48" s="24"/>
      <c r="P48" s="24"/>
      <c r="Q48" s="24"/>
      <c r="R48" s="24"/>
      <c r="S48" s="25"/>
      <c r="T48" s="6"/>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row>
    <row r="49" customFormat="false" ht="16.4" hidden="false" customHeight="false" outlineLevel="0" collapsed="false">
      <c r="A49" s="12"/>
      <c r="B49" s="13"/>
      <c r="C49" s="13"/>
      <c r="D49" s="19" t="s">
        <v>55</v>
      </c>
      <c r="E49" s="73" t="n">
        <v>5</v>
      </c>
      <c r="F49" s="74" t="s">
        <v>33</v>
      </c>
      <c r="G49" s="45" t="str">
        <f aca="false">_xlfn.CONCAT(E49, " ",F49)</f>
        <v>5 mΩ</v>
      </c>
      <c r="H49" s="27"/>
      <c r="I49" s="27"/>
      <c r="J49" s="24"/>
      <c r="K49" s="24"/>
      <c r="L49" s="24"/>
      <c r="M49" s="24"/>
      <c r="N49" s="24"/>
      <c r="O49" s="24"/>
      <c r="P49" s="24"/>
      <c r="Q49" s="24"/>
      <c r="R49" s="24"/>
      <c r="S49" s="25"/>
      <c r="T49" s="6"/>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row>
    <row r="50" customFormat="false" ht="15" hidden="false" customHeight="false" outlineLevel="0" collapsed="false">
      <c r="A50" s="39"/>
      <c r="B50" s="27"/>
      <c r="C50" s="27"/>
      <c r="D50" s="41" t="s">
        <v>56</v>
      </c>
      <c r="E50" s="27" t="n">
        <f aca="false">50/RBAT_SNS</f>
        <v>10</v>
      </c>
      <c r="F50" s="60" t="s">
        <v>12</v>
      </c>
      <c r="G50" s="22"/>
      <c r="H50" s="27"/>
      <c r="I50" s="27"/>
      <c r="J50" s="24"/>
      <c r="K50" s="24"/>
      <c r="L50" s="24"/>
      <c r="M50" s="24"/>
      <c r="N50" s="24"/>
      <c r="O50" s="24"/>
      <c r="P50" s="24"/>
      <c r="Q50" s="24"/>
      <c r="R50" s="24"/>
      <c r="S50" s="25"/>
      <c r="T50" s="6"/>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row>
    <row r="51" customFormat="false" ht="16.4" hidden="false" customHeight="false" outlineLevel="0" collapsed="false">
      <c r="A51" s="39"/>
      <c r="B51" s="27"/>
      <c r="C51" s="27"/>
      <c r="D51" s="41" t="s">
        <v>57</v>
      </c>
      <c r="E51" s="27" t="n">
        <f aca="false">125*2/RBAT_SNS</f>
        <v>50</v>
      </c>
      <c r="F51" s="60" t="s">
        <v>49</v>
      </c>
      <c r="G51" s="22"/>
      <c r="H51" s="27"/>
      <c r="I51" s="27"/>
      <c r="J51" s="24"/>
      <c r="K51" s="24"/>
      <c r="L51" s="24"/>
      <c r="M51" s="24" t="n">
        <f aca="false">27.28*10^3</f>
        <v>27280</v>
      </c>
      <c r="N51" s="24" t="n">
        <f aca="false">3.02*10^3</f>
        <v>3020</v>
      </c>
      <c r="O51" s="24" t="n">
        <f aca="false">0.7325</f>
        <v>0.7325</v>
      </c>
      <c r="P51" s="24" t="n">
        <f aca="false">0.34375</f>
        <v>0.34375</v>
      </c>
      <c r="Q51" s="24"/>
      <c r="R51" s="24"/>
      <c r="S51" s="25"/>
      <c r="T51" s="6"/>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row>
    <row r="52" customFormat="false" ht="16.4" hidden="false" customHeight="false" outlineLevel="0" collapsed="false">
      <c r="A52" s="39"/>
      <c r="B52" s="27"/>
      <c r="C52" s="27"/>
      <c r="D52" s="28" t="s">
        <v>58</v>
      </c>
      <c r="E52" s="56" t="n">
        <v>5</v>
      </c>
      <c r="F52" s="60" t="s">
        <v>12</v>
      </c>
      <c r="G52" s="22"/>
      <c r="H52" s="27"/>
      <c r="I52" s="27"/>
      <c r="J52" s="24"/>
      <c r="K52" s="24"/>
      <c r="L52" s="24"/>
      <c r="M52" s="24" t="n">
        <f aca="false">M51*N51*(1/O51-1/P51)/(N51*(1/P51-1)-M51*(1/O51-1))</f>
        <v>30307.2299264407</v>
      </c>
      <c r="N52" s="24" t="n">
        <f aca="false">(1/O51-1)/(1/M52+1/M51)</f>
        <v>5243.00870264962</v>
      </c>
      <c r="O52" s="24"/>
      <c r="P52" s="24"/>
      <c r="Q52" s="24"/>
      <c r="R52" s="24"/>
      <c r="S52" s="25"/>
      <c r="T52" s="6"/>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row>
    <row r="53" customFormat="false" ht="15" hidden="false" customHeight="false" outlineLevel="0" collapsed="false">
      <c r="A53" s="39"/>
      <c r="B53" s="27"/>
      <c r="C53" s="27"/>
      <c r="D53" s="41" t="s">
        <v>59</v>
      </c>
      <c r="E53" s="27" t="n">
        <f aca="false">50/E52</f>
        <v>10</v>
      </c>
      <c r="F53" s="57" t="s">
        <v>18</v>
      </c>
      <c r="G53" s="22"/>
      <c r="H53" s="27"/>
      <c r="I53" s="27"/>
      <c r="J53" s="24"/>
      <c r="K53" s="24"/>
      <c r="L53" s="24"/>
      <c r="M53" s="24"/>
      <c r="N53" s="24"/>
      <c r="O53" s="24"/>
      <c r="P53" s="24"/>
      <c r="Q53" s="24"/>
      <c r="R53" s="24"/>
      <c r="S53" s="25"/>
      <c r="T53" s="6"/>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row>
    <row r="54" customFormat="false" ht="16.4" hidden="false" customHeight="false" outlineLevel="0" collapsed="false">
      <c r="A54" s="26"/>
      <c r="B54" s="27"/>
      <c r="C54" s="27"/>
      <c r="D54" s="28" t="s">
        <v>60</v>
      </c>
      <c r="E54" s="56" t="n">
        <v>10</v>
      </c>
      <c r="F54" s="68" t="s">
        <v>18</v>
      </c>
      <c r="G54" s="45" t="str">
        <f aca="false">_xlfn.CONCAT(E54, " ",F54)</f>
        <v>10 kΩ</v>
      </c>
      <c r="H54" s="23" t="n">
        <v>1</v>
      </c>
      <c r="I54" s="23" t="n">
        <v>50</v>
      </c>
      <c r="J54" s="24"/>
      <c r="K54" s="24"/>
      <c r="L54" s="24"/>
      <c r="M54" s="24"/>
      <c r="N54" s="24"/>
      <c r="O54" s="24"/>
      <c r="P54" s="24"/>
      <c r="Q54" s="24"/>
      <c r="R54" s="24"/>
      <c r="S54" s="25"/>
      <c r="T54" s="6"/>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row>
    <row r="55" customFormat="false" ht="16.4" hidden="false" customHeight="false" outlineLevel="0" collapsed="false">
      <c r="A55" s="33"/>
      <c r="B55" s="34"/>
      <c r="C55" s="34"/>
      <c r="D55" s="50" t="s">
        <v>61</v>
      </c>
      <c r="E55" s="70" t="n">
        <f aca="false">IF(RIOUT=0, "Disabled", 50/RIOUT)</f>
        <v>5</v>
      </c>
      <c r="F55" s="64" t="s">
        <v>12</v>
      </c>
      <c r="G55" s="22" t="str">
        <f aca="false">_xlfn.CONCAT(E55, " ",F55)</f>
        <v>5 A</v>
      </c>
      <c r="H55" s="23" t="n">
        <f aca="false">0.95*$E$52</f>
        <v>4.75</v>
      </c>
      <c r="I55" s="23" t="n">
        <f aca="false">1.05*$E$52</f>
        <v>5.25</v>
      </c>
      <c r="J55" s="24"/>
      <c r="K55" s="24"/>
      <c r="L55" s="24"/>
      <c r="M55" s="24"/>
      <c r="N55" s="24"/>
      <c r="O55" s="24"/>
      <c r="P55" s="24"/>
      <c r="Q55" s="24"/>
      <c r="R55" s="24"/>
      <c r="S55" s="25"/>
      <c r="T55" s="6"/>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row>
    <row r="56" customFormat="false" ht="15" hidden="false" customHeight="false" outlineLevel="0" collapsed="false">
      <c r="A56" s="26"/>
      <c r="B56" s="27"/>
      <c r="C56" s="27"/>
      <c r="D56" s="27"/>
      <c r="E56" s="27"/>
      <c r="F56" s="38"/>
      <c r="G56" s="22"/>
      <c r="H56" s="27"/>
      <c r="I56" s="27"/>
      <c r="J56" s="24"/>
      <c r="K56" s="24"/>
      <c r="L56" s="24"/>
      <c r="M56" s="24"/>
      <c r="N56" s="24"/>
      <c r="O56" s="24"/>
      <c r="P56" s="24"/>
      <c r="Q56" s="24"/>
      <c r="R56" s="24"/>
      <c r="S56" s="25"/>
      <c r="T56" s="6"/>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row>
    <row r="57" customFormat="false" ht="15" hidden="false" customHeight="false" outlineLevel="0" collapsed="false">
      <c r="A57" s="39" t="s">
        <v>62</v>
      </c>
      <c r="B57" s="27"/>
      <c r="C57" s="27"/>
      <c r="D57" s="27"/>
      <c r="E57" s="27"/>
      <c r="F57" s="38"/>
      <c r="G57" s="22"/>
      <c r="H57" s="27"/>
      <c r="I57" s="27"/>
      <c r="J57" s="24"/>
      <c r="K57" s="24"/>
      <c r="L57" s="24"/>
      <c r="M57" s="24"/>
      <c r="N57" s="24"/>
      <c r="O57" s="24"/>
      <c r="P57" s="24"/>
      <c r="Q57" s="24"/>
      <c r="R57" s="24"/>
      <c r="S57" s="25"/>
      <c r="T57" s="6"/>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row>
    <row r="58" customFormat="false" ht="15" hidden="false" customHeight="false" outlineLevel="0" collapsed="false">
      <c r="A58" s="18"/>
      <c r="B58" s="13"/>
      <c r="C58" s="13"/>
      <c r="D58" s="19" t="s">
        <v>63</v>
      </c>
      <c r="E58" s="75" t="n">
        <v>5.52</v>
      </c>
      <c r="F58" s="76" t="s">
        <v>7</v>
      </c>
      <c r="G58" s="22"/>
      <c r="H58" s="27"/>
      <c r="I58" s="27"/>
      <c r="J58" s="24"/>
      <c r="K58" s="24"/>
      <c r="L58" s="24"/>
      <c r="M58" s="24"/>
      <c r="N58" s="24"/>
      <c r="O58" s="24"/>
      <c r="P58" s="24"/>
      <c r="Q58" s="24"/>
      <c r="R58" s="24"/>
      <c r="S58" s="25"/>
      <c r="T58" s="6"/>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row>
    <row r="59" customFormat="false" ht="15" hidden="false" customHeight="false" outlineLevel="0" collapsed="false">
      <c r="A59" s="26"/>
      <c r="B59" s="27"/>
      <c r="C59" s="27"/>
      <c r="D59" s="28" t="s">
        <v>64</v>
      </c>
      <c r="E59" s="56" t="n">
        <v>1.94</v>
      </c>
      <c r="F59" s="57" t="s">
        <v>7</v>
      </c>
      <c r="G59" s="22"/>
      <c r="H59" s="27"/>
      <c r="I59" s="27"/>
      <c r="J59" s="24"/>
      <c r="K59" s="24"/>
      <c r="L59" s="24"/>
      <c r="M59" s="24"/>
      <c r="N59" s="24"/>
      <c r="O59" s="24"/>
      <c r="P59" s="24"/>
      <c r="Q59" s="24"/>
      <c r="R59" s="24"/>
      <c r="S59" s="25"/>
      <c r="T59" s="6"/>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row>
    <row r="60" customFormat="false" ht="15" hidden="false" customHeight="false" outlineLevel="0" collapsed="false">
      <c r="A60" s="77"/>
      <c r="B60" s="27"/>
      <c r="C60" s="27"/>
      <c r="D60" s="41" t="s">
        <v>65</v>
      </c>
      <c r="E60" s="27" t="n">
        <v>1000</v>
      </c>
      <c r="F60" s="57" t="s">
        <v>18</v>
      </c>
      <c r="G60" s="22"/>
      <c r="H60" s="27"/>
      <c r="I60" s="27"/>
      <c r="J60" s="24"/>
      <c r="K60" s="24"/>
      <c r="L60" s="24"/>
      <c r="M60" s="24"/>
      <c r="N60" s="24"/>
      <c r="O60" s="24"/>
      <c r="P60" s="24"/>
      <c r="Q60" s="24"/>
      <c r="R60" s="24"/>
      <c r="S60" s="25"/>
      <c r="T60" s="6"/>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row>
    <row r="61" customFormat="false" ht="15" hidden="false" customHeight="false" outlineLevel="0" collapsed="false">
      <c r="A61" s="26"/>
      <c r="B61" s="27"/>
      <c r="C61" s="27"/>
      <c r="D61" s="41" t="s">
        <v>66</v>
      </c>
      <c r="E61" s="42" t="n">
        <f aca="false">RAC1_R*(1.1-1.2*ACUV_D/ACOV_D)/(ACUV_D-1.1)</f>
        <v>807.453416149069</v>
      </c>
      <c r="F61" s="57" t="s">
        <v>18</v>
      </c>
      <c r="G61" s="22"/>
      <c r="H61" s="27"/>
      <c r="I61" s="27"/>
      <c r="J61" s="24"/>
      <c r="K61" s="24"/>
      <c r="L61" s="24"/>
      <c r="M61" s="24"/>
      <c r="N61" s="24"/>
      <c r="O61" s="24"/>
      <c r="P61" s="24"/>
      <c r="Q61" s="24"/>
      <c r="R61" s="24"/>
      <c r="S61" s="25"/>
      <c r="T61" s="6"/>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row>
    <row r="62" customFormat="false" ht="15" hidden="false" customHeight="false" outlineLevel="0" collapsed="false">
      <c r="A62" s="26"/>
      <c r="B62" s="27"/>
      <c r="C62" s="27"/>
      <c r="D62" s="41" t="s">
        <v>67</v>
      </c>
      <c r="E62" s="42" t="n">
        <f aca="false">(1.2*(RAC1_R+RAC2_R)/(ACOV_D-1.2))</f>
        <v>502.070393374741</v>
      </c>
      <c r="F62" s="57" t="s">
        <v>18</v>
      </c>
      <c r="G62" s="22"/>
      <c r="H62" s="27"/>
      <c r="I62" s="27"/>
      <c r="J62" s="24"/>
      <c r="K62" s="24"/>
      <c r="L62" s="24"/>
      <c r="M62" s="24"/>
      <c r="N62" s="24"/>
      <c r="O62" s="24"/>
      <c r="P62" s="24"/>
      <c r="Q62" s="24"/>
      <c r="R62" s="24"/>
      <c r="S62" s="25"/>
      <c r="T62" s="6"/>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row>
    <row r="63" customFormat="false" ht="16.4" hidden="false" customHeight="false" outlineLevel="0" collapsed="false">
      <c r="A63" s="26"/>
      <c r="B63" s="27"/>
      <c r="C63" s="27"/>
      <c r="D63" s="28" t="s">
        <v>68</v>
      </c>
      <c r="E63" s="56" t="n">
        <v>1000</v>
      </c>
      <c r="F63" s="57" t="s">
        <v>18</v>
      </c>
      <c r="G63" s="45" t="str">
        <f aca="false">_xlfn.CONCAT(E63, " ",F63)</f>
        <v>1000 kΩ</v>
      </c>
      <c r="H63" s="27"/>
      <c r="I63" s="27"/>
      <c r="J63" s="24"/>
      <c r="K63" s="24"/>
      <c r="L63" s="24"/>
      <c r="M63" s="24"/>
      <c r="N63" s="24"/>
      <c r="O63" s="24"/>
      <c r="P63" s="24"/>
      <c r="Q63" s="24"/>
      <c r="R63" s="24"/>
      <c r="S63" s="25"/>
      <c r="T63" s="6"/>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row>
    <row r="64" customFormat="false" ht="16.4" hidden="false" customHeight="false" outlineLevel="0" collapsed="false">
      <c r="A64" s="26"/>
      <c r="B64" s="27"/>
      <c r="C64" s="27"/>
      <c r="D64" s="28" t="s">
        <v>69</v>
      </c>
      <c r="E64" s="56" t="n">
        <v>800</v>
      </c>
      <c r="F64" s="57" t="s">
        <v>18</v>
      </c>
      <c r="G64" s="45" t="str">
        <f aca="false">_xlfn.CONCAT(E64, " ",F64)</f>
        <v>800 kΩ</v>
      </c>
      <c r="H64" s="27"/>
      <c r="I64" s="27"/>
      <c r="J64" s="24"/>
      <c r="K64" s="24"/>
      <c r="L64" s="24"/>
      <c r="M64" s="24"/>
      <c r="N64" s="24"/>
      <c r="O64" s="24"/>
      <c r="P64" s="24"/>
      <c r="Q64" s="24"/>
      <c r="R64" s="24"/>
      <c r="S64" s="25"/>
      <c r="T64" s="6"/>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row>
    <row r="65" customFormat="false" ht="16.4" hidden="false" customHeight="false" outlineLevel="0" collapsed="false">
      <c r="A65" s="26"/>
      <c r="B65" s="27"/>
      <c r="C65" s="27"/>
      <c r="D65" s="28" t="s">
        <v>70</v>
      </c>
      <c r="E65" s="56" t="n">
        <v>500</v>
      </c>
      <c r="F65" s="57" t="s">
        <v>18</v>
      </c>
      <c r="G65" s="45" t="str">
        <f aca="false">_xlfn.CONCAT(E65, " ",F65)</f>
        <v>500 kΩ</v>
      </c>
      <c r="H65" s="27"/>
      <c r="I65" s="27"/>
      <c r="J65" s="24"/>
      <c r="K65" s="24"/>
      <c r="L65" s="24"/>
      <c r="M65" s="24"/>
      <c r="N65" s="24"/>
      <c r="O65" s="24"/>
      <c r="P65" s="24"/>
      <c r="Q65" s="24"/>
      <c r="R65" s="24"/>
      <c r="S65" s="25"/>
      <c r="T65" s="6"/>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row>
    <row r="66" customFormat="false" ht="15" hidden="false" customHeight="false" outlineLevel="0" collapsed="false">
      <c r="A66" s="26"/>
      <c r="B66" s="27"/>
      <c r="C66" s="27"/>
      <c r="D66" s="41" t="s">
        <v>71</v>
      </c>
      <c r="E66" s="42" t="n">
        <f aca="false">1.2*(RAC1_S+RAC2_S+RAC3_S)/RAC3_S</f>
        <v>5.52</v>
      </c>
      <c r="F66" s="60" t="s">
        <v>7</v>
      </c>
      <c r="G66" s="22"/>
      <c r="H66" s="23" t="n">
        <f aca="false">ACOV_D*0.95</f>
        <v>5.244</v>
      </c>
      <c r="I66" s="23" t="n">
        <f aca="false">ACOV_D*1.05</f>
        <v>5.796</v>
      </c>
      <c r="J66" s="24"/>
      <c r="K66" s="24"/>
      <c r="L66" s="24"/>
      <c r="M66" s="24"/>
      <c r="N66" s="24"/>
      <c r="O66" s="24"/>
      <c r="P66" s="24"/>
      <c r="Q66" s="24"/>
      <c r="R66" s="24"/>
      <c r="S66" s="25"/>
      <c r="T66" s="6"/>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row>
    <row r="67" customFormat="false" ht="15" hidden="false" customHeight="false" outlineLevel="0" collapsed="false">
      <c r="A67" s="33"/>
      <c r="B67" s="34"/>
      <c r="C67" s="34"/>
      <c r="D67" s="50" t="s">
        <v>72</v>
      </c>
      <c r="E67" s="63" t="n">
        <f aca="false">1.1*(RAC1_S+RAC2_S+RAC3_S)/(RAC2_S+RAC3_S)</f>
        <v>1.94615384615385</v>
      </c>
      <c r="F67" s="64" t="s">
        <v>7</v>
      </c>
      <c r="G67" s="22"/>
      <c r="H67" s="23" t="n">
        <f aca="false">ACUV_D*0.95</f>
        <v>1.843</v>
      </c>
      <c r="I67" s="23" t="n">
        <f aca="false">ACUV_D*1.05</f>
        <v>2.037</v>
      </c>
      <c r="J67" s="24"/>
      <c r="K67" s="24"/>
      <c r="L67" s="24"/>
      <c r="M67" s="24"/>
      <c r="N67" s="24"/>
      <c r="O67" s="24"/>
      <c r="P67" s="24"/>
      <c r="Q67" s="24"/>
      <c r="R67" s="24"/>
      <c r="S67" s="25"/>
      <c r="T67" s="6"/>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row>
    <row r="68" customFormat="false" ht="15" hidden="false" customHeight="false" outlineLevel="0" collapsed="false">
      <c r="A68" s="26"/>
      <c r="B68" s="27"/>
      <c r="C68" s="27"/>
      <c r="D68" s="27"/>
      <c r="E68" s="27"/>
      <c r="F68" s="38"/>
      <c r="G68" s="22"/>
      <c r="H68" s="27"/>
      <c r="I68" s="27"/>
      <c r="J68" s="24"/>
      <c r="K68" s="24"/>
      <c r="L68" s="24"/>
      <c r="M68" s="24"/>
      <c r="N68" s="24"/>
      <c r="O68" s="24"/>
      <c r="P68" s="24"/>
      <c r="Q68" s="24"/>
      <c r="R68" s="24"/>
      <c r="S68" s="25"/>
      <c r="T68" s="6"/>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row>
    <row r="69" customFormat="false" ht="15" hidden="false" customHeight="false" outlineLevel="0" collapsed="false">
      <c r="A69" s="39" t="s">
        <v>73</v>
      </c>
      <c r="B69" s="27"/>
      <c r="C69" s="27"/>
      <c r="D69" s="27"/>
      <c r="E69" s="27"/>
      <c r="F69" s="38"/>
      <c r="G69" s="22"/>
      <c r="H69" s="27"/>
      <c r="I69" s="27"/>
      <c r="J69" s="24"/>
      <c r="K69" s="24"/>
      <c r="L69" s="24"/>
      <c r="M69" s="24"/>
      <c r="N69" s="24"/>
      <c r="O69" s="24"/>
      <c r="P69" s="24"/>
      <c r="Q69" s="24"/>
      <c r="R69" s="24"/>
      <c r="S69" s="25"/>
      <c r="T69" s="6"/>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row>
    <row r="70" customFormat="false" ht="15" hidden="false" customHeight="false" outlineLevel="0" collapsed="false">
      <c r="A70" s="12"/>
      <c r="B70" s="13"/>
      <c r="C70" s="13"/>
      <c r="D70" s="19" t="s">
        <v>74</v>
      </c>
      <c r="E70" s="75" t="n">
        <v>16.8</v>
      </c>
      <c r="F70" s="78" t="s">
        <v>7</v>
      </c>
      <c r="G70" s="22"/>
      <c r="H70" s="23" t="n">
        <v>70</v>
      </c>
      <c r="I70" s="27"/>
      <c r="J70" s="24"/>
      <c r="K70" s="24"/>
      <c r="L70" s="24"/>
      <c r="M70" s="24"/>
      <c r="N70" s="24"/>
      <c r="O70" s="24"/>
      <c r="P70" s="24"/>
      <c r="Q70" s="24"/>
      <c r="R70" s="24"/>
      <c r="S70" s="25"/>
      <c r="T70" s="6"/>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row>
    <row r="71" customFormat="false" ht="15" hidden="false" customHeight="false" outlineLevel="0" collapsed="false">
      <c r="A71" s="39"/>
      <c r="B71" s="27"/>
      <c r="C71" s="27"/>
      <c r="D71" s="41" t="s">
        <v>75</v>
      </c>
      <c r="E71" s="27" t="n">
        <v>249</v>
      </c>
      <c r="F71" s="57" t="s">
        <v>18</v>
      </c>
      <c r="G71" s="22"/>
      <c r="H71" s="27" t="n">
        <v>33</v>
      </c>
      <c r="I71" s="27" t="n">
        <v>1.536</v>
      </c>
      <c r="J71" s="24"/>
      <c r="K71" s="24"/>
      <c r="L71" s="24"/>
      <c r="M71" s="24"/>
      <c r="N71" s="24"/>
      <c r="O71" s="24"/>
      <c r="P71" s="24"/>
      <c r="Q71" s="24"/>
      <c r="R71" s="24"/>
      <c r="S71" s="25"/>
      <c r="T71" s="6"/>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row>
    <row r="72" customFormat="false" ht="16.4" hidden="false" customHeight="false" outlineLevel="0" collapsed="false">
      <c r="A72" s="39"/>
      <c r="B72" s="27"/>
      <c r="C72" s="27"/>
      <c r="D72" s="41" t="s">
        <v>76</v>
      </c>
      <c r="E72" s="79" t="n">
        <f aca="false">IF(K72&lt;L72,I72,J72)</f>
        <v>25.1791848790322</v>
      </c>
      <c r="F72" s="57" t="s">
        <v>18</v>
      </c>
      <c r="G72" s="22"/>
      <c r="H72" s="80" t="n">
        <f aca="false">(RFB_TOP_R*10^3*VFB_Default/(VBATREG_D-VFB_Default)+R_FBG)/10^3</f>
        <v>25.0896037735849</v>
      </c>
      <c r="I72" s="27" t="n">
        <f aca="false">INDEX(stdres_0p1pct[Resistance], (MATCH(R_FB_BOT_Ideal*10^3, stdres_0p1pct[Resistance],1)))/10^3</f>
        <v>24.8790236723884</v>
      </c>
      <c r="J72" s="27" t="n">
        <f aca="false">INDEX(stdres_0p1pct[Resistance], (MATCH(R_FB_BOT_Ideal*10^3, stdres_0p1pct[Resistance],1)+1))/10^3</f>
        <v>25.1791848790322</v>
      </c>
      <c r="K72" s="24" t="n">
        <f aca="false">ABS(R_FB_BOT_Ideal-$I$72)</f>
        <v>0.210580101196538</v>
      </c>
      <c r="L72" s="24" t="n">
        <f aca="false">ABS(R_FB_BOT_Ideal-$J$72)</f>
        <v>0.0895811054473157</v>
      </c>
      <c r="M72" s="24"/>
      <c r="N72" s="24"/>
      <c r="O72" s="24"/>
      <c r="P72" s="24"/>
      <c r="Q72" s="24"/>
      <c r="R72" s="24"/>
      <c r="S72" s="25"/>
      <c r="T72" s="6"/>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row>
    <row r="73" customFormat="false" ht="16.4" hidden="false" customHeight="false" outlineLevel="0" collapsed="false">
      <c r="A73" s="39"/>
      <c r="B73" s="27"/>
      <c r="C73" s="27"/>
      <c r="D73" s="41" t="s">
        <v>77</v>
      </c>
      <c r="E73" s="79" t="n">
        <f aca="false">IF(N73&lt;O73,V_FB_FLOOR,V_FB_CEILING)</f>
        <v>1.54</v>
      </c>
      <c r="F73" s="57" t="s">
        <v>7</v>
      </c>
      <c r="G73" s="81"/>
      <c r="H73" s="27" t="n">
        <f aca="false">((RFB_BOT_R*10^3-R_FBG)*VBATREG_D)/(RFB_TOP_R*10^3+RFB_BOT_R*10^3-R_FBG)</f>
        <v>1.54098772577904</v>
      </c>
      <c r="I73" s="27" t="n">
        <v>0.002</v>
      </c>
      <c r="J73" s="27" t="n">
        <f aca="false">FLOOR(V_FB_Ideal/V_FB_Step,1)*V_FB_Step</f>
        <v>1.54</v>
      </c>
      <c r="K73" s="24" t="n">
        <f aca="false">V_FB_FLOOR+V_FB_Step</f>
        <v>1.542</v>
      </c>
      <c r="L73" s="24" t="n">
        <f aca="false">RFB_TOP_R*10^3*V_FB_FLOOR/(RFB_BOT_R*10^3-R_FBG)+V_FB_FLOOR</f>
        <v>16.789231716249</v>
      </c>
      <c r="M73" s="24" t="n">
        <f aca="false">RFB_TOP_R*10^3*V_FB_CEILING/(RFB_BOT_R*10^3-R_FBG)+V_FB_CEILING</f>
        <v>16.8110359132831</v>
      </c>
      <c r="N73" s="24" t="n">
        <f aca="false">ABS(VBATREG_D-VBATREG_FLOOR)</f>
        <v>0.0107682837509664</v>
      </c>
      <c r="O73" s="24" t="n">
        <f aca="false">ABS(VBATREG_D-VBATREG_CEILING)</f>
        <v>0.0110359132831235</v>
      </c>
      <c r="P73" s="24"/>
      <c r="Q73" s="24"/>
      <c r="R73" s="24"/>
      <c r="S73" s="25"/>
      <c r="T73" s="6"/>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row>
    <row r="74" customFormat="false" ht="16.4" hidden="false" customHeight="false" outlineLevel="0" collapsed="false">
      <c r="A74" s="39"/>
      <c r="B74" s="27"/>
      <c r="C74" s="27"/>
      <c r="D74" s="28" t="s">
        <v>78</v>
      </c>
      <c r="E74" s="56" t="n">
        <v>249</v>
      </c>
      <c r="F74" s="68" t="s">
        <v>18</v>
      </c>
      <c r="G74" s="45" t="str">
        <f aca="false">_xlfn.CONCAT(E74, " ",F74)</f>
        <v>249 kΩ</v>
      </c>
      <c r="H74" s="23" t="n">
        <f aca="false">IF(OR(VBATREG&lt;$H$77,VBATREG&gt;$I$77), 1, 0)</f>
        <v>0</v>
      </c>
      <c r="I74" s="23"/>
      <c r="J74" s="24"/>
      <c r="K74" s="24"/>
      <c r="L74" s="24"/>
      <c r="M74" s="24"/>
      <c r="N74" s="24"/>
      <c r="O74" s="24"/>
      <c r="P74" s="24"/>
      <c r="Q74" s="24"/>
      <c r="R74" s="24"/>
      <c r="S74" s="25"/>
      <c r="T74" s="6"/>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row>
    <row r="75" customFormat="false" ht="16.4" hidden="false" customHeight="false" outlineLevel="0" collapsed="false">
      <c r="A75" s="39"/>
      <c r="B75" s="27"/>
      <c r="C75" s="27"/>
      <c r="D75" s="28" t="s">
        <v>79</v>
      </c>
      <c r="E75" s="56" t="n">
        <v>25.179</v>
      </c>
      <c r="F75" s="68" t="s">
        <v>18</v>
      </c>
      <c r="G75" s="45" t="str">
        <f aca="false">_xlfn.CONCAT(FIXED(E75,2), " ",F75)</f>
        <v>25.18 kΩ</v>
      </c>
      <c r="H75" s="23" t="n">
        <f aca="false">IF(OR(VBATREG&lt;$H$77,VBATREG&gt;$I$77), 1, 0)</f>
        <v>0</v>
      </c>
      <c r="I75" s="23"/>
      <c r="J75" s="24"/>
      <c r="K75" s="24"/>
      <c r="L75" s="24"/>
      <c r="M75" s="24"/>
      <c r="N75" s="24"/>
      <c r="O75" s="24"/>
      <c r="P75" s="24"/>
      <c r="Q75" s="24"/>
      <c r="R75" s="24"/>
      <c r="S75" s="25"/>
      <c r="T75" s="6"/>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row>
    <row r="76" customFormat="false" ht="16.4" hidden="false" customHeight="false" outlineLevel="0" collapsed="false">
      <c r="A76" s="39"/>
      <c r="B76" s="27"/>
      <c r="C76" s="27"/>
      <c r="D76" s="28" t="s">
        <v>80</v>
      </c>
      <c r="E76" s="56" t="n">
        <v>1.54</v>
      </c>
      <c r="F76" s="68" t="s">
        <v>7</v>
      </c>
      <c r="G76" s="22"/>
      <c r="H76" s="27" t="n">
        <v>1.504</v>
      </c>
      <c r="I76" s="27" t="n">
        <f aca="false">H76+0.002</f>
        <v>1.506</v>
      </c>
      <c r="J76" s="24" t="n">
        <f aca="false">I76+0.002</f>
        <v>1.508</v>
      </c>
      <c r="K76" s="24" t="n">
        <f aca="false">J76+0.002</f>
        <v>1.51</v>
      </c>
      <c r="L76" s="24" t="n">
        <f aca="false">K76+0.002</f>
        <v>1.512</v>
      </c>
      <c r="M76" s="24" t="n">
        <f aca="false">L76+0.002</f>
        <v>1.514</v>
      </c>
      <c r="N76" s="24" t="n">
        <f aca="false">M76+0.002</f>
        <v>1.516</v>
      </c>
      <c r="O76" s="24" t="n">
        <f aca="false">N76+0.002</f>
        <v>1.518</v>
      </c>
      <c r="P76" s="24" t="n">
        <f aca="false">O76+0.002</f>
        <v>1.52</v>
      </c>
      <c r="Q76" s="24" t="n">
        <f aca="false">P76+0.002</f>
        <v>1.522</v>
      </c>
      <c r="R76" s="24" t="n">
        <f aca="false">Q76+0.002</f>
        <v>1.524</v>
      </c>
      <c r="S76" s="25" t="n">
        <f aca="false">R76+0.002</f>
        <v>1.526</v>
      </c>
      <c r="T76" s="6" t="n">
        <f aca="false">S76+0.002</f>
        <v>1.528</v>
      </c>
      <c r="U76" s="7" t="n">
        <f aca="false">T76+0.002</f>
        <v>1.53</v>
      </c>
      <c r="V76" s="7" t="n">
        <f aca="false">U76+0.002</f>
        <v>1.532</v>
      </c>
      <c r="W76" s="7" t="n">
        <f aca="false">V76+0.002</f>
        <v>1.534</v>
      </c>
      <c r="X76" s="7" t="n">
        <f aca="false">W76+0.002</f>
        <v>1.536</v>
      </c>
      <c r="Y76" s="7" t="n">
        <f aca="false">X76+0.002</f>
        <v>1.538</v>
      </c>
      <c r="Z76" s="7" t="n">
        <f aca="false">Y76+0.002</f>
        <v>1.54</v>
      </c>
      <c r="AA76" s="7" t="n">
        <f aca="false">Z76+0.002</f>
        <v>1.542</v>
      </c>
      <c r="AB76" s="7" t="n">
        <f aca="false">AA76+0.002</f>
        <v>1.544</v>
      </c>
      <c r="AC76" s="7" t="n">
        <f aca="false">AB76+0.002</f>
        <v>1.546</v>
      </c>
      <c r="AD76" s="7" t="n">
        <f aca="false">AC76+0.002</f>
        <v>1.548</v>
      </c>
      <c r="AE76" s="7" t="n">
        <f aca="false">AD76+0.002</f>
        <v>1.55</v>
      </c>
      <c r="AF76" s="7" t="n">
        <f aca="false">AE76+0.002</f>
        <v>1.552</v>
      </c>
      <c r="AG76" s="7" t="n">
        <f aca="false">AF76+0.002</f>
        <v>1.554</v>
      </c>
      <c r="AH76" s="7" t="n">
        <f aca="false">AG76+0.002</f>
        <v>1.556</v>
      </c>
      <c r="AI76" s="7" t="n">
        <f aca="false">AH76+0.002</f>
        <v>1.558</v>
      </c>
      <c r="AJ76" s="7" t="n">
        <f aca="false">AI76+0.002</f>
        <v>1.56</v>
      </c>
      <c r="AK76" s="7" t="n">
        <f aca="false">AJ76+0.002</f>
        <v>1.562</v>
      </c>
      <c r="AL76" s="7" t="n">
        <f aca="false">AK76+0.002</f>
        <v>1.564</v>
      </c>
      <c r="AM76" s="7" t="n">
        <f aca="false">AL76+0.002</f>
        <v>1.566</v>
      </c>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row>
    <row r="77" customFormat="false" ht="15" hidden="false" customHeight="false" outlineLevel="0" collapsed="false">
      <c r="A77" s="69"/>
      <c r="B77" s="34"/>
      <c r="C77" s="34"/>
      <c r="D77" s="50" t="s">
        <v>81</v>
      </c>
      <c r="E77" s="63" t="n">
        <f aca="false">R_FB_TOP*10^3*VFB_S/(R_FB_BOT*10^3-R_FBG)+VFB_S</f>
        <v>16.789343832021</v>
      </c>
      <c r="F77" s="82" t="s">
        <v>7</v>
      </c>
      <c r="G77" s="22"/>
      <c r="H77" s="23" t="n">
        <f aca="false">VBATREG_D*0.995</f>
        <v>16.716</v>
      </c>
      <c r="I77" s="23" t="n">
        <f aca="false">VBATREG_D*1.005</f>
        <v>16.884</v>
      </c>
      <c r="J77" s="24"/>
      <c r="K77" s="24"/>
      <c r="L77" s="24"/>
      <c r="M77" s="24"/>
      <c r="N77" s="24"/>
      <c r="O77" s="24"/>
      <c r="P77" s="24"/>
      <c r="Q77" s="24"/>
      <c r="R77" s="24"/>
      <c r="S77" s="25"/>
      <c r="T77" s="6"/>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row>
    <row r="78" customFormat="false" ht="15" hidden="false" customHeight="false" outlineLevel="0" collapsed="false">
      <c r="A78" s="26"/>
      <c r="B78" s="27"/>
      <c r="C78" s="27"/>
      <c r="D78" s="27"/>
      <c r="E78" s="27"/>
      <c r="F78" s="38"/>
      <c r="G78" s="22"/>
      <c r="H78" s="27"/>
      <c r="I78" s="27"/>
      <c r="J78" s="24"/>
      <c r="K78" s="24"/>
      <c r="L78" s="24"/>
      <c r="M78" s="24"/>
      <c r="N78" s="24"/>
      <c r="O78" s="24"/>
      <c r="P78" s="24"/>
      <c r="Q78" s="24"/>
      <c r="R78" s="24"/>
      <c r="S78" s="25"/>
      <c r="T78" s="6"/>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row>
    <row r="79" customFormat="false" ht="15" hidden="false" customHeight="false" outlineLevel="0" collapsed="false">
      <c r="A79" s="83" t="s">
        <v>82</v>
      </c>
      <c r="B79" s="83"/>
      <c r="C79" s="83"/>
      <c r="D79" s="27"/>
      <c r="E79" s="27"/>
      <c r="F79" s="38"/>
      <c r="G79" s="22"/>
      <c r="H79" s="27"/>
      <c r="I79" s="27"/>
      <c r="J79" s="24"/>
      <c r="K79" s="24"/>
      <c r="L79" s="24"/>
      <c r="M79" s="24"/>
      <c r="N79" s="24"/>
      <c r="O79" s="24"/>
      <c r="P79" s="24"/>
      <c r="Q79" s="24"/>
      <c r="R79" s="24"/>
      <c r="S79" s="25"/>
      <c r="T79" s="6"/>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row>
    <row r="80" customFormat="false" ht="16.4" hidden="false" customHeight="false" outlineLevel="0" collapsed="false">
      <c r="A80" s="18"/>
      <c r="B80" s="13"/>
      <c r="C80" s="13"/>
      <c r="D80" s="19" t="s">
        <v>83</v>
      </c>
      <c r="E80" s="75" t="n">
        <v>0</v>
      </c>
      <c r="F80" s="76" t="s">
        <v>84</v>
      </c>
      <c r="G80" s="22"/>
      <c r="H80" s="27" t="n">
        <v>-10</v>
      </c>
      <c r="I80" s="27" t="n">
        <v>-5</v>
      </c>
      <c r="J80" s="24" t="n">
        <v>0</v>
      </c>
      <c r="K80" s="24" t="n">
        <v>5</v>
      </c>
      <c r="L80" s="24" t="n">
        <v>0.7715</v>
      </c>
      <c r="M80" s="24" t="n">
        <v>0.7532</v>
      </c>
      <c r="N80" s="24" t="n">
        <v>0.7325</v>
      </c>
      <c r="O80" s="24" t="n">
        <v>0.711</v>
      </c>
      <c r="P80" s="24" t="n">
        <f aca="false">IF(TCOLD=T1_N10, T1_N10_P, IF(TCOLD=T1_N5, T1_N5_P, IF(TCOLD=T1_0, T1_0_P, IF(TCOLD=T1_5, T1_5_P, "Error"))))</f>
        <v>0.7325</v>
      </c>
      <c r="Q80" s="24"/>
      <c r="R80" s="24"/>
      <c r="S80" s="25"/>
      <c r="T80" s="6"/>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row>
    <row r="81" customFormat="false" ht="16.4" hidden="false" customHeight="false" outlineLevel="0" collapsed="false">
      <c r="A81" s="26"/>
      <c r="B81" s="27"/>
      <c r="C81" s="27"/>
      <c r="D81" s="28" t="s">
        <v>85</v>
      </c>
      <c r="E81" s="56" t="n">
        <v>50</v>
      </c>
      <c r="F81" s="57" t="s">
        <v>84</v>
      </c>
      <c r="G81" s="22"/>
      <c r="H81" s="27" t="n">
        <v>50</v>
      </c>
      <c r="I81" s="27" t="n">
        <v>55</v>
      </c>
      <c r="J81" s="24" t="n">
        <v>60</v>
      </c>
      <c r="K81" s="24" t="n">
        <v>65</v>
      </c>
      <c r="L81" s="24" t="n">
        <v>0.412</v>
      </c>
      <c r="M81" s="24" t="n">
        <v>0.377</v>
      </c>
      <c r="N81" s="24" t="n">
        <v>0.34375</v>
      </c>
      <c r="O81" s="24" t="n">
        <v>0.3125</v>
      </c>
      <c r="P81" s="24" t="n">
        <f aca="false">IF(THOT=T5_50,T_50_P,IF(THOT=T5_55,T5_55_P,IF(THOT=T_60,T5_60_P,IF(THOT=T5_65_P,"Error"))))</f>
        <v>0.412</v>
      </c>
      <c r="Q81" s="24"/>
      <c r="R81" s="24"/>
      <c r="S81" s="25"/>
      <c r="T81" s="6"/>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row>
    <row r="82" customFormat="false" ht="16.4" hidden="false" customHeight="false" outlineLevel="0" collapsed="false">
      <c r="A82" s="26"/>
      <c r="B82" s="27"/>
      <c r="C82" s="27"/>
      <c r="D82" s="28" t="s">
        <v>86</v>
      </c>
      <c r="E82" s="56" t="n">
        <v>27.28</v>
      </c>
      <c r="F82" s="68" t="s">
        <v>18</v>
      </c>
      <c r="G82" s="45" t="str">
        <f aca="false">_xlfn.CONCAT(FIXED(E82,2), " ",F82)</f>
        <v>27.28 kΩ</v>
      </c>
      <c r="H82" s="27"/>
      <c r="I82" s="27"/>
      <c r="J82" s="24"/>
      <c r="K82" s="24"/>
      <c r="L82" s="24"/>
      <c r="M82" s="24"/>
      <c r="N82" s="24"/>
      <c r="O82" s="24"/>
      <c r="P82" s="24"/>
      <c r="Q82" s="24"/>
      <c r="R82" s="24"/>
      <c r="S82" s="25"/>
      <c r="T82" s="6"/>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row>
    <row r="83" customFormat="false" ht="16.4" hidden="false" customHeight="false" outlineLevel="0" collapsed="false">
      <c r="A83" s="26"/>
      <c r="B83" s="27"/>
      <c r="C83" s="27"/>
      <c r="D83" s="28" t="s">
        <v>87</v>
      </c>
      <c r="E83" s="56" t="n">
        <v>3.02</v>
      </c>
      <c r="F83" s="68" t="s">
        <v>18</v>
      </c>
      <c r="G83" s="45" t="str">
        <f aca="false">_xlfn.CONCAT(FIXED(E83,2), " ",F83)</f>
        <v>3.02 kΩ</v>
      </c>
      <c r="H83" s="27"/>
      <c r="I83" s="27"/>
      <c r="J83" s="24"/>
      <c r="K83" s="24"/>
      <c r="L83" s="24"/>
      <c r="M83" s="24"/>
      <c r="N83" s="24"/>
      <c r="O83" s="24"/>
      <c r="P83" s="24"/>
      <c r="Q83" s="24"/>
      <c r="R83" s="24"/>
      <c r="S83" s="25"/>
      <c r="T83" s="6"/>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row>
    <row r="84" customFormat="false" ht="16.4" hidden="false" customHeight="false" outlineLevel="0" collapsed="false">
      <c r="A84" s="26"/>
      <c r="B84" s="27"/>
      <c r="C84" s="27"/>
      <c r="D84" s="41" t="s">
        <v>88</v>
      </c>
      <c r="E84" s="42" t="n">
        <f aca="false">(1/T1_P_Select-1)/(1/(RT2_R*10^3)+1/(RTHCOLD*10^3))/10^3</f>
        <v>3.60648143734416</v>
      </c>
      <c r="F84" s="57" t="s">
        <v>18</v>
      </c>
      <c r="G84" s="45" t="str">
        <f aca="false">_xlfn.CONCAT(FIXED(E84,2), " ",F84)</f>
        <v>3.61 kΩ</v>
      </c>
      <c r="H84" s="27"/>
      <c r="I84" s="27"/>
      <c r="J84" s="24"/>
      <c r="K84" s="24"/>
      <c r="L84" s="24"/>
      <c r="M84" s="24"/>
      <c r="N84" s="24"/>
      <c r="O84" s="24"/>
      <c r="P84" s="24"/>
      <c r="Q84" s="24"/>
      <c r="R84" s="24"/>
      <c r="S84" s="25"/>
      <c r="T84" s="6"/>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row>
    <row r="85" customFormat="false" ht="16.4" hidden="false" customHeight="false" outlineLevel="0" collapsed="false">
      <c r="A85" s="33"/>
      <c r="B85" s="34"/>
      <c r="C85" s="34"/>
      <c r="D85" s="50" t="s">
        <v>89</v>
      </c>
      <c r="E85" s="63" t="n">
        <f aca="false">(RTHCOLD*10^3*RTHHOT*10^3*(1/T1_P_Select-1/T5_P_Select))/(RTHHOT*10^3*(1/T5_P_Select-1)-RTHCOLD*10^3*(1/T1_P_Select-1))/10^3</f>
        <v>15.4794367354472</v>
      </c>
      <c r="F85" s="82" t="s">
        <v>18</v>
      </c>
      <c r="G85" s="45" t="str">
        <f aca="false">_xlfn.CONCAT(FIXED(E85,2), " ",F85)</f>
        <v>15.48 kΩ</v>
      </c>
      <c r="H85" s="27"/>
      <c r="I85" s="27"/>
      <c r="J85" s="24"/>
      <c r="K85" s="24"/>
      <c r="L85" s="24"/>
      <c r="M85" s="24"/>
      <c r="N85" s="24"/>
      <c r="O85" s="24"/>
      <c r="P85" s="24"/>
      <c r="Q85" s="24"/>
      <c r="R85" s="24"/>
      <c r="S85" s="25"/>
      <c r="T85" s="6"/>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row>
    <row r="86" customFormat="false" ht="15" hidden="false" customHeight="false" outlineLevel="0" collapsed="false">
      <c r="A86" s="26"/>
      <c r="B86" s="27"/>
      <c r="C86" s="27"/>
      <c r="D86" s="27"/>
      <c r="E86" s="27"/>
      <c r="F86" s="38"/>
      <c r="G86" s="22"/>
      <c r="H86" s="27"/>
      <c r="I86" s="27"/>
      <c r="J86" s="24"/>
      <c r="K86" s="24"/>
      <c r="L86" s="24"/>
      <c r="M86" s="24"/>
      <c r="N86" s="24"/>
      <c r="O86" s="24"/>
      <c r="P86" s="24"/>
      <c r="Q86" s="24"/>
      <c r="R86" s="24"/>
      <c r="S86" s="25"/>
      <c r="T86" s="6"/>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row>
    <row r="87" customFormat="false" ht="15" hidden="false" customHeight="false" outlineLevel="0" collapsed="false">
      <c r="A87" s="39" t="s">
        <v>90</v>
      </c>
      <c r="B87" s="84"/>
      <c r="C87" s="84"/>
      <c r="D87" s="41"/>
      <c r="E87" s="84"/>
      <c r="F87" s="85"/>
      <c r="G87" s="22"/>
      <c r="H87" s="27"/>
      <c r="I87" s="27"/>
      <c r="J87" s="24"/>
      <c r="K87" s="24"/>
      <c r="L87" s="24"/>
      <c r="M87" s="24"/>
      <c r="N87" s="24"/>
      <c r="O87" s="24"/>
      <c r="P87" s="24"/>
      <c r="Q87" s="24"/>
      <c r="R87" s="24"/>
      <c r="S87" s="25"/>
      <c r="T87" s="6"/>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row>
    <row r="88" customFormat="false" ht="15" hidden="false" customHeight="false" outlineLevel="0" collapsed="false">
      <c r="A88" s="12"/>
      <c r="B88" s="86"/>
      <c r="C88" s="86"/>
      <c r="D88" s="19" t="s">
        <v>91</v>
      </c>
      <c r="E88" s="87" t="s">
        <v>92</v>
      </c>
      <c r="F88" s="88"/>
      <c r="G88" s="22"/>
      <c r="H88" s="27" t="s">
        <v>92</v>
      </c>
      <c r="I88" s="27" t="s">
        <v>93</v>
      </c>
      <c r="J88" s="24"/>
      <c r="K88" s="24"/>
      <c r="L88" s="24"/>
      <c r="M88" s="24"/>
      <c r="N88" s="24"/>
      <c r="O88" s="24"/>
      <c r="P88" s="24"/>
      <c r="Q88" s="24"/>
      <c r="R88" s="80"/>
      <c r="S88" s="25"/>
      <c r="T88" s="6"/>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row>
    <row r="89" customFormat="false" ht="16.4" hidden="false" customHeight="false" outlineLevel="0" collapsed="false">
      <c r="A89" s="39"/>
      <c r="B89" s="84"/>
      <c r="C89" s="84"/>
      <c r="D89" s="41" t="s">
        <v>94</v>
      </c>
      <c r="E89" s="41" t="n">
        <f aca="false">IF(Desired_Operation=Buck_Boost, H89, IF(L&lt;($I$94+$J$94)/2, I89, IF(L&lt;($J$94+$K$94)/2, J89, IF(L&lt;($K$94+$L$94)/2, K89, IF(L&lt;($L$94+$M$94)/2, L89, IF(L&lt;($M$94+$N$94)/2, M89, IF(L&lt;($N$94+$O$94)/2, N89, IF(L&lt;($O$94), O89, P89)) ) )))))</f>
        <v>0</v>
      </c>
      <c r="F89" s="62" t="s">
        <v>18</v>
      </c>
      <c r="G89" s="22"/>
      <c r="H89" s="71" t="n">
        <v>0</v>
      </c>
      <c r="I89" s="71" t="n">
        <v>4.34</v>
      </c>
      <c r="J89" s="89" t="n">
        <v>5.72</v>
      </c>
      <c r="K89" s="89" t="n">
        <v>7.34</v>
      </c>
      <c r="L89" s="89" t="n">
        <v>9.91</v>
      </c>
      <c r="M89" s="89" t="n">
        <v>12.94</v>
      </c>
      <c r="N89" s="89" t="n">
        <v>16.4</v>
      </c>
      <c r="O89" s="89" t="n">
        <v>21.89</v>
      </c>
      <c r="P89" s="89" t="n">
        <v>46.8</v>
      </c>
      <c r="Q89" s="89"/>
      <c r="R89" s="89"/>
      <c r="S89" s="25"/>
      <c r="T89" s="6"/>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row>
    <row r="90" customFormat="false" ht="16.4" hidden="false" customHeight="false" outlineLevel="0" collapsed="false">
      <c r="A90" s="39"/>
      <c r="B90" s="84"/>
      <c r="C90" s="84"/>
      <c r="D90" s="41" t="s">
        <v>95</v>
      </c>
      <c r="E90" s="41" t="n">
        <f aca="false">IF(Desired_Operation=Buck_Boost, H90, IF(L&lt;($I$94+$J$94)/2, I90, IF(L&lt;($J$94+$K$94)/2, J90, IF(L&lt;($K$94+$L$94)/2, K90, IF(L&lt;($L$94+$M$94)/2, L90, IF(L&lt;($M$94+$N$94)/2, M90, IF(L&lt;($N$94+$O$94)/2, N90, IF(L&lt;($O$94), O90, P90)) ) )))))</f>
        <v>3</v>
      </c>
      <c r="F90" s="62" t="s">
        <v>18</v>
      </c>
      <c r="G90" s="22"/>
      <c r="H90" s="71" t="n">
        <v>3</v>
      </c>
      <c r="I90" s="71" t="n">
        <v>4.7</v>
      </c>
      <c r="J90" s="89" t="n">
        <v>6.04</v>
      </c>
      <c r="K90" s="89" t="n">
        <v>8.2</v>
      </c>
      <c r="L90" s="89" t="n">
        <v>10.5</v>
      </c>
      <c r="M90" s="89" t="n">
        <v>13.7</v>
      </c>
      <c r="N90" s="89" t="n">
        <v>17.4</v>
      </c>
      <c r="O90" s="89" t="n">
        <v>27</v>
      </c>
      <c r="P90" s="89" t="s">
        <v>96</v>
      </c>
      <c r="Q90" s="89"/>
      <c r="R90" s="89"/>
      <c r="S90" s="25"/>
      <c r="T90" s="6"/>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row>
    <row r="91" customFormat="false" ht="16.4" hidden="false" customHeight="false" outlineLevel="0" collapsed="false">
      <c r="A91" s="39"/>
      <c r="B91" s="84"/>
      <c r="C91" s="84"/>
      <c r="D91" s="41" t="s">
        <v>97</v>
      </c>
      <c r="E91" s="41" t="n">
        <f aca="false">IF(Desired_Operation=Buck_Boost, H91, IF(L&lt;($I$94+$J$94)/2, I91, IF(L&lt;($J$94+$K$94)/2, J91, IF(L&lt;($K$94+$L$94)/2, K91, IF(L&lt;($L$94+$M$94)/2, L91, IF(L&lt;($M$94+$N$94)/2, M91, IF(L&lt;($N$94+$O$94)/2, N91, IF(L&lt;($O$94), O91, P91)) ) )))))</f>
        <v>3.79</v>
      </c>
      <c r="F91" s="62" t="s">
        <v>18</v>
      </c>
      <c r="G91" s="22"/>
      <c r="H91" s="71" t="n">
        <v>3.79</v>
      </c>
      <c r="I91" s="71" t="n">
        <v>5.17</v>
      </c>
      <c r="J91" s="89" t="n">
        <v>6.59</v>
      </c>
      <c r="K91" s="89" t="n">
        <v>9.01</v>
      </c>
      <c r="L91" s="89" t="n">
        <v>11.68</v>
      </c>
      <c r="M91" s="89" t="n">
        <v>14.95</v>
      </c>
      <c r="N91" s="89" t="n">
        <v>19.92</v>
      </c>
      <c r="O91" s="90" t="n">
        <v>1E+099</v>
      </c>
      <c r="P91" s="89" t="s">
        <v>98</v>
      </c>
      <c r="Q91" s="89"/>
      <c r="R91" s="89"/>
      <c r="S91" s="25"/>
      <c r="T91" s="6"/>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row>
    <row r="92" customFormat="false" ht="16.4" hidden="false" customHeight="false" outlineLevel="0" collapsed="false">
      <c r="A92" s="39"/>
      <c r="B92" s="84"/>
      <c r="C92" s="84"/>
      <c r="D92" s="28" t="s">
        <v>99</v>
      </c>
      <c r="E92" s="91" t="n">
        <v>0</v>
      </c>
      <c r="F92" s="92" t="s">
        <v>18</v>
      </c>
      <c r="G92" s="22" t="str">
        <f aca="false">_xlfn.CONCAT(E92, " ",F92)</f>
        <v>0 kΩ</v>
      </c>
      <c r="H92" s="23" t="n">
        <f aca="false">$E$89</f>
        <v>0</v>
      </c>
      <c r="I92" s="23" t="n">
        <f aca="false">$E$91</f>
        <v>3.79</v>
      </c>
      <c r="J92" s="24"/>
      <c r="K92" s="24"/>
      <c r="L92" s="24"/>
      <c r="M92" s="24"/>
      <c r="N92" s="24"/>
      <c r="O92" s="24"/>
      <c r="P92" s="24"/>
      <c r="Q92" s="24"/>
      <c r="R92" s="24"/>
      <c r="S92" s="25"/>
      <c r="T92" s="6"/>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row>
    <row r="93" customFormat="false" ht="15" hidden="false" customHeight="false" outlineLevel="0" collapsed="false">
      <c r="A93" s="39"/>
      <c r="B93" s="84"/>
      <c r="C93" s="84"/>
      <c r="D93" s="41" t="s">
        <v>100</v>
      </c>
      <c r="E93" s="93" t="str">
        <f aca="false">IF(AND($E$92&gt;=$H$89,$E$92&lt;=$H$91), H93, IF(AND($E$92&gt;=$I$89,$E$92&lt;=$I$91),I93, IF(AND($E$92&gt;=$J$89,$E$92&lt;=$J$91), J93, IF(AND($E$92&gt;=$K$89,$E$92&lt;=$K$91), K93, IF(AND($E$92&gt;=$L$89,$E$92&lt;=$L$91), L93, IF(AND($E$92&gt;=$M$89,$E$92&lt;=$M$91), M93, IF(AND($E$92&gt;=$N$89,$E$92&lt;=$N$91), N93, IF(AND($E$92&gt;=$O$89,$E$92&lt;=$O$91),O93, IF($E$92&gt;=$P$89, P93, "Undefined") ))))))) )</f>
        <v>Buck-Boost</v>
      </c>
      <c r="F93" s="62"/>
      <c r="G93" s="22"/>
      <c r="H93" s="71" t="str">
        <f aca="false">$H$88</f>
        <v>Buck-Boost</v>
      </c>
      <c r="I93" s="71" t="str">
        <f aca="false">Buck_Only</f>
        <v>Buck-Only</v>
      </c>
      <c r="J93" s="71" t="str">
        <f aca="false">Buck_Only</f>
        <v>Buck-Only</v>
      </c>
      <c r="K93" s="71" t="str">
        <f aca="false">Buck_Only</f>
        <v>Buck-Only</v>
      </c>
      <c r="L93" s="71" t="str">
        <f aca="false">Buck_Only</f>
        <v>Buck-Only</v>
      </c>
      <c r="M93" s="71" t="str">
        <f aca="false">Buck_Only</f>
        <v>Buck-Only</v>
      </c>
      <c r="N93" s="71" t="str">
        <f aca="false">Buck_Only</f>
        <v>Buck-Only</v>
      </c>
      <c r="O93" s="71" t="str">
        <f aca="false">Buck_Only</f>
        <v>Buck-Only</v>
      </c>
      <c r="P93" s="71" t="str">
        <f aca="false">Buck_Only</f>
        <v>Buck-Only</v>
      </c>
      <c r="Q93" s="71"/>
      <c r="R93" s="71"/>
      <c r="S93" s="25"/>
      <c r="T93" s="6"/>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row>
    <row r="94" customFormat="false" ht="15.75" hidden="false" customHeight="false" outlineLevel="0" collapsed="false">
      <c r="A94" s="39"/>
      <c r="B94" s="84"/>
      <c r="C94" s="84"/>
      <c r="D94" s="41" t="s">
        <v>101</v>
      </c>
      <c r="E94" s="94" t="str">
        <f aca="false">IF(AND($E$92&gt;=$H$89,$E$92&lt;=$H$91),H94, IF(AND( $E$92&gt;=$I$89,$E$92&lt;=$I$91),I94, IF(AND($E$92&gt;=$J$89,$E$92&lt;=$J$91),J94, IF(AND( $E$92&gt;=$K$89,$E$92&lt;=$K$91),K94, IF(AND( $E$92&gt;=$L$89,$E$92&lt;=$L$91),L94, IF(AND( $E$92&gt;=$M$89,$E$92&lt;=$M$91),M94, IF(AND( $E$92&gt;=$N$89,$E$92&lt;=$N$91),N94, IF(AND( $E$92&gt;=$O$89,$E$92&lt;=$O$91),O94, IF($E$92&gt;=$P$89, P94, "Undefined") ))))))) )</f>
        <v>2.2 - 15</v>
      </c>
      <c r="F94" s="62" t="s">
        <v>30</v>
      </c>
      <c r="G94" s="22"/>
      <c r="H94" s="27" t="s">
        <v>102</v>
      </c>
      <c r="I94" s="27" t="n">
        <v>3.3</v>
      </c>
      <c r="J94" s="24" t="n">
        <v>4.7</v>
      </c>
      <c r="K94" s="24" t="n">
        <v>5.6</v>
      </c>
      <c r="L94" s="24" t="n">
        <v>6.8</v>
      </c>
      <c r="M94" s="24" t="n">
        <v>8.2</v>
      </c>
      <c r="N94" s="24" t="n">
        <v>10</v>
      </c>
      <c r="O94" s="24" t="n">
        <v>15</v>
      </c>
      <c r="P94" s="71"/>
      <c r="Q94" s="95" t="n">
        <f aca="false">IF(AND($E$92&lt;=$E$91,$E$92&gt;=$E$89), 0,1)</f>
        <v>0</v>
      </c>
      <c r="R94" s="71"/>
      <c r="S94" s="25"/>
      <c r="T94" s="6"/>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row>
    <row r="95" customFormat="false" ht="15" hidden="false" customHeight="false" outlineLevel="0" collapsed="false">
      <c r="A95" s="39"/>
      <c r="B95" s="84"/>
      <c r="C95" s="84"/>
      <c r="D95" s="41" t="s">
        <v>103</v>
      </c>
      <c r="E95" s="59" t="n">
        <f aca="false">IF(AND($E$92&gt;=$H$89,$E$92&lt;=$H$91),H95, IF(AND( $E$92&gt;=$I$89,$E$92&lt;=$I$91),I95, IF(AND($E$92&gt;=$J$89,$E$92&lt;=$J$91),J95, IF(AND( $E$92&gt;=$K$89,$E$92&lt;=$K$91),K95, IF(AND( $E$92&gt;=$L$89,$E$92&lt;=$L$91),L95, IF(AND( $E$92&gt;=$M$89,$E$92&lt;=$M$91),M95, IF(AND( $E$92&gt;=$N$89,$E$92&lt;=$N$91),N95, IF(AND( $E$92&gt;=$O$89,$E$92&lt;=$O$91),O95, IF($E$92&gt;=$P$89, P95, "Undefined") ))))))) )</f>
        <v>7.93650793650794</v>
      </c>
      <c r="F95" s="62" t="s">
        <v>18</v>
      </c>
      <c r="G95" s="22"/>
      <c r="H95" s="71" t="n">
        <f aca="false">L/1260/10^-3</f>
        <v>7.93650793650794</v>
      </c>
      <c r="I95" s="71" t="n">
        <v>2.6</v>
      </c>
      <c r="J95" s="71" t="n">
        <v>3.7</v>
      </c>
      <c r="K95" s="71" t="n">
        <v>4.4</v>
      </c>
      <c r="L95" s="71" t="n">
        <v>5.4</v>
      </c>
      <c r="M95" s="71" t="n">
        <v>6.5</v>
      </c>
      <c r="N95" s="71" t="n">
        <v>7.9</v>
      </c>
      <c r="O95" s="71" t="n">
        <v>11.9</v>
      </c>
      <c r="P95" s="71"/>
      <c r="Q95" s="95" t="n">
        <f aca="false">IF(AND($E$92&lt;=$E$91,$E$92&gt;=$E$89), 0,1)</f>
        <v>0</v>
      </c>
      <c r="R95" s="71"/>
      <c r="S95" s="25"/>
      <c r="T95" s="6"/>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row>
    <row r="96" customFormat="false" ht="15" hidden="false" customHeight="false" outlineLevel="0" collapsed="false">
      <c r="A96" s="96"/>
      <c r="B96" s="97"/>
      <c r="C96" s="97"/>
      <c r="D96" s="50" t="s">
        <v>104</v>
      </c>
      <c r="E96" s="98" t="n">
        <f aca="false">IF(AND($E$92&gt;=$H$89,$E$92&lt;=$H$91),H96, IF(AND( $E$92&gt;=$I$89,$E$92&lt;=$I$91),I96, IF(AND($E$92&gt;=$J$89,$E$92&lt;=$J$91),J96, IF(AND( $E$92&gt;=$K$89,$E$92&lt;=$K$91),K96, IF(AND( $E$92&gt;=$L$89,$E$92&lt;=$L$91),L96, IF(AND( $E$92&gt;=$M$89,$E$92&lt;=$M$91),M96, IF(AND( $E$92&gt;=$N$89,$E$92&lt;=$N$91),N96, IF(AND( $E$92&gt;=$O$89,$E$92&lt;=$O$91),O96, IF($E$92&gt;=$P$89, P96, "Undefined") ))))))) )</f>
        <v>60</v>
      </c>
      <c r="F96" s="99" t="s">
        <v>18</v>
      </c>
      <c r="G96" s="22"/>
      <c r="H96" s="71" t="n">
        <v>60</v>
      </c>
      <c r="I96" s="71" t="n">
        <v>60</v>
      </c>
      <c r="J96" s="71" t="n">
        <v>60</v>
      </c>
      <c r="K96" s="71" t="n">
        <v>60</v>
      </c>
      <c r="L96" s="71" t="n">
        <v>60</v>
      </c>
      <c r="M96" s="71" t="n">
        <v>60</v>
      </c>
      <c r="N96" s="71" t="n">
        <v>60</v>
      </c>
      <c r="O96" s="71" t="n">
        <v>60</v>
      </c>
      <c r="P96" s="71"/>
      <c r="Q96" s="95" t="n">
        <f aca="false">IF(AND($E$92&lt;=$E$91,$E$92&gt;=$E$89), 0,1)</f>
        <v>0</v>
      </c>
      <c r="R96" s="71"/>
      <c r="S96" s="25"/>
      <c r="T96" s="6"/>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row>
    <row r="97" customFormat="false" ht="15" hidden="false" customHeight="false" outlineLevel="0" collapsed="false">
      <c r="A97" s="100"/>
      <c r="B97" s="84"/>
      <c r="C97" s="84"/>
      <c r="E97" s="84"/>
      <c r="F97" s="85"/>
      <c r="G97" s="22"/>
      <c r="H97" s="27"/>
      <c r="I97" s="27"/>
      <c r="J97" s="24"/>
      <c r="K97" s="24"/>
      <c r="L97" s="24"/>
      <c r="M97" s="24"/>
      <c r="N97" s="24"/>
      <c r="O97" s="24"/>
      <c r="P97" s="24"/>
      <c r="Q97" s="24"/>
      <c r="R97" s="24"/>
      <c r="S97" s="25"/>
      <c r="T97" s="6"/>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row>
    <row r="98" customFormat="false" ht="15" hidden="false" customHeight="false" outlineLevel="0" collapsed="false">
      <c r="A98" s="39" t="s">
        <v>105</v>
      </c>
      <c r="B98" s="84"/>
      <c r="C98" s="84"/>
      <c r="D98" s="41"/>
      <c r="E98" s="84"/>
      <c r="F98" s="72"/>
      <c r="G98" s="101"/>
      <c r="H98" s="27"/>
      <c r="I98" s="27"/>
      <c r="J98" s="27"/>
      <c r="K98" s="27"/>
      <c r="L98" s="27"/>
      <c r="M98" s="27"/>
      <c r="N98" s="27"/>
      <c r="O98" s="27"/>
      <c r="P98" s="27"/>
      <c r="Q98" s="24"/>
      <c r="R98" s="24"/>
      <c r="S98" s="25"/>
      <c r="T98" s="6"/>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row>
    <row r="99" customFormat="false" ht="16.4" hidden="false" customHeight="false" outlineLevel="0" collapsed="false">
      <c r="A99" s="102"/>
      <c r="B99" s="86"/>
      <c r="C99" s="86"/>
      <c r="D99" s="53" t="s">
        <v>106</v>
      </c>
      <c r="E99" s="103" t="n">
        <v>160</v>
      </c>
      <c r="F99" s="55" t="s">
        <v>107</v>
      </c>
      <c r="G99" s="22" t="str">
        <f aca="false">_xlfn.CONCAT(E99, " ",F99)</f>
        <v>160 µF</v>
      </c>
      <c r="H99" s="27"/>
      <c r="I99" s="27"/>
      <c r="J99" s="27"/>
      <c r="K99" s="27"/>
      <c r="L99" s="27"/>
      <c r="M99" s="27"/>
      <c r="N99" s="27"/>
      <c r="O99" s="27"/>
      <c r="P99" s="27"/>
      <c r="Q99" s="24"/>
      <c r="R99" s="24"/>
      <c r="S99" s="25"/>
      <c r="T99" s="6"/>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row>
    <row r="100" customFormat="false" ht="16.4" hidden="false" customHeight="false" outlineLevel="0" collapsed="false">
      <c r="A100" s="100"/>
      <c r="B100" s="84"/>
      <c r="C100" s="84"/>
      <c r="D100" s="28" t="s">
        <v>108</v>
      </c>
      <c r="E100" s="91" t="n">
        <v>160</v>
      </c>
      <c r="F100" s="61" t="s">
        <v>107</v>
      </c>
      <c r="G100" s="22" t="str">
        <f aca="false">_xlfn.CONCAT(E100, " ",F100)</f>
        <v>160 µF</v>
      </c>
      <c r="H100" s="58" t="n">
        <f aca="false">$E$99</f>
        <v>160</v>
      </c>
      <c r="I100" s="27"/>
      <c r="J100" s="27"/>
      <c r="K100" s="27"/>
      <c r="L100" s="27"/>
      <c r="M100" s="27"/>
      <c r="N100" s="27"/>
      <c r="O100" s="27"/>
      <c r="P100" s="27"/>
      <c r="Q100" s="24"/>
      <c r="R100" s="24"/>
      <c r="S100" s="25"/>
      <c r="T100" s="6"/>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row>
    <row r="101" customFormat="false" ht="16.4" hidden="false" customHeight="false" outlineLevel="0" collapsed="false">
      <c r="A101" s="100"/>
      <c r="B101" s="84"/>
      <c r="C101" s="84"/>
      <c r="D101" s="28" t="s">
        <v>109</v>
      </c>
      <c r="E101" s="91" t="n">
        <v>5</v>
      </c>
      <c r="F101" s="61" t="s">
        <v>33</v>
      </c>
      <c r="G101" s="22" t="str">
        <f aca="false">_xlfn.CONCAT(E101, " ",F101)</f>
        <v>5 mΩ</v>
      </c>
      <c r="H101" s="27"/>
      <c r="I101" s="27"/>
      <c r="J101" s="27"/>
      <c r="K101" s="27"/>
      <c r="L101" s="27"/>
      <c r="M101" s="27"/>
      <c r="N101" s="27"/>
      <c r="O101" s="27"/>
      <c r="P101" s="27"/>
      <c r="Q101" s="24"/>
      <c r="R101" s="24"/>
      <c r="S101" s="25"/>
      <c r="T101" s="6"/>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row>
    <row r="102" customFormat="false" ht="15" hidden="false" customHeight="false" outlineLevel="0" collapsed="false">
      <c r="A102" s="96"/>
      <c r="B102" s="97"/>
      <c r="C102" s="97"/>
      <c r="D102" s="50" t="s">
        <v>110</v>
      </c>
      <c r="E102" s="104" t="n">
        <f aca="false">Vbat*Ioutmax/VACmin*SQRT((Vbat/MIN( 2*Vbat,VACmax ))*(1-Vbat/MIN( 2*Vbat,VACmax )))</f>
        <v>4.61923630051549</v>
      </c>
      <c r="F102" s="99" t="s">
        <v>12</v>
      </c>
      <c r="G102" s="22"/>
      <c r="H102" s="27"/>
      <c r="I102" s="27"/>
      <c r="J102" s="27"/>
      <c r="K102" s="27"/>
      <c r="L102" s="27"/>
      <c r="M102" s="27"/>
      <c r="N102" s="27"/>
      <c r="O102" s="27"/>
      <c r="P102" s="27"/>
      <c r="Q102" s="24"/>
      <c r="R102" s="24"/>
      <c r="S102" s="25"/>
      <c r="T102" s="6"/>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row>
    <row r="103" customFormat="false" ht="15" hidden="false" customHeight="false" outlineLevel="0" collapsed="false">
      <c r="A103" s="24"/>
      <c r="B103" s="24"/>
      <c r="C103" s="24"/>
      <c r="D103" s="24"/>
      <c r="E103" s="24"/>
      <c r="F103" s="24"/>
      <c r="H103" s="27"/>
      <c r="I103" s="27"/>
      <c r="J103" s="27"/>
      <c r="K103" s="27"/>
      <c r="L103" s="27"/>
      <c r="M103" s="27"/>
      <c r="N103" s="27"/>
      <c r="O103" s="27"/>
      <c r="P103" s="27"/>
      <c r="Q103" s="24"/>
      <c r="R103" s="24"/>
      <c r="S103" s="25"/>
      <c r="T103" s="6"/>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row>
    <row r="104" customFormat="false" ht="15" hidden="false" customHeight="false" outlineLevel="0" collapsed="false">
      <c r="A104" s="39" t="s">
        <v>111</v>
      </c>
      <c r="B104" s="84"/>
      <c r="C104" s="84"/>
      <c r="D104" s="41"/>
      <c r="E104" s="84"/>
      <c r="F104" s="72"/>
      <c r="G104" s="101"/>
      <c r="H104" s="27"/>
      <c r="I104" s="27"/>
      <c r="J104" s="27"/>
      <c r="K104" s="27"/>
      <c r="L104" s="27"/>
      <c r="M104" s="27"/>
      <c r="N104" s="27"/>
      <c r="O104" s="27"/>
      <c r="P104" s="27"/>
      <c r="Q104" s="24"/>
      <c r="R104" s="24"/>
      <c r="S104" s="25"/>
      <c r="T104" s="6"/>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row>
    <row r="105" customFormat="false" ht="16.4" hidden="false" customHeight="false" outlineLevel="0" collapsed="false">
      <c r="A105" s="102"/>
      <c r="B105" s="86"/>
      <c r="C105" s="86"/>
      <c r="D105" s="53" t="s">
        <v>112</v>
      </c>
      <c r="E105" s="103" t="n">
        <v>160</v>
      </c>
      <c r="F105" s="55" t="s">
        <v>107</v>
      </c>
      <c r="G105" s="22" t="str">
        <f aca="false">_xlfn.CONCAT(E105, " ",F105)</f>
        <v>160 µF</v>
      </c>
      <c r="H105" s="27"/>
      <c r="I105" s="27"/>
      <c r="J105" s="27"/>
      <c r="K105" s="27"/>
      <c r="L105" s="27"/>
      <c r="M105" s="27"/>
      <c r="N105" s="27"/>
      <c r="O105" s="27"/>
      <c r="P105" s="27"/>
      <c r="Q105" s="24"/>
      <c r="R105" s="24"/>
      <c r="S105" s="25"/>
      <c r="T105" s="6"/>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row>
    <row r="106" customFormat="false" ht="16.4" hidden="false" customHeight="false" outlineLevel="0" collapsed="false">
      <c r="A106" s="100"/>
      <c r="B106" s="84"/>
      <c r="C106" s="84"/>
      <c r="D106" s="28" t="s">
        <v>113</v>
      </c>
      <c r="E106" s="91" t="n">
        <v>160</v>
      </c>
      <c r="F106" s="61" t="s">
        <v>107</v>
      </c>
      <c r="G106" s="22" t="str">
        <f aca="false">_xlfn.CONCAT(E106, " ",F106)</f>
        <v>160 µF</v>
      </c>
      <c r="H106" s="58" t="n">
        <f aca="false">$E$105</f>
        <v>160</v>
      </c>
      <c r="I106" s="27"/>
      <c r="J106" s="24"/>
      <c r="K106" s="24"/>
      <c r="L106" s="24"/>
      <c r="M106" s="24"/>
      <c r="N106" s="24"/>
      <c r="O106" s="24"/>
      <c r="P106" s="24"/>
      <c r="Q106" s="24"/>
      <c r="R106" s="24"/>
      <c r="S106" s="25"/>
      <c r="T106" s="6"/>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row>
    <row r="107" customFormat="false" ht="16.4" hidden="false" customHeight="false" outlineLevel="0" collapsed="false">
      <c r="A107" s="100"/>
      <c r="B107" s="84"/>
      <c r="C107" s="84"/>
      <c r="D107" s="28" t="s">
        <v>114</v>
      </c>
      <c r="E107" s="91" t="n">
        <v>5</v>
      </c>
      <c r="F107" s="61" t="s">
        <v>33</v>
      </c>
      <c r="G107" s="22" t="str">
        <f aca="false">_xlfn.CONCAT(E107, " ",F107)</f>
        <v>5 mΩ</v>
      </c>
      <c r="H107" s="27"/>
      <c r="I107" s="27"/>
      <c r="J107" s="24"/>
      <c r="K107" s="24"/>
      <c r="L107" s="24"/>
      <c r="M107" s="24"/>
      <c r="N107" s="24"/>
      <c r="O107" s="24"/>
      <c r="P107" s="24"/>
      <c r="Q107" s="24"/>
      <c r="R107" s="24"/>
      <c r="S107" s="25"/>
      <c r="T107" s="6"/>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row>
    <row r="108" customFormat="false" ht="15" hidden="false" customHeight="false" outlineLevel="0" collapsed="false">
      <c r="A108" s="100"/>
      <c r="B108" s="84"/>
      <c r="C108" s="84"/>
      <c r="D108" s="41" t="s">
        <v>115</v>
      </c>
      <c r="E108" s="105" t="n">
        <f aca="false">Ioutmax*SQRT(Vbat/VACmin-1)</f>
        <v>5.09901951359279</v>
      </c>
      <c r="F108" s="62" t="s">
        <v>12</v>
      </c>
      <c r="G108" s="22"/>
      <c r="H108" s="27"/>
      <c r="I108" s="27"/>
      <c r="J108" s="24"/>
      <c r="K108" s="24"/>
      <c r="L108" s="24"/>
      <c r="M108" s="24"/>
      <c r="N108" s="24"/>
      <c r="O108" s="24"/>
      <c r="P108" s="24"/>
      <c r="Q108" s="24"/>
      <c r="R108" s="24"/>
      <c r="S108" s="25"/>
      <c r="T108" s="6"/>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row>
    <row r="109" customFormat="false" ht="15" hidden="false" customHeight="false" outlineLevel="0" collapsed="false">
      <c r="A109" s="100"/>
      <c r="B109" s="84"/>
      <c r="C109" s="84"/>
      <c r="D109" s="41" t="s">
        <v>116</v>
      </c>
      <c r="E109" s="72" t="n">
        <f aca="false">Ioutmax*Vbat/VACmin*COUT_ESR</f>
        <v>63</v>
      </c>
      <c r="F109" s="62" t="s">
        <v>117</v>
      </c>
      <c r="G109" s="22"/>
      <c r="H109" s="27"/>
      <c r="I109" s="27"/>
      <c r="J109" s="24"/>
      <c r="K109" s="24"/>
      <c r="L109" s="24"/>
      <c r="M109" s="24"/>
      <c r="N109" s="24"/>
      <c r="O109" s="24"/>
      <c r="P109" s="24"/>
      <c r="Q109" s="24"/>
      <c r="R109" s="24"/>
      <c r="S109" s="25"/>
      <c r="T109" s="6"/>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row>
    <row r="110" customFormat="false" ht="15" hidden="false" customHeight="false" outlineLevel="0" collapsed="false">
      <c r="A110" s="96"/>
      <c r="B110" s="97"/>
      <c r="C110" s="97"/>
      <c r="D110" s="50" t="s">
        <v>118</v>
      </c>
      <c r="E110" s="104" t="n">
        <f aca="false">Ioutmax*(1-VACmin/Vbat)/(Fsw*10^3*C_OUT*10^-6)/10^-3</f>
        <v>64.484126984127</v>
      </c>
      <c r="F110" s="99" t="s">
        <v>117</v>
      </c>
      <c r="G110" s="22"/>
      <c r="H110" s="27"/>
      <c r="I110" s="27"/>
      <c r="J110" s="24"/>
      <c r="K110" s="24"/>
      <c r="L110" s="24"/>
      <c r="M110" s="24"/>
      <c r="N110" s="24"/>
      <c r="O110" s="24"/>
      <c r="P110" s="24"/>
      <c r="Q110" s="24"/>
      <c r="R110" s="24"/>
      <c r="S110" s="25"/>
      <c r="T110" s="6"/>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row>
    <row r="111" customFormat="false" ht="15" hidden="false" customHeight="false" outlineLevel="0" collapsed="false">
      <c r="A111" s="100"/>
      <c r="B111" s="84"/>
      <c r="C111" s="84"/>
      <c r="D111" s="41"/>
      <c r="E111" s="84"/>
      <c r="F111" s="84"/>
      <c r="G111" s="84"/>
      <c r="H111" s="27"/>
      <c r="I111" s="27"/>
      <c r="J111" s="24"/>
      <c r="K111" s="24"/>
      <c r="L111" s="24"/>
      <c r="M111" s="24"/>
      <c r="N111" s="24"/>
      <c r="O111" s="24"/>
      <c r="P111" s="24"/>
      <c r="Q111" s="24"/>
      <c r="R111" s="24"/>
      <c r="S111" s="25"/>
      <c r="T111" s="6"/>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row>
    <row r="112" customFormat="false" ht="25.5" hidden="false" customHeight="true" outlineLevel="0" collapsed="false">
      <c r="A112" s="106" t="s">
        <v>119</v>
      </c>
      <c r="B112" s="106"/>
      <c r="C112" s="106"/>
      <c r="D112" s="106"/>
      <c r="E112" s="106"/>
      <c r="F112" s="107"/>
      <c r="G112" s="107"/>
      <c r="H112" s="108"/>
      <c r="I112" s="108"/>
      <c r="J112" s="109"/>
      <c r="K112" s="109"/>
      <c r="L112" s="109"/>
      <c r="M112" s="109"/>
      <c r="N112" s="109"/>
      <c r="O112" s="109"/>
      <c r="P112" s="109"/>
      <c r="Q112" s="109"/>
      <c r="R112" s="109"/>
      <c r="S112" s="110"/>
      <c r="T112" s="6"/>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111" t="n">
        <f aca="false">BK112</f>
        <v>0</v>
      </c>
      <c r="BK112" s="111" t="n">
        <f aca="false">BJ112</f>
        <v>0</v>
      </c>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row>
    <row r="113" customFormat="false" ht="15" hidden="false" customHeight="false" outlineLevel="0" collapsed="false">
      <c r="A113" s="100"/>
      <c r="B113" s="84"/>
      <c r="C113" s="84"/>
      <c r="D113" s="41"/>
      <c r="E113" s="84"/>
      <c r="F113" s="84"/>
      <c r="G113" s="84"/>
      <c r="H113" s="27"/>
      <c r="I113" s="27"/>
      <c r="J113" s="24"/>
      <c r="K113" s="24"/>
      <c r="L113" s="24"/>
      <c r="M113" s="24"/>
      <c r="N113" s="24"/>
      <c r="O113" s="24"/>
      <c r="P113" s="24"/>
      <c r="Q113" s="24"/>
      <c r="R113" s="24"/>
      <c r="S113" s="25"/>
      <c r="T113" s="6"/>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row>
    <row r="114" customFormat="false" ht="15" hidden="false" customHeight="false" outlineLevel="0" collapsed="false">
      <c r="A114" s="112" t="s">
        <v>120</v>
      </c>
      <c r="B114" s="112"/>
      <c r="C114" s="112"/>
      <c r="D114" s="112"/>
      <c r="E114" s="112"/>
      <c r="F114" s="112"/>
      <c r="G114" s="112"/>
      <c r="H114" s="27"/>
      <c r="I114" s="113" t="s">
        <v>121</v>
      </c>
      <c r="J114" s="113"/>
      <c r="K114" s="113"/>
      <c r="L114" s="113"/>
      <c r="M114" s="113"/>
      <c r="N114" s="113"/>
      <c r="O114" s="113"/>
      <c r="P114" s="113"/>
      <c r="Q114" s="24"/>
      <c r="R114" s="24"/>
      <c r="S114" s="25"/>
      <c r="T114" s="6"/>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row>
    <row r="115" customFormat="false" ht="16.4" hidden="false" customHeight="false" outlineLevel="0" collapsed="false">
      <c r="A115" s="86"/>
      <c r="B115" s="114"/>
      <c r="C115" s="86"/>
      <c r="D115" s="115" t="s">
        <v>122</v>
      </c>
      <c r="E115" s="116"/>
      <c r="F115" s="86"/>
      <c r="G115" s="117"/>
      <c r="H115" s="27"/>
      <c r="I115" s="18"/>
      <c r="J115" s="86"/>
      <c r="K115" s="114"/>
      <c r="L115" s="86"/>
      <c r="M115" s="115" t="s">
        <v>122</v>
      </c>
      <c r="N115" s="118" t="s">
        <v>123</v>
      </c>
      <c r="O115" s="86"/>
      <c r="P115" s="117"/>
      <c r="Q115" s="24"/>
      <c r="R115" s="24" t="s">
        <v>124</v>
      </c>
      <c r="S115" s="25"/>
      <c r="T115" s="6"/>
      <c r="U115" s="7"/>
      <c r="V115" s="7"/>
      <c r="W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row>
    <row r="116" customFormat="false" ht="16.4" hidden="false" customHeight="false" outlineLevel="0" collapsed="false">
      <c r="A116" s="84"/>
      <c r="B116" s="84"/>
      <c r="C116" s="84"/>
      <c r="D116" s="41"/>
      <c r="E116" s="84" t="s">
        <v>125</v>
      </c>
      <c r="F116" s="84" t="s">
        <v>126</v>
      </c>
      <c r="G116" s="119"/>
      <c r="H116" s="27"/>
      <c r="I116" s="26"/>
      <c r="J116" s="84"/>
      <c r="K116" s="84"/>
      <c r="L116" s="84"/>
      <c r="M116" s="41"/>
      <c r="N116" s="84" t="s">
        <v>125</v>
      </c>
      <c r="O116" s="84" t="s">
        <v>126</v>
      </c>
      <c r="P116" s="119"/>
      <c r="Q116" s="24"/>
      <c r="R116" s="120" t="s">
        <v>127</v>
      </c>
      <c r="S116" s="25"/>
      <c r="T116" s="6" t="s">
        <v>128</v>
      </c>
      <c r="U116" s="7" t="s">
        <v>127</v>
      </c>
      <c r="V116" s="7"/>
      <c r="W116" s="7"/>
      <c r="X116" s="121" t="s">
        <v>129</v>
      </c>
      <c r="Y116" s="116" t="s">
        <v>130</v>
      </c>
      <c r="Z116" s="116" t="s">
        <v>131</v>
      </c>
      <c r="AA116" s="122" t="s">
        <v>132</v>
      </c>
      <c r="AB116" s="122" t="s">
        <v>123</v>
      </c>
      <c r="AC116" s="122" t="s">
        <v>133</v>
      </c>
      <c r="AD116" s="122" t="s">
        <v>134</v>
      </c>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row>
    <row r="117" customFormat="false" ht="16.4" hidden="false" customHeight="false" outlineLevel="0" collapsed="false">
      <c r="A117" s="84"/>
      <c r="B117" s="84"/>
      <c r="C117" s="84"/>
      <c r="D117" s="28" t="s">
        <v>135</v>
      </c>
      <c r="E117" s="123" t="n">
        <v>8.6</v>
      </c>
      <c r="F117" s="123" t="n">
        <v>8.6</v>
      </c>
      <c r="G117" s="119" t="s">
        <v>136</v>
      </c>
      <c r="H117" s="27"/>
      <c r="I117" s="100" t="n">
        <v>1</v>
      </c>
      <c r="J117" s="24"/>
      <c r="K117" s="84"/>
      <c r="L117" s="84"/>
      <c r="M117" s="28" t="s">
        <v>135</v>
      </c>
      <c r="N117" s="124" t="e">
        <f aca="true">INDIRECT("MOSFET_Selection["&amp;$N$115&amp;"]") OFFSET(INDIRECT("MOSFET_Selection[[#Headers], ["&amp;$N$115&amp;"]]"),$I117,)</f>
        <v>#REF!</v>
      </c>
      <c r="O117" s="124" t="e">
        <f aca="true">INDIRECT("MOSFET_Selection["&amp;$N$115&amp;"]") OFFSET(INDIRECT("MOSFET_Selection[[#Headers], ["&amp;$N$115&amp;"]]"),$I117,)</f>
        <v>#REF!</v>
      </c>
      <c r="P117" s="119" t="s">
        <v>136</v>
      </c>
      <c r="Q117" s="24"/>
      <c r="R117" s="31" t="n">
        <f aca="false">IF(OR($H$3=$E$3,R116="Yes"),0,1)</f>
        <v>1</v>
      </c>
      <c r="S117" s="25"/>
      <c r="T117" s="6"/>
      <c r="U117" s="7"/>
      <c r="V117" s="7"/>
      <c r="W117" s="7"/>
      <c r="X117" s="28" t="s">
        <v>135</v>
      </c>
      <c r="Y117" s="125" t="n">
        <v>8.6</v>
      </c>
      <c r="Z117" s="126" t="n">
        <v>2.1</v>
      </c>
      <c r="AA117" s="126" t="n">
        <v>4.1</v>
      </c>
      <c r="AB117" s="126" t="n">
        <v>3.55</v>
      </c>
      <c r="AC117" s="126" t="n">
        <v>8</v>
      </c>
      <c r="AD117" s="119" t="s">
        <v>136</v>
      </c>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row>
    <row r="118" customFormat="false" ht="15" hidden="false" customHeight="false" outlineLevel="0" collapsed="false">
      <c r="A118" s="84"/>
      <c r="B118" s="84"/>
      <c r="C118" s="84"/>
      <c r="D118" s="28" t="s">
        <v>137</v>
      </c>
      <c r="E118" s="123" t="n">
        <v>5.7</v>
      </c>
      <c r="F118" s="123" t="n">
        <v>5.7</v>
      </c>
      <c r="G118" s="119" t="s">
        <v>136</v>
      </c>
      <c r="H118" s="27"/>
      <c r="I118" s="100" t="n">
        <v>2</v>
      </c>
      <c r="J118" s="24"/>
      <c r="K118" s="84"/>
      <c r="L118" s="84"/>
      <c r="M118" s="28" t="s">
        <v>137</v>
      </c>
      <c r="N118" s="124" t="e">
        <f aca="true">INDIRECT("MOSFET_Selection["&amp;$N$115&amp;"]") OFFSET(INDIRECT("MOSFET_Selection[[#Headers], ["&amp;$N$115&amp;"]]"),$I118,)</f>
        <v>#REF!</v>
      </c>
      <c r="O118" s="124" t="e">
        <f aca="true">INDIRECT("MOSFET_Selection["&amp;$N$115&amp;"]") OFFSET(INDIRECT("MOSFET_Selection[[#Headers], ["&amp;$N$115&amp;"]]"),$I118,)</f>
        <v>#REF!</v>
      </c>
      <c r="P118" s="119" t="s">
        <v>136</v>
      </c>
      <c r="Q118" s="24"/>
      <c r="R118" s="24"/>
      <c r="S118" s="25"/>
      <c r="T118" s="6"/>
      <c r="U118" s="7"/>
      <c r="V118" s="7"/>
      <c r="W118" s="7"/>
      <c r="X118" s="28" t="s">
        <v>137</v>
      </c>
      <c r="Y118" s="126" t="n">
        <v>5.7</v>
      </c>
      <c r="Z118" s="126" t="n">
        <v>1.9</v>
      </c>
      <c r="AA118" s="126" t="n">
        <v>2.9</v>
      </c>
      <c r="AB118" s="126" t="n">
        <v>2.8</v>
      </c>
      <c r="AC118" s="126" t="n">
        <v>6.5</v>
      </c>
      <c r="AD118" s="119" t="s">
        <v>136</v>
      </c>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row>
    <row r="119" customFormat="false" ht="15" hidden="false" customHeight="false" outlineLevel="0" collapsed="false">
      <c r="A119" s="84"/>
      <c r="B119" s="84"/>
      <c r="C119" s="84"/>
      <c r="D119" s="28" t="s">
        <v>138</v>
      </c>
      <c r="E119" s="127" t="n">
        <v>4.9</v>
      </c>
      <c r="F119" s="127" t="n">
        <v>4.9</v>
      </c>
      <c r="G119" s="119" t="s">
        <v>136</v>
      </c>
      <c r="H119" s="27"/>
      <c r="I119" s="100"/>
      <c r="J119" s="24"/>
      <c r="K119" s="84"/>
      <c r="L119" s="84"/>
      <c r="M119" s="28" t="s">
        <v>138</v>
      </c>
      <c r="N119" s="127"/>
      <c r="O119" s="127"/>
      <c r="P119" s="119" t="s">
        <v>136</v>
      </c>
      <c r="Q119" s="24"/>
      <c r="R119" s="24"/>
      <c r="S119" s="25"/>
      <c r="T119" s="6"/>
      <c r="U119" s="7"/>
      <c r="V119" s="7"/>
      <c r="W119" s="7"/>
      <c r="X119" s="28" t="s">
        <v>138</v>
      </c>
      <c r="Y119" s="126"/>
      <c r="Z119" s="126"/>
      <c r="AA119" s="126"/>
      <c r="AB119" s="126"/>
      <c r="AC119" s="126"/>
      <c r="AD119" s="119" t="s">
        <v>136</v>
      </c>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row>
    <row r="120" customFormat="false" ht="15" hidden="false" customHeight="false" outlineLevel="0" collapsed="false">
      <c r="A120" s="84"/>
      <c r="B120" s="84"/>
      <c r="C120" s="84"/>
      <c r="D120" s="28" t="s">
        <v>139</v>
      </c>
      <c r="E120" s="127" t="n">
        <v>7.3</v>
      </c>
      <c r="F120" s="127" t="n">
        <v>7.3</v>
      </c>
      <c r="G120" s="119" t="s">
        <v>140</v>
      </c>
      <c r="H120" s="27"/>
      <c r="I120" s="100" t="n">
        <v>4</v>
      </c>
      <c r="J120" s="24"/>
      <c r="K120" s="84"/>
      <c r="L120" s="84"/>
      <c r="M120" s="28" t="s">
        <v>139</v>
      </c>
      <c r="N120" s="124" t="e">
        <f aca="true">INDIRECT("MOSFET_Selection["&amp;$N$115&amp;"]") OFFSET(INDIRECT("MOSFET_Selection[[#Headers], ["&amp;$N$115&amp;"]]"),$I120,)</f>
        <v>#REF!</v>
      </c>
      <c r="O120" s="124" t="e">
        <f aca="true">INDIRECT("MOSFET_Selection["&amp;$N$115&amp;"]") OFFSET(INDIRECT("MOSFET_Selection[[#Headers], ["&amp;$N$115&amp;"]]"),$I120,)</f>
        <v>#REF!</v>
      </c>
      <c r="P120" s="119" t="s">
        <v>140</v>
      </c>
      <c r="Q120" s="24"/>
      <c r="R120" s="24"/>
      <c r="S120" s="25"/>
      <c r="T120" s="6"/>
      <c r="U120" s="7"/>
      <c r="V120" s="7"/>
      <c r="W120" s="7"/>
      <c r="X120" s="28" t="s">
        <v>139</v>
      </c>
      <c r="Y120" s="126" t="n">
        <v>7.3</v>
      </c>
      <c r="Z120" s="126" t="n">
        <v>14</v>
      </c>
      <c r="AA120" s="126" t="n">
        <v>25</v>
      </c>
      <c r="AB120" s="126" t="n">
        <v>40.5</v>
      </c>
      <c r="AC120" s="126" t="n">
        <v>19.5</v>
      </c>
      <c r="AD120" s="119" t="s">
        <v>140</v>
      </c>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row>
    <row r="121" customFormat="false" ht="15" hidden="false" customHeight="false" outlineLevel="0" collapsed="false">
      <c r="A121" s="84"/>
      <c r="B121" s="84"/>
      <c r="C121" s="84"/>
      <c r="D121" s="28" t="s">
        <v>141</v>
      </c>
      <c r="E121" s="127" t="n">
        <v>15</v>
      </c>
      <c r="F121" s="127" t="n">
        <v>15</v>
      </c>
      <c r="G121" s="119" t="s">
        <v>140</v>
      </c>
      <c r="H121" s="27"/>
      <c r="I121" s="100" t="n">
        <v>5</v>
      </c>
      <c r="J121" s="24"/>
      <c r="K121" s="84"/>
      <c r="L121" s="84"/>
      <c r="M121" s="28" t="s">
        <v>141</v>
      </c>
      <c r="N121" s="124" t="e">
        <f aca="true">INDIRECT("MOSFET_Selection["&amp;$N$115&amp;"]") OFFSET(INDIRECT("MOSFET_Selection[[#Headers], ["&amp;$N$115&amp;"]]"),$I121,)</f>
        <v>#REF!</v>
      </c>
      <c r="O121" s="124" t="e">
        <f aca="true">INDIRECT("MOSFET_Selection["&amp;$N$115&amp;"]") OFFSET(INDIRECT("MOSFET_Selection[[#Headers], ["&amp;$N$115&amp;"]]"),$I121,)</f>
        <v>#REF!</v>
      </c>
      <c r="P121" s="119" t="s">
        <v>140</v>
      </c>
      <c r="Q121" s="24"/>
      <c r="R121" s="24"/>
      <c r="S121" s="25"/>
      <c r="T121" s="6"/>
      <c r="U121" s="7"/>
      <c r="V121" s="7"/>
      <c r="W121" s="7"/>
      <c r="X121" s="28" t="s">
        <v>141</v>
      </c>
      <c r="Y121" s="126" t="n">
        <v>15</v>
      </c>
      <c r="Z121" s="126"/>
      <c r="AA121" s="126" t="n">
        <v>51</v>
      </c>
      <c r="AB121" s="126" t="n">
        <v>90</v>
      </c>
      <c r="AC121" s="126" t="n">
        <v>43.5</v>
      </c>
      <c r="AD121" s="119" t="s">
        <v>140</v>
      </c>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row>
    <row r="122" customFormat="false" ht="15" hidden="false" customHeight="false" outlineLevel="0" collapsed="false">
      <c r="A122" s="84"/>
      <c r="B122" s="84"/>
      <c r="C122" s="84"/>
      <c r="D122" s="28" t="s">
        <v>142</v>
      </c>
      <c r="E122" s="127" t="n">
        <v>17</v>
      </c>
      <c r="F122" s="127" t="n">
        <v>17</v>
      </c>
      <c r="G122" s="119" t="s">
        <v>140</v>
      </c>
      <c r="H122" s="27"/>
      <c r="I122" s="100"/>
      <c r="J122" s="24"/>
      <c r="K122" s="84"/>
      <c r="L122" s="84"/>
      <c r="M122" s="28" t="s">
        <v>142</v>
      </c>
      <c r="N122" s="127"/>
      <c r="O122" s="127"/>
      <c r="P122" s="119" t="s">
        <v>140</v>
      </c>
      <c r="Q122" s="24"/>
      <c r="R122" s="24"/>
      <c r="S122" s="25"/>
      <c r="T122" s="6"/>
      <c r="U122" s="7"/>
      <c r="V122" s="7"/>
      <c r="W122" s="7"/>
      <c r="X122" s="28" t="s">
        <v>142</v>
      </c>
      <c r="Y122" s="126"/>
      <c r="Z122" s="126"/>
      <c r="AA122" s="126"/>
      <c r="AB122" s="126"/>
      <c r="AC122" s="126"/>
      <c r="AD122" s="119" t="s">
        <v>140</v>
      </c>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row>
    <row r="123" customFormat="false" ht="15" hidden="false" customHeight="false" outlineLevel="0" collapsed="false">
      <c r="A123" s="84"/>
      <c r="B123" s="84"/>
      <c r="C123" s="84"/>
      <c r="D123" s="28" t="s">
        <v>143</v>
      </c>
      <c r="E123" s="127" t="n">
        <v>2.9</v>
      </c>
      <c r="F123" s="127" t="n">
        <v>2.9</v>
      </c>
      <c r="G123" s="119" t="s">
        <v>140</v>
      </c>
      <c r="H123" s="27"/>
      <c r="I123" s="100" t="n">
        <v>7</v>
      </c>
      <c r="J123" s="24"/>
      <c r="K123" s="84"/>
      <c r="L123" s="84"/>
      <c r="M123" s="28" t="s">
        <v>143</v>
      </c>
      <c r="N123" s="124" t="e">
        <f aca="true">INDIRECT("MOSFET_Selection["&amp;$N$115&amp;"]") OFFSET(INDIRECT("MOSFET_Selection[[#Headers], ["&amp;$N$115&amp;"]]"),$I123,)</f>
        <v>#REF!</v>
      </c>
      <c r="O123" s="124" t="e">
        <f aca="true">INDIRECT("MOSFET_Selection["&amp;$N$115&amp;"]") OFFSET(INDIRECT("MOSFET_Selection[[#Headers], ["&amp;$N$115&amp;"]]"),$I123,)</f>
        <v>#REF!</v>
      </c>
      <c r="P123" s="119" t="s">
        <v>140</v>
      </c>
      <c r="Q123" s="24"/>
      <c r="R123" s="24"/>
      <c r="S123" s="25"/>
      <c r="T123" s="6"/>
      <c r="U123" s="7"/>
      <c r="V123" s="7"/>
      <c r="W123" s="7"/>
      <c r="X123" s="28" t="s">
        <v>143</v>
      </c>
      <c r="Y123" s="126" t="n">
        <v>2.9</v>
      </c>
      <c r="Z123" s="126" t="n">
        <v>2.5</v>
      </c>
      <c r="AA123" s="126" t="n">
        <v>8.5</v>
      </c>
      <c r="AB123" s="126" t="n">
        <v>8.8</v>
      </c>
      <c r="AC123" s="126" t="n">
        <v>4</v>
      </c>
      <c r="AD123" s="119" t="s">
        <v>140</v>
      </c>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row>
    <row r="124" customFormat="false" ht="15" hidden="false" customHeight="false" outlineLevel="0" collapsed="false">
      <c r="A124" s="84"/>
      <c r="B124" s="84"/>
      <c r="C124" s="84"/>
      <c r="D124" s="28" t="s">
        <v>144</v>
      </c>
      <c r="E124" s="127" t="n">
        <v>3.3</v>
      </c>
      <c r="F124" s="127" t="n">
        <v>3.3</v>
      </c>
      <c r="G124" s="119" t="s">
        <v>140</v>
      </c>
      <c r="H124" s="27"/>
      <c r="I124" s="100" t="n">
        <v>8</v>
      </c>
      <c r="J124" s="24"/>
      <c r="K124" s="84"/>
      <c r="L124" s="84"/>
      <c r="M124" s="28" t="s">
        <v>144</v>
      </c>
      <c r="N124" s="124" t="e">
        <f aca="true">INDIRECT("MOSFET_Selection["&amp;$N$115&amp;"]") OFFSET(INDIRECT("MOSFET_Selection[[#Headers], ["&amp;$N$115&amp;"]]"),$I124,)</f>
        <v>#REF!</v>
      </c>
      <c r="O124" s="124" t="e">
        <f aca="true">INDIRECT("MOSFET_Selection["&amp;$N$115&amp;"]") OFFSET(INDIRECT("MOSFET_Selection[[#Headers], ["&amp;$N$115&amp;"]]"),$I124,)</f>
        <v>#REF!</v>
      </c>
      <c r="P124" s="119" t="s">
        <v>140</v>
      </c>
      <c r="Q124" s="24"/>
      <c r="R124" s="24"/>
      <c r="S124" s="25"/>
      <c r="T124" s="6"/>
      <c r="U124" s="7"/>
      <c r="V124" s="7"/>
      <c r="W124" s="7"/>
      <c r="X124" s="28" t="s">
        <v>144</v>
      </c>
      <c r="Y124" s="126" t="n">
        <v>3.3</v>
      </c>
      <c r="Z124" s="126" t="n">
        <v>4</v>
      </c>
      <c r="AA124" s="126" t="n">
        <v>10</v>
      </c>
      <c r="AB124" s="126" t="n">
        <v>20</v>
      </c>
      <c r="AC124" s="126" t="n">
        <v>9.4</v>
      </c>
      <c r="AD124" s="119" t="s">
        <v>140</v>
      </c>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row>
    <row r="125" customFormat="false" ht="15" hidden="false" customHeight="false" outlineLevel="0" collapsed="false">
      <c r="A125" s="84"/>
      <c r="B125" s="84"/>
      <c r="C125" s="84"/>
      <c r="D125" s="28" t="s">
        <v>145</v>
      </c>
      <c r="E125" s="127" t="n">
        <v>36</v>
      </c>
      <c r="F125" s="127" t="n">
        <v>36</v>
      </c>
      <c r="G125" s="119" t="s">
        <v>140</v>
      </c>
      <c r="H125" s="27"/>
      <c r="I125" s="100" t="n">
        <v>9</v>
      </c>
      <c r="J125" s="24"/>
      <c r="K125" s="84"/>
      <c r="L125" s="84"/>
      <c r="M125" s="28" t="s">
        <v>146</v>
      </c>
      <c r="N125" s="124" t="e">
        <f aca="true">INDIRECT("MOSFET_Selection["&amp;$N$115&amp;"]") OFFSET(INDIRECT("MOSFET_Selection[[#Headers], ["&amp;$N$115&amp;"]]"),$I125,)</f>
        <v>#REF!</v>
      </c>
      <c r="O125" s="124" t="e">
        <f aca="true">INDIRECT("MOSFET_Selection["&amp;$N$115&amp;"]") OFFSET(INDIRECT("MOSFET_Selection[[#Headers], ["&amp;$N$115&amp;"]]"),$I125,)</f>
        <v>#REF!</v>
      </c>
      <c r="P125" s="119" t="s">
        <v>140</v>
      </c>
      <c r="Q125" s="24"/>
      <c r="R125" s="24"/>
      <c r="S125" s="25"/>
      <c r="T125" s="6"/>
      <c r="U125" s="7"/>
      <c r="V125" s="7"/>
      <c r="W125" s="7"/>
      <c r="X125" s="28" t="s">
        <v>146</v>
      </c>
      <c r="Y125" s="126" t="n">
        <v>36</v>
      </c>
      <c r="Z125" s="126" t="n">
        <v>36</v>
      </c>
      <c r="AA125" s="126" t="n">
        <v>46</v>
      </c>
      <c r="AB125" s="126" t="n">
        <v>73</v>
      </c>
      <c r="AC125" s="126" t="n">
        <v>35.4</v>
      </c>
      <c r="AD125" s="119" t="s">
        <v>140</v>
      </c>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row>
    <row r="126" customFormat="false" ht="15" hidden="false" customHeight="false" outlineLevel="0" collapsed="false">
      <c r="A126" s="84"/>
      <c r="B126" s="84"/>
      <c r="C126" s="84"/>
      <c r="D126" s="28" t="s">
        <v>147</v>
      </c>
      <c r="E126" s="127" t="n">
        <v>1.5</v>
      </c>
      <c r="F126" s="127" t="n">
        <v>1.5</v>
      </c>
      <c r="G126" s="128" t="s">
        <v>148</v>
      </c>
      <c r="H126" s="27"/>
      <c r="I126" s="100" t="n">
        <v>10</v>
      </c>
      <c r="J126" s="24"/>
      <c r="K126" s="84"/>
      <c r="L126" s="84"/>
      <c r="M126" s="28" t="s">
        <v>147</v>
      </c>
      <c r="N126" s="124" t="e">
        <f aca="true">INDIRECT("MOSFET_Selection["&amp;$N$115&amp;"]") OFFSET(INDIRECT("MOSFET_Selection[[#Headers], ["&amp;$N$115&amp;"]]"),$I126,)</f>
        <v>#REF!</v>
      </c>
      <c r="O126" s="124" t="e">
        <f aca="true">INDIRECT("MOSFET_Selection["&amp;$N$115&amp;"]") OFFSET(INDIRECT("MOSFET_Selection[[#Headers], ["&amp;$N$115&amp;"]]"),$I126,)</f>
        <v>#REF!</v>
      </c>
      <c r="P126" s="128" t="s">
        <v>148</v>
      </c>
      <c r="Q126" s="24"/>
      <c r="R126" s="24"/>
      <c r="S126" s="25"/>
      <c r="T126" s="6"/>
      <c r="U126" s="7"/>
      <c r="V126" s="7"/>
      <c r="W126" s="7"/>
      <c r="X126" s="28" t="s">
        <v>147</v>
      </c>
      <c r="Y126" s="126" t="n">
        <v>1.5</v>
      </c>
      <c r="Z126" s="126" t="n">
        <v>1.5</v>
      </c>
      <c r="AA126" s="126" t="n">
        <v>1.1</v>
      </c>
      <c r="AB126" s="126" t="n">
        <v>0.95</v>
      </c>
      <c r="AC126" s="126" t="n">
        <v>0.8</v>
      </c>
      <c r="AD126" s="128" t="s">
        <v>148</v>
      </c>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row>
    <row r="127" customFormat="false" ht="15" hidden="false" customHeight="false" outlineLevel="0" collapsed="false">
      <c r="A127" s="84"/>
      <c r="B127" s="84"/>
      <c r="C127" s="84"/>
      <c r="D127" s="28" t="s">
        <v>149</v>
      </c>
      <c r="E127" s="127" t="n">
        <v>60</v>
      </c>
      <c r="F127" s="127" t="n">
        <v>60</v>
      </c>
      <c r="G127" s="119" t="s">
        <v>150</v>
      </c>
      <c r="H127" s="27"/>
      <c r="I127" s="100" t="n">
        <v>11</v>
      </c>
      <c r="J127" s="24"/>
      <c r="K127" s="84"/>
      <c r="L127" s="84"/>
      <c r="M127" s="28" t="s">
        <v>149</v>
      </c>
      <c r="N127" s="124" t="e">
        <f aca="true">INDIRECT("MOSFET_Selection["&amp;$N$115&amp;"]") OFFSET(INDIRECT("MOSFET_Selection[[#Headers], ["&amp;$N$115&amp;"]]"),$I127,)</f>
        <v>#REF!</v>
      </c>
      <c r="O127" s="124" t="e">
        <f aca="true">INDIRECT("MOSFET_Selection["&amp;$N$115&amp;"]") OFFSET(INDIRECT("MOSFET_Selection[[#Headers], ["&amp;$N$115&amp;"]]"),$I127,)</f>
        <v>#REF!</v>
      </c>
      <c r="P127" s="119" t="s">
        <v>150</v>
      </c>
      <c r="Q127" s="24"/>
      <c r="R127" s="24"/>
      <c r="S127" s="25"/>
      <c r="T127" s="6"/>
      <c r="U127" s="7"/>
      <c r="V127" s="7"/>
      <c r="W127" s="7"/>
      <c r="X127" s="28" t="s">
        <v>149</v>
      </c>
      <c r="Y127" s="126" t="n">
        <v>60</v>
      </c>
      <c r="Z127" s="126" t="n">
        <v>150</v>
      </c>
      <c r="AA127" s="126" t="n">
        <v>100</v>
      </c>
      <c r="AB127" s="126" t="n">
        <v>130</v>
      </c>
      <c r="AC127" s="126" t="n">
        <v>49</v>
      </c>
      <c r="AD127" s="119" t="s">
        <v>150</v>
      </c>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row>
    <row r="128" customFormat="false" ht="15" hidden="false" customHeight="false" outlineLevel="0" collapsed="false">
      <c r="A128" s="84"/>
      <c r="B128" s="84"/>
      <c r="C128" s="84"/>
      <c r="D128" s="28" t="s">
        <v>151</v>
      </c>
      <c r="E128" s="127" t="n">
        <v>4</v>
      </c>
      <c r="F128" s="127" t="n">
        <v>4</v>
      </c>
      <c r="G128" s="119" t="s">
        <v>7</v>
      </c>
      <c r="H128" s="27"/>
      <c r="I128" s="100" t="n">
        <v>12</v>
      </c>
      <c r="J128" s="24"/>
      <c r="K128" s="84"/>
      <c r="L128" s="84"/>
      <c r="M128" s="28" t="s">
        <v>151</v>
      </c>
      <c r="N128" s="124" t="e">
        <f aca="true">INDIRECT("MOSFET_Selection["&amp;$N$115&amp;"]") OFFSET(INDIRECT("MOSFET_Selection[[#Headers], ["&amp;$N$115&amp;"]]"),$I128,)</f>
        <v>#REF!</v>
      </c>
      <c r="O128" s="124" t="e">
        <f aca="true">INDIRECT("MOSFET_Selection["&amp;$N$115&amp;"]") OFFSET(INDIRECT("MOSFET_Selection[[#Headers], ["&amp;$N$115&amp;"]]"),$I128,)</f>
        <v>#REF!</v>
      </c>
      <c r="P128" s="119" t="s">
        <v>7</v>
      </c>
      <c r="Q128" s="24"/>
      <c r="R128" s="24"/>
      <c r="S128" s="25"/>
      <c r="T128" s="6"/>
      <c r="U128" s="7"/>
      <c r="V128" s="7"/>
      <c r="W128" s="7"/>
      <c r="X128" s="28" t="s">
        <v>151</v>
      </c>
      <c r="Y128" s="126" t="n">
        <v>2</v>
      </c>
      <c r="Z128" s="126" t="n">
        <v>1.1</v>
      </c>
      <c r="AA128" s="126" t="n">
        <v>1.8</v>
      </c>
      <c r="AB128" s="126" t="n">
        <v>1.75</v>
      </c>
      <c r="AC128" s="126" t="n">
        <v>1.7</v>
      </c>
      <c r="AD128" s="119" t="s">
        <v>7</v>
      </c>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row>
    <row r="129" customFormat="false" ht="15" hidden="false" customHeight="false" outlineLevel="0" collapsed="false">
      <c r="A129" s="84"/>
      <c r="B129" s="84"/>
      <c r="C129" s="84"/>
      <c r="D129" s="28" t="s">
        <v>152</v>
      </c>
      <c r="E129" s="127" t="n">
        <v>0.8</v>
      </c>
      <c r="F129" s="127" t="n">
        <v>0.8</v>
      </c>
      <c r="G129" s="119" t="s">
        <v>7</v>
      </c>
      <c r="H129" s="27"/>
      <c r="I129" s="100" t="n">
        <v>13</v>
      </c>
      <c r="J129" s="24"/>
      <c r="K129" s="84"/>
      <c r="L129" s="84"/>
      <c r="M129" s="28" t="s">
        <v>152</v>
      </c>
      <c r="N129" s="124" t="e">
        <f aca="true">INDIRECT("MOSFET_Selection["&amp;$N$115&amp;"]") OFFSET(INDIRECT("MOSFET_Selection[[#Headers], ["&amp;$N$115&amp;"]]"),$I129,)</f>
        <v>#REF!</v>
      </c>
      <c r="O129" s="124" t="e">
        <f aca="true">INDIRECT("MOSFET_Selection["&amp;$N$115&amp;"]") OFFSET(INDIRECT("MOSFET_Selection[[#Headers], ["&amp;$N$115&amp;"]]"),$I129,)</f>
        <v>#REF!</v>
      </c>
      <c r="P129" s="119" t="s">
        <v>7</v>
      </c>
      <c r="Q129" s="24"/>
      <c r="R129" s="24"/>
      <c r="S129" s="25"/>
      <c r="T129" s="6"/>
      <c r="U129" s="7"/>
      <c r="V129" s="7"/>
      <c r="W129" s="7"/>
      <c r="X129" s="28" t="s">
        <v>152</v>
      </c>
      <c r="Y129" s="126" t="n">
        <v>0.8</v>
      </c>
      <c r="Z129" s="126" t="n">
        <v>0.8</v>
      </c>
      <c r="AA129" s="126" t="n">
        <v>0.69</v>
      </c>
      <c r="AB129" s="126" t="n">
        <v>0.72</v>
      </c>
      <c r="AC129" s="126" t="n">
        <v>0.74</v>
      </c>
      <c r="AD129" s="119" t="s">
        <v>7</v>
      </c>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row>
    <row r="130" customFormat="false" ht="15" hidden="false" customHeight="false" outlineLevel="0" collapsed="false">
      <c r="A130" s="84"/>
      <c r="B130" s="84"/>
      <c r="C130" s="84"/>
      <c r="D130" s="28" t="s">
        <v>153</v>
      </c>
      <c r="E130" s="84"/>
      <c r="F130" s="127" t="n">
        <v>63</v>
      </c>
      <c r="G130" s="119" t="s">
        <v>140</v>
      </c>
      <c r="H130" s="27"/>
      <c r="I130" s="100" t="n">
        <v>14</v>
      </c>
      <c r="J130" s="24"/>
      <c r="K130" s="84"/>
      <c r="L130" s="84"/>
      <c r="M130" s="28" t="s">
        <v>153</v>
      </c>
      <c r="N130" s="84"/>
      <c r="O130" s="124" t="e">
        <f aca="true">INDIRECT("MOSFET_Selection["&amp;$N$115&amp;"]") OFFSET(INDIRECT("MOSFET_Selection[[#Headers], ["&amp;$N$115&amp;"]]"),$I130,)</f>
        <v>#REF!</v>
      </c>
      <c r="P130" s="119" t="s">
        <v>140</v>
      </c>
      <c r="Q130" s="24"/>
      <c r="R130" s="24"/>
      <c r="S130" s="25"/>
      <c r="T130" s="6"/>
      <c r="U130" s="7"/>
      <c r="V130" s="7"/>
      <c r="W130" s="7"/>
      <c r="X130" s="28" t="s">
        <v>153</v>
      </c>
      <c r="Y130" s="126" t="n">
        <v>63</v>
      </c>
      <c r="Z130" s="126" t="n">
        <v>33</v>
      </c>
      <c r="AA130" s="126" t="n">
        <v>73</v>
      </c>
      <c r="AB130" s="126" t="n">
        <v>77</v>
      </c>
      <c r="AC130" s="126" t="n">
        <v>52</v>
      </c>
      <c r="AD130" s="119" t="s">
        <v>140</v>
      </c>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row>
    <row r="131" customFormat="false" ht="15" hidden="false" customHeight="false" outlineLevel="0" collapsed="false">
      <c r="A131" s="97"/>
      <c r="B131" s="97"/>
      <c r="C131" s="97"/>
      <c r="D131" s="35" t="s">
        <v>154</v>
      </c>
      <c r="E131" s="129" t="n">
        <v>50</v>
      </c>
      <c r="F131" s="129" t="n">
        <v>50</v>
      </c>
      <c r="G131" s="130" t="s">
        <v>155</v>
      </c>
      <c r="H131" s="27"/>
      <c r="I131" s="96" t="n">
        <v>15</v>
      </c>
      <c r="J131" s="131"/>
      <c r="K131" s="97"/>
      <c r="L131" s="97"/>
      <c r="M131" s="35" t="s">
        <v>154</v>
      </c>
      <c r="N131" s="132" t="e">
        <f aca="true">INDIRECT("MOSFET_Selection["&amp;$N$115&amp;"]") OFFSET(INDIRECT("MOSFET_Selection[[#Headers], ["&amp;$N$115&amp;"]]"),$I131,)</f>
        <v>#REF!</v>
      </c>
      <c r="O131" s="132" t="e">
        <f aca="true">INDIRECT("MOSFET_Selection["&amp;$N$115&amp;"]") OFFSET(INDIRECT("MOSFET_Selection[[#Headers], ["&amp;$N$115&amp;"]]"),$I131,)</f>
        <v>#REF!</v>
      </c>
      <c r="P131" s="130" t="s">
        <v>155</v>
      </c>
      <c r="Q131" s="24"/>
      <c r="R131" s="24"/>
      <c r="S131" s="25"/>
      <c r="T131" s="6"/>
      <c r="U131" s="7"/>
      <c r="V131" s="7"/>
      <c r="W131" s="7"/>
      <c r="X131" s="28" t="s">
        <v>154</v>
      </c>
      <c r="Y131" s="126" t="n">
        <v>50</v>
      </c>
      <c r="Z131" s="133" t="n">
        <v>50</v>
      </c>
      <c r="AA131" s="126" t="n">
        <v>50</v>
      </c>
      <c r="AB131" s="126" t="n">
        <v>15</v>
      </c>
      <c r="AC131" s="126" t="n">
        <v>25</v>
      </c>
      <c r="AD131" s="130" t="s">
        <v>155</v>
      </c>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row>
    <row r="132" customFormat="false" ht="15" hidden="false" customHeight="false" outlineLevel="0" collapsed="false">
      <c r="A132" s="84"/>
      <c r="B132" s="84"/>
      <c r="C132" s="84"/>
      <c r="D132" s="41"/>
      <c r="E132" s="84"/>
      <c r="F132" s="84"/>
      <c r="G132" s="84"/>
      <c r="H132" s="27"/>
      <c r="I132" s="84"/>
      <c r="J132" s="24"/>
      <c r="K132" s="84"/>
      <c r="L132" s="84"/>
      <c r="M132" s="41"/>
      <c r="N132" s="84"/>
      <c r="O132" s="84"/>
      <c r="P132" s="84"/>
      <c r="Q132" s="24"/>
      <c r="R132" s="24"/>
      <c r="S132" s="25"/>
      <c r="T132" s="6"/>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row>
    <row r="133" customFormat="false" ht="15" hidden="false" customHeight="false" outlineLevel="0" collapsed="false">
      <c r="A133" s="86"/>
      <c r="B133" s="114"/>
      <c r="C133" s="86"/>
      <c r="D133" s="115" t="s">
        <v>156</v>
      </c>
      <c r="E133" s="116"/>
      <c r="F133" s="86"/>
      <c r="G133" s="117"/>
      <c r="H133" s="27"/>
      <c r="I133" s="102"/>
      <c r="J133" s="16"/>
      <c r="K133" s="114"/>
      <c r="L133" s="86"/>
      <c r="M133" s="115" t="s">
        <v>156</v>
      </c>
      <c r="N133" s="118" t="s">
        <v>123</v>
      </c>
      <c r="O133" s="86"/>
      <c r="P133" s="117"/>
      <c r="Q133" s="24"/>
      <c r="R133" s="24"/>
      <c r="S133" s="25"/>
      <c r="T133" s="6"/>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row>
    <row r="134" customFormat="false" ht="15" hidden="false" customHeight="false" outlineLevel="0" collapsed="false">
      <c r="A134" s="84"/>
      <c r="B134" s="84"/>
      <c r="C134" s="84"/>
      <c r="D134" s="41"/>
      <c r="E134" s="84" t="s">
        <v>125</v>
      </c>
      <c r="F134" s="84" t="s">
        <v>126</v>
      </c>
      <c r="G134" s="119"/>
      <c r="H134" s="27"/>
      <c r="I134" s="100"/>
      <c r="J134" s="24"/>
      <c r="K134" s="84"/>
      <c r="L134" s="84"/>
      <c r="M134" s="41"/>
      <c r="N134" s="84" t="s">
        <v>125</v>
      </c>
      <c r="O134" s="84" t="s">
        <v>126</v>
      </c>
      <c r="P134" s="119"/>
      <c r="Q134" s="24"/>
      <c r="R134" s="24"/>
      <c r="S134" s="25"/>
      <c r="T134" s="6"/>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row>
    <row r="135" customFormat="false" ht="15" hidden="false" customHeight="false" outlineLevel="0" collapsed="false">
      <c r="A135" s="84"/>
      <c r="B135" s="84"/>
      <c r="C135" s="84"/>
      <c r="D135" s="28" t="s">
        <v>135</v>
      </c>
      <c r="E135" s="127" t="n">
        <v>2.1</v>
      </c>
      <c r="F135" s="127" t="n">
        <v>2.1</v>
      </c>
      <c r="G135" s="119" t="s">
        <v>136</v>
      </c>
      <c r="H135" s="27"/>
      <c r="I135" s="100" t="n">
        <v>1</v>
      </c>
      <c r="J135" s="24"/>
      <c r="K135" s="84"/>
      <c r="L135" s="84"/>
      <c r="M135" s="28" t="s">
        <v>135</v>
      </c>
      <c r="N135" s="124" t="e">
        <f aca="true">INDIRECT("MOSFET_Selection["&amp;$N$133&amp;"]") OFFSET(INDIRECT("MOSFET_Selection[[#Headers], ["&amp;$N$133&amp;"]]"),$I135,)</f>
        <v>#REF!</v>
      </c>
      <c r="O135" s="124" t="e">
        <f aca="true">INDIRECT("MOSFET_Selection["&amp;$N$133&amp;"]") OFFSET(INDIRECT("MOSFET_Selection[[#Headers], ["&amp;$N$133&amp;"]]"),$I135,)</f>
        <v>#REF!</v>
      </c>
      <c r="P135" s="119" t="s">
        <v>136</v>
      </c>
      <c r="Q135" s="24"/>
      <c r="R135" s="24"/>
      <c r="S135" s="25"/>
      <c r="T135" s="6"/>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row>
    <row r="136" customFormat="false" ht="15" hidden="false" customHeight="false" outlineLevel="0" collapsed="false">
      <c r="A136" s="84"/>
      <c r="B136" s="84"/>
      <c r="C136" s="84"/>
      <c r="D136" s="28" t="s">
        <v>137</v>
      </c>
      <c r="E136" s="127" t="n">
        <v>1.9</v>
      </c>
      <c r="F136" s="127" t="n">
        <v>1.9</v>
      </c>
      <c r="G136" s="119"/>
      <c r="H136" s="27"/>
      <c r="I136" s="100" t="n">
        <v>2</v>
      </c>
      <c r="J136" s="24"/>
      <c r="K136" s="84"/>
      <c r="L136" s="84"/>
      <c r="M136" s="28" t="s">
        <v>137</v>
      </c>
      <c r="N136" s="124" t="e">
        <f aca="true">INDIRECT("MOSFET_Selection["&amp;$N$133&amp;"]") OFFSET(INDIRECT("MOSFET_Selection[[#Headers], ["&amp;$N$133&amp;"]]"),$I136,)</f>
        <v>#REF!</v>
      </c>
      <c r="O136" s="124" t="e">
        <f aca="true">INDIRECT("MOSFET_Selection["&amp;$N$133&amp;"]") OFFSET(INDIRECT("MOSFET_Selection[[#Headers], ["&amp;$N$133&amp;"]]"),$I136,)</f>
        <v>#REF!</v>
      </c>
      <c r="P136" s="119"/>
      <c r="Q136" s="24"/>
      <c r="R136" s="24"/>
      <c r="S136" s="25"/>
      <c r="T136" s="6"/>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row>
    <row r="137" customFormat="false" ht="15" hidden="false" customHeight="false" outlineLevel="0" collapsed="false">
      <c r="A137" s="84"/>
      <c r="B137" s="84"/>
      <c r="C137" s="84"/>
      <c r="D137" s="28" t="s">
        <v>138</v>
      </c>
      <c r="E137" s="127" t="n">
        <v>1.7</v>
      </c>
      <c r="F137" s="127" t="n">
        <v>1.7</v>
      </c>
      <c r="G137" s="119"/>
      <c r="H137" s="27"/>
      <c r="I137" s="100"/>
      <c r="J137" s="24"/>
      <c r="K137" s="84"/>
      <c r="L137" s="84"/>
      <c r="M137" s="28" t="s">
        <v>138</v>
      </c>
      <c r="N137" s="127"/>
      <c r="O137" s="127"/>
      <c r="P137" s="119"/>
      <c r="Q137" s="24"/>
      <c r="R137" s="24"/>
      <c r="S137" s="25"/>
      <c r="T137" s="6"/>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row>
    <row r="138" customFormat="false" ht="15" hidden="false" customHeight="false" outlineLevel="0" collapsed="false">
      <c r="A138" s="84"/>
      <c r="B138" s="84"/>
      <c r="C138" s="84"/>
      <c r="D138" s="28" t="s">
        <v>139</v>
      </c>
      <c r="E138" s="127" t="n">
        <v>22</v>
      </c>
      <c r="F138" s="127" t="n">
        <v>22</v>
      </c>
      <c r="G138" s="119" t="s">
        <v>140</v>
      </c>
      <c r="H138" s="27"/>
      <c r="I138" s="100" t="n">
        <v>4</v>
      </c>
      <c r="J138" s="24"/>
      <c r="K138" s="84"/>
      <c r="L138" s="84"/>
      <c r="M138" s="28" t="s">
        <v>139</v>
      </c>
      <c r="N138" s="124" t="e">
        <f aca="true">INDIRECT("MOSFET_Selection["&amp;$N$133&amp;"]") OFFSET(INDIRECT("MOSFET_Selection[[#Headers], ["&amp;$N$133&amp;"]]"),$I138,)</f>
        <v>#REF!</v>
      </c>
      <c r="O138" s="124" t="e">
        <f aca="true">INDIRECT("MOSFET_Selection["&amp;$N$133&amp;"]") OFFSET(INDIRECT("MOSFET_Selection[[#Headers], ["&amp;$N$133&amp;"]]"),$I138,)</f>
        <v>#REF!</v>
      </c>
      <c r="P138" s="119" t="s">
        <v>140</v>
      </c>
      <c r="Q138" s="24"/>
      <c r="R138" s="24"/>
      <c r="S138" s="25"/>
      <c r="T138" s="6"/>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row>
    <row r="139" customFormat="false" ht="15" hidden="false" customHeight="false" outlineLevel="0" collapsed="false">
      <c r="A139" s="84"/>
      <c r="B139" s="84"/>
      <c r="C139" s="84"/>
      <c r="D139" s="28" t="s">
        <v>141</v>
      </c>
      <c r="E139" s="127" t="n">
        <v>25</v>
      </c>
      <c r="F139" s="127" t="n">
        <v>25</v>
      </c>
      <c r="G139" s="119"/>
      <c r="H139" s="27"/>
      <c r="I139" s="100" t="n">
        <v>5</v>
      </c>
      <c r="J139" s="24"/>
      <c r="K139" s="84"/>
      <c r="L139" s="84"/>
      <c r="M139" s="28" t="s">
        <v>141</v>
      </c>
      <c r="N139" s="124" t="e">
        <f aca="true">INDIRECT("MOSFET_Selection["&amp;$N$133&amp;"]") OFFSET(INDIRECT("MOSFET_Selection[[#Headers], ["&amp;$N$133&amp;"]]"),$I139,)</f>
        <v>#REF!</v>
      </c>
      <c r="O139" s="124" t="e">
        <f aca="true">INDIRECT("MOSFET_Selection["&amp;$N$133&amp;"]") OFFSET(INDIRECT("MOSFET_Selection[[#Headers], ["&amp;$N$133&amp;"]]"),$I139,)</f>
        <v>#REF!</v>
      </c>
      <c r="P139" s="119"/>
      <c r="Q139" s="24"/>
      <c r="R139" s="24"/>
      <c r="S139" s="25"/>
      <c r="T139" s="6"/>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row>
    <row r="140" customFormat="false" ht="15" hidden="false" customHeight="false" outlineLevel="0" collapsed="false">
      <c r="A140" s="84"/>
      <c r="B140" s="84"/>
      <c r="C140" s="84"/>
      <c r="D140" s="28" t="s">
        <v>142</v>
      </c>
      <c r="E140" s="127" t="n">
        <v>30</v>
      </c>
      <c r="F140" s="127" t="n">
        <v>30</v>
      </c>
      <c r="G140" s="119"/>
      <c r="H140" s="27"/>
      <c r="I140" s="100"/>
      <c r="J140" s="24"/>
      <c r="K140" s="84"/>
      <c r="L140" s="84"/>
      <c r="M140" s="28" t="s">
        <v>142</v>
      </c>
      <c r="N140" s="127"/>
      <c r="O140" s="127"/>
      <c r="P140" s="119"/>
      <c r="Q140" s="24"/>
      <c r="R140" s="24"/>
      <c r="S140" s="25"/>
      <c r="T140" s="6"/>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row>
    <row r="141" customFormat="false" ht="15" hidden="false" customHeight="false" outlineLevel="0" collapsed="false">
      <c r="A141" s="84"/>
      <c r="B141" s="84"/>
      <c r="C141" s="84"/>
      <c r="D141" s="28" t="s">
        <v>143</v>
      </c>
      <c r="E141" s="127" t="n">
        <v>2.5</v>
      </c>
      <c r="F141" s="127" t="n">
        <v>2.5</v>
      </c>
      <c r="G141" s="119" t="s">
        <v>140</v>
      </c>
      <c r="H141" s="27"/>
      <c r="I141" s="100" t="n">
        <v>7</v>
      </c>
      <c r="J141" s="24"/>
      <c r="K141" s="84"/>
      <c r="L141" s="84"/>
      <c r="M141" s="28" t="s">
        <v>143</v>
      </c>
      <c r="N141" s="124" t="e">
        <f aca="true">INDIRECT("MOSFET_Selection["&amp;$N$133&amp;"]") OFFSET(INDIRECT("MOSFET_Selection[[#Headers], ["&amp;$N$133&amp;"]]"),$I141,)</f>
        <v>#REF!</v>
      </c>
      <c r="O141" s="124" t="e">
        <f aca="true">INDIRECT("MOSFET_Selection["&amp;$N$133&amp;"]") OFFSET(INDIRECT("MOSFET_Selection[[#Headers], ["&amp;$N$133&amp;"]]"),$I141,)</f>
        <v>#REF!</v>
      </c>
      <c r="P141" s="119" t="s">
        <v>140</v>
      </c>
      <c r="Q141" s="24"/>
      <c r="R141" s="24"/>
      <c r="S141" s="25"/>
      <c r="T141" s="6"/>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row>
    <row r="142" customFormat="false" ht="15" hidden="false" customHeight="false" outlineLevel="0" collapsed="false">
      <c r="A142" s="84"/>
      <c r="B142" s="84"/>
      <c r="C142" s="84"/>
      <c r="D142" s="28" t="s">
        <v>144</v>
      </c>
      <c r="E142" s="127" t="n">
        <v>4</v>
      </c>
      <c r="F142" s="127" t="n">
        <v>4</v>
      </c>
      <c r="G142" s="119" t="s">
        <v>140</v>
      </c>
      <c r="H142" s="27"/>
      <c r="I142" s="100" t="n">
        <v>8</v>
      </c>
      <c r="J142" s="24"/>
      <c r="K142" s="84"/>
      <c r="L142" s="84"/>
      <c r="M142" s="28" t="s">
        <v>144</v>
      </c>
      <c r="N142" s="124" t="e">
        <f aca="true">INDIRECT("MOSFET_Selection["&amp;$N$133&amp;"]") OFFSET(INDIRECT("MOSFET_Selection[[#Headers], ["&amp;$N$133&amp;"]]"),$I142,)</f>
        <v>#REF!</v>
      </c>
      <c r="O142" s="124" t="e">
        <f aca="true">INDIRECT("MOSFET_Selection["&amp;$N$133&amp;"]") OFFSET(INDIRECT("MOSFET_Selection[[#Headers], ["&amp;$N$133&amp;"]]"),$I142,)</f>
        <v>#REF!</v>
      </c>
      <c r="P142" s="119" t="s">
        <v>140</v>
      </c>
      <c r="Q142" s="24"/>
      <c r="R142" s="24"/>
      <c r="S142" s="25"/>
      <c r="T142" s="6"/>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row>
    <row r="143" customFormat="false" ht="15" hidden="false" customHeight="false" outlineLevel="0" collapsed="false">
      <c r="A143" s="84"/>
      <c r="B143" s="84"/>
      <c r="C143" s="84"/>
      <c r="D143" s="28" t="s">
        <v>145</v>
      </c>
      <c r="E143" s="127" t="n">
        <v>36</v>
      </c>
      <c r="F143" s="127" t="n">
        <v>36</v>
      </c>
      <c r="G143" s="119" t="s">
        <v>140</v>
      </c>
      <c r="H143" s="27"/>
      <c r="I143" s="100" t="n">
        <v>9</v>
      </c>
      <c r="J143" s="24"/>
      <c r="K143" s="84"/>
      <c r="L143" s="84"/>
      <c r="M143" s="28" t="s">
        <v>146</v>
      </c>
      <c r="N143" s="124" t="e">
        <f aca="true">INDIRECT("MOSFET_Selection["&amp;$N$133&amp;"]") OFFSET(INDIRECT("MOSFET_Selection[[#Headers], ["&amp;$N$133&amp;"]]"),$I143,)</f>
        <v>#REF!</v>
      </c>
      <c r="O143" s="124" t="e">
        <f aca="true">INDIRECT("MOSFET_Selection["&amp;$N$133&amp;"]") OFFSET(INDIRECT("MOSFET_Selection[[#Headers], ["&amp;$N$133&amp;"]]"),$I143,)</f>
        <v>#REF!</v>
      </c>
      <c r="P143" s="119" t="s">
        <v>140</v>
      </c>
      <c r="Q143" s="24"/>
      <c r="R143" s="24"/>
      <c r="S143" s="25"/>
      <c r="T143" s="6"/>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row>
    <row r="144" customFormat="false" ht="15" hidden="false" customHeight="false" outlineLevel="0" collapsed="false">
      <c r="A144" s="84"/>
      <c r="B144" s="84"/>
      <c r="C144" s="84"/>
      <c r="D144" s="28" t="s">
        <v>147</v>
      </c>
      <c r="E144" s="127" t="n">
        <v>1.5</v>
      </c>
      <c r="F144" s="127" t="n">
        <v>1.5</v>
      </c>
      <c r="G144" s="128" t="s">
        <v>148</v>
      </c>
      <c r="H144" s="27"/>
      <c r="I144" s="100" t="n">
        <v>10</v>
      </c>
      <c r="J144" s="24"/>
      <c r="K144" s="84"/>
      <c r="L144" s="84"/>
      <c r="M144" s="28" t="s">
        <v>147</v>
      </c>
      <c r="N144" s="124" t="e">
        <f aca="true">INDIRECT("MOSFET_Selection["&amp;$N$133&amp;"]") OFFSET(INDIRECT("MOSFET_Selection[[#Headers], ["&amp;$N$133&amp;"]]"),$I144,)</f>
        <v>#REF!</v>
      </c>
      <c r="O144" s="124" t="e">
        <f aca="true">INDIRECT("MOSFET_Selection["&amp;$N$133&amp;"]") OFFSET(INDIRECT("MOSFET_Selection[[#Headers], ["&amp;$N$133&amp;"]]"),$I144,)</f>
        <v>#REF!</v>
      </c>
      <c r="P144" s="128" t="s">
        <v>148</v>
      </c>
      <c r="Q144" s="24"/>
      <c r="R144" s="24"/>
      <c r="S144" s="25"/>
      <c r="T144" s="6"/>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row>
    <row r="145" customFormat="false" ht="15" hidden="false" customHeight="false" outlineLevel="0" collapsed="false">
      <c r="A145" s="84"/>
      <c r="B145" s="84"/>
      <c r="C145" s="84"/>
      <c r="D145" s="28" t="s">
        <v>149</v>
      </c>
      <c r="E145" s="127" t="n">
        <v>150</v>
      </c>
      <c r="F145" s="127" t="n">
        <v>150</v>
      </c>
      <c r="G145" s="119" t="s">
        <v>150</v>
      </c>
      <c r="H145" s="27"/>
      <c r="I145" s="100" t="n">
        <v>11</v>
      </c>
      <c r="J145" s="24"/>
      <c r="K145" s="84"/>
      <c r="L145" s="84"/>
      <c r="M145" s="28" t="s">
        <v>149</v>
      </c>
      <c r="N145" s="124" t="e">
        <f aca="true">INDIRECT("MOSFET_Selection["&amp;$N$133&amp;"]") OFFSET(INDIRECT("MOSFET_Selection[[#Headers], ["&amp;$N$133&amp;"]]"),$I145,)</f>
        <v>#REF!</v>
      </c>
      <c r="O145" s="124" t="e">
        <f aca="true">INDIRECT("MOSFET_Selection["&amp;$N$133&amp;"]") OFFSET(INDIRECT("MOSFET_Selection[[#Headers], ["&amp;$N$133&amp;"]]"),$I145,)</f>
        <v>#REF!</v>
      </c>
      <c r="P145" s="119" t="s">
        <v>150</v>
      </c>
      <c r="Q145" s="24"/>
      <c r="R145" s="24"/>
      <c r="S145" s="25"/>
      <c r="T145" s="6"/>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row>
    <row r="146" customFormat="false" ht="15" hidden="false" customHeight="false" outlineLevel="0" collapsed="false">
      <c r="A146" s="84"/>
      <c r="B146" s="84"/>
      <c r="C146" s="84"/>
      <c r="D146" s="28" t="s">
        <v>151</v>
      </c>
      <c r="E146" s="127" t="n">
        <v>2</v>
      </c>
      <c r="F146" s="127" t="n">
        <v>2</v>
      </c>
      <c r="G146" s="119" t="s">
        <v>7</v>
      </c>
      <c r="H146" s="27"/>
      <c r="I146" s="100" t="n">
        <v>12</v>
      </c>
      <c r="J146" s="24"/>
      <c r="K146" s="84"/>
      <c r="L146" s="84"/>
      <c r="M146" s="28" t="s">
        <v>151</v>
      </c>
      <c r="N146" s="124" t="e">
        <f aca="true">INDIRECT("MOSFET_Selection["&amp;$N$133&amp;"]") OFFSET(INDIRECT("MOSFET_Selection[[#Headers], ["&amp;$N$133&amp;"]]"),$I146,)</f>
        <v>#REF!</v>
      </c>
      <c r="O146" s="124" t="e">
        <f aca="true">INDIRECT("MOSFET_Selection["&amp;$N$133&amp;"]") OFFSET(INDIRECT("MOSFET_Selection[[#Headers], ["&amp;$N$133&amp;"]]"),$I146,)</f>
        <v>#REF!</v>
      </c>
      <c r="P146" s="119" t="s">
        <v>7</v>
      </c>
      <c r="Q146" s="24"/>
      <c r="R146" s="24"/>
      <c r="S146" s="25"/>
      <c r="T146" s="6"/>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row>
    <row r="147" customFormat="false" ht="15" hidden="false" customHeight="false" outlineLevel="0" collapsed="false">
      <c r="A147" s="84"/>
      <c r="B147" s="84"/>
      <c r="C147" s="84"/>
      <c r="D147" s="28" t="s">
        <v>157</v>
      </c>
      <c r="E147" s="127" t="n">
        <v>0.8</v>
      </c>
      <c r="F147" s="127" t="n">
        <v>0.8</v>
      </c>
      <c r="G147" s="119" t="s">
        <v>7</v>
      </c>
      <c r="H147" s="27"/>
      <c r="I147" s="100" t="n">
        <v>13</v>
      </c>
      <c r="J147" s="24"/>
      <c r="K147" s="84"/>
      <c r="L147" s="84"/>
      <c r="M147" s="28" t="s">
        <v>157</v>
      </c>
      <c r="N147" s="124" t="e">
        <f aca="true">INDIRECT("MOSFET_Selection["&amp;$N$133&amp;"]") OFFSET(INDIRECT("MOSFET_Selection[[#Headers], ["&amp;$N$133&amp;"]]"),$I147,)</f>
        <v>#REF!</v>
      </c>
      <c r="O147" s="124" t="e">
        <f aca="true">INDIRECT("MOSFET_Selection["&amp;$N$133&amp;"]") OFFSET(INDIRECT("MOSFET_Selection[[#Headers], ["&amp;$N$133&amp;"]]"),$I147,)</f>
        <v>#REF!</v>
      </c>
      <c r="P147" s="119" t="s">
        <v>7</v>
      </c>
      <c r="Q147" s="24"/>
      <c r="R147" s="24"/>
      <c r="S147" s="25"/>
      <c r="T147" s="6"/>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row>
    <row r="148" customFormat="false" ht="15" hidden="false" customHeight="false" outlineLevel="0" collapsed="false">
      <c r="A148" s="84"/>
      <c r="B148" s="84"/>
      <c r="C148" s="84"/>
      <c r="D148" s="28" t="s">
        <v>158</v>
      </c>
      <c r="E148" s="127" t="n">
        <v>33</v>
      </c>
      <c r="F148" s="134"/>
      <c r="G148" s="119" t="s">
        <v>140</v>
      </c>
      <c r="H148" s="27"/>
      <c r="I148" s="100" t="n">
        <v>14</v>
      </c>
      <c r="J148" s="24"/>
      <c r="K148" s="84"/>
      <c r="L148" s="84"/>
      <c r="M148" s="28" t="s">
        <v>158</v>
      </c>
      <c r="N148" s="124" t="e">
        <f aca="true">INDIRECT("MOSFET_Selection["&amp;$N$133&amp;"]") OFFSET(INDIRECT("MOSFET_Selection[[#Headers], ["&amp;$N$133&amp;"]]"),$I148,)</f>
        <v>#REF!</v>
      </c>
      <c r="O148" s="84"/>
      <c r="P148" s="119" t="s">
        <v>140</v>
      </c>
      <c r="Q148" s="24"/>
      <c r="R148" s="24"/>
      <c r="S148" s="25"/>
      <c r="T148" s="6"/>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row>
    <row r="149" customFormat="false" ht="15" hidden="false" customHeight="false" outlineLevel="0" collapsed="false">
      <c r="A149" s="97"/>
      <c r="B149" s="97"/>
      <c r="C149" s="97"/>
      <c r="D149" s="35" t="s">
        <v>154</v>
      </c>
      <c r="E149" s="129" t="n">
        <v>50</v>
      </c>
      <c r="F149" s="129" t="n">
        <v>50</v>
      </c>
      <c r="G149" s="130" t="s">
        <v>155</v>
      </c>
      <c r="H149" s="27"/>
      <c r="I149" s="96" t="n">
        <v>15</v>
      </c>
      <c r="J149" s="131"/>
      <c r="K149" s="97"/>
      <c r="L149" s="97"/>
      <c r="M149" s="35" t="s">
        <v>154</v>
      </c>
      <c r="N149" s="132" t="e">
        <f aca="true">INDIRECT("MOSFET_Selection["&amp;$N$133&amp;"]") OFFSET(INDIRECT("MOSFET_Selection[[#Headers], ["&amp;$N$133&amp;"]]"),$I149,)</f>
        <v>#REF!</v>
      </c>
      <c r="O149" s="132" t="e">
        <f aca="true">INDIRECT("MOSFET_Selection["&amp;$N$133&amp;"]") OFFSET(INDIRECT("MOSFET_Selection[[#Headers], ["&amp;$N$133&amp;"]]"),$I149,)</f>
        <v>#REF!</v>
      </c>
      <c r="P149" s="130" t="s">
        <v>155</v>
      </c>
      <c r="Q149" s="24"/>
      <c r="R149" s="24"/>
      <c r="S149" s="25"/>
      <c r="T149" s="6"/>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row>
    <row r="150" customFormat="false" ht="15" hidden="false" customHeight="false" outlineLevel="0" collapsed="false">
      <c r="A150" s="100"/>
      <c r="B150" s="84"/>
      <c r="C150" s="84"/>
      <c r="D150" s="41"/>
      <c r="E150" s="84"/>
      <c r="F150" s="84"/>
      <c r="G150" s="84"/>
      <c r="H150" s="27"/>
      <c r="I150" s="27"/>
      <c r="J150" s="24"/>
      <c r="K150" s="24"/>
      <c r="L150" s="24"/>
      <c r="M150" s="24"/>
      <c r="N150" s="24"/>
      <c r="O150" s="24"/>
      <c r="P150" s="24"/>
      <c r="Q150" s="24"/>
      <c r="R150" s="24"/>
      <c r="S150" s="25"/>
      <c r="T150" s="6"/>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row>
    <row r="151" customFormat="false" ht="15" hidden="false" customHeight="false" outlineLevel="0" collapsed="false">
      <c r="A151" s="39" t="s">
        <v>159</v>
      </c>
      <c r="B151" s="84"/>
      <c r="C151" s="84"/>
      <c r="D151" s="41"/>
      <c r="E151" s="84"/>
      <c r="F151" s="84"/>
      <c r="G151" s="84"/>
      <c r="H151" s="27"/>
      <c r="I151" s="27"/>
      <c r="J151" s="24"/>
      <c r="K151" s="24"/>
      <c r="L151" s="24"/>
      <c r="M151" s="24"/>
      <c r="N151" s="24"/>
      <c r="O151" s="24"/>
      <c r="P151" s="24"/>
      <c r="Q151" s="24"/>
      <c r="R151" s="24"/>
      <c r="S151" s="25"/>
      <c r="T151" s="6"/>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row>
    <row r="152" customFormat="false" ht="15" hidden="false" customHeight="false" outlineLevel="0" collapsed="false">
      <c r="A152" s="135"/>
      <c r="B152" s="136"/>
      <c r="C152" s="136"/>
      <c r="D152" s="137" t="s">
        <v>160</v>
      </c>
      <c r="E152" s="138" t="n">
        <v>12</v>
      </c>
      <c r="F152" s="139" t="s">
        <v>7</v>
      </c>
      <c r="G152" s="84"/>
      <c r="H152" s="27"/>
      <c r="I152" s="27"/>
      <c r="J152" s="24"/>
      <c r="K152" s="24"/>
      <c r="L152" s="24"/>
      <c r="M152" s="24"/>
      <c r="N152" s="24"/>
      <c r="O152" s="24"/>
      <c r="P152" s="24"/>
      <c r="Q152" s="24"/>
      <c r="R152" s="24"/>
      <c r="S152" s="25"/>
      <c r="T152" s="6"/>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row>
    <row r="153" customFormat="false" ht="15" hidden="false" customHeight="false" outlineLevel="0" collapsed="false">
      <c r="A153" s="100"/>
      <c r="B153" s="84"/>
      <c r="C153" s="84"/>
      <c r="D153" s="41"/>
      <c r="E153" s="84"/>
      <c r="F153" s="84"/>
      <c r="G153" s="84"/>
      <c r="H153" s="27"/>
      <c r="I153" s="27"/>
      <c r="J153" s="24"/>
      <c r="K153" s="24"/>
      <c r="L153" s="24"/>
      <c r="M153" s="24"/>
      <c r="N153" s="24"/>
      <c r="O153" s="24"/>
      <c r="P153" s="24"/>
      <c r="Q153" s="24"/>
      <c r="R153" s="24"/>
      <c r="S153" s="25"/>
      <c r="T153" s="6"/>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row>
    <row r="154" customFormat="false" ht="25.5" hidden="false" customHeight="true" outlineLevel="0" collapsed="false">
      <c r="A154" s="140" t="s">
        <v>161</v>
      </c>
      <c r="B154" s="140"/>
      <c r="C154" s="140"/>
      <c r="D154" s="140"/>
      <c r="E154" s="140"/>
      <c r="F154" s="107"/>
      <c r="G154" s="107"/>
      <c r="H154" s="108"/>
      <c r="I154" s="108"/>
      <c r="J154" s="109"/>
      <c r="K154" s="109"/>
      <c r="L154" s="109"/>
      <c r="M154" s="109"/>
      <c r="N154" s="109"/>
      <c r="O154" s="109"/>
      <c r="P154" s="109"/>
      <c r="Q154" s="109"/>
      <c r="R154" s="109"/>
      <c r="S154" s="110"/>
      <c r="T154" s="6"/>
      <c r="U154" s="7"/>
      <c r="V154" s="7"/>
      <c r="W154" s="7"/>
      <c r="X154" s="7"/>
      <c r="Y154" s="7"/>
      <c r="Z154" s="7"/>
      <c r="AA154" s="7"/>
      <c r="AB154" s="7"/>
      <c r="AC154" s="7"/>
      <c r="AD154" s="7"/>
      <c r="AE154" s="7"/>
      <c r="AF154" s="141" t="s">
        <v>162</v>
      </c>
      <c r="AG154" s="141"/>
      <c r="AH154" s="141"/>
      <c r="AI154" s="141"/>
      <c r="AJ154" s="141"/>
      <c r="AK154" s="141"/>
      <c r="AL154" s="141"/>
      <c r="AM154" s="142"/>
      <c r="AN154" s="143" t="s">
        <v>163</v>
      </c>
      <c r="AO154" s="143"/>
      <c r="AP154" s="143"/>
      <c r="AQ154" s="143"/>
      <c r="AR154" s="143"/>
      <c r="AS154" s="143"/>
      <c r="AT154" s="143"/>
      <c r="AU154" s="143"/>
      <c r="AV154" s="143"/>
      <c r="AW154" s="143"/>
      <c r="AX154" s="143"/>
      <c r="AY154" s="143"/>
      <c r="AZ154" s="143"/>
      <c r="BA154" s="143"/>
      <c r="BB154" s="143"/>
      <c r="BC154" s="143"/>
      <c r="BD154" s="143"/>
      <c r="BE154" s="143"/>
      <c r="BF154" s="142"/>
      <c r="BG154" s="143" t="s">
        <v>164</v>
      </c>
      <c r="BH154" s="143"/>
      <c r="BI154" s="143"/>
      <c r="BJ154" s="143"/>
      <c r="BK154" s="143"/>
      <c r="BL154" s="143"/>
      <c r="BM154" s="143"/>
      <c r="BN154" s="143"/>
      <c r="BO154" s="143"/>
      <c r="BP154" s="143"/>
      <c r="BQ154" s="143"/>
      <c r="BR154" s="143"/>
      <c r="BS154" s="143"/>
      <c r="BT154" s="143"/>
      <c r="BU154" s="143"/>
      <c r="BV154" s="143"/>
      <c r="BW154" s="143"/>
      <c r="BX154" s="143"/>
      <c r="BY154" s="142"/>
      <c r="BZ154" s="142"/>
      <c r="CA154" s="142"/>
      <c r="CB154" s="144" t="s">
        <v>165</v>
      </c>
      <c r="CC154" s="144"/>
      <c r="CD154" s="144"/>
      <c r="CE154" s="142"/>
      <c r="CF154" s="143" t="s">
        <v>166</v>
      </c>
      <c r="CG154" s="143"/>
      <c r="CH154" s="143"/>
      <c r="CI154" s="143"/>
      <c r="CJ154" s="142"/>
      <c r="CK154" s="143" t="s">
        <v>167</v>
      </c>
      <c r="CL154" s="143"/>
      <c r="CM154" s="143"/>
      <c r="CN154" s="143"/>
      <c r="CO154" s="142"/>
      <c r="CP154" s="145" t="s">
        <v>168</v>
      </c>
      <c r="CQ154" s="145"/>
      <c r="CR154" s="145"/>
      <c r="CS154" s="142"/>
      <c r="CT154" s="145" t="s">
        <v>169</v>
      </c>
      <c r="CU154" s="145"/>
      <c r="CV154" s="145"/>
      <c r="CW154" s="142"/>
      <c r="CX154" s="145" t="s">
        <v>170</v>
      </c>
      <c r="CY154" s="145"/>
      <c r="CZ154" s="145"/>
      <c r="DA154" s="142"/>
      <c r="DB154" s="145" t="s">
        <v>171</v>
      </c>
      <c r="DC154" s="145"/>
      <c r="DD154" s="145"/>
      <c r="DE154" s="142"/>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row>
    <row r="155" customFormat="false" ht="16.4" hidden="false" customHeight="false" outlineLevel="0" collapsed="false">
      <c r="A155" s="100"/>
      <c r="B155" s="84"/>
      <c r="C155" s="84"/>
      <c r="D155" s="41"/>
      <c r="E155" s="84"/>
      <c r="F155" s="84"/>
      <c r="G155" s="84"/>
      <c r="H155" s="24"/>
      <c r="I155" s="24"/>
      <c r="J155" s="24"/>
      <c r="K155" s="24"/>
      <c r="L155" s="24"/>
      <c r="M155" s="24"/>
      <c r="N155" s="24"/>
      <c r="O155" s="24"/>
      <c r="P155" s="24"/>
      <c r="Q155" s="24"/>
      <c r="R155" s="24"/>
      <c r="S155" s="25"/>
      <c r="T155" s="6"/>
      <c r="U155" s="7"/>
      <c r="V155" s="7"/>
      <c r="W155" s="7"/>
      <c r="X155" s="7"/>
      <c r="Y155" s="7"/>
      <c r="Z155" s="7"/>
      <c r="AA155" s="7"/>
      <c r="AB155" s="7"/>
      <c r="AC155" s="7"/>
      <c r="AD155" s="7"/>
      <c r="AE155" s="7"/>
      <c r="AF155" s="146" t="s">
        <v>172</v>
      </c>
      <c r="AG155" s="146" t="s">
        <v>173</v>
      </c>
      <c r="AH155" s="147" t="s">
        <v>174</v>
      </c>
      <c r="AI155" s="147" t="s">
        <v>175</v>
      </c>
      <c r="AJ155" s="147" t="s">
        <v>176</v>
      </c>
      <c r="AK155" s="147" t="s">
        <v>177</v>
      </c>
      <c r="AL155" s="147" t="s">
        <v>178</v>
      </c>
      <c r="AM155" s="148" t="s">
        <v>179</v>
      </c>
      <c r="AN155" s="147" t="s">
        <v>180</v>
      </c>
      <c r="AO155" s="147" t="s">
        <v>181</v>
      </c>
      <c r="AP155" s="147" t="s">
        <v>182</v>
      </c>
      <c r="AQ155" s="147" t="s">
        <v>183</v>
      </c>
      <c r="AR155" s="147" t="s">
        <v>184</v>
      </c>
      <c r="AS155" s="147" t="s">
        <v>185</v>
      </c>
      <c r="AT155" s="147" t="s">
        <v>186</v>
      </c>
      <c r="AU155" s="147" t="s">
        <v>187</v>
      </c>
      <c r="AV155" s="147" t="s">
        <v>188</v>
      </c>
      <c r="AW155" s="147" t="s">
        <v>189</v>
      </c>
      <c r="AX155" s="147" t="s">
        <v>190</v>
      </c>
      <c r="AY155" s="147" t="s">
        <v>191</v>
      </c>
      <c r="AZ155" s="147" t="s">
        <v>192</v>
      </c>
      <c r="BA155" s="147" t="s">
        <v>193</v>
      </c>
      <c r="BB155" s="147" t="s">
        <v>194</v>
      </c>
      <c r="BC155" s="147" t="s">
        <v>195</v>
      </c>
      <c r="BD155" s="147" t="s">
        <v>196</v>
      </c>
      <c r="BE155" s="147" t="s">
        <v>197</v>
      </c>
      <c r="BF155" s="147" t="s">
        <v>198</v>
      </c>
      <c r="BG155" s="148" t="s">
        <v>199</v>
      </c>
      <c r="BH155" s="147" t="s">
        <v>200</v>
      </c>
      <c r="BI155" s="147" t="s">
        <v>201</v>
      </c>
      <c r="BJ155" s="147" t="s">
        <v>202</v>
      </c>
      <c r="BK155" s="147" t="s">
        <v>203</v>
      </c>
      <c r="BL155" s="147" t="s">
        <v>204</v>
      </c>
      <c r="BM155" s="147" t="s">
        <v>205</v>
      </c>
      <c r="BN155" s="147" t="s">
        <v>206</v>
      </c>
      <c r="BO155" s="147" t="s">
        <v>207</v>
      </c>
      <c r="BP155" s="147" t="s">
        <v>208</v>
      </c>
      <c r="BQ155" s="147" t="s">
        <v>209</v>
      </c>
      <c r="BR155" s="147" t="s">
        <v>210</v>
      </c>
      <c r="BS155" s="147" t="s">
        <v>211</v>
      </c>
      <c r="BT155" s="147" t="s">
        <v>212</v>
      </c>
      <c r="BU155" s="147" t="s">
        <v>213</v>
      </c>
      <c r="BV155" s="147" t="s">
        <v>214</v>
      </c>
      <c r="BW155" s="147" t="s">
        <v>215</v>
      </c>
      <c r="BX155" s="147" t="s">
        <v>216</v>
      </c>
      <c r="BY155" s="147" t="s">
        <v>217</v>
      </c>
      <c r="BZ155" s="149" t="s">
        <v>218</v>
      </c>
      <c r="CA155" s="148" t="s">
        <v>219</v>
      </c>
      <c r="CB155" s="147" t="s">
        <v>220</v>
      </c>
      <c r="CC155" s="147" t="s">
        <v>221</v>
      </c>
      <c r="CD155" s="147" t="s">
        <v>222</v>
      </c>
      <c r="CE155" s="148" t="s">
        <v>223</v>
      </c>
      <c r="CF155" s="147" t="s">
        <v>224</v>
      </c>
      <c r="CG155" s="147" t="s">
        <v>225</v>
      </c>
      <c r="CH155" s="147" t="s">
        <v>226</v>
      </c>
      <c r="CI155" s="147" t="s">
        <v>227</v>
      </c>
      <c r="CJ155" s="148" t="s">
        <v>228</v>
      </c>
      <c r="CK155" s="147" t="s">
        <v>229</v>
      </c>
      <c r="CL155" s="147" t="s">
        <v>230</v>
      </c>
      <c r="CM155" s="147" t="s">
        <v>231</v>
      </c>
      <c r="CN155" s="147" t="s">
        <v>232</v>
      </c>
      <c r="CO155" s="148" t="s">
        <v>233</v>
      </c>
      <c r="CP155" s="147" t="s">
        <v>234</v>
      </c>
      <c r="CQ155" s="147" t="s">
        <v>235</v>
      </c>
      <c r="CR155" s="147" t="s">
        <v>236</v>
      </c>
      <c r="CS155" s="148" t="s">
        <v>237</v>
      </c>
      <c r="CT155" s="147" t="s">
        <v>238</v>
      </c>
      <c r="CU155" s="147" t="s">
        <v>239</v>
      </c>
      <c r="CV155" s="147" t="s">
        <v>240</v>
      </c>
      <c r="CW155" s="148" t="s">
        <v>241</v>
      </c>
      <c r="CX155" s="147" t="s">
        <v>242</v>
      </c>
      <c r="CY155" s="147" t="s">
        <v>243</v>
      </c>
      <c r="CZ155" s="147" t="s">
        <v>244</v>
      </c>
      <c r="DA155" s="148" t="s">
        <v>245</v>
      </c>
      <c r="DB155" s="147" t="s">
        <v>246</v>
      </c>
      <c r="DC155" s="147" t="s">
        <v>247</v>
      </c>
      <c r="DD155" s="147" t="s">
        <v>248</v>
      </c>
      <c r="DE155" s="148" t="s">
        <v>249</v>
      </c>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row>
    <row r="156" customFormat="false" ht="16.4" hidden="false" customHeight="false" outlineLevel="0" collapsed="false">
      <c r="A156" s="39" t="s">
        <v>250</v>
      </c>
      <c r="B156" s="84"/>
      <c r="C156" s="84"/>
      <c r="D156" s="41"/>
      <c r="E156" s="84"/>
      <c r="F156" s="84"/>
      <c r="G156" s="84"/>
      <c r="H156" s="24"/>
      <c r="I156" s="24"/>
      <c r="J156" s="24"/>
      <c r="K156" s="24"/>
      <c r="L156" s="24"/>
      <c r="M156" s="24"/>
      <c r="N156" s="24"/>
      <c r="O156" s="24"/>
      <c r="P156" s="24"/>
      <c r="Q156" s="24"/>
      <c r="R156" s="24"/>
      <c r="S156" s="25"/>
      <c r="T156" s="6"/>
      <c r="U156" s="7"/>
      <c r="V156" s="7"/>
      <c r="W156" s="7"/>
      <c r="X156" s="7"/>
      <c r="Y156" s="7"/>
      <c r="Z156" s="7"/>
      <c r="AA156" s="7"/>
      <c r="AB156" s="7"/>
      <c r="AC156" s="7"/>
      <c r="AD156" s="7"/>
      <c r="AE156" s="7"/>
      <c r="AF156" s="150" t="n">
        <v>0</v>
      </c>
      <c r="AG156" s="150" t="n">
        <f aca="false">0</f>
        <v>0</v>
      </c>
      <c r="AH156" s="151" t="n">
        <f aca="false">AG156*VACnom</f>
        <v>0</v>
      </c>
      <c r="AI156" s="152" t="n">
        <f aca="false">IF(VACnom&lt;Vbat, (Vbat-VACnom)/Vbat, Vbat/VACnom)</f>
        <v>0.0476190476190476</v>
      </c>
      <c r="AJ156" s="152" t="n">
        <f aca="false">IF(VACnom&lt;Vbat, AG156/(1-AI156), AG156*AI156)</f>
        <v>0</v>
      </c>
      <c r="AK156" s="152" t="n">
        <f aca="false">Ipkpk_VACnom</f>
        <v>0.285714285714285</v>
      </c>
      <c r="AL156" s="152" t="n">
        <f aca="false">SQRT(AJ156^2+AK156^2/12)</f>
        <v>0.0824786098842321</v>
      </c>
      <c r="AM156" s="153"/>
      <c r="AN156" s="152" t="n">
        <f aca="false">MAX(0,Table7[[#This Row],[I_L]]-0.5*Table7[[#This Row],[I_L pkpk]])</f>
        <v>0</v>
      </c>
      <c r="AO156" s="152" t="n">
        <f aca="false">Table7[[#This Row],[I_L]]+0.5*Table7[[#This Row],[I_L pkpk]]</f>
        <v>0.142857142857143</v>
      </c>
      <c r="AP156" s="152" t="e">
        <f aca="false">IF(VACnom&gt;Vbat, (VGS_S-(TI_MOSFET_S_VTH_H_BU+Table7[[#This Row],[I_L]]/TI_MOSFET_S_gFS_H_BU))/3.4, (VGS_S-(TI_MOSFET_S_VTH_L_BO+Table7[[#This Row],[I_L]]/TI_MOSFET_S_gFS_L_BO))/3.4 )</f>
        <v>#REF!</v>
      </c>
      <c r="AQ156" s="152" t="e">
        <f aca="false">IF(VACnom&gt;Vbat, ((TI_MOSFET_S_VTH_H_BU+Table7[[#This Row],[I_L]]/TI_MOSFET_S_gFS_H_BU))/1, ((TI_MOSFET_S_VTH_L_BO+Table7[[#This Row],[I_L]]/TI_MOSFET_S_gFS_L_BO))/1 )</f>
        <v>#REF!</v>
      </c>
      <c r="AR156" s="152" t="e">
        <f aca="false">IF(VACnom&gt;Vbat, (TI_MOSFET_S_QGD_H_BU+TI_MOSFET_S_QGS_H_BU)*10^-9/Table7[[#This Row],[Ion (A)]], (TI_MOSFET_S_QGD_L_BO+TI_MOSFET_S_QGS_L_BO)*10^-9/Table7[[#This Row],[Ion (A)]])/10^-9</f>
        <v>#REF!</v>
      </c>
      <c r="AS156" s="152" t="e">
        <f aca="false">IF(VACnom&gt;Vbat, (TI_MOSFET_S_QGD_H_BU+TI_MOSFET_S_QGS_H_BU)*10^-9/Table7[[#This Row],[Ioff (A)]], (TI_MOSFET_S_QGD_L_BO+TI_MOSFET_S_QGS_L_BO)*10^-9/Table7[[#This Row],[Ioff (A)]])/10^-9</f>
        <v>#REF!</v>
      </c>
      <c r="AT156" s="152" t="e">
        <f aca="false">0.5*VACnom*Table7[[#This Row],[Ivalley (A)]]*Table7[[#This Row],[ton (ns)]]*10^-9*Fsw*10^3+0.5*VACnom*Table7[[#This Row],[Ipeak (A)]]*Table7[[#This Row],[toff (ns)]]*10^-9*Fsw*10^3/10^-3</f>
        <v>#REF!</v>
      </c>
      <c r="AU156" s="152" t="e">
        <f aca="false">IF(VACnom&gt;Vbat, 0.5*VACnom*TI_MOSFET_S_QOSS_H_BU*10^-9*Fsw*10^3,0.5*VACnom*TI_MOSFET_S_QOSS_L_BO*10^-9*Fsw*10^3)/10^-3</f>
        <v>#REF!</v>
      </c>
      <c r="AV156" s="152" t="e">
        <f aca="false">IF(VACnom&gt;Vbat, VACnom*TI_MOSFET_S_QG_H_BU*10^-9*Fsw*10^3,VACnom*TI_MOSFET_S_QG_H_BO*10^-9*Fsw*10^3)/10^-3</f>
        <v>#REF!</v>
      </c>
      <c r="AW156" s="152" t="e">
        <f aca="false">IF(VACnom&gt;Vbat, VACnom*TI_MOSFET_S_QRR_L_BU*10^-9*Fsw*10^3, VACnom*TI_MOSFET_S_QRR_H_BO*10^-9*Fsw*10^3)/10^-3</f>
        <v>#REF!</v>
      </c>
      <c r="AX156" s="152" t="e">
        <f aca="false">IF(VACnom&gt;Vbat, TI_MOSFET_S_VSD_L_BU*Table7[[#This Row],[Ivalley (A)]]*Fsw*10^3*40*10^-9+TI_MOSFET_S_VSD_L_BU*Table7[[#This Row],[Ipeak (A)]]*Fsw*10^3*30*10^-9, TI_MOSFET_S_VSD_H_BO*Table7[[#This Row],[Ivalley (A)]]*Fsw*10^3*40*10^-9+TI_MOSFET_S_VSD_H_BO*Table7[[#This Row],[Ipeak (A)]]*Fsw*10^3*30*10^-9)/10^-3</f>
        <v>#REF!</v>
      </c>
      <c r="AY156" s="152" t="e">
        <f aca="false">IF(VACnom&gt;Vbat, VACnom*TI_MOSFET_S_QG_L_BU*10^-9*Fsw*10^3, VACnom*TI_MOSFET_S_QG_L_BO*10^-9*Fsw*10^3)/10^-3</f>
        <v>#REF!</v>
      </c>
      <c r="AZ156" s="152" t="e">
        <f aca="false">IF(VACnom&lt;Vbat, Table7[[#This Row],[Duty Cycle]]*Table7[[#This Row],[I_L RMS]]^2*TI_MOSFET_S_RDSON_H_BU*10^-3, (1-Table7[[#This Row],[Duty Cycle]])*Table7[[#This Row],[I_L RMS]]^2*TI_MOSFET_S_RDSON_H_BO*10^-3)/10^-3</f>
        <v>#REF!</v>
      </c>
      <c r="BA156" s="152" t="e">
        <f aca="false">IF(VACnom&gt;Vbat, Table7[[#This Row],[PIV (mW)]]+Table7[[#This Row],[Pqoss (mW)]]+Table7[[#This Row],[Pgate_top (mW)]], Table7[[#This Row],[PRR (mW)]]+Table7[[#This Row],[Pdead (mW)]]+Table7[[#This Row],[Pgate_top (mW)]])</f>
        <v>#REF!</v>
      </c>
      <c r="BB156" s="152" t="e">
        <f aca="false">Table7[[#This Row],[Pcon_top (mW)]]+Table7[[#This Row],[Psw_top (mW)]]</f>
        <v>#REF!</v>
      </c>
      <c r="BC156" s="152" t="e">
        <f aca="false">IF(VACnom&gt;Vbat, (1-Table7[[#This Row],[Duty Cycle]])*Table7[[#This Row],[I_L RMS]]^2*TI_MOSFET_S_RDSON_L_BU*10^-3, Table7[[#This Row],[Duty Cycle]]*Table7[[#This Row],[I_L RMS]]^2*TI_MOSFET_S_RDSON_L_BO*10^-3)/10^-3</f>
        <v>#REF!</v>
      </c>
      <c r="BD156" s="152" t="e">
        <f aca="false">IF(VACnom&gt;Vbat, Table7[[#This Row],[PRR (mW)]]+Table7[[#This Row],[Pdead (mW)]]+Table7[[#This Row],[Pgate_bottom (mW)]], Table7[[#This Row],[PIV (mW)]]+Table7[[#This Row],[Pqoss (mW)]]+Table7[[#This Row],[Pgate_bottom (mW)]])</f>
        <v>#REF!</v>
      </c>
      <c r="BE156" s="154" t="e">
        <f aca="false">Table7[[#This Row],[Pcon_bottom (mW)]]+Table7[[#This Row],[Psw_bottom (mW)]]</f>
        <v>#REF!</v>
      </c>
      <c r="BF156" s="152" t="e">
        <f aca="false">Table7[[#This Row],[Pbottom (mW)]]+Table7[[#This Row],[Ptop (mW)]]</f>
        <v>#REF!</v>
      </c>
      <c r="BG156" s="155"/>
      <c r="BH156" s="152" t="n">
        <f aca="false">MAX(0,Table7[[#This Row],[I_L]]-0.5*Table7[[#This Row],[I_L pkpk]])</f>
        <v>0</v>
      </c>
      <c r="BI156" s="152" t="n">
        <f aca="false">Table7[[#This Row],[I_L]]+0.5*Table7[[#This Row],[I_L pkpk]]</f>
        <v>0.142857142857143</v>
      </c>
      <c r="BJ156" s="152" t="n">
        <f aca="false">IF(VACnom&gt;Vbat, (VGS_S-(C_MOSFET_S_VTH_H_BU+Table7[[#This Row],[I_L]]/C_MOSFET_S_gFS_H_BU))/3.4, (VGS_S-(C_MOSFET_S_VTH_L_BO+Table7[[#This Row],[I_L]]/C_MOSFET_S_gFS_L_BO))/3.4 )</f>
        <v>2.35294117647059</v>
      </c>
      <c r="BK156" s="152" t="n">
        <f aca="false">IF(VACnom&gt;Vbat, ((C_MOSFET_S_VTH_H_BU+Table7[[#This Row],[I_L]]/C_MOSFET_S_gFS_H_BU))/1, ((C_MOSFET_S_VTH_L_BO+Table7[[#This Row],[I_L]]/C_MOSFET_S_gFS_L_BO))/1 )</f>
        <v>2</v>
      </c>
      <c r="BL156" s="152" t="n">
        <f aca="false">IF(VACnom&gt;Vbat, (C_MOSFET_S_QGD_H_BU+C_MOSFET_S_QGS_H_BU)*10^-9/Table7[[#This Row],[Ion (A) C]], (C_MOSFET_S_QGD_L_BO+C_MOSFET_S_QGS_L_BO)*10^-9/Table7[[#This Row],[Ion (A) C]])/10^-9</f>
        <v>2.7625</v>
      </c>
      <c r="BM156" s="152" t="n">
        <f aca="false">IF(VACnom&gt;Vbat, (C_MOSFET_S_QGD_H_BU+C_MOSFET_S_QGS_H_BU)*10^-9/Table7[[#This Row],[Ioff (A) C]], (C_MOSFET_S_QGD_L_BO+C_MOSFET_S_QGS_L_BO)*10^-9/Table7[[#This Row],[Ioff (A) C]])/10^-9</f>
        <v>3.25</v>
      </c>
      <c r="BN156" s="152" t="n">
        <f aca="false">0.5*VACnom*Table7[[#This Row],[Ivalley (A) C]]*Table7[[#This Row],[ton (ns) C]]*10^-9*Fsw*10^3+0.5*VACnom*Table7[[#This Row],[Ipeak (A) C]]*Table7[[#This Row],[toff (ns) C]]*10^-9*Fsw*10^3/10^-3</f>
        <v>0.557142857142857</v>
      </c>
      <c r="BO156" s="152" t="n">
        <f aca="false">IF(VACnom&gt;Vbat, 0.5*VACnom*C_MOSFET_S_QOSS_H_BU*10^-9*Fsw*10^3,0.5*VACnom*C_MOSFET_S_QOSS_L_BO*10^-9*Fsw*10^3)/10^-3</f>
        <v>43.2</v>
      </c>
      <c r="BP156" s="152" t="e">
        <f aca="false">IF(VACnom&gt;Vbat, VACnom*C_MOSFET_S_QG_H_BU*10^-9*Fsw*10^3,VACnom*C_MOSFET_S_QG_H_BO*10^-9*Fsw*10^3)/10^-3</f>
        <v>#REF!</v>
      </c>
      <c r="BQ156" s="152" t="n">
        <f aca="false">IF(VACnom&gt;Vbat, VACnom*C_MOSFET_S_QRR_L_BU*10^-9*Fsw*10^3, VACnom*C_MOSFET_S_QRR_H_BO*10^-9*Fsw*10^3)/10^-3</f>
        <v>79.2</v>
      </c>
      <c r="BR156" s="152" t="n">
        <f aca="false">IF(VACnom&gt;Vbat, C_MOSFET_S_VSD_L_BU*Table7[[#This Row],[Ivalley (A) C]]*Fsw*10^3*40*10^-9+C_MOSFET_S_VSD_L_BU*Table7[[#This Row],[Ipeak (A) C]]*Fsw*10^3*30*10^-9, C_MOSFET_S_VSD_H_BO*Table7[[#This Row],[Ivalley (A) C]]*Fsw*10^3*40*10^-9+C_MOSFET_S_VSD_H_BO*Table7[[#This Row],[Ipeak (A) C]]*Fsw*10^3*30*10^-9)/10^-3</f>
        <v>0.685714285714285</v>
      </c>
      <c r="BS156" s="152" t="e">
        <f aca="false">IF(VACnom&gt;Vbat, VACnom*C_MOSFET_S_QG_L_BU*10^-9*Fsw*10^3, VACnom*C_MOSFET_S_QG_L_BO*10^-9*Fsw*10^3)/10^-3</f>
        <v>#REF!</v>
      </c>
      <c r="BT156" s="152" t="n">
        <f aca="false">IF(VACnom&lt;Vbat, Table7[[#This Row],[Duty Cycle]]*Table7[[#This Row],[I_L RMS]]^2*C_MOSFET_S_RDSON_H_BU*10^-3, (1-Table7[[#This Row],[Duty Cycle]])*Table7[[#This Row],[I_L RMS]]^2*C_MOSFET_S_RDSON_H_BO*10^-3)/10^-3</f>
        <v>0.00184645286686102</v>
      </c>
      <c r="BU156" s="152" t="e">
        <f aca="false">IF(VACnom&gt;Vbat, Table7[[#This Row],[PIV (mW) C]]+Table7[[#This Row],[PQoss (mW) C]]+Table7[[#This Row],[Pgate_top (mW) C]], Table7[[#This Row],[PRR (mW) C]]+Table7[[#This Row],[Pdead (mW) C]]+Table7[[#This Row],[Pgate_top (mW) C]])</f>
        <v>#REF!</v>
      </c>
      <c r="BV156" s="152" t="e">
        <f aca="false">Table7[[#This Row],[Pcon_top (mW) C]]+Table7[[#This Row],[Psw_top (mW) C]]</f>
        <v>#REF!</v>
      </c>
      <c r="BW156" s="152" t="e">
        <f aca="false">IF(VACnom&gt;Vbat, (1-Table7[[#This Row],[Duty Cycle]])*Table7[[#This Row],[I_L RMS]]^2*C_MOSFET_S_RDSON_L_BU*10^-3, Table7[[#This Row],[Duty Cycle]]*Table7[[#This Row],[I_L RMS]]^2*C_MOSFET_S_RDSON_L_BO*10^-3)/10^-3</f>
        <v>#REF!</v>
      </c>
      <c r="BX156" s="152" t="e">
        <f aca="false">IF(VACnom&gt;Vbat, Table7[[#This Row],[PRR (mW) C]]+Table7[[#This Row],[Pdead (mW) C]]+Table7[[#This Row],[Pgate_bottom (mW) C]], Table7[[#This Row],[PIV (mW) C]]+Table7[[#This Row],[PQoss (mW) C]]+Table7[[#This Row],[Pgate_bottom (mW) C]])</f>
        <v>#REF!</v>
      </c>
      <c r="BY156" s="152" t="e">
        <f aca="false">Table7[[#This Row],[Pcon_bottom (mW) C]]+Table7[[#This Row],[Psw_bottom (mV) C]]</f>
        <v>#REF!</v>
      </c>
      <c r="BZ156" s="152" t="e">
        <f aca="false">Table7[[#This Row],[Pbottom (mW) C]]+Table7[[#This Row],[Ptop (mW) C]]</f>
        <v>#REF!</v>
      </c>
      <c r="CA156" s="156"/>
      <c r="CB156" s="151" t="n">
        <f aca="false">(RAC_SNS*10^-3*(Table7[[#This Row],[IOUT (A)]]*Vbat/VACnom)^2/10^-3)</f>
        <v>0</v>
      </c>
      <c r="CC156" s="151" t="n">
        <f aca="false">(RBAT_SNS*10^-3*Table7[[#This Row],[IOUT (A)]]^2)/10^-3</f>
        <v>0</v>
      </c>
      <c r="CD156" s="151" t="n">
        <f aca="false">IF(VACnom&gt;Vbat,(L_DRC*10^-3*(Table7[[#This Row],[IOUT (A)]])^2/10^-3),(L_DRC*10^-3*(Table7[[#This Row],[IOUT (A)]]*Vbat/VACnom)^2/10^-3))</f>
        <v>0</v>
      </c>
      <c r="CE156" s="157"/>
      <c r="CF156" s="152" t="n">
        <f aca="false">(Table7[[#This Row],[R_AC (mW)]]+Table7[[#This Row],[R_SR (mW)]]+Table7[[#This Row],[Inductor Loss (mW)]])/10^3</f>
        <v>0</v>
      </c>
      <c r="CG156" s="152" t="e">
        <f aca="false">Table7[[#This Row],[Total TI (mW)]]/10^3</f>
        <v>#REF!</v>
      </c>
      <c r="CH156" s="152" t="e">
        <f aca="false">Table7[[#This Row],[Total Sense Loss]]+Table7[[#This Row],[Total MOSFET Loss]]</f>
        <v>#REF!</v>
      </c>
      <c r="CI156" s="158" t="n">
        <f aca="false">IF(Table7[[#This Row],[POUT (W)]]=0,0,(Table7[[#This Row],[POUT (W)]])/(Table7[[#This Row],[POUT (W)]]+Table7[[#This Row],[Total Power Loss (W)]]))*100</f>
        <v>0</v>
      </c>
      <c r="CJ156" s="159"/>
      <c r="CK156" s="152" t="n">
        <f aca="false">(Table7[[#This Row],[R_AC (mW)]]+Table7[[#This Row],[R_SR (mW)]]+Table7[[#This Row],[Inductor Loss (mW)]])/10^3</f>
        <v>0</v>
      </c>
      <c r="CL156" s="152" t="e">
        <f aca="false">Table7[[#This Row],[Total (mW) C]]/10^3</f>
        <v>#REF!</v>
      </c>
      <c r="CM156" s="152" t="e">
        <f aca="false">Table7[[#This Row],[Total Sense Loss C]]+Table7[[#This Row],[Total MOSFET Loss C]]</f>
        <v>#REF!</v>
      </c>
      <c r="CN156" s="158" t="n">
        <f aca="false">IF(Table7[[#This Row],[POUT (W)]]=0,0,(Table7[[#This Row],[POUT (W)]])/(Table7[[#This Row],[POUT (W)]]+Table7[[#This Row],[Total Power Loss (W) C]]))*100</f>
        <v>0</v>
      </c>
      <c r="CO156" s="159"/>
      <c r="CP156" s="158" t="n">
        <f aca="false">IF(MOSFET_S=Custom_MOSFET,Table7[[#This Row],[Total Sense Loss C]],Table7[[#This Row],[Total Sense Loss]])</f>
        <v>0</v>
      </c>
      <c r="CQ156" s="158" t="e">
        <f aca="false">IF(MOSFET_S=Custom_MOSFET,Table7[[#This Row],[Total MOSFET Loss C]],Table7[[#This Row],[Total MOSFET Loss]])</f>
        <v>#REF!</v>
      </c>
      <c r="CR156" s="158" t="n">
        <f aca="false">IF(MOSFET_S=Custom_MOSFET,Table7[[#This Row],[Efficiency C]],Table7[[#This Row],[Efficiency]])</f>
        <v>0</v>
      </c>
      <c r="CS156" s="159"/>
      <c r="CT156" s="158" t="n">
        <f aca="false">IF(MOSFET_S=Compare_MOSFET, Table7[[#This Row],[Total Sense Loss C]], -100)</f>
        <v>-100</v>
      </c>
      <c r="CU156" s="158" t="n">
        <f aca="false">IF(MOSFET_S=Compare_MOSFET, Table7[[#This Row],[Total MOSFET Loss C]], -100)</f>
        <v>-100</v>
      </c>
      <c r="CV156" s="158" t="n">
        <f aca="false">IF(MOSFET_S=Compare_MOSFET, Table7[[#This Row],[Efficiency C]], -100)</f>
        <v>-100</v>
      </c>
      <c r="CW156" s="159"/>
      <c r="CX156" s="158" t="e">
        <f aca="false">IF(Save_Sel=CLR_Save,  Table7[[#This Row],[Total Sense Loss P1]], Table7[[#This Row],[Total Sense Loss P1 Saved]])</f>
        <v>#VALUE!</v>
      </c>
      <c r="CY156" s="158" t="e">
        <f aca="false">IF(Save_Sel=CLR_Save,  Table7[[#This Row],[Total MOSFET Loss P1]], Table7[[#This Row],[Total MOSFET Loss P1 Saved]] )</f>
        <v>#VALUE!</v>
      </c>
      <c r="CZ156" s="158" t="e">
        <f aca="false">IF(Save_Sel=CLR_Save, Table7[[#This Row],[Efficiency P1]], Table7[[#This Row],[Efficiency P1 Saved]])</f>
        <v>#VALUE!</v>
      </c>
      <c r="DA156" s="159"/>
      <c r="DB156" s="158" t="e">
        <f aca="false">IF(Save_Sel=CLR_Save,  Table7[[#This Row],[Total Sense Loss P2]], Table7[[#This Row],[Total Sense Loss P2 Saved]])</f>
        <v>#VALUE!</v>
      </c>
      <c r="DC156" s="158" t="e">
        <f aca="false">IF(Save_Sel=CLR_Save,  Table7[[#This Row],[Total MOSFET Loss P2]], Table7[[#This Row],[Total MOSFET Loss P2 Saved]] )</f>
        <v>#VALUE!</v>
      </c>
      <c r="DD156" s="158" t="e">
        <f aca="false">IF(Save_Sel=CLR_Save, Table7[[#This Row],[Efficiency P2]], Table7[[#This Row],[Efficiency P2 Saved]])</f>
        <v>#VALUE!</v>
      </c>
      <c r="DE156" s="159"/>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row>
    <row r="157" customFormat="false" ht="16.4" hidden="false" customHeight="false" outlineLevel="0" collapsed="false">
      <c r="A157" s="102"/>
      <c r="B157" s="86"/>
      <c r="C157" s="86"/>
      <c r="D157" s="19" t="s">
        <v>251</v>
      </c>
      <c r="E157" s="160" t="s">
        <v>252</v>
      </c>
      <c r="F157" s="160"/>
      <c r="G157" s="117"/>
      <c r="H157" s="27"/>
      <c r="I157" s="24" t="s">
        <v>252</v>
      </c>
      <c r="J157" s="24" t="s">
        <v>253</v>
      </c>
      <c r="K157" s="24" t="s">
        <v>254</v>
      </c>
      <c r="L157" s="24"/>
      <c r="M157" s="24"/>
      <c r="N157" s="24"/>
      <c r="O157" s="24"/>
      <c r="P157" s="24"/>
      <c r="Q157" s="24"/>
      <c r="R157" s="24"/>
      <c r="S157" s="25"/>
      <c r="T157" s="6"/>
      <c r="U157" s="7"/>
      <c r="V157" s="7"/>
      <c r="W157" s="7"/>
      <c r="X157" s="7"/>
      <c r="Y157" s="7"/>
      <c r="Z157" s="7"/>
      <c r="AA157" s="7"/>
      <c r="AB157" s="7"/>
      <c r="AC157" s="7"/>
      <c r="AD157" s="7"/>
      <c r="AE157" s="7"/>
      <c r="AF157" s="150" t="n">
        <f aca="false">AF156+1</f>
        <v>1</v>
      </c>
      <c r="AG157" s="150" t="n">
        <f aca="false">$AG$156+AF157*($AG$256-$AG$156)/$AF$256</f>
        <v>0.1</v>
      </c>
      <c r="AH157" s="151" t="n">
        <f aca="false">AG157*VACnom</f>
        <v>1.2</v>
      </c>
      <c r="AI157" s="152" t="n">
        <f aca="false">IF(VACnom&lt;Vbat, (Vbat-VACnom)/Vbat, Vbat/VACnom)</f>
        <v>0.0476190476190476</v>
      </c>
      <c r="AJ157" s="152" t="n">
        <f aca="false">IF(VACnom&lt;Vbat, AG157/(1-AI157), AG157*AI157)</f>
        <v>0.105</v>
      </c>
      <c r="AK157" s="152" t="n">
        <f aca="false">Ipkpk_VACnom</f>
        <v>0.285714285714285</v>
      </c>
      <c r="AL157" s="152" t="n">
        <f aca="false">SQRT(AJ157^2+AK157^2/12)</f>
        <v>0.133520489395581</v>
      </c>
      <c r="AM157" s="153"/>
      <c r="AN157" s="152" t="n">
        <f aca="false">MAX(0,Table7[[#This Row],[I_L]]-0.5*Table7[[#This Row],[I_L pkpk]])</f>
        <v>0</v>
      </c>
      <c r="AO157" s="152" t="n">
        <f aca="false">Table7[[#This Row],[I_L]]+0.5*Table7[[#This Row],[I_L pkpk]]</f>
        <v>0.247857142857143</v>
      </c>
      <c r="AP157" s="152" t="e">
        <f aca="false">IF(VACnom&gt;Vbat, (VGS_S-(TI_MOSFET_S_VTH_H_BU+Table7[[#This Row],[I_L]]/TI_MOSFET_S_gFS_H_BU))/3.4, (VGS_S-(TI_MOSFET_S_VTH_L_BO+Table7[[#This Row],[I_L]]/TI_MOSFET_S_gFS_L_BO))/3.4 )</f>
        <v>#REF!</v>
      </c>
      <c r="AQ157" s="152" t="e">
        <f aca="false">IF(VACnom&gt;Vbat, ((TI_MOSFET_S_VTH_H_BU+Table7[[#This Row],[I_L]]/TI_MOSFET_S_gFS_H_BU))/1, ((TI_MOSFET_S_VTH_L_BO+Table7[[#This Row],[I_L]]/TI_MOSFET_S_gFS_L_BO))/1 )</f>
        <v>#REF!</v>
      </c>
      <c r="AR157" s="152" t="e">
        <f aca="false">IF(VACnom&gt;Vbat, (TI_MOSFET_S_QGD_H_BU+TI_MOSFET_S_QGS_H_BU)*10^-9/Table7[[#This Row],[Ion (A)]], (TI_MOSFET_S_QGD_L_BO+TI_MOSFET_S_QGS_L_BO)*10^-9/Table7[[#This Row],[Ion (A)]])/10^-9</f>
        <v>#REF!</v>
      </c>
      <c r="AS157" s="152" t="e">
        <f aca="false">IF(VACnom&gt;Vbat, (TI_MOSFET_S_QGD_H_BU+TI_MOSFET_S_QGS_H_BU)*10^-9/Table7[[#This Row],[Ioff (A)]], (TI_MOSFET_S_QGD_L_BO+TI_MOSFET_S_QGS_L_BO)*10^-9/Table7[[#This Row],[Ioff (A)]])/10^-9</f>
        <v>#REF!</v>
      </c>
      <c r="AT157" s="152" t="e">
        <f aca="false">0.5*VACnom*Table7[[#This Row],[Ivalley (A)]]*Table7[[#This Row],[ton (ns)]]*10^-9*Fsw*10^3+0.5*VACnom*Table7[[#This Row],[Ipeak (A)]]*Table7[[#This Row],[toff (ns)]]*10^-9*Fsw*10^3/10^-3</f>
        <v>#REF!</v>
      </c>
      <c r="AU157" s="152" t="e">
        <f aca="false">IF(VACnom&gt;Vbat, 0.5*VACnom*TI_MOSFET_S_QOSS_H_BU*10^-9*Fsw*10^3,0.5*VACnom*TI_MOSFET_S_QOSS_L_BO*10^-9*Fsw*10^3)/10^-3</f>
        <v>#REF!</v>
      </c>
      <c r="AV157" s="152" t="e">
        <f aca="false">IF(VACnom&gt;Vbat, VACnom*TI_MOSFET_S_QG_H_BU*10^-9*Fsw*10^3,VACnom*TI_MOSFET_S_QG_H_BO*10^-9*Fsw*10^3)/10^-3</f>
        <v>#REF!</v>
      </c>
      <c r="AW157" s="152" t="e">
        <f aca="false">IF(VACnom&gt;Vbat, VACnom*TI_MOSFET_S_QRR_L_BU*10^-9*Fsw*10^3, VACnom*TI_MOSFET_S_QRR_H_BO*10^-9*Fsw*10^3)/10^-3</f>
        <v>#REF!</v>
      </c>
      <c r="AX157" s="152" t="e">
        <f aca="false">IF(VACnom&gt;Vbat, TI_MOSFET_S_VSD_L_BU*Table7[[#This Row],[Ivalley (A)]]*Fsw*10^3*40*10^-9+TI_MOSFET_S_VSD_L_BU*Table7[[#This Row],[Ipeak (A)]]*Fsw*10^3*30*10^-9, TI_MOSFET_S_VSD_H_BO*Table7[[#This Row],[Ivalley (A)]]*Fsw*10^3*40*10^-9+TI_MOSFET_S_VSD_H_BO*Table7[[#This Row],[Ipeak (A)]]*Fsw*10^3*30*10^-9)/10^-3</f>
        <v>#REF!</v>
      </c>
      <c r="AY157" s="152" t="e">
        <f aca="false">IF(VACnom&gt;Vbat, VACnom*TI_MOSFET_S_QG_L_BU*10^-9*Fsw*10^3, VACnom*TI_MOSFET_S_QG_L_BO*10^-9*Fsw*10^3)/10^-3</f>
        <v>#REF!</v>
      </c>
      <c r="AZ157" s="152" t="e">
        <f aca="false">IF(VACnom&lt;Vbat, Table7[[#This Row],[Duty Cycle]]*Table7[[#This Row],[I_L RMS]]^2*TI_MOSFET_S_RDSON_H_BU*10^-3, (1-Table7[[#This Row],[Duty Cycle]])*Table7[[#This Row],[I_L RMS]]^2*TI_MOSFET_S_RDSON_H_BO*10^-3)/10^-3</f>
        <v>#REF!</v>
      </c>
      <c r="BA157" s="152" t="e">
        <f aca="false">IF(VACnom&gt;Vbat, Table7[[#This Row],[PIV (mW)]]+Table7[[#This Row],[Pqoss (mW)]]+Table7[[#This Row],[Pgate_top (mW)]], Table7[[#This Row],[PRR (mW)]]+Table7[[#This Row],[Pdead (mW)]]+Table7[[#This Row],[Pgate_top (mW)]])</f>
        <v>#REF!</v>
      </c>
      <c r="BB157" s="152" t="e">
        <f aca="false">Table7[[#This Row],[Pcon_top (mW)]]+Table7[[#This Row],[Psw_top (mW)]]</f>
        <v>#REF!</v>
      </c>
      <c r="BC157" s="152" t="e">
        <f aca="false">IF(VACnom&gt;Vbat, (1-Table7[[#This Row],[Duty Cycle]])*Table7[[#This Row],[I_L RMS]]^2*TI_MOSFET_S_RDSON_L_BU*10^-3, Table7[[#This Row],[Duty Cycle]]*Table7[[#This Row],[I_L RMS]]^2*TI_MOSFET_S_RDSON_L_BO*10^-3)/10^-3</f>
        <v>#REF!</v>
      </c>
      <c r="BD157" s="152" t="e">
        <f aca="false">IF(VACnom&gt;Vbat, Table7[[#This Row],[PRR (mW)]]+Table7[[#This Row],[Pdead (mW)]]+Table7[[#This Row],[Pgate_bottom (mW)]], Table7[[#This Row],[PIV (mW)]]+Table7[[#This Row],[Pqoss (mW)]]+Table7[[#This Row],[Pgate_bottom (mW)]])</f>
        <v>#REF!</v>
      </c>
      <c r="BE157" s="154" t="e">
        <f aca="false">Table7[[#This Row],[Pcon_bottom (mW)]]+Table7[[#This Row],[Psw_bottom (mW)]]</f>
        <v>#REF!</v>
      </c>
      <c r="BF157" s="152" t="e">
        <f aca="false">Table7[[#This Row],[Pbottom (mW)]]+Table7[[#This Row],[Ptop (mW)]]</f>
        <v>#REF!</v>
      </c>
      <c r="BG157" s="155"/>
      <c r="BH157" s="152" t="n">
        <f aca="false">MAX(0,Table7[[#This Row],[I_L]]-0.5*Table7[[#This Row],[I_L pkpk]])</f>
        <v>0</v>
      </c>
      <c r="BI157" s="152" t="n">
        <f aca="false">Table7[[#This Row],[I_L]]+0.5*Table7[[#This Row],[I_L pkpk]]</f>
        <v>0.247857142857143</v>
      </c>
      <c r="BJ157" s="152" t="n">
        <f aca="false">IF(VACnom&gt;Vbat, (VGS_S-(C_MOSFET_S_VTH_H_BU+Table7[[#This Row],[I_L]]/C_MOSFET_S_gFS_H_BU))/3.4, (VGS_S-(C_MOSFET_S_VTH_L_BO+Table7[[#This Row],[I_L]]/C_MOSFET_S_gFS_L_BO))/3.4 )</f>
        <v>2.35273529411765</v>
      </c>
      <c r="BK157" s="152" t="n">
        <f aca="false">IF(VACnom&gt;Vbat, ((C_MOSFET_S_VTH_H_BU+Table7[[#This Row],[I_L]]/C_MOSFET_S_gFS_H_BU))/1, ((C_MOSFET_S_VTH_L_BO+Table7[[#This Row],[I_L]]/C_MOSFET_S_gFS_L_BO))/1 )</f>
        <v>2.0007</v>
      </c>
      <c r="BL157" s="152" t="n">
        <f aca="false">IF(VACnom&gt;Vbat, (C_MOSFET_S_QGD_H_BU+C_MOSFET_S_QGS_H_BU)*10^-9/Table7[[#This Row],[Ion (A) C]], (C_MOSFET_S_QGD_L_BO+C_MOSFET_S_QGS_L_BO)*10^-9/Table7[[#This Row],[Ion (A) C]])/10^-9</f>
        <v>2.76274173990224</v>
      </c>
      <c r="BM157" s="152" t="n">
        <f aca="false">IF(VACnom&gt;Vbat, (C_MOSFET_S_QGD_H_BU+C_MOSFET_S_QGS_H_BU)*10^-9/Table7[[#This Row],[Ioff (A) C]], (C_MOSFET_S_QGD_L_BO+C_MOSFET_S_QGS_L_BO)*10^-9/Table7[[#This Row],[Ioff (A) C]])/10^-9</f>
        <v>3.2488628979857</v>
      </c>
      <c r="BN157" s="152" t="n">
        <f aca="false">0.5*VACnom*Table7[[#This Row],[Ivalley (A) C]]*Table7[[#This Row],[ton (ns) C]]*10^-9*Fsw*10^3+0.5*VACnom*Table7[[#This Row],[Ipeak (A) C]]*Table7[[#This Row],[toff (ns) C]]*10^-9*Fsw*10^3/10^-3</f>
        <v>0.966304650515176</v>
      </c>
      <c r="BO157" s="152" t="n">
        <f aca="false">IF(VACnom&gt;Vbat, 0.5*VACnom*C_MOSFET_S_QOSS_H_BU*10^-9*Fsw*10^3,0.5*VACnom*C_MOSFET_S_QOSS_L_BO*10^-9*Fsw*10^3)/10^-3</f>
        <v>43.2</v>
      </c>
      <c r="BP157" s="152" t="e">
        <f aca="false">IF(VACnom&gt;Vbat, VACnom*C_MOSFET_S_QG_H_BU*10^-9*Fsw*10^3,VACnom*C_MOSFET_S_QG_H_BO*10^-9*Fsw*10^3)/10^-3</f>
        <v>#REF!</v>
      </c>
      <c r="BQ157" s="152" t="n">
        <f aca="false">IF(VACnom&gt;Vbat, VACnom*C_MOSFET_S_QRR_L_BU*10^-9*Fsw*10^3, VACnom*C_MOSFET_S_QRR_H_BO*10^-9*Fsw*10^3)/10^-3</f>
        <v>79.2</v>
      </c>
      <c r="BR157" s="152" t="n">
        <f aca="false">IF(VACnom&gt;Vbat, C_MOSFET_S_VSD_L_BU*Table7[[#This Row],[Ivalley (A) C]]*Fsw*10^3*40*10^-9+C_MOSFET_S_VSD_L_BU*Table7[[#This Row],[Ipeak (A) C]]*Fsw*10^3*30*10^-9, C_MOSFET_S_VSD_H_BO*Table7[[#This Row],[Ivalley (A) C]]*Fsw*10^3*40*10^-9+C_MOSFET_S_VSD_H_BO*Table7[[#This Row],[Ipeak (A) C]]*Fsw*10^3*30*10^-9)/10^-3</f>
        <v>1.18971428571429</v>
      </c>
      <c r="BS157" s="152" t="e">
        <f aca="false">IF(VACnom&gt;Vbat, VACnom*C_MOSFET_S_QG_L_BU*10^-9*Fsw*10^3, VACnom*C_MOSFET_S_QG_L_BO*10^-9*Fsw*10^3)/10^-3</f>
        <v>#REF!</v>
      </c>
      <c r="BT157" s="152" t="n">
        <f aca="false">IF(VACnom&lt;Vbat, Table7[[#This Row],[Duty Cycle]]*Table7[[#This Row],[I_L RMS]]^2*C_MOSFET_S_RDSON_H_BU*10^-3, (1-Table7[[#This Row],[Duty Cycle]])*Table7[[#This Row],[I_L RMS]]^2*C_MOSFET_S_RDSON_H_BO*10^-3)/10^-3</f>
        <v>0.00483895286686102</v>
      </c>
      <c r="BU157" s="152" t="e">
        <f aca="false">IF(VACnom&gt;Vbat, Table7[[#This Row],[PIV (mW) C]]+Table7[[#This Row],[PQoss (mW) C]]+Table7[[#This Row],[Pgate_top (mW) C]], Table7[[#This Row],[PRR (mW) C]]+Table7[[#This Row],[Pdead (mW) C]]+Table7[[#This Row],[Pgate_top (mW) C]])</f>
        <v>#REF!</v>
      </c>
      <c r="BV157" s="152" t="e">
        <f aca="false">Table7[[#This Row],[Pcon_top (mW) C]]+Table7[[#This Row],[Psw_top (mW) C]]</f>
        <v>#REF!</v>
      </c>
      <c r="BW157" s="152" t="e">
        <f aca="false">IF(VACnom&gt;Vbat, (1-Table7[[#This Row],[Duty Cycle]])*Table7[[#This Row],[I_L RMS]]^2*C_MOSFET_S_RDSON_L_BU*10^-3, Table7[[#This Row],[Duty Cycle]]*Table7[[#This Row],[I_L RMS]]^2*C_MOSFET_S_RDSON_L_BO*10^-3)/10^-3</f>
        <v>#REF!</v>
      </c>
      <c r="BX157" s="152" t="e">
        <f aca="false">IF(VACnom&gt;Vbat, Table7[[#This Row],[PRR (mW) C]]+Table7[[#This Row],[Pdead (mW) C]]+Table7[[#This Row],[Pgate_bottom (mW) C]], Table7[[#This Row],[PIV (mW) C]]+Table7[[#This Row],[PQoss (mW) C]]+Table7[[#This Row],[Pgate_bottom (mW) C]])</f>
        <v>#REF!</v>
      </c>
      <c r="BY157" s="152" t="e">
        <f aca="false">Table7[[#This Row],[Pcon_bottom (mW) C]]+Table7[[#This Row],[Psw_bottom (mV) C]]</f>
        <v>#REF!</v>
      </c>
      <c r="BZ157" s="152" t="e">
        <f aca="false">Table7[[#This Row],[Pbottom (mW) C]]+Table7[[#This Row],[Ptop (mW) C]]</f>
        <v>#REF!</v>
      </c>
      <c r="CA157" s="156"/>
      <c r="CB157" s="151" t="n">
        <f aca="false">(RAC_SNS*10^-3*(Table7[[#This Row],[IOUT (A)]]*Vbat/VACnom)^2/10^-3)</f>
        <v>0.055125</v>
      </c>
      <c r="CC157" s="151" t="n">
        <f aca="false">(RBAT_SNS*10^-3*Table7[[#This Row],[IOUT (A)]]^2)/10^-3</f>
        <v>0.05</v>
      </c>
      <c r="CD157" s="151" t="n">
        <f aca="false">IF(VACnom&gt;Vbat,(L_DRC*10^-3*(Table7[[#This Row],[IOUT (A)]])^2/10^-3),(L_DRC*10^-3*(Table7[[#This Row],[IOUT (A)]]*Vbat/VACnom)^2/10^-3))</f>
        <v>0.1323</v>
      </c>
      <c r="CE157" s="157"/>
      <c r="CF157" s="152" t="n">
        <f aca="false">(Table7[[#This Row],[R_AC (mW)]]+Table7[[#This Row],[R_SR (mW)]]+Table7[[#This Row],[Inductor Loss (mW)]])/10^3</f>
        <v>0.000237425</v>
      </c>
      <c r="CG157" s="152" t="e">
        <f aca="false">Table7[[#This Row],[Total TI (mW)]]/10^3</f>
        <v>#REF!</v>
      </c>
      <c r="CH157" s="152" t="e">
        <f aca="false">Table7[[#This Row],[Total Sense Loss]]+Table7[[#This Row],[Total MOSFET Loss]]</f>
        <v>#REF!</v>
      </c>
      <c r="CI157" s="158" t="e">
        <f aca="false">IF(Table7[[#This Row],[POUT (W)]]=0,0,(Table7[[#This Row],[POUT (W)]])/(Table7[[#This Row],[POUT (W)]]+Table7[[#This Row],[Total Power Loss (W)]]))*100</f>
        <v>#REF!</v>
      </c>
      <c r="CJ157" s="159"/>
      <c r="CK157" s="152" t="n">
        <f aca="false">(Table7[[#This Row],[R_AC (mW)]]+Table7[[#This Row],[R_SR (mW)]]+Table7[[#This Row],[Inductor Loss (mW)]])/10^3</f>
        <v>0.000237425</v>
      </c>
      <c r="CL157" s="152" t="e">
        <f aca="false">Table7[[#This Row],[Total (mW) C]]/10^3</f>
        <v>#REF!</v>
      </c>
      <c r="CM157" s="152" t="e">
        <f aca="false">Table7[[#This Row],[Total Sense Loss C]]+Table7[[#This Row],[Total MOSFET Loss C]]</f>
        <v>#REF!</v>
      </c>
      <c r="CN157" s="158" t="e">
        <f aca="false">IF(Table7[[#This Row],[POUT (W)]]=0,0,(Table7[[#This Row],[POUT (W)]])/(Table7[[#This Row],[POUT (W)]]+Table7[[#This Row],[Total Power Loss (W) C]]))*100</f>
        <v>#REF!</v>
      </c>
      <c r="CO157" s="159"/>
      <c r="CP157" s="158" t="n">
        <f aca="false">IF(MOSFET_S=Custom_MOSFET,Table7[[#This Row],[Total Sense Loss C]],Table7[[#This Row],[Total Sense Loss]])</f>
        <v>0.000237425</v>
      </c>
      <c r="CQ157" s="158" t="e">
        <f aca="false">IF(MOSFET_S=Custom_MOSFET,Table7[[#This Row],[Total MOSFET Loss C]],Table7[[#This Row],[Total MOSFET Loss]])</f>
        <v>#REF!</v>
      </c>
      <c r="CR157" s="158" t="e">
        <f aca="false">IF(MOSFET_S=Custom_MOSFET,Table7[[#This Row],[Efficiency C]],Table7[[#This Row],[Efficiency]])</f>
        <v>#REF!</v>
      </c>
      <c r="CS157" s="159"/>
      <c r="CT157" s="158" t="n">
        <f aca="false">IF(MOSFET_S=Compare_MOSFET, Table7[[#This Row],[Total Sense Loss C]], -100)</f>
        <v>-100</v>
      </c>
      <c r="CU157" s="158" t="n">
        <f aca="false">IF(MOSFET_S=Compare_MOSFET, Table7[[#This Row],[Total MOSFET Loss C]], -100)</f>
        <v>-100</v>
      </c>
      <c r="CV157" s="158" t="n">
        <f aca="false">IF(MOSFET_S=Compare_MOSFET, Table7[[#This Row],[Efficiency C]], -100)</f>
        <v>-100</v>
      </c>
      <c r="CW157" s="159"/>
      <c r="CX157" s="158" t="e">
        <f aca="false">IF(Save_Sel=CLR_Save,  Table7[[#This Row],[Total Sense Loss P1]], Table7[[#This Row],[Total Sense Loss P1 Saved]])</f>
        <v>#VALUE!</v>
      </c>
      <c r="CY157" s="158" t="e">
        <f aca="false">IF(Save_Sel=CLR_Save,  Table7[[#This Row],[Total MOSFET Loss P1]], Table7[[#This Row],[Total MOSFET Loss P1 Saved]] )</f>
        <v>#VALUE!</v>
      </c>
      <c r="CZ157" s="158" t="e">
        <f aca="false">IF(Save_Sel=CLR_Save, Table7[[#This Row],[Efficiency P1]], Table7[[#This Row],[Efficiency P1 Saved]])</f>
        <v>#VALUE!</v>
      </c>
      <c r="DA157" s="159"/>
      <c r="DB157" s="158" t="e">
        <f aca="false">IF(Save_Sel=CLR_Save,  Table7[[#This Row],[Total Sense Loss P2]], Table7[[#This Row],[Total Sense Loss P2 Saved]])</f>
        <v>#VALUE!</v>
      </c>
      <c r="DC157" s="158" t="e">
        <f aca="false">IF(Save_Sel=CLR_Save,  Table7[[#This Row],[Total MOSFET Loss P2]], Table7[[#This Row],[Total MOSFET Loss P2 Saved]] )</f>
        <v>#VALUE!</v>
      </c>
      <c r="DD157" s="158" t="e">
        <f aca="false">IF(Save_Sel=CLR_Save, Table7[[#This Row],[Efficiency P2]], Table7[[#This Row],[Efficiency P2 Saved]])</f>
        <v>#VALUE!</v>
      </c>
      <c r="DE157" s="159"/>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row>
    <row r="158" customFormat="false" ht="16.4" hidden="false" customHeight="false" outlineLevel="0" collapsed="false">
      <c r="A158" s="39"/>
      <c r="B158" s="84"/>
      <c r="C158" s="84"/>
      <c r="D158" s="28" t="s">
        <v>255</v>
      </c>
      <c r="E158" s="161" t="n">
        <v>10</v>
      </c>
      <c r="F158" s="161"/>
      <c r="G158" s="119" t="s">
        <v>7</v>
      </c>
      <c r="H158" s="27"/>
      <c r="I158" s="27" t="n">
        <v>4.5</v>
      </c>
      <c r="J158" s="24" t="n">
        <v>10</v>
      </c>
      <c r="K158" s="24" t="n">
        <f aca="false">$E$152</f>
        <v>12</v>
      </c>
      <c r="L158" s="24"/>
      <c r="M158" s="24"/>
      <c r="N158" s="24"/>
      <c r="O158" s="24"/>
      <c r="P158" s="24"/>
      <c r="Q158" s="24"/>
      <c r="R158" s="24"/>
      <c r="S158" s="25"/>
      <c r="T158" s="6"/>
      <c r="U158" s="7"/>
      <c r="V158" s="7"/>
      <c r="W158" s="7"/>
      <c r="X158" s="7"/>
      <c r="Y158" s="7"/>
      <c r="Z158" s="7"/>
      <c r="AA158" s="7"/>
      <c r="AB158" s="7"/>
      <c r="AC158" s="7"/>
      <c r="AD158" s="7"/>
      <c r="AE158" s="7"/>
      <c r="AF158" s="150" t="n">
        <f aca="false">AF157+1</f>
        <v>2</v>
      </c>
      <c r="AG158" s="150" t="n">
        <f aca="false">$AG$156+AF158*($AG$256-$AG$156)/$AF$256</f>
        <v>0.2</v>
      </c>
      <c r="AH158" s="151" t="n">
        <f aca="false">AG158*VACnom</f>
        <v>2.4</v>
      </c>
      <c r="AI158" s="152" t="n">
        <f aca="false">IF(VACnom&lt;Vbat, (Vbat-VACnom)/Vbat, Vbat/VACnom)</f>
        <v>0.0476190476190476</v>
      </c>
      <c r="AJ158" s="152" t="n">
        <f aca="false">IF(VACnom&lt;Vbat, AG158/(1-AI158), AG158*AI158)</f>
        <v>0.21</v>
      </c>
      <c r="AK158" s="152" t="n">
        <f aca="false">Ipkpk_VACnom</f>
        <v>0.285714285714285</v>
      </c>
      <c r="AL158" s="152" t="n">
        <f aca="false">SQRT(AJ158^2+AK158^2/12)</f>
        <v>0.225616313879195</v>
      </c>
      <c r="AM158" s="153"/>
      <c r="AN158" s="152" t="n">
        <f aca="false">MAX(0,Table7[[#This Row],[I_L]]-0.5*Table7[[#This Row],[I_L pkpk]])</f>
        <v>0.0671428571428573</v>
      </c>
      <c r="AO158" s="152" t="n">
        <f aca="false">Table7[[#This Row],[I_L]]+0.5*Table7[[#This Row],[I_L pkpk]]</f>
        <v>0.352857142857143</v>
      </c>
      <c r="AP158" s="152" t="e">
        <f aca="false">IF(VACnom&gt;Vbat, (VGS_S-(TI_MOSFET_S_VTH_H_BU+Table7[[#This Row],[I_L]]/TI_MOSFET_S_gFS_H_BU))/3.4, (VGS_S-(TI_MOSFET_S_VTH_L_BO+Table7[[#This Row],[I_L]]/TI_MOSFET_S_gFS_L_BO))/3.4 )</f>
        <v>#REF!</v>
      </c>
      <c r="AQ158" s="152" t="e">
        <f aca="false">IF(VACnom&gt;Vbat, ((TI_MOSFET_S_VTH_H_BU+Table7[[#This Row],[I_L]]/TI_MOSFET_S_gFS_H_BU))/1, ((TI_MOSFET_S_VTH_L_BO+Table7[[#This Row],[I_L]]/TI_MOSFET_S_gFS_L_BO))/1 )</f>
        <v>#REF!</v>
      </c>
      <c r="AR158" s="152" t="e">
        <f aca="false">IF(VACnom&gt;Vbat, (TI_MOSFET_S_QGD_H_BU+TI_MOSFET_S_QGS_H_BU)*10^-9/Table7[[#This Row],[Ion (A)]], (TI_MOSFET_S_QGD_L_BO+TI_MOSFET_S_QGS_L_BO)*10^-9/Table7[[#This Row],[Ion (A)]])/10^-9</f>
        <v>#REF!</v>
      </c>
      <c r="AS158" s="152" t="e">
        <f aca="false">IF(VACnom&gt;Vbat, (TI_MOSFET_S_QGD_H_BU+TI_MOSFET_S_QGS_H_BU)*10^-9/Table7[[#This Row],[Ioff (A)]], (TI_MOSFET_S_QGD_L_BO+TI_MOSFET_S_QGS_L_BO)*10^-9/Table7[[#This Row],[Ioff (A)]])/10^-9</f>
        <v>#REF!</v>
      </c>
      <c r="AT158" s="152" t="e">
        <f aca="false">0.5*VACnom*Table7[[#This Row],[Ivalley (A)]]*Table7[[#This Row],[ton (ns)]]*10^-9*Fsw*10^3+0.5*VACnom*Table7[[#This Row],[Ipeak (A)]]*Table7[[#This Row],[toff (ns)]]*10^-9*Fsw*10^3/10^-3</f>
        <v>#REF!</v>
      </c>
      <c r="AU158" s="152" t="e">
        <f aca="false">IF(VACnom&gt;Vbat, 0.5*VACnom*TI_MOSFET_S_QOSS_H_BU*10^-9*Fsw*10^3,0.5*VACnom*TI_MOSFET_S_QOSS_L_BO*10^-9*Fsw*10^3)/10^-3</f>
        <v>#REF!</v>
      </c>
      <c r="AV158" s="152" t="e">
        <f aca="false">IF(VACnom&gt;Vbat, VACnom*TI_MOSFET_S_QG_H_BU*10^-9*Fsw*10^3,VACnom*TI_MOSFET_S_QG_H_BO*10^-9*Fsw*10^3)/10^-3</f>
        <v>#REF!</v>
      </c>
      <c r="AW158" s="152" t="e">
        <f aca="false">IF(VACnom&gt;Vbat, VACnom*TI_MOSFET_S_QRR_L_BU*10^-9*Fsw*10^3, VACnom*TI_MOSFET_S_QRR_H_BO*10^-9*Fsw*10^3)/10^-3</f>
        <v>#REF!</v>
      </c>
      <c r="AX158" s="152" t="e">
        <f aca="false">IF(VACnom&gt;Vbat, TI_MOSFET_S_VSD_L_BU*Table7[[#This Row],[Ivalley (A)]]*Fsw*10^3*40*10^-9+TI_MOSFET_S_VSD_L_BU*Table7[[#This Row],[Ipeak (A)]]*Fsw*10^3*30*10^-9, TI_MOSFET_S_VSD_H_BO*Table7[[#This Row],[Ivalley (A)]]*Fsw*10^3*40*10^-9+TI_MOSFET_S_VSD_H_BO*Table7[[#This Row],[Ipeak (A)]]*Fsw*10^3*30*10^-9)/10^-3</f>
        <v>#REF!</v>
      </c>
      <c r="AY158" s="152" t="e">
        <f aca="false">IF(VACnom&gt;Vbat, VACnom*TI_MOSFET_S_QG_L_BU*10^-9*Fsw*10^3, VACnom*TI_MOSFET_S_QG_L_BO*10^-9*Fsw*10^3)/10^-3</f>
        <v>#REF!</v>
      </c>
      <c r="AZ158" s="152" t="e">
        <f aca="false">IF(VACnom&lt;Vbat, Table7[[#This Row],[Duty Cycle]]*Table7[[#This Row],[I_L RMS]]^2*TI_MOSFET_S_RDSON_H_BU*10^-3, (1-Table7[[#This Row],[Duty Cycle]])*Table7[[#This Row],[I_L RMS]]^2*TI_MOSFET_S_RDSON_H_BO*10^-3)/10^-3</f>
        <v>#REF!</v>
      </c>
      <c r="BA158" s="152" t="e">
        <f aca="false">IF(VACnom&gt;Vbat, Table7[[#This Row],[PIV (mW)]]+Table7[[#This Row],[Pqoss (mW)]]+Table7[[#This Row],[Pgate_top (mW)]], Table7[[#This Row],[PRR (mW)]]+Table7[[#This Row],[Pdead (mW)]]+Table7[[#This Row],[Pgate_top (mW)]])</f>
        <v>#REF!</v>
      </c>
      <c r="BB158" s="152" t="e">
        <f aca="false">Table7[[#This Row],[Pcon_top (mW)]]+Table7[[#This Row],[Psw_top (mW)]]</f>
        <v>#REF!</v>
      </c>
      <c r="BC158" s="152" t="e">
        <f aca="false">IF(VACnom&gt;Vbat, (1-Table7[[#This Row],[Duty Cycle]])*Table7[[#This Row],[I_L RMS]]^2*TI_MOSFET_S_RDSON_L_BU*10^-3, Table7[[#This Row],[Duty Cycle]]*Table7[[#This Row],[I_L RMS]]^2*TI_MOSFET_S_RDSON_L_BO*10^-3)/10^-3</f>
        <v>#REF!</v>
      </c>
      <c r="BD158" s="152" t="e">
        <f aca="false">IF(VACnom&gt;Vbat, Table7[[#This Row],[PRR (mW)]]+Table7[[#This Row],[Pdead (mW)]]+Table7[[#This Row],[Pgate_bottom (mW)]], Table7[[#This Row],[PIV (mW)]]+Table7[[#This Row],[Pqoss (mW)]]+Table7[[#This Row],[Pgate_bottom (mW)]])</f>
        <v>#REF!</v>
      </c>
      <c r="BE158" s="154" t="e">
        <f aca="false">Table7[[#This Row],[Pcon_bottom (mW)]]+Table7[[#This Row],[Psw_bottom (mW)]]</f>
        <v>#REF!</v>
      </c>
      <c r="BF158" s="152" t="e">
        <f aca="false">Table7[[#This Row],[Pbottom (mW)]]+Table7[[#This Row],[Ptop (mW)]]</f>
        <v>#REF!</v>
      </c>
      <c r="BG158" s="155"/>
      <c r="BH158" s="152" t="n">
        <f aca="false">MAX(0,Table7[[#This Row],[I_L]]-0.5*Table7[[#This Row],[I_L pkpk]])</f>
        <v>0.0671428571428573</v>
      </c>
      <c r="BI158" s="152" t="n">
        <f aca="false">Table7[[#This Row],[I_L]]+0.5*Table7[[#This Row],[I_L pkpk]]</f>
        <v>0.352857142857143</v>
      </c>
      <c r="BJ158" s="152" t="n">
        <f aca="false">IF(VACnom&gt;Vbat, (VGS_S-(C_MOSFET_S_VTH_H_BU+Table7[[#This Row],[I_L]]/C_MOSFET_S_gFS_H_BU))/3.4, (VGS_S-(C_MOSFET_S_VTH_L_BO+Table7[[#This Row],[I_L]]/C_MOSFET_S_gFS_L_BO))/3.4 )</f>
        <v>2.35252941176471</v>
      </c>
      <c r="BK158" s="152" t="n">
        <f aca="false">IF(VACnom&gt;Vbat, ((C_MOSFET_S_VTH_H_BU+Table7[[#This Row],[I_L]]/C_MOSFET_S_gFS_H_BU))/1, ((C_MOSFET_S_VTH_L_BO+Table7[[#This Row],[I_L]]/C_MOSFET_S_gFS_L_BO))/1 )</f>
        <v>2.0014</v>
      </c>
      <c r="BL158" s="152" t="n">
        <f aca="false">IF(VACnom&gt;Vbat, (C_MOSFET_S_QGD_H_BU+C_MOSFET_S_QGS_H_BU)*10^-9/Table7[[#This Row],[Ion (A) C]], (C_MOSFET_S_QGD_L_BO+C_MOSFET_S_QGS_L_BO)*10^-9/Table7[[#This Row],[Ion (A) C]])/10^-9</f>
        <v>2.76298352211637</v>
      </c>
      <c r="BM158" s="152" t="n">
        <f aca="false">IF(VACnom&gt;Vbat, (C_MOSFET_S_QGD_H_BU+C_MOSFET_S_QGS_H_BU)*10^-9/Table7[[#This Row],[Ioff (A) C]], (C_MOSFET_S_QGD_L_BO+C_MOSFET_S_QGS_L_BO)*10^-9/Table7[[#This Row],[Ioff (A) C]])/10^-9</f>
        <v>3.24772659138603</v>
      </c>
      <c r="BN158" s="152" t="n">
        <f aca="false">0.5*VACnom*Table7[[#This Row],[Ivalley (A) C]]*Table7[[#This Row],[ton (ns) C]]*10^-9*Fsw*10^3+0.5*VACnom*Table7[[#This Row],[Ipeak (A) C]]*Table7[[#This Row],[toff (ns) C]]*10^-9*Fsw*10^3/10^-3</f>
        <v>1.37540284851067</v>
      </c>
      <c r="BO158" s="152" t="n">
        <f aca="false">IF(VACnom&gt;Vbat, 0.5*VACnom*C_MOSFET_S_QOSS_H_BU*10^-9*Fsw*10^3,0.5*VACnom*C_MOSFET_S_QOSS_L_BO*10^-9*Fsw*10^3)/10^-3</f>
        <v>43.2</v>
      </c>
      <c r="BP158" s="152" t="e">
        <f aca="false">IF(VACnom&gt;Vbat, VACnom*C_MOSFET_S_QG_H_BU*10^-9*Fsw*10^3,VACnom*C_MOSFET_S_QG_H_BO*10^-9*Fsw*10^3)/10^-3</f>
        <v>#REF!</v>
      </c>
      <c r="BQ158" s="152" t="n">
        <f aca="false">IF(VACnom&gt;Vbat, VACnom*C_MOSFET_S_QRR_L_BU*10^-9*Fsw*10^3, VACnom*C_MOSFET_S_QRR_H_BO*10^-9*Fsw*10^3)/10^-3</f>
        <v>79.2</v>
      </c>
      <c r="BR158" s="152" t="n">
        <f aca="false">IF(VACnom&gt;Vbat, C_MOSFET_S_VSD_L_BU*Table7[[#This Row],[Ivalley (A) C]]*Fsw*10^3*40*10^-9+C_MOSFET_S_VSD_L_BU*Table7[[#This Row],[Ipeak (A) C]]*Fsw*10^3*30*10^-9, C_MOSFET_S_VSD_H_BO*Table7[[#This Row],[Ivalley (A) C]]*Fsw*10^3*40*10^-9+C_MOSFET_S_VSD_H_BO*Table7[[#This Row],[Ipeak (A) C]]*Fsw*10^3*30*10^-9)/10^-3</f>
        <v>2.12342857142857</v>
      </c>
      <c r="BS158" s="152" t="e">
        <f aca="false">IF(VACnom&gt;Vbat, VACnom*C_MOSFET_S_QG_L_BU*10^-9*Fsw*10^3, VACnom*C_MOSFET_S_QG_L_BO*10^-9*Fsw*10^3)/10^-3</f>
        <v>#REF!</v>
      </c>
      <c r="BT158" s="152" t="n">
        <f aca="false">IF(VACnom&lt;Vbat, Table7[[#This Row],[Duty Cycle]]*Table7[[#This Row],[I_L RMS]]^2*C_MOSFET_S_RDSON_H_BU*10^-3, (1-Table7[[#This Row],[Duty Cycle]])*Table7[[#This Row],[I_L RMS]]^2*C_MOSFET_S_RDSON_H_BO*10^-3)/10^-3</f>
        <v>0.013816452866861</v>
      </c>
      <c r="BU158" s="152" t="e">
        <f aca="false">IF(VACnom&gt;Vbat, Table7[[#This Row],[PIV (mW) C]]+Table7[[#This Row],[PQoss (mW) C]]+Table7[[#This Row],[Pgate_top (mW) C]], Table7[[#This Row],[PRR (mW) C]]+Table7[[#This Row],[Pdead (mW) C]]+Table7[[#This Row],[Pgate_top (mW) C]])</f>
        <v>#REF!</v>
      </c>
      <c r="BV158" s="152" t="e">
        <f aca="false">Table7[[#This Row],[Pcon_top (mW) C]]+Table7[[#This Row],[Psw_top (mW) C]]</f>
        <v>#REF!</v>
      </c>
      <c r="BW158" s="152" t="e">
        <f aca="false">IF(VACnom&gt;Vbat, (1-Table7[[#This Row],[Duty Cycle]])*Table7[[#This Row],[I_L RMS]]^2*C_MOSFET_S_RDSON_L_BU*10^-3, Table7[[#This Row],[Duty Cycle]]*Table7[[#This Row],[I_L RMS]]^2*C_MOSFET_S_RDSON_L_BO*10^-3)/10^-3</f>
        <v>#REF!</v>
      </c>
      <c r="BX158" s="152" t="e">
        <f aca="false">IF(VACnom&gt;Vbat, Table7[[#This Row],[PRR (mW) C]]+Table7[[#This Row],[Pdead (mW) C]]+Table7[[#This Row],[Pgate_bottom (mW) C]], Table7[[#This Row],[PIV (mW) C]]+Table7[[#This Row],[PQoss (mW) C]]+Table7[[#This Row],[Pgate_bottom (mW) C]])</f>
        <v>#REF!</v>
      </c>
      <c r="BY158" s="152" t="e">
        <f aca="false">Table7[[#This Row],[Pcon_bottom (mW) C]]+Table7[[#This Row],[Psw_bottom (mV) C]]</f>
        <v>#REF!</v>
      </c>
      <c r="BZ158" s="152" t="e">
        <f aca="false">Table7[[#This Row],[Pbottom (mW) C]]+Table7[[#This Row],[Ptop (mW) C]]</f>
        <v>#REF!</v>
      </c>
      <c r="CA158" s="156"/>
      <c r="CB158" s="151" t="n">
        <f aca="false">(RAC_SNS*10^-3*(Table7[[#This Row],[IOUT (A)]]*Vbat/VACnom)^2/10^-3)</f>
        <v>0.2205</v>
      </c>
      <c r="CC158" s="151" t="n">
        <f aca="false">(RBAT_SNS*10^-3*Table7[[#This Row],[IOUT (A)]]^2)/10^-3</f>
        <v>0.2</v>
      </c>
      <c r="CD158" s="151" t="n">
        <f aca="false">IF(VACnom&gt;Vbat,(L_DRC*10^-3*(Table7[[#This Row],[IOUT (A)]])^2/10^-3),(L_DRC*10^-3*(Table7[[#This Row],[IOUT (A)]]*Vbat/VACnom)^2/10^-3))</f>
        <v>0.5292</v>
      </c>
      <c r="CE158" s="157"/>
      <c r="CF158" s="152" t="n">
        <f aca="false">(Table7[[#This Row],[R_AC (mW)]]+Table7[[#This Row],[R_SR (mW)]]+Table7[[#This Row],[Inductor Loss (mW)]])/10^3</f>
        <v>0.0009497</v>
      </c>
      <c r="CG158" s="152" t="e">
        <f aca="false">Table7[[#This Row],[Total TI (mW)]]/10^3</f>
        <v>#REF!</v>
      </c>
      <c r="CH158" s="152" t="e">
        <f aca="false">Table7[[#This Row],[Total Sense Loss]]+Table7[[#This Row],[Total MOSFET Loss]]</f>
        <v>#REF!</v>
      </c>
      <c r="CI158" s="158" t="e">
        <f aca="false">IF(Table7[[#This Row],[POUT (W)]]=0,0,(Table7[[#This Row],[POUT (W)]])/(Table7[[#This Row],[POUT (W)]]+Table7[[#This Row],[Total Power Loss (W)]]))*100</f>
        <v>#REF!</v>
      </c>
      <c r="CJ158" s="159"/>
      <c r="CK158" s="152" t="n">
        <f aca="false">(Table7[[#This Row],[R_AC (mW)]]+Table7[[#This Row],[R_SR (mW)]]+Table7[[#This Row],[Inductor Loss (mW)]])/10^3</f>
        <v>0.0009497</v>
      </c>
      <c r="CL158" s="152" t="e">
        <f aca="false">Table7[[#This Row],[Total (mW) C]]/10^3</f>
        <v>#REF!</v>
      </c>
      <c r="CM158" s="152" t="e">
        <f aca="false">Table7[[#This Row],[Total Sense Loss C]]+Table7[[#This Row],[Total MOSFET Loss C]]</f>
        <v>#REF!</v>
      </c>
      <c r="CN158" s="158" t="e">
        <f aca="false">IF(Table7[[#This Row],[POUT (W)]]=0,0,(Table7[[#This Row],[POUT (W)]])/(Table7[[#This Row],[POUT (W)]]+Table7[[#This Row],[Total Power Loss (W) C]]))*100</f>
        <v>#REF!</v>
      </c>
      <c r="CO158" s="159"/>
      <c r="CP158" s="158" t="n">
        <f aca="false">IF(MOSFET_S=Custom_MOSFET,Table7[[#This Row],[Total Sense Loss C]],Table7[[#This Row],[Total Sense Loss]])</f>
        <v>0.0009497</v>
      </c>
      <c r="CQ158" s="158" t="e">
        <f aca="false">IF(MOSFET_S=Custom_MOSFET,Table7[[#This Row],[Total MOSFET Loss C]],Table7[[#This Row],[Total MOSFET Loss]])</f>
        <v>#REF!</v>
      </c>
      <c r="CR158" s="158" t="e">
        <f aca="false">IF(MOSFET_S=Custom_MOSFET,Table7[[#This Row],[Efficiency C]],Table7[[#This Row],[Efficiency]])</f>
        <v>#REF!</v>
      </c>
      <c r="CS158" s="159"/>
      <c r="CT158" s="158" t="n">
        <f aca="false">IF(MOSFET_S=Compare_MOSFET, Table7[[#This Row],[Total Sense Loss C]], -100)</f>
        <v>-100</v>
      </c>
      <c r="CU158" s="158" t="n">
        <f aca="false">IF(MOSFET_S=Compare_MOSFET, Table7[[#This Row],[Total MOSFET Loss C]], -100)</f>
        <v>-100</v>
      </c>
      <c r="CV158" s="158" t="n">
        <f aca="false">IF(MOSFET_S=Compare_MOSFET, Table7[[#This Row],[Efficiency C]], -100)</f>
        <v>-100</v>
      </c>
      <c r="CW158" s="159"/>
      <c r="CX158" s="158" t="e">
        <f aca="false">IF(Save_Sel=CLR_Save,  Table7[[#This Row],[Total Sense Loss P1]], Table7[[#This Row],[Total Sense Loss P1 Saved]])</f>
        <v>#VALUE!</v>
      </c>
      <c r="CY158" s="158" t="e">
        <f aca="false">IF(Save_Sel=CLR_Save,  Table7[[#This Row],[Total MOSFET Loss P1]], Table7[[#This Row],[Total MOSFET Loss P1 Saved]] )</f>
        <v>#VALUE!</v>
      </c>
      <c r="CZ158" s="158" t="e">
        <f aca="false">IF(Save_Sel=CLR_Save, Table7[[#This Row],[Efficiency P1]], Table7[[#This Row],[Efficiency P1 Saved]])</f>
        <v>#VALUE!</v>
      </c>
      <c r="DA158" s="159"/>
      <c r="DB158" s="158" t="e">
        <f aca="false">IF(Save_Sel=CLR_Save,  Table7[[#This Row],[Total Sense Loss P2]], Table7[[#This Row],[Total Sense Loss P2 Saved]])</f>
        <v>#VALUE!</v>
      </c>
      <c r="DC158" s="158" t="e">
        <f aca="false">IF(Save_Sel=CLR_Save,  Table7[[#This Row],[Total MOSFET Loss P2]], Table7[[#This Row],[Total MOSFET Loss P2 Saved]] )</f>
        <v>#VALUE!</v>
      </c>
      <c r="DD158" s="158" t="e">
        <f aca="false">IF(Save_Sel=CLR_Save, Table7[[#This Row],[Efficiency P2]], Table7[[#This Row],[Efficiency P2 Saved]])</f>
        <v>#VALUE!</v>
      </c>
      <c r="DE158" s="159"/>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row>
    <row r="159" customFormat="false" ht="16.4" hidden="false" customHeight="false" outlineLevel="0" collapsed="false">
      <c r="A159" s="69"/>
      <c r="B159" s="97"/>
      <c r="C159" s="97"/>
      <c r="D159" s="35" t="s">
        <v>256</v>
      </c>
      <c r="E159" s="162" t="s">
        <v>257</v>
      </c>
      <c r="F159" s="162"/>
      <c r="G159" s="130"/>
      <c r="H159" s="27"/>
      <c r="I159" s="24" t="s">
        <v>257</v>
      </c>
      <c r="J159" s="24" t="s">
        <v>258</v>
      </c>
      <c r="K159" s="31" t="e">
        <f aca="false">IF(Save_Sel=Save,K159,Ioutmax)</f>
        <v>#VALUE!</v>
      </c>
      <c r="L159" s="24"/>
      <c r="M159" s="24"/>
      <c r="N159" s="24"/>
      <c r="O159" s="24"/>
      <c r="P159" s="24"/>
      <c r="Q159" s="24"/>
      <c r="R159" s="24"/>
      <c r="S159" s="25"/>
      <c r="T159" s="6"/>
      <c r="U159" s="7"/>
      <c r="V159" s="7"/>
      <c r="W159" s="7"/>
      <c r="X159" s="7"/>
      <c r="Y159" s="7"/>
      <c r="Z159" s="7"/>
      <c r="AA159" s="7"/>
      <c r="AB159" s="7"/>
      <c r="AC159" s="7"/>
      <c r="AD159" s="7"/>
      <c r="AE159" s="7"/>
      <c r="AF159" s="150" t="n">
        <f aca="false">AF158+1</f>
        <v>3</v>
      </c>
      <c r="AG159" s="150" t="n">
        <f aca="false">$AG$156+AF159*($AG$256-$AG$156)/$AF$256</f>
        <v>0.3</v>
      </c>
      <c r="AH159" s="151" t="n">
        <f aca="false">AG159*VACnom</f>
        <v>3.6</v>
      </c>
      <c r="AI159" s="152" t="n">
        <f aca="false">IF(VACnom&lt;Vbat, (Vbat-VACnom)/Vbat, Vbat/VACnom)</f>
        <v>0.0476190476190476</v>
      </c>
      <c r="AJ159" s="152" t="n">
        <f aca="false">IF(VACnom&lt;Vbat, AG159/(1-AI159), AG159*AI159)</f>
        <v>0.315</v>
      </c>
      <c r="AK159" s="152" t="n">
        <f aca="false">Ipkpk_VACnom</f>
        <v>0.285714285714285</v>
      </c>
      <c r="AL159" s="152" t="n">
        <f aca="false">SQRT(AJ159^2+AK159^2/12)</f>
        <v>0.325618981462131</v>
      </c>
      <c r="AM159" s="153"/>
      <c r="AN159" s="152" t="n">
        <f aca="false">MAX(0,Table7[[#This Row],[I_L]]-0.5*Table7[[#This Row],[I_L pkpk]])</f>
        <v>0.172142857142857</v>
      </c>
      <c r="AO159" s="152" t="n">
        <f aca="false">Table7[[#This Row],[I_L]]+0.5*Table7[[#This Row],[I_L pkpk]]</f>
        <v>0.457857142857143</v>
      </c>
      <c r="AP159" s="152" t="e">
        <f aca="false">IF(VACnom&gt;Vbat, (VGS_S-(TI_MOSFET_S_VTH_H_BU+Table7[[#This Row],[I_L]]/TI_MOSFET_S_gFS_H_BU))/3.4, (VGS_S-(TI_MOSFET_S_VTH_L_BO+Table7[[#This Row],[I_L]]/TI_MOSFET_S_gFS_L_BO))/3.4 )</f>
        <v>#REF!</v>
      </c>
      <c r="AQ159" s="152" t="e">
        <f aca="false">IF(VACnom&gt;Vbat, ((TI_MOSFET_S_VTH_H_BU+Table7[[#This Row],[I_L]]/TI_MOSFET_S_gFS_H_BU))/1, ((TI_MOSFET_S_VTH_L_BO+Table7[[#This Row],[I_L]]/TI_MOSFET_S_gFS_L_BO))/1 )</f>
        <v>#REF!</v>
      </c>
      <c r="AR159" s="152" t="e">
        <f aca="false">IF(VACnom&gt;Vbat, (TI_MOSFET_S_QGD_H_BU+TI_MOSFET_S_QGS_H_BU)*10^-9/Table7[[#This Row],[Ion (A)]], (TI_MOSFET_S_QGD_L_BO+TI_MOSFET_S_QGS_L_BO)*10^-9/Table7[[#This Row],[Ion (A)]])/10^-9</f>
        <v>#REF!</v>
      </c>
      <c r="AS159" s="152" t="e">
        <f aca="false">IF(VACnom&gt;Vbat, (TI_MOSFET_S_QGD_H_BU+TI_MOSFET_S_QGS_H_BU)*10^-9/Table7[[#This Row],[Ioff (A)]], (TI_MOSFET_S_QGD_L_BO+TI_MOSFET_S_QGS_L_BO)*10^-9/Table7[[#This Row],[Ioff (A)]])/10^-9</f>
        <v>#REF!</v>
      </c>
      <c r="AT159" s="152" t="e">
        <f aca="false">0.5*VACnom*Table7[[#This Row],[Ivalley (A)]]*Table7[[#This Row],[ton (ns)]]*10^-9*Fsw*10^3+0.5*VACnom*Table7[[#This Row],[Ipeak (A)]]*Table7[[#This Row],[toff (ns)]]*10^-9*Fsw*10^3/10^-3</f>
        <v>#REF!</v>
      </c>
      <c r="AU159" s="152" t="e">
        <f aca="false">IF(VACnom&gt;Vbat, 0.5*VACnom*TI_MOSFET_S_QOSS_H_BU*10^-9*Fsw*10^3,0.5*VACnom*TI_MOSFET_S_QOSS_L_BO*10^-9*Fsw*10^3)/10^-3</f>
        <v>#REF!</v>
      </c>
      <c r="AV159" s="152" t="e">
        <f aca="false">IF(VACnom&gt;Vbat, VACnom*TI_MOSFET_S_QG_H_BU*10^-9*Fsw*10^3,VACnom*TI_MOSFET_S_QG_H_BO*10^-9*Fsw*10^3)/10^-3</f>
        <v>#REF!</v>
      </c>
      <c r="AW159" s="152" t="e">
        <f aca="false">IF(VACnom&gt;Vbat, VACnom*TI_MOSFET_S_QRR_L_BU*10^-9*Fsw*10^3, VACnom*TI_MOSFET_S_QRR_H_BO*10^-9*Fsw*10^3)/10^-3</f>
        <v>#REF!</v>
      </c>
      <c r="AX159" s="152" t="e">
        <f aca="false">IF(VACnom&gt;Vbat, TI_MOSFET_S_VSD_L_BU*Table7[[#This Row],[Ivalley (A)]]*Fsw*10^3*40*10^-9+TI_MOSFET_S_VSD_L_BU*Table7[[#This Row],[Ipeak (A)]]*Fsw*10^3*30*10^-9, TI_MOSFET_S_VSD_H_BO*Table7[[#This Row],[Ivalley (A)]]*Fsw*10^3*40*10^-9+TI_MOSFET_S_VSD_H_BO*Table7[[#This Row],[Ipeak (A)]]*Fsw*10^3*30*10^-9)/10^-3</f>
        <v>#REF!</v>
      </c>
      <c r="AY159" s="152" t="e">
        <f aca="false">IF(VACnom&gt;Vbat, VACnom*TI_MOSFET_S_QG_L_BU*10^-9*Fsw*10^3, VACnom*TI_MOSFET_S_QG_L_BO*10^-9*Fsw*10^3)/10^-3</f>
        <v>#REF!</v>
      </c>
      <c r="AZ159" s="152" t="e">
        <f aca="false">IF(VACnom&lt;Vbat, Table7[[#This Row],[Duty Cycle]]*Table7[[#This Row],[I_L RMS]]^2*TI_MOSFET_S_RDSON_H_BU*10^-3, (1-Table7[[#This Row],[Duty Cycle]])*Table7[[#This Row],[I_L RMS]]^2*TI_MOSFET_S_RDSON_H_BO*10^-3)/10^-3</f>
        <v>#REF!</v>
      </c>
      <c r="BA159" s="152" t="e">
        <f aca="false">IF(VACnom&gt;Vbat, Table7[[#This Row],[PIV (mW)]]+Table7[[#This Row],[Pqoss (mW)]]+Table7[[#This Row],[Pgate_top (mW)]], Table7[[#This Row],[PRR (mW)]]+Table7[[#This Row],[Pdead (mW)]]+Table7[[#This Row],[Pgate_top (mW)]])</f>
        <v>#REF!</v>
      </c>
      <c r="BB159" s="152" t="e">
        <f aca="false">Table7[[#This Row],[Pcon_top (mW)]]+Table7[[#This Row],[Psw_top (mW)]]</f>
        <v>#REF!</v>
      </c>
      <c r="BC159" s="152" t="e">
        <f aca="false">IF(VACnom&gt;Vbat, (1-Table7[[#This Row],[Duty Cycle]])*Table7[[#This Row],[I_L RMS]]^2*TI_MOSFET_S_RDSON_L_BU*10^-3, Table7[[#This Row],[Duty Cycle]]*Table7[[#This Row],[I_L RMS]]^2*TI_MOSFET_S_RDSON_L_BO*10^-3)/10^-3</f>
        <v>#REF!</v>
      </c>
      <c r="BD159" s="152" t="e">
        <f aca="false">IF(VACnom&gt;Vbat, Table7[[#This Row],[PRR (mW)]]+Table7[[#This Row],[Pdead (mW)]]+Table7[[#This Row],[Pgate_bottom (mW)]], Table7[[#This Row],[PIV (mW)]]+Table7[[#This Row],[Pqoss (mW)]]+Table7[[#This Row],[Pgate_bottom (mW)]])</f>
        <v>#REF!</v>
      </c>
      <c r="BE159" s="154" t="e">
        <f aca="false">Table7[[#This Row],[Pcon_bottom (mW)]]+Table7[[#This Row],[Psw_bottom (mW)]]</f>
        <v>#REF!</v>
      </c>
      <c r="BF159" s="152" t="e">
        <f aca="false">Table7[[#This Row],[Pbottom (mW)]]+Table7[[#This Row],[Ptop (mW)]]</f>
        <v>#REF!</v>
      </c>
      <c r="BG159" s="155"/>
      <c r="BH159" s="152" t="n">
        <f aca="false">MAX(0,Table7[[#This Row],[I_L]]-0.5*Table7[[#This Row],[I_L pkpk]])</f>
        <v>0.172142857142857</v>
      </c>
      <c r="BI159" s="152" t="n">
        <f aca="false">Table7[[#This Row],[I_L]]+0.5*Table7[[#This Row],[I_L pkpk]]</f>
        <v>0.457857142857143</v>
      </c>
      <c r="BJ159" s="152" t="n">
        <f aca="false">IF(VACnom&gt;Vbat, (VGS_S-(C_MOSFET_S_VTH_H_BU+Table7[[#This Row],[I_L]]/C_MOSFET_S_gFS_H_BU))/3.4, (VGS_S-(C_MOSFET_S_VTH_L_BO+Table7[[#This Row],[I_L]]/C_MOSFET_S_gFS_L_BO))/3.4 )</f>
        <v>2.35232352941177</v>
      </c>
      <c r="BK159" s="152" t="n">
        <f aca="false">IF(VACnom&gt;Vbat, ((C_MOSFET_S_VTH_H_BU+Table7[[#This Row],[I_L]]/C_MOSFET_S_gFS_H_BU))/1, ((C_MOSFET_S_VTH_L_BO+Table7[[#This Row],[I_L]]/C_MOSFET_S_gFS_L_BO))/1 )</f>
        <v>2.0021</v>
      </c>
      <c r="BL159" s="152" t="n">
        <f aca="false">IF(VACnom&gt;Vbat, (C_MOSFET_S_QGD_H_BU+C_MOSFET_S_QGS_H_BU)*10^-9/Table7[[#This Row],[Ion (A) C]], (C_MOSFET_S_QGD_L_BO+C_MOSFET_S_QGS_L_BO)*10^-9/Table7[[#This Row],[Ion (A) C]])/10^-9</f>
        <v>2.7632253466535</v>
      </c>
      <c r="BM159" s="152" t="n">
        <f aca="false">IF(VACnom&gt;Vbat, (C_MOSFET_S_QGD_H_BU+C_MOSFET_S_QGS_H_BU)*10^-9/Table7[[#This Row],[Ioff (A) C]], (C_MOSFET_S_QGD_L_BO+C_MOSFET_S_QGS_L_BO)*10^-9/Table7[[#This Row],[Ioff (A) C]])/10^-9</f>
        <v>3.24659107936667</v>
      </c>
      <c r="BN159" s="152" t="n">
        <f aca="false">0.5*VACnom*Table7[[#This Row],[Ivalley (A) C]]*Table7[[#This Row],[ton (ns) C]]*10^-9*Fsw*10^3+0.5*VACnom*Table7[[#This Row],[Ipeak (A) C]]*Table7[[#This Row],[toff (ns) C]]*10^-9*Fsw*10^3/10^-3</f>
        <v>1.78434070215649</v>
      </c>
      <c r="BO159" s="152" t="n">
        <f aca="false">IF(VACnom&gt;Vbat, 0.5*VACnom*C_MOSFET_S_QOSS_H_BU*10^-9*Fsw*10^3,0.5*VACnom*C_MOSFET_S_QOSS_L_BO*10^-9*Fsw*10^3)/10^-3</f>
        <v>43.2</v>
      </c>
      <c r="BP159" s="152" t="e">
        <f aca="false">IF(VACnom&gt;Vbat, VACnom*C_MOSFET_S_QG_H_BU*10^-9*Fsw*10^3,VACnom*C_MOSFET_S_QG_H_BO*10^-9*Fsw*10^3)/10^-3</f>
        <v>#REF!</v>
      </c>
      <c r="BQ159" s="152" t="n">
        <f aca="false">IF(VACnom&gt;Vbat, VACnom*C_MOSFET_S_QRR_L_BU*10^-9*Fsw*10^3, VACnom*C_MOSFET_S_QRR_H_BO*10^-9*Fsw*10^3)/10^-3</f>
        <v>79.2</v>
      </c>
      <c r="BR159" s="152" t="n">
        <f aca="false">IF(VACnom&gt;Vbat, C_MOSFET_S_VSD_L_BU*Table7[[#This Row],[Ivalley (A) C]]*Fsw*10^3*40*10^-9+C_MOSFET_S_VSD_L_BU*Table7[[#This Row],[Ipeak (A) C]]*Fsw*10^3*30*10^-9, C_MOSFET_S_VSD_H_BO*Table7[[#This Row],[Ivalley (A) C]]*Fsw*10^3*40*10^-9+C_MOSFET_S_VSD_H_BO*Table7[[#This Row],[Ipeak (A) C]]*Fsw*10^3*30*10^-9)/10^-3</f>
        <v>3.29942857142857</v>
      </c>
      <c r="BS159" s="152" t="e">
        <f aca="false">IF(VACnom&gt;Vbat, VACnom*C_MOSFET_S_QG_L_BU*10^-9*Fsw*10^3, VACnom*C_MOSFET_S_QG_L_BO*10^-9*Fsw*10^3)/10^-3</f>
        <v>#REF!</v>
      </c>
      <c r="BT159" s="152" t="n">
        <f aca="false">IF(VACnom&lt;Vbat, Table7[[#This Row],[Duty Cycle]]*Table7[[#This Row],[I_L RMS]]^2*C_MOSFET_S_RDSON_H_BU*10^-3, (1-Table7[[#This Row],[Duty Cycle]])*Table7[[#This Row],[I_L RMS]]^2*C_MOSFET_S_RDSON_H_BO*10^-3)/10^-3</f>
        <v>0.028778952866861</v>
      </c>
      <c r="BU159" s="152" t="e">
        <f aca="false">IF(VACnom&gt;Vbat, Table7[[#This Row],[PIV (mW) C]]+Table7[[#This Row],[PQoss (mW) C]]+Table7[[#This Row],[Pgate_top (mW) C]], Table7[[#This Row],[PRR (mW) C]]+Table7[[#This Row],[Pdead (mW) C]]+Table7[[#This Row],[Pgate_top (mW) C]])</f>
        <v>#REF!</v>
      </c>
      <c r="BV159" s="152" t="e">
        <f aca="false">Table7[[#This Row],[Pcon_top (mW) C]]+Table7[[#This Row],[Psw_top (mW) C]]</f>
        <v>#REF!</v>
      </c>
      <c r="BW159" s="152" t="e">
        <f aca="false">IF(VACnom&gt;Vbat, (1-Table7[[#This Row],[Duty Cycle]])*Table7[[#This Row],[I_L RMS]]^2*C_MOSFET_S_RDSON_L_BU*10^-3, Table7[[#This Row],[Duty Cycle]]*Table7[[#This Row],[I_L RMS]]^2*C_MOSFET_S_RDSON_L_BO*10^-3)/10^-3</f>
        <v>#REF!</v>
      </c>
      <c r="BX159" s="152" t="e">
        <f aca="false">IF(VACnom&gt;Vbat, Table7[[#This Row],[PRR (mW) C]]+Table7[[#This Row],[Pdead (mW) C]]+Table7[[#This Row],[Pgate_bottom (mW) C]], Table7[[#This Row],[PIV (mW) C]]+Table7[[#This Row],[PQoss (mW) C]]+Table7[[#This Row],[Pgate_bottom (mW) C]])</f>
        <v>#REF!</v>
      </c>
      <c r="BY159" s="152" t="e">
        <f aca="false">Table7[[#This Row],[Pcon_bottom (mW) C]]+Table7[[#This Row],[Psw_bottom (mV) C]]</f>
        <v>#REF!</v>
      </c>
      <c r="BZ159" s="152" t="e">
        <f aca="false">Table7[[#This Row],[Pbottom (mW) C]]+Table7[[#This Row],[Ptop (mW) C]]</f>
        <v>#REF!</v>
      </c>
      <c r="CA159" s="156"/>
      <c r="CB159" s="151" t="n">
        <f aca="false">(RAC_SNS*10^-3*(Table7[[#This Row],[IOUT (A)]]*Vbat/VACnom)^2/10^-3)</f>
        <v>0.496125</v>
      </c>
      <c r="CC159" s="151" t="n">
        <f aca="false">(RBAT_SNS*10^-3*Table7[[#This Row],[IOUT (A)]]^2)/10^-3</f>
        <v>0.45</v>
      </c>
      <c r="CD159" s="151" t="n">
        <f aca="false">IF(VACnom&gt;Vbat,(L_DRC*10^-3*(Table7[[#This Row],[IOUT (A)]])^2/10^-3),(L_DRC*10^-3*(Table7[[#This Row],[IOUT (A)]]*Vbat/VACnom)^2/10^-3))</f>
        <v>1.1907</v>
      </c>
      <c r="CE159" s="157"/>
      <c r="CF159" s="152" t="n">
        <f aca="false">(Table7[[#This Row],[R_AC (mW)]]+Table7[[#This Row],[R_SR (mW)]]+Table7[[#This Row],[Inductor Loss (mW)]])/10^3</f>
        <v>0.002136825</v>
      </c>
      <c r="CG159" s="152" t="e">
        <f aca="false">Table7[[#This Row],[Total TI (mW)]]/10^3</f>
        <v>#REF!</v>
      </c>
      <c r="CH159" s="152" t="e">
        <f aca="false">Table7[[#This Row],[Total Sense Loss]]+Table7[[#This Row],[Total MOSFET Loss]]</f>
        <v>#REF!</v>
      </c>
      <c r="CI159" s="158" t="e">
        <f aca="false">IF(Table7[[#This Row],[POUT (W)]]=0,0,(Table7[[#This Row],[POUT (W)]])/(Table7[[#This Row],[POUT (W)]]+Table7[[#This Row],[Total Power Loss (W)]]))*100</f>
        <v>#REF!</v>
      </c>
      <c r="CJ159" s="159"/>
      <c r="CK159" s="152" t="n">
        <f aca="false">(Table7[[#This Row],[R_AC (mW)]]+Table7[[#This Row],[R_SR (mW)]]+Table7[[#This Row],[Inductor Loss (mW)]])/10^3</f>
        <v>0.002136825</v>
      </c>
      <c r="CL159" s="152" t="e">
        <f aca="false">Table7[[#This Row],[Total (mW) C]]/10^3</f>
        <v>#REF!</v>
      </c>
      <c r="CM159" s="152" t="e">
        <f aca="false">Table7[[#This Row],[Total Sense Loss C]]+Table7[[#This Row],[Total MOSFET Loss C]]</f>
        <v>#REF!</v>
      </c>
      <c r="CN159" s="158" t="e">
        <f aca="false">IF(Table7[[#This Row],[POUT (W)]]=0,0,(Table7[[#This Row],[POUT (W)]])/(Table7[[#This Row],[POUT (W)]]+Table7[[#This Row],[Total Power Loss (W) C]]))*100</f>
        <v>#REF!</v>
      </c>
      <c r="CO159" s="159"/>
      <c r="CP159" s="158" t="n">
        <f aca="false">IF(MOSFET_S=Custom_MOSFET,Table7[[#This Row],[Total Sense Loss C]],Table7[[#This Row],[Total Sense Loss]])</f>
        <v>0.002136825</v>
      </c>
      <c r="CQ159" s="158" t="e">
        <f aca="false">IF(MOSFET_S=Custom_MOSFET,Table7[[#This Row],[Total MOSFET Loss C]],Table7[[#This Row],[Total MOSFET Loss]])</f>
        <v>#REF!</v>
      </c>
      <c r="CR159" s="158" t="e">
        <f aca="false">IF(MOSFET_S=Custom_MOSFET,Table7[[#This Row],[Efficiency C]],Table7[[#This Row],[Efficiency]])</f>
        <v>#REF!</v>
      </c>
      <c r="CS159" s="159"/>
      <c r="CT159" s="158" t="n">
        <f aca="false">IF(MOSFET_S=Compare_MOSFET, Table7[[#This Row],[Total Sense Loss C]], -100)</f>
        <v>-100</v>
      </c>
      <c r="CU159" s="158" t="n">
        <f aca="false">IF(MOSFET_S=Compare_MOSFET, Table7[[#This Row],[Total MOSFET Loss C]], -100)</f>
        <v>-100</v>
      </c>
      <c r="CV159" s="158" t="n">
        <f aca="false">IF(MOSFET_S=Compare_MOSFET, Table7[[#This Row],[Efficiency C]], -100)</f>
        <v>-100</v>
      </c>
      <c r="CW159" s="159"/>
      <c r="CX159" s="158" t="e">
        <f aca="false">IF(Save_Sel=CLR_Save,  Table7[[#This Row],[Total Sense Loss P1]], Table7[[#This Row],[Total Sense Loss P1 Saved]])</f>
        <v>#VALUE!</v>
      </c>
      <c r="CY159" s="158" t="e">
        <f aca="false">IF(Save_Sel=CLR_Save,  Table7[[#This Row],[Total MOSFET Loss P1]], Table7[[#This Row],[Total MOSFET Loss P1 Saved]] )</f>
        <v>#VALUE!</v>
      </c>
      <c r="CZ159" s="158" t="e">
        <f aca="false">IF(Save_Sel=CLR_Save, Table7[[#This Row],[Efficiency P1]], Table7[[#This Row],[Efficiency P1 Saved]])</f>
        <v>#VALUE!</v>
      </c>
      <c r="DA159" s="159"/>
      <c r="DB159" s="158" t="e">
        <f aca="false">IF(Save_Sel=CLR_Save,  Table7[[#This Row],[Total Sense Loss P2]], Table7[[#This Row],[Total Sense Loss P2 Saved]])</f>
        <v>#VALUE!</v>
      </c>
      <c r="DC159" s="158" t="e">
        <f aca="false">IF(Save_Sel=CLR_Save,  Table7[[#This Row],[Total MOSFET Loss P2]], Table7[[#This Row],[Total MOSFET Loss P2 Saved]] )</f>
        <v>#VALUE!</v>
      </c>
      <c r="DD159" s="158" t="e">
        <f aca="false">IF(Save_Sel=CLR_Save, Table7[[#This Row],[Efficiency P2]], Table7[[#This Row],[Efficiency P2 Saved]])</f>
        <v>#VALUE!</v>
      </c>
      <c r="DE159" s="159"/>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row>
    <row r="160" customFormat="false" ht="16.4" hidden="false" customHeight="false" outlineLevel="0" collapsed="false">
      <c r="A160" s="39"/>
      <c r="B160" s="84"/>
      <c r="C160" s="84"/>
      <c r="D160" s="28"/>
      <c r="E160" s="163"/>
      <c r="F160" s="163"/>
      <c r="G160" s="84"/>
      <c r="H160" s="24"/>
      <c r="I160" s="24"/>
      <c r="J160" s="24"/>
      <c r="K160" s="24"/>
      <c r="L160" s="24"/>
      <c r="M160" s="24"/>
      <c r="N160" s="24"/>
      <c r="O160" s="24"/>
      <c r="P160" s="24"/>
      <c r="Q160" s="24"/>
      <c r="R160" s="24"/>
      <c r="S160" s="25"/>
      <c r="T160" s="6"/>
      <c r="U160" s="7"/>
      <c r="V160" s="7"/>
      <c r="W160" s="7"/>
      <c r="X160" s="7"/>
      <c r="Y160" s="7"/>
      <c r="Z160" s="7"/>
      <c r="AA160" s="7"/>
      <c r="AB160" s="7"/>
      <c r="AC160" s="7"/>
      <c r="AD160" s="7"/>
      <c r="AE160" s="7"/>
      <c r="AF160" s="150" t="n">
        <f aca="false">AF159+1</f>
        <v>4</v>
      </c>
      <c r="AG160" s="150" t="n">
        <f aca="false">$AG$156+AF160*($AG$256-$AG$156)/$AF$256</f>
        <v>0.4</v>
      </c>
      <c r="AH160" s="151" t="n">
        <f aca="false">AG160*VACnom</f>
        <v>4.8</v>
      </c>
      <c r="AI160" s="152" t="n">
        <f aca="false">IF(VACnom&lt;Vbat, (Vbat-VACnom)/Vbat, Vbat/VACnom)</f>
        <v>0.0476190476190476</v>
      </c>
      <c r="AJ160" s="152" t="n">
        <f aca="false">IF(VACnom&lt;Vbat, AG160/(1-AI160), AG160*AI160)</f>
        <v>0.42</v>
      </c>
      <c r="AK160" s="152" t="n">
        <f aca="false">Ipkpk_VACnom</f>
        <v>0.285714285714285</v>
      </c>
      <c r="AL160" s="152" t="n">
        <f aca="false">SQRT(AJ160^2+AK160^2/12)</f>
        <v>0.428021869871664</v>
      </c>
      <c r="AM160" s="153"/>
      <c r="AN160" s="152" t="n">
        <f aca="false">MAX(0,Table7[[#This Row],[I_L]]-0.5*Table7[[#This Row],[I_L pkpk]])</f>
        <v>0.277142857142857</v>
      </c>
      <c r="AO160" s="152" t="n">
        <f aca="false">Table7[[#This Row],[I_L]]+0.5*Table7[[#This Row],[I_L pkpk]]</f>
        <v>0.562857142857143</v>
      </c>
      <c r="AP160" s="152" t="e">
        <f aca="false">IF(VACnom&gt;Vbat, (VGS_S-(TI_MOSFET_S_VTH_H_BU+Table7[[#This Row],[I_L]]/TI_MOSFET_S_gFS_H_BU))/3.4, (VGS_S-(TI_MOSFET_S_VTH_L_BO+Table7[[#This Row],[I_L]]/TI_MOSFET_S_gFS_L_BO))/3.4 )</f>
        <v>#REF!</v>
      </c>
      <c r="AQ160" s="152" t="e">
        <f aca="false">IF(VACnom&gt;Vbat, ((TI_MOSFET_S_VTH_H_BU+Table7[[#This Row],[I_L]]/TI_MOSFET_S_gFS_H_BU))/1, ((TI_MOSFET_S_VTH_L_BO+Table7[[#This Row],[I_L]]/TI_MOSFET_S_gFS_L_BO))/1 )</f>
        <v>#REF!</v>
      </c>
      <c r="AR160" s="152" t="e">
        <f aca="false">IF(VACnom&gt;Vbat, (TI_MOSFET_S_QGD_H_BU+TI_MOSFET_S_QGS_H_BU)*10^-9/Table7[[#This Row],[Ion (A)]], (TI_MOSFET_S_QGD_L_BO+TI_MOSFET_S_QGS_L_BO)*10^-9/Table7[[#This Row],[Ion (A)]])/10^-9</f>
        <v>#REF!</v>
      </c>
      <c r="AS160" s="152" t="e">
        <f aca="false">IF(VACnom&gt;Vbat, (TI_MOSFET_S_QGD_H_BU+TI_MOSFET_S_QGS_H_BU)*10^-9/Table7[[#This Row],[Ioff (A)]], (TI_MOSFET_S_QGD_L_BO+TI_MOSFET_S_QGS_L_BO)*10^-9/Table7[[#This Row],[Ioff (A)]])/10^-9</f>
        <v>#REF!</v>
      </c>
      <c r="AT160" s="152" t="e">
        <f aca="false">0.5*VACnom*Table7[[#This Row],[Ivalley (A)]]*Table7[[#This Row],[ton (ns)]]*10^-9*Fsw*10^3+0.5*VACnom*Table7[[#This Row],[Ipeak (A)]]*Table7[[#This Row],[toff (ns)]]*10^-9*Fsw*10^3/10^-3</f>
        <v>#REF!</v>
      </c>
      <c r="AU160" s="152" t="e">
        <f aca="false">IF(VACnom&gt;Vbat, 0.5*VACnom*TI_MOSFET_S_QOSS_H_BU*10^-9*Fsw*10^3,0.5*VACnom*TI_MOSFET_S_QOSS_L_BO*10^-9*Fsw*10^3)/10^-3</f>
        <v>#REF!</v>
      </c>
      <c r="AV160" s="152" t="e">
        <f aca="false">IF(VACnom&gt;Vbat, VACnom*TI_MOSFET_S_QG_H_BU*10^-9*Fsw*10^3,VACnom*TI_MOSFET_S_QG_H_BO*10^-9*Fsw*10^3)/10^-3</f>
        <v>#REF!</v>
      </c>
      <c r="AW160" s="152" t="e">
        <f aca="false">IF(VACnom&gt;Vbat, VACnom*TI_MOSFET_S_QRR_L_BU*10^-9*Fsw*10^3, VACnom*TI_MOSFET_S_QRR_H_BO*10^-9*Fsw*10^3)/10^-3</f>
        <v>#REF!</v>
      </c>
      <c r="AX160" s="152" t="e">
        <f aca="false">IF(VACnom&gt;Vbat, TI_MOSFET_S_VSD_L_BU*Table7[[#This Row],[Ivalley (A)]]*Fsw*10^3*40*10^-9+TI_MOSFET_S_VSD_L_BU*Table7[[#This Row],[Ipeak (A)]]*Fsw*10^3*30*10^-9, TI_MOSFET_S_VSD_H_BO*Table7[[#This Row],[Ivalley (A)]]*Fsw*10^3*40*10^-9+TI_MOSFET_S_VSD_H_BO*Table7[[#This Row],[Ipeak (A)]]*Fsw*10^3*30*10^-9)/10^-3</f>
        <v>#REF!</v>
      </c>
      <c r="AY160" s="152" t="e">
        <f aca="false">IF(VACnom&gt;Vbat, VACnom*TI_MOSFET_S_QG_L_BU*10^-9*Fsw*10^3, VACnom*TI_MOSFET_S_QG_L_BO*10^-9*Fsw*10^3)/10^-3</f>
        <v>#REF!</v>
      </c>
      <c r="AZ160" s="152" t="e">
        <f aca="false">IF(VACnom&lt;Vbat, Table7[[#This Row],[Duty Cycle]]*Table7[[#This Row],[I_L RMS]]^2*TI_MOSFET_S_RDSON_H_BU*10^-3, (1-Table7[[#This Row],[Duty Cycle]])*Table7[[#This Row],[I_L RMS]]^2*TI_MOSFET_S_RDSON_H_BO*10^-3)/10^-3</f>
        <v>#REF!</v>
      </c>
      <c r="BA160" s="152" t="e">
        <f aca="false">IF(VACnom&gt;Vbat, Table7[[#This Row],[PIV (mW)]]+Table7[[#This Row],[Pqoss (mW)]]+Table7[[#This Row],[Pgate_top (mW)]], Table7[[#This Row],[PRR (mW)]]+Table7[[#This Row],[Pdead (mW)]]+Table7[[#This Row],[Pgate_top (mW)]])</f>
        <v>#REF!</v>
      </c>
      <c r="BB160" s="152" t="e">
        <f aca="false">Table7[[#This Row],[Pcon_top (mW)]]+Table7[[#This Row],[Psw_top (mW)]]</f>
        <v>#REF!</v>
      </c>
      <c r="BC160" s="152" t="e">
        <f aca="false">IF(VACnom&gt;Vbat, (1-Table7[[#This Row],[Duty Cycle]])*Table7[[#This Row],[I_L RMS]]^2*TI_MOSFET_S_RDSON_L_BU*10^-3, Table7[[#This Row],[Duty Cycle]]*Table7[[#This Row],[I_L RMS]]^2*TI_MOSFET_S_RDSON_L_BO*10^-3)/10^-3</f>
        <v>#REF!</v>
      </c>
      <c r="BD160" s="152" t="e">
        <f aca="false">IF(VACnom&gt;Vbat, Table7[[#This Row],[PRR (mW)]]+Table7[[#This Row],[Pdead (mW)]]+Table7[[#This Row],[Pgate_bottom (mW)]], Table7[[#This Row],[PIV (mW)]]+Table7[[#This Row],[Pqoss (mW)]]+Table7[[#This Row],[Pgate_bottom (mW)]])</f>
        <v>#REF!</v>
      </c>
      <c r="BE160" s="154" t="e">
        <f aca="false">Table7[[#This Row],[Pcon_bottom (mW)]]+Table7[[#This Row],[Psw_bottom (mW)]]</f>
        <v>#REF!</v>
      </c>
      <c r="BF160" s="152" t="e">
        <f aca="false">Table7[[#This Row],[Pbottom (mW)]]+Table7[[#This Row],[Ptop (mW)]]</f>
        <v>#REF!</v>
      </c>
      <c r="BG160" s="155"/>
      <c r="BH160" s="152" t="n">
        <f aca="false">MAX(0,Table7[[#This Row],[I_L]]-0.5*Table7[[#This Row],[I_L pkpk]])</f>
        <v>0.277142857142857</v>
      </c>
      <c r="BI160" s="152" t="n">
        <f aca="false">Table7[[#This Row],[I_L]]+0.5*Table7[[#This Row],[I_L pkpk]]</f>
        <v>0.562857142857143</v>
      </c>
      <c r="BJ160" s="152" t="n">
        <f aca="false">IF(VACnom&gt;Vbat, (VGS_S-(C_MOSFET_S_VTH_H_BU+Table7[[#This Row],[I_L]]/C_MOSFET_S_gFS_H_BU))/3.4, (VGS_S-(C_MOSFET_S_VTH_L_BO+Table7[[#This Row],[I_L]]/C_MOSFET_S_gFS_L_BO))/3.4 )</f>
        <v>2.35211764705882</v>
      </c>
      <c r="BK160" s="152" t="n">
        <f aca="false">IF(VACnom&gt;Vbat, ((C_MOSFET_S_VTH_H_BU+Table7[[#This Row],[I_L]]/C_MOSFET_S_gFS_H_BU))/1, ((C_MOSFET_S_VTH_L_BO+Table7[[#This Row],[I_L]]/C_MOSFET_S_gFS_L_BO))/1 )</f>
        <v>2.0028</v>
      </c>
      <c r="BL160" s="152" t="n">
        <f aca="false">IF(VACnom&gt;Vbat, (C_MOSFET_S_QGD_H_BU+C_MOSFET_S_QGS_H_BU)*10^-9/Table7[[#This Row],[Ion (A) C]], (C_MOSFET_S_QGD_L_BO+C_MOSFET_S_QGS_L_BO)*10^-9/Table7[[#This Row],[Ion (A) C]])/10^-9</f>
        <v>2.76346721352473</v>
      </c>
      <c r="BM160" s="152" t="n">
        <f aca="false">IF(VACnom&gt;Vbat, (C_MOSFET_S_QGD_H_BU+C_MOSFET_S_QGS_H_BU)*10^-9/Table7[[#This Row],[Ioff (A) C]], (C_MOSFET_S_QGD_L_BO+C_MOSFET_S_QGS_L_BO)*10^-9/Table7[[#This Row],[Ioff (A) C]])/10^-9</f>
        <v>3.24545636109447</v>
      </c>
      <c r="BN160" s="152" t="n">
        <f aca="false">0.5*VACnom*Table7[[#This Row],[Ivalley (A) C]]*Table7[[#This Row],[ton (ns) C]]*10^-9*Fsw*10^3+0.5*VACnom*Table7[[#This Row],[Ipeak (A) C]]*Table7[[#This Row],[toff (ns) C]]*10^-9*Fsw*10^3/10^-3</f>
        <v>2.19299300384682</v>
      </c>
      <c r="BO160" s="152" t="n">
        <f aca="false">IF(VACnom&gt;Vbat, 0.5*VACnom*C_MOSFET_S_QOSS_H_BU*10^-9*Fsw*10^3,0.5*VACnom*C_MOSFET_S_QOSS_L_BO*10^-9*Fsw*10^3)/10^-3</f>
        <v>43.2</v>
      </c>
      <c r="BP160" s="152" t="e">
        <f aca="false">IF(VACnom&gt;Vbat, VACnom*C_MOSFET_S_QG_H_BU*10^-9*Fsw*10^3,VACnom*C_MOSFET_S_QG_H_BO*10^-9*Fsw*10^3)/10^-3</f>
        <v>#REF!</v>
      </c>
      <c r="BQ160" s="152" t="n">
        <f aca="false">IF(VACnom&gt;Vbat, VACnom*C_MOSFET_S_QRR_L_BU*10^-9*Fsw*10^3, VACnom*C_MOSFET_S_QRR_H_BO*10^-9*Fsw*10^3)/10^-3</f>
        <v>79.2</v>
      </c>
      <c r="BR160" s="152" t="n">
        <f aca="false">IF(VACnom&gt;Vbat, C_MOSFET_S_VSD_L_BU*Table7[[#This Row],[Ivalley (A) C]]*Fsw*10^3*40*10^-9+C_MOSFET_S_VSD_L_BU*Table7[[#This Row],[Ipeak (A) C]]*Fsw*10^3*30*10^-9, C_MOSFET_S_VSD_H_BO*Table7[[#This Row],[Ivalley (A) C]]*Fsw*10^3*40*10^-9+C_MOSFET_S_VSD_H_BO*Table7[[#This Row],[Ipeak (A) C]]*Fsw*10^3*30*10^-9)/10^-3</f>
        <v>4.47542857142857</v>
      </c>
      <c r="BS160" s="152" t="e">
        <f aca="false">IF(VACnom&gt;Vbat, VACnom*C_MOSFET_S_QG_L_BU*10^-9*Fsw*10^3, VACnom*C_MOSFET_S_QG_L_BO*10^-9*Fsw*10^3)/10^-3</f>
        <v>#REF!</v>
      </c>
      <c r="BT160" s="152" t="n">
        <f aca="false">IF(VACnom&lt;Vbat, Table7[[#This Row],[Duty Cycle]]*Table7[[#This Row],[I_L RMS]]^2*C_MOSFET_S_RDSON_H_BU*10^-3, (1-Table7[[#This Row],[Duty Cycle]])*Table7[[#This Row],[I_L RMS]]^2*C_MOSFET_S_RDSON_H_BO*10^-3)/10^-3</f>
        <v>0.049726452866861</v>
      </c>
      <c r="BU160" s="152" t="e">
        <f aca="false">IF(VACnom&gt;Vbat, Table7[[#This Row],[PIV (mW) C]]+Table7[[#This Row],[PQoss (mW) C]]+Table7[[#This Row],[Pgate_top (mW) C]], Table7[[#This Row],[PRR (mW) C]]+Table7[[#This Row],[Pdead (mW) C]]+Table7[[#This Row],[Pgate_top (mW) C]])</f>
        <v>#REF!</v>
      </c>
      <c r="BV160" s="152" t="e">
        <f aca="false">Table7[[#This Row],[Pcon_top (mW) C]]+Table7[[#This Row],[Psw_top (mW) C]]</f>
        <v>#REF!</v>
      </c>
      <c r="BW160" s="152" t="e">
        <f aca="false">IF(VACnom&gt;Vbat, (1-Table7[[#This Row],[Duty Cycle]])*Table7[[#This Row],[I_L RMS]]^2*C_MOSFET_S_RDSON_L_BU*10^-3, Table7[[#This Row],[Duty Cycle]]*Table7[[#This Row],[I_L RMS]]^2*C_MOSFET_S_RDSON_L_BO*10^-3)/10^-3</f>
        <v>#REF!</v>
      </c>
      <c r="BX160" s="152" t="e">
        <f aca="false">IF(VACnom&gt;Vbat, Table7[[#This Row],[PRR (mW) C]]+Table7[[#This Row],[Pdead (mW) C]]+Table7[[#This Row],[Pgate_bottom (mW) C]], Table7[[#This Row],[PIV (mW) C]]+Table7[[#This Row],[PQoss (mW) C]]+Table7[[#This Row],[Pgate_bottom (mW) C]])</f>
        <v>#REF!</v>
      </c>
      <c r="BY160" s="152" t="e">
        <f aca="false">Table7[[#This Row],[Pcon_bottom (mW) C]]+Table7[[#This Row],[Psw_bottom (mV) C]]</f>
        <v>#REF!</v>
      </c>
      <c r="BZ160" s="152" t="e">
        <f aca="false">Table7[[#This Row],[Pbottom (mW) C]]+Table7[[#This Row],[Ptop (mW) C]]</f>
        <v>#REF!</v>
      </c>
      <c r="CA160" s="156"/>
      <c r="CB160" s="151" t="n">
        <f aca="false">(RAC_SNS*10^-3*(Table7[[#This Row],[IOUT (A)]]*Vbat/VACnom)^2/10^-3)</f>
        <v>0.882</v>
      </c>
      <c r="CC160" s="151" t="n">
        <f aca="false">(RBAT_SNS*10^-3*Table7[[#This Row],[IOUT (A)]]^2)/10^-3</f>
        <v>0.8</v>
      </c>
      <c r="CD160" s="151" t="n">
        <f aca="false">IF(VACnom&gt;Vbat,(L_DRC*10^-3*(Table7[[#This Row],[IOUT (A)]])^2/10^-3),(L_DRC*10^-3*(Table7[[#This Row],[IOUT (A)]]*Vbat/VACnom)^2/10^-3))</f>
        <v>2.1168</v>
      </c>
      <c r="CE160" s="157"/>
      <c r="CF160" s="152" t="n">
        <f aca="false">(Table7[[#This Row],[R_AC (mW)]]+Table7[[#This Row],[R_SR (mW)]]+Table7[[#This Row],[Inductor Loss (mW)]])/10^3</f>
        <v>0.0037988</v>
      </c>
      <c r="CG160" s="152" t="e">
        <f aca="false">Table7[[#This Row],[Total TI (mW)]]/10^3</f>
        <v>#REF!</v>
      </c>
      <c r="CH160" s="152" t="e">
        <f aca="false">Table7[[#This Row],[Total Sense Loss]]+Table7[[#This Row],[Total MOSFET Loss]]</f>
        <v>#REF!</v>
      </c>
      <c r="CI160" s="158" t="e">
        <f aca="false">IF(Table7[[#This Row],[POUT (W)]]=0,0,(Table7[[#This Row],[POUT (W)]])/(Table7[[#This Row],[POUT (W)]]+Table7[[#This Row],[Total Power Loss (W)]]))*100</f>
        <v>#REF!</v>
      </c>
      <c r="CJ160" s="159"/>
      <c r="CK160" s="152" t="n">
        <f aca="false">(Table7[[#This Row],[R_AC (mW)]]+Table7[[#This Row],[R_SR (mW)]]+Table7[[#This Row],[Inductor Loss (mW)]])/10^3</f>
        <v>0.0037988</v>
      </c>
      <c r="CL160" s="152" t="e">
        <f aca="false">Table7[[#This Row],[Total (mW) C]]/10^3</f>
        <v>#REF!</v>
      </c>
      <c r="CM160" s="152" t="e">
        <f aca="false">Table7[[#This Row],[Total Sense Loss C]]+Table7[[#This Row],[Total MOSFET Loss C]]</f>
        <v>#REF!</v>
      </c>
      <c r="CN160" s="158" t="e">
        <f aca="false">IF(Table7[[#This Row],[POUT (W)]]=0,0,(Table7[[#This Row],[POUT (W)]])/(Table7[[#This Row],[POUT (W)]]+Table7[[#This Row],[Total Power Loss (W) C]]))*100</f>
        <v>#REF!</v>
      </c>
      <c r="CO160" s="159"/>
      <c r="CP160" s="158" t="n">
        <f aca="false">IF(MOSFET_S=Custom_MOSFET,Table7[[#This Row],[Total Sense Loss C]],Table7[[#This Row],[Total Sense Loss]])</f>
        <v>0.0037988</v>
      </c>
      <c r="CQ160" s="158" t="e">
        <f aca="false">IF(MOSFET_S=Custom_MOSFET,Table7[[#This Row],[Total MOSFET Loss C]],Table7[[#This Row],[Total MOSFET Loss]])</f>
        <v>#REF!</v>
      </c>
      <c r="CR160" s="158" t="e">
        <f aca="false">IF(MOSFET_S=Custom_MOSFET,Table7[[#This Row],[Efficiency C]],Table7[[#This Row],[Efficiency]])</f>
        <v>#REF!</v>
      </c>
      <c r="CS160" s="159"/>
      <c r="CT160" s="158" t="n">
        <f aca="false">IF(MOSFET_S=Compare_MOSFET, Table7[[#This Row],[Total Sense Loss C]], -100)</f>
        <v>-100</v>
      </c>
      <c r="CU160" s="158" t="n">
        <f aca="false">IF(MOSFET_S=Compare_MOSFET, Table7[[#This Row],[Total MOSFET Loss C]], -100)</f>
        <v>-100</v>
      </c>
      <c r="CV160" s="158" t="n">
        <f aca="false">IF(MOSFET_S=Compare_MOSFET, Table7[[#This Row],[Efficiency C]], -100)</f>
        <v>-100</v>
      </c>
      <c r="CW160" s="159"/>
      <c r="CX160" s="158" t="e">
        <f aca="false">IF(Save_Sel=CLR_Save,  Table7[[#This Row],[Total Sense Loss P1]], Table7[[#This Row],[Total Sense Loss P1 Saved]])</f>
        <v>#VALUE!</v>
      </c>
      <c r="CY160" s="158" t="e">
        <f aca="false">IF(Save_Sel=CLR_Save,  Table7[[#This Row],[Total MOSFET Loss P1]], Table7[[#This Row],[Total MOSFET Loss P1 Saved]] )</f>
        <v>#VALUE!</v>
      </c>
      <c r="CZ160" s="158" t="e">
        <f aca="false">IF(Save_Sel=CLR_Save, Table7[[#This Row],[Efficiency P1]], Table7[[#This Row],[Efficiency P1 Saved]])</f>
        <v>#VALUE!</v>
      </c>
      <c r="DA160" s="159"/>
      <c r="DB160" s="158" t="e">
        <f aca="false">IF(Save_Sel=CLR_Save,  Table7[[#This Row],[Total Sense Loss P2]], Table7[[#This Row],[Total Sense Loss P2 Saved]])</f>
        <v>#VALUE!</v>
      </c>
      <c r="DC160" s="158" t="e">
        <f aca="false">IF(Save_Sel=CLR_Save,  Table7[[#This Row],[Total MOSFET Loss P2]], Table7[[#This Row],[Total MOSFET Loss P2 Saved]] )</f>
        <v>#VALUE!</v>
      </c>
      <c r="DD160" s="158" t="e">
        <f aca="false">IF(Save_Sel=CLR_Save, Table7[[#This Row],[Efficiency P2]], Table7[[#This Row],[Efficiency P2 Saved]])</f>
        <v>#VALUE!</v>
      </c>
      <c r="DE160" s="159"/>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row>
    <row r="161" customFormat="false" ht="16.4" hidden="false" customHeight="false" outlineLevel="0" collapsed="false">
      <c r="A161" s="164" t="str">
        <f aca="false">IF(MOSFET_S=Custom_MOSFET, "TI MOSFET Recommendation", "TI MOSFET Recommendation (Plot 1)")</f>
        <v>TI MOSFET Recommendation (Plot 1)</v>
      </c>
      <c r="B161" s="164"/>
      <c r="C161" s="164"/>
      <c r="D161" s="164"/>
      <c r="E161" s="164"/>
      <c r="F161" s="164"/>
      <c r="G161" s="164"/>
      <c r="H161" s="24"/>
      <c r="I161" s="165" t="str">
        <f aca="false">IF(MOSFET_S=Custom_MOSFET, "Custom MOSFET Comparison (Plot 1)", IF(MOSFET_S=Compare_MOSFET, "Custom MOSFET Comparison (Plot 2)", "Custom MOSFET Comparison"))</f>
        <v>Custom MOSFET Comparison</v>
      </c>
      <c r="J161" s="165"/>
      <c r="K161" s="165"/>
      <c r="L161" s="165"/>
      <c r="M161" s="165"/>
      <c r="N161" s="165"/>
      <c r="O161" s="165"/>
      <c r="P161" s="165"/>
      <c r="Q161" s="24"/>
      <c r="R161" s="24"/>
      <c r="S161" s="25"/>
      <c r="T161" s="6"/>
      <c r="U161" s="7"/>
      <c r="V161" s="7"/>
      <c r="W161" s="7"/>
      <c r="X161" s="7"/>
      <c r="Y161" s="7"/>
      <c r="Z161" s="7"/>
      <c r="AA161" s="7"/>
      <c r="AB161" s="7"/>
      <c r="AC161" s="7"/>
      <c r="AD161" s="7"/>
      <c r="AE161" s="7"/>
      <c r="AF161" s="150" t="n">
        <f aca="false">AF160+1</f>
        <v>5</v>
      </c>
      <c r="AG161" s="150" t="n">
        <f aca="false">$AG$156+AF161*($AG$256-$AG$156)/$AF$256</f>
        <v>0.5</v>
      </c>
      <c r="AH161" s="151" t="n">
        <f aca="false">AG161*VACnom</f>
        <v>6</v>
      </c>
      <c r="AI161" s="152" t="n">
        <f aca="false">IF(VACnom&lt;Vbat, (Vbat-VACnom)/Vbat, Vbat/VACnom)</f>
        <v>0.0476190476190476</v>
      </c>
      <c r="AJ161" s="152" t="n">
        <f aca="false">IF(VACnom&lt;Vbat, AG161/(1-AI161), AG161*AI161)</f>
        <v>0.525</v>
      </c>
      <c r="AK161" s="152" t="n">
        <f aca="false">Ipkpk_VACnom</f>
        <v>0.285714285714285</v>
      </c>
      <c r="AL161" s="152" t="n">
        <f aca="false">SQRT(AJ161^2+AK161^2/12)</f>
        <v>0.531439292006562</v>
      </c>
      <c r="AM161" s="153"/>
      <c r="AN161" s="152" t="n">
        <f aca="false">MAX(0,Table7[[#This Row],[I_L]]-0.5*Table7[[#This Row],[I_L pkpk]])</f>
        <v>0.382142857142857</v>
      </c>
      <c r="AO161" s="152" t="n">
        <f aca="false">Table7[[#This Row],[I_L]]+0.5*Table7[[#This Row],[I_L pkpk]]</f>
        <v>0.667857142857143</v>
      </c>
      <c r="AP161" s="152" t="e">
        <f aca="false">IF(VACnom&gt;Vbat, (VGS_S-(TI_MOSFET_S_VTH_H_BU+Table7[[#This Row],[I_L]]/TI_MOSFET_S_gFS_H_BU))/3.4, (VGS_S-(TI_MOSFET_S_VTH_L_BO+Table7[[#This Row],[I_L]]/TI_MOSFET_S_gFS_L_BO))/3.4 )</f>
        <v>#REF!</v>
      </c>
      <c r="AQ161" s="152" t="e">
        <f aca="false">IF(VACnom&gt;Vbat, ((TI_MOSFET_S_VTH_H_BU+Table7[[#This Row],[I_L]]/TI_MOSFET_S_gFS_H_BU))/1, ((TI_MOSFET_S_VTH_L_BO+Table7[[#This Row],[I_L]]/TI_MOSFET_S_gFS_L_BO))/1 )</f>
        <v>#REF!</v>
      </c>
      <c r="AR161" s="152" t="e">
        <f aca="false">IF(VACnom&gt;Vbat, (TI_MOSFET_S_QGD_H_BU+TI_MOSFET_S_QGS_H_BU)*10^-9/Table7[[#This Row],[Ion (A)]], (TI_MOSFET_S_QGD_L_BO+TI_MOSFET_S_QGS_L_BO)*10^-9/Table7[[#This Row],[Ion (A)]])/10^-9</f>
        <v>#REF!</v>
      </c>
      <c r="AS161" s="152" t="e">
        <f aca="false">IF(VACnom&gt;Vbat, (TI_MOSFET_S_QGD_H_BU+TI_MOSFET_S_QGS_H_BU)*10^-9/Table7[[#This Row],[Ioff (A)]], (TI_MOSFET_S_QGD_L_BO+TI_MOSFET_S_QGS_L_BO)*10^-9/Table7[[#This Row],[Ioff (A)]])/10^-9</f>
        <v>#REF!</v>
      </c>
      <c r="AT161" s="152" t="e">
        <f aca="false">0.5*VACnom*Table7[[#This Row],[Ivalley (A)]]*Table7[[#This Row],[ton (ns)]]*10^-9*Fsw*10^3+0.5*VACnom*Table7[[#This Row],[Ipeak (A)]]*Table7[[#This Row],[toff (ns)]]*10^-9*Fsw*10^3/10^-3</f>
        <v>#REF!</v>
      </c>
      <c r="AU161" s="152" t="e">
        <f aca="false">IF(VACnom&gt;Vbat, 0.5*VACnom*TI_MOSFET_S_QOSS_H_BU*10^-9*Fsw*10^3,0.5*VACnom*TI_MOSFET_S_QOSS_L_BO*10^-9*Fsw*10^3)/10^-3</f>
        <v>#REF!</v>
      </c>
      <c r="AV161" s="152" t="e">
        <f aca="false">IF(VACnom&gt;Vbat, VACnom*TI_MOSFET_S_QG_H_BU*10^-9*Fsw*10^3,VACnom*TI_MOSFET_S_QG_H_BO*10^-9*Fsw*10^3)/10^-3</f>
        <v>#REF!</v>
      </c>
      <c r="AW161" s="152" t="e">
        <f aca="false">IF(VACnom&gt;Vbat, VACnom*TI_MOSFET_S_QRR_L_BU*10^-9*Fsw*10^3, VACnom*TI_MOSFET_S_QRR_H_BO*10^-9*Fsw*10^3)/10^-3</f>
        <v>#REF!</v>
      </c>
      <c r="AX161" s="152" t="e">
        <f aca="false">IF(VACnom&gt;Vbat, TI_MOSFET_S_VSD_L_BU*Table7[[#This Row],[Ivalley (A)]]*Fsw*10^3*40*10^-9+TI_MOSFET_S_VSD_L_BU*Table7[[#This Row],[Ipeak (A)]]*Fsw*10^3*30*10^-9, TI_MOSFET_S_VSD_H_BO*Table7[[#This Row],[Ivalley (A)]]*Fsw*10^3*40*10^-9+TI_MOSFET_S_VSD_H_BO*Table7[[#This Row],[Ipeak (A)]]*Fsw*10^3*30*10^-9)/10^-3</f>
        <v>#REF!</v>
      </c>
      <c r="AY161" s="152" t="e">
        <f aca="false">IF(VACnom&gt;Vbat, VACnom*TI_MOSFET_S_QG_L_BU*10^-9*Fsw*10^3, VACnom*TI_MOSFET_S_QG_L_BO*10^-9*Fsw*10^3)/10^-3</f>
        <v>#REF!</v>
      </c>
      <c r="AZ161" s="152" t="e">
        <f aca="false">IF(VACnom&lt;Vbat, Table7[[#This Row],[Duty Cycle]]*Table7[[#This Row],[I_L RMS]]^2*TI_MOSFET_S_RDSON_H_BU*10^-3, (1-Table7[[#This Row],[Duty Cycle]])*Table7[[#This Row],[I_L RMS]]^2*TI_MOSFET_S_RDSON_H_BO*10^-3)/10^-3</f>
        <v>#REF!</v>
      </c>
      <c r="BA161" s="152" t="e">
        <f aca="false">IF(VACnom&gt;Vbat, Table7[[#This Row],[PIV (mW)]]+Table7[[#This Row],[Pqoss (mW)]]+Table7[[#This Row],[Pgate_top (mW)]], Table7[[#This Row],[PRR (mW)]]+Table7[[#This Row],[Pdead (mW)]]+Table7[[#This Row],[Pgate_top (mW)]])</f>
        <v>#REF!</v>
      </c>
      <c r="BB161" s="152" t="e">
        <f aca="false">Table7[[#This Row],[Pcon_top (mW)]]+Table7[[#This Row],[Psw_top (mW)]]</f>
        <v>#REF!</v>
      </c>
      <c r="BC161" s="152" t="e">
        <f aca="false">IF(VACnom&gt;Vbat, (1-Table7[[#This Row],[Duty Cycle]])*Table7[[#This Row],[I_L RMS]]^2*TI_MOSFET_S_RDSON_L_BU*10^-3, Table7[[#This Row],[Duty Cycle]]*Table7[[#This Row],[I_L RMS]]^2*TI_MOSFET_S_RDSON_L_BO*10^-3)/10^-3</f>
        <v>#REF!</v>
      </c>
      <c r="BD161" s="152" t="e">
        <f aca="false">IF(VACnom&gt;Vbat, Table7[[#This Row],[PRR (mW)]]+Table7[[#This Row],[Pdead (mW)]]+Table7[[#This Row],[Pgate_bottom (mW)]], Table7[[#This Row],[PIV (mW)]]+Table7[[#This Row],[Pqoss (mW)]]+Table7[[#This Row],[Pgate_bottom (mW)]])</f>
        <v>#REF!</v>
      </c>
      <c r="BE161" s="154" t="e">
        <f aca="false">Table7[[#This Row],[Pcon_bottom (mW)]]+Table7[[#This Row],[Psw_bottom (mW)]]</f>
        <v>#REF!</v>
      </c>
      <c r="BF161" s="152" t="e">
        <f aca="false">Table7[[#This Row],[Pbottom (mW)]]+Table7[[#This Row],[Ptop (mW)]]</f>
        <v>#REF!</v>
      </c>
      <c r="BG161" s="155"/>
      <c r="BH161" s="152" t="n">
        <f aca="false">MAX(0,Table7[[#This Row],[I_L]]-0.5*Table7[[#This Row],[I_L pkpk]])</f>
        <v>0.382142857142857</v>
      </c>
      <c r="BI161" s="152" t="n">
        <f aca="false">Table7[[#This Row],[I_L]]+0.5*Table7[[#This Row],[I_L pkpk]]</f>
        <v>0.667857142857143</v>
      </c>
      <c r="BJ161" s="152" t="n">
        <f aca="false">IF(VACnom&gt;Vbat, (VGS_S-(C_MOSFET_S_VTH_H_BU+Table7[[#This Row],[I_L]]/C_MOSFET_S_gFS_H_BU))/3.4, (VGS_S-(C_MOSFET_S_VTH_L_BO+Table7[[#This Row],[I_L]]/C_MOSFET_S_gFS_L_BO))/3.4 )</f>
        <v>2.35191176470588</v>
      </c>
      <c r="BK161" s="152" t="n">
        <f aca="false">IF(VACnom&gt;Vbat, ((C_MOSFET_S_VTH_H_BU+Table7[[#This Row],[I_L]]/C_MOSFET_S_gFS_H_BU))/1, ((C_MOSFET_S_VTH_L_BO+Table7[[#This Row],[I_L]]/C_MOSFET_S_gFS_L_BO))/1 )</f>
        <v>2.0035</v>
      </c>
      <c r="BL161" s="152" t="n">
        <f aca="false">IF(VACnom&gt;Vbat, (C_MOSFET_S_QGD_H_BU+C_MOSFET_S_QGS_H_BU)*10^-9/Table7[[#This Row],[Ion (A) C]], (C_MOSFET_S_QGD_L_BO+C_MOSFET_S_QGS_L_BO)*10^-9/Table7[[#This Row],[Ion (A) C]])/10^-9</f>
        <v>2.7637091227412</v>
      </c>
      <c r="BM161" s="152" t="n">
        <f aca="false">IF(VACnom&gt;Vbat, (C_MOSFET_S_QGD_H_BU+C_MOSFET_S_QGS_H_BU)*10^-9/Table7[[#This Row],[Ioff (A) C]], (C_MOSFET_S_QGD_L_BO+C_MOSFET_S_QGS_L_BO)*10^-9/Table7[[#This Row],[Ioff (A) C]])/10^-9</f>
        <v>3.24432243573746</v>
      </c>
      <c r="BN161" s="152" t="n">
        <f aca="false">0.5*VACnom*Table7[[#This Row],[Ivalley (A) C]]*Table7[[#This Row],[ton (ns) C]]*10^-9*Fsw*10^3+0.5*VACnom*Table7[[#This Row],[Ipeak (A) C]]*Table7[[#This Row],[toff (ns) C]]*10^-9*Fsw*10^3/10^-3</f>
        <v>2.60136005296731</v>
      </c>
      <c r="BO161" s="152" t="n">
        <f aca="false">IF(VACnom&gt;Vbat, 0.5*VACnom*C_MOSFET_S_QOSS_H_BU*10^-9*Fsw*10^3,0.5*VACnom*C_MOSFET_S_QOSS_L_BO*10^-9*Fsw*10^3)/10^-3</f>
        <v>43.2</v>
      </c>
      <c r="BP161" s="152" t="e">
        <f aca="false">IF(VACnom&gt;Vbat, VACnom*C_MOSFET_S_QG_H_BU*10^-9*Fsw*10^3,VACnom*C_MOSFET_S_QG_H_BO*10^-9*Fsw*10^3)/10^-3</f>
        <v>#REF!</v>
      </c>
      <c r="BQ161" s="152" t="n">
        <f aca="false">IF(VACnom&gt;Vbat, VACnom*C_MOSFET_S_QRR_L_BU*10^-9*Fsw*10^3, VACnom*C_MOSFET_S_QRR_H_BO*10^-9*Fsw*10^3)/10^-3</f>
        <v>79.2</v>
      </c>
      <c r="BR161" s="152" t="n">
        <f aca="false">IF(VACnom&gt;Vbat, C_MOSFET_S_VSD_L_BU*Table7[[#This Row],[Ivalley (A) C]]*Fsw*10^3*40*10^-9+C_MOSFET_S_VSD_L_BU*Table7[[#This Row],[Ipeak (A) C]]*Fsw*10^3*30*10^-9, C_MOSFET_S_VSD_H_BO*Table7[[#This Row],[Ivalley (A) C]]*Fsw*10^3*40*10^-9+C_MOSFET_S_VSD_H_BO*Table7[[#This Row],[Ipeak (A) C]]*Fsw*10^3*30*10^-9)/10^-3</f>
        <v>5.65142857142857</v>
      </c>
      <c r="BS161" s="152" t="e">
        <f aca="false">IF(VACnom&gt;Vbat, VACnom*C_MOSFET_S_QG_L_BU*10^-9*Fsw*10^3, VACnom*C_MOSFET_S_QG_L_BO*10^-9*Fsw*10^3)/10^-3</f>
        <v>#REF!</v>
      </c>
      <c r="BT161" s="152" t="n">
        <f aca="false">IF(VACnom&lt;Vbat, Table7[[#This Row],[Duty Cycle]]*Table7[[#This Row],[I_L RMS]]^2*C_MOSFET_S_RDSON_H_BU*10^-3, (1-Table7[[#This Row],[Duty Cycle]])*Table7[[#This Row],[I_L RMS]]^2*C_MOSFET_S_RDSON_H_BO*10^-3)/10^-3</f>
        <v>0.076658952866861</v>
      </c>
      <c r="BU161" s="152" t="e">
        <f aca="false">IF(VACnom&gt;Vbat, Table7[[#This Row],[PIV (mW) C]]+Table7[[#This Row],[PQoss (mW) C]]+Table7[[#This Row],[Pgate_top (mW) C]], Table7[[#This Row],[PRR (mW) C]]+Table7[[#This Row],[Pdead (mW) C]]+Table7[[#This Row],[Pgate_top (mW) C]])</f>
        <v>#REF!</v>
      </c>
      <c r="BV161" s="152" t="e">
        <f aca="false">Table7[[#This Row],[Pcon_top (mW) C]]+Table7[[#This Row],[Psw_top (mW) C]]</f>
        <v>#REF!</v>
      </c>
      <c r="BW161" s="152" t="e">
        <f aca="false">IF(VACnom&gt;Vbat, (1-Table7[[#This Row],[Duty Cycle]])*Table7[[#This Row],[I_L RMS]]^2*C_MOSFET_S_RDSON_L_BU*10^-3, Table7[[#This Row],[Duty Cycle]]*Table7[[#This Row],[I_L RMS]]^2*C_MOSFET_S_RDSON_L_BO*10^-3)/10^-3</f>
        <v>#REF!</v>
      </c>
      <c r="BX161" s="152" t="e">
        <f aca="false">IF(VACnom&gt;Vbat, Table7[[#This Row],[PRR (mW) C]]+Table7[[#This Row],[Pdead (mW) C]]+Table7[[#This Row],[Pgate_bottom (mW) C]], Table7[[#This Row],[PIV (mW) C]]+Table7[[#This Row],[PQoss (mW) C]]+Table7[[#This Row],[Pgate_bottom (mW) C]])</f>
        <v>#REF!</v>
      </c>
      <c r="BY161" s="152" t="e">
        <f aca="false">Table7[[#This Row],[Pcon_bottom (mW) C]]+Table7[[#This Row],[Psw_bottom (mV) C]]</f>
        <v>#REF!</v>
      </c>
      <c r="BZ161" s="152" t="e">
        <f aca="false">Table7[[#This Row],[Pbottom (mW) C]]+Table7[[#This Row],[Ptop (mW) C]]</f>
        <v>#REF!</v>
      </c>
      <c r="CA161" s="156"/>
      <c r="CB161" s="151" t="n">
        <f aca="false">(RAC_SNS*10^-3*(Table7[[#This Row],[IOUT (A)]]*Vbat/VACnom)^2/10^-3)</f>
        <v>1.378125</v>
      </c>
      <c r="CC161" s="151" t="n">
        <f aca="false">(RBAT_SNS*10^-3*Table7[[#This Row],[IOUT (A)]]^2)/10^-3</f>
        <v>1.25</v>
      </c>
      <c r="CD161" s="151" t="n">
        <f aca="false">IF(VACnom&gt;Vbat,(L_DRC*10^-3*(Table7[[#This Row],[IOUT (A)]])^2/10^-3),(L_DRC*10^-3*(Table7[[#This Row],[IOUT (A)]]*Vbat/VACnom)^2/10^-3))</f>
        <v>3.3075</v>
      </c>
      <c r="CE161" s="157"/>
      <c r="CF161" s="152" t="n">
        <f aca="false">(Table7[[#This Row],[R_AC (mW)]]+Table7[[#This Row],[R_SR (mW)]]+Table7[[#This Row],[Inductor Loss (mW)]])/10^3</f>
        <v>0.005935625</v>
      </c>
      <c r="CG161" s="152" t="e">
        <f aca="false">Table7[[#This Row],[Total TI (mW)]]/10^3</f>
        <v>#REF!</v>
      </c>
      <c r="CH161" s="152" t="e">
        <f aca="false">Table7[[#This Row],[Total Sense Loss]]+Table7[[#This Row],[Total MOSFET Loss]]</f>
        <v>#REF!</v>
      </c>
      <c r="CI161" s="158" t="e">
        <f aca="false">IF(Table7[[#This Row],[POUT (W)]]=0,0,(Table7[[#This Row],[POUT (W)]])/(Table7[[#This Row],[POUT (W)]]+Table7[[#This Row],[Total Power Loss (W)]]))*100</f>
        <v>#REF!</v>
      </c>
      <c r="CJ161" s="159"/>
      <c r="CK161" s="152" t="n">
        <f aca="false">(Table7[[#This Row],[R_AC (mW)]]+Table7[[#This Row],[R_SR (mW)]]+Table7[[#This Row],[Inductor Loss (mW)]])/10^3</f>
        <v>0.005935625</v>
      </c>
      <c r="CL161" s="152" t="e">
        <f aca="false">Table7[[#This Row],[Total (mW) C]]/10^3</f>
        <v>#REF!</v>
      </c>
      <c r="CM161" s="152" t="e">
        <f aca="false">Table7[[#This Row],[Total Sense Loss C]]+Table7[[#This Row],[Total MOSFET Loss C]]</f>
        <v>#REF!</v>
      </c>
      <c r="CN161" s="158" t="e">
        <f aca="false">IF(Table7[[#This Row],[POUT (W)]]=0,0,(Table7[[#This Row],[POUT (W)]])/(Table7[[#This Row],[POUT (W)]]+Table7[[#This Row],[Total Power Loss (W) C]]))*100</f>
        <v>#REF!</v>
      </c>
      <c r="CO161" s="159"/>
      <c r="CP161" s="158" t="n">
        <f aca="false">IF(MOSFET_S=Custom_MOSFET,Table7[[#This Row],[Total Sense Loss C]],Table7[[#This Row],[Total Sense Loss]])</f>
        <v>0.005935625</v>
      </c>
      <c r="CQ161" s="158" t="e">
        <f aca="false">IF(MOSFET_S=Custom_MOSFET,Table7[[#This Row],[Total MOSFET Loss C]],Table7[[#This Row],[Total MOSFET Loss]])</f>
        <v>#REF!</v>
      </c>
      <c r="CR161" s="158" t="e">
        <f aca="false">IF(MOSFET_S=Custom_MOSFET,Table7[[#This Row],[Efficiency C]],Table7[[#This Row],[Efficiency]])</f>
        <v>#REF!</v>
      </c>
      <c r="CS161" s="159"/>
      <c r="CT161" s="158" t="n">
        <f aca="false">IF(MOSFET_S=Compare_MOSFET, Table7[[#This Row],[Total Sense Loss C]], -100)</f>
        <v>-100</v>
      </c>
      <c r="CU161" s="158" t="n">
        <f aca="false">IF(MOSFET_S=Compare_MOSFET, Table7[[#This Row],[Total MOSFET Loss C]], -100)</f>
        <v>-100</v>
      </c>
      <c r="CV161" s="158" t="n">
        <f aca="false">IF(MOSFET_S=Compare_MOSFET, Table7[[#This Row],[Efficiency C]], -100)</f>
        <v>-100</v>
      </c>
      <c r="CW161" s="159"/>
      <c r="CX161" s="158" t="e">
        <f aca="false">IF(Save_Sel=CLR_Save,  Table7[[#This Row],[Total Sense Loss P1]], Table7[[#This Row],[Total Sense Loss P1 Saved]])</f>
        <v>#VALUE!</v>
      </c>
      <c r="CY161" s="158" t="e">
        <f aca="false">IF(Save_Sel=CLR_Save,  Table7[[#This Row],[Total MOSFET Loss P1]], Table7[[#This Row],[Total MOSFET Loss P1 Saved]] )</f>
        <v>#VALUE!</v>
      </c>
      <c r="CZ161" s="158" t="e">
        <f aca="false">IF(Save_Sel=CLR_Save, Table7[[#This Row],[Efficiency P1]], Table7[[#This Row],[Efficiency P1 Saved]])</f>
        <v>#VALUE!</v>
      </c>
      <c r="DA161" s="159"/>
      <c r="DB161" s="158" t="e">
        <f aca="false">IF(Save_Sel=CLR_Save,  Table7[[#This Row],[Total Sense Loss P2]], Table7[[#This Row],[Total Sense Loss P2 Saved]])</f>
        <v>#VALUE!</v>
      </c>
      <c r="DC161" s="158" t="e">
        <f aca="false">IF(Save_Sel=CLR_Save,  Table7[[#This Row],[Total MOSFET Loss P2]], Table7[[#This Row],[Total MOSFET Loss P2 Saved]] )</f>
        <v>#VALUE!</v>
      </c>
      <c r="DD161" s="158" t="e">
        <f aca="false">IF(Save_Sel=CLR_Save, Table7[[#This Row],[Efficiency P2]], Table7[[#This Row],[Efficiency P2 Saved]])</f>
        <v>#VALUE!</v>
      </c>
      <c r="DE161" s="159"/>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row>
    <row r="162" customFormat="false" ht="16.4" hidden="false" customHeight="false" outlineLevel="0" collapsed="false">
      <c r="A162" s="102"/>
      <c r="B162" s="114"/>
      <c r="C162" s="86"/>
      <c r="D162" s="115" t="s">
        <v>122</v>
      </c>
      <c r="E162" s="116"/>
      <c r="F162" s="86"/>
      <c r="G162" s="117"/>
      <c r="H162" s="24"/>
      <c r="I162" s="166"/>
      <c r="J162" s="86"/>
      <c r="K162" s="114"/>
      <c r="L162" s="86"/>
      <c r="M162" s="115" t="s">
        <v>122</v>
      </c>
      <c r="N162" s="116"/>
      <c r="O162" s="86"/>
      <c r="P162" s="117"/>
      <c r="Q162" s="24"/>
      <c r="R162" s="24"/>
      <c r="S162" s="25"/>
      <c r="T162" s="6"/>
      <c r="U162" s="7"/>
      <c r="V162" s="7"/>
      <c r="W162" s="7"/>
      <c r="X162" s="7"/>
      <c r="Y162" s="7"/>
      <c r="Z162" s="7"/>
      <c r="AA162" s="7"/>
      <c r="AB162" s="7"/>
      <c r="AC162" s="7"/>
      <c r="AD162" s="7"/>
      <c r="AE162" s="7"/>
      <c r="AF162" s="150" t="n">
        <f aca="false">AF161+1</f>
        <v>6</v>
      </c>
      <c r="AG162" s="150" t="n">
        <f aca="false">$AG$156+AF162*($AG$256-$AG$156)/$AF$256</f>
        <v>0.6</v>
      </c>
      <c r="AH162" s="151" t="n">
        <f aca="false">AG162*VACnom</f>
        <v>7.2</v>
      </c>
      <c r="AI162" s="152" t="n">
        <f aca="false">IF(VACnom&lt;Vbat, (Vbat-VACnom)/Vbat, Vbat/VACnom)</f>
        <v>0.0476190476190476</v>
      </c>
      <c r="AJ162" s="152" t="n">
        <f aca="false">IF(VACnom&lt;Vbat, AG162/(1-AI162), AG162*AI162)</f>
        <v>0.63</v>
      </c>
      <c r="AK162" s="152" t="n">
        <f aca="false">Ipkpk_VACnom</f>
        <v>0.285714285714285</v>
      </c>
      <c r="AL162" s="152" t="n">
        <f aca="false">SQRT(AJ162^2+AK162^2/12)</f>
        <v>0.63537604698984</v>
      </c>
      <c r="AM162" s="153"/>
      <c r="AN162" s="152" t="n">
        <f aca="false">MAX(0,Table7[[#This Row],[I_L]]-0.5*Table7[[#This Row],[I_L pkpk]])</f>
        <v>0.487142857142857</v>
      </c>
      <c r="AO162" s="152" t="n">
        <f aca="false">Table7[[#This Row],[I_L]]+0.5*Table7[[#This Row],[I_L pkpk]]</f>
        <v>0.772857142857143</v>
      </c>
      <c r="AP162" s="152" t="e">
        <f aca="false">IF(VACnom&gt;Vbat, (VGS_S-(TI_MOSFET_S_VTH_H_BU+Table7[[#This Row],[I_L]]/TI_MOSFET_S_gFS_H_BU))/3.4, (VGS_S-(TI_MOSFET_S_VTH_L_BO+Table7[[#This Row],[I_L]]/TI_MOSFET_S_gFS_L_BO))/3.4 )</f>
        <v>#REF!</v>
      </c>
      <c r="AQ162" s="152" t="e">
        <f aca="false">IF(VACnom&gt;Vbat, ((TI_MOSFET_S_VTH_H_BU+Table7[[#This Row],[I_L]]/TI_MOSFET_S_gFS_H_BU))/1, ((TI_MOSFET_S_VTH_L_BO+Table7[[#This Row],[I_L]]/TI_MOSFET_S_gFS_L_BO))/1 )</f>
        <v>#REF!</v>
      </c>
      <c r="AR162" s="152" t="e">
        <f aca="false">IF(VACnom&gt;Vbat, (TI_MOSFET_S_QGD_H_BU+TI_MOSFET_S_QGS_H_BU)*10^-9/Table7[[#This Row],[Ion (A)]], (TI_MOSFET_S_QGD_L_BO+TI_MOSFET_S_QGS_L_BO)*10^-9/Table7[[#This Row],[Ion (A)]])/10^-9</f>
        <v>#REF!</v>
      </c>
      <c r="AS162" s="152" t="e">
        <f aca="false">IF(VACnom&gt;Vbat, (TI_MOSFET_S_QGD_H_BU+TI_MOSFET_S_QGS_H_BU)*10^-9/Table7[[#This Row],[Ioff (A)]], (TI_MOSFET_S_QGD_L_BO+TI_MOSFET_S_QGS_L_BO)*10^-9/Table7[[#This Row],[Ioff (A)]])/10^-9</f>
        <v>#REF!</v>
      </c>
      <c r="AT162" s="152" t="e">
        <f aca="false">0.5*VACnom*Table7[[#This Row],[Ivalley (A)]]*Table7[[#This Row],[ton (ns)]]*10^-9*Fsw*10^3+0.5*VACnom*Table7[[#This Row],[Ipeak (A)]]*Table7[[#This Row],[toff (ns)]]*10^-9*Fsw*10^3/10^-3</f>
        <v>#REF!</v>
      </c>
      <c r="AU162" s="152" t="e">
        <f aca="false">IF(VACnom&gt;Vbat, 0.5*VACnom*TI_MOSFET_S_QOSS_H_BU*10^-9*Fsw*10^3,0.5*VACnom*TI_MOSFET_S_QOSS_L_BO*10^-9*Fsw*10^3)/10^-3</f>
        <v>#REF!</v>
      </c>
      <c r="AV162" s="152" t="e">
        <f aca="false">IF(VACnom&gt;Vbat, VACnom*TI_MOSFET_S_QG_H_BU*10^-9*Fsw*10^3,VACnom*TI_MOSFET_S_QG_H_BO*10^-9*Fsw*10^3)/10^-3</f>
        <v>#REF!</v>
      </c>
      <c r="AW162" s="152" t="e">
        <f aca="false">IF(VACnom&gt;Vbat, VACnom*TI_MOSFET_S_QRR_L_BU*10^-9*Fsw*10^3, VACnom*TI_MOSFET_S_QRR_H_BO*10^-9*Fsw*10^3)/10^-3</f>
        <v>#REF!</v>
      </c>
      <c r="AX162" s="152" t="e">
        <f aca="false">IF(VACnom&gt;Vbat, TI_MOSFET_S_VSD_L_BU*Table7[[#This Row],[Ivalley (A)]]*Fsw*10^3*40*10^-9+TI_MOSFET_S_VSD_L_BU*Table7[[#This Row],[Ipeak (A)]]*Fsw*10^3*30*10^-9, TI_MOSFET_S_VSD_H_BO*Table7[[#This Row],[Ivalley (A)]]*Fsw*10^3*40*10^-9+TI_MOSFET_S_VSD_H_BO*Table7[[#This Row],[Ipeak (A)]]*Fsw*10^3*30*10^-9)/10^-3</f>
        <v>#REF!</v>
      </c>
      <c r="AY162" s="152" t="e">
        <f aca="false">IF(VACnom&gt;Vbat, VACnom*TI_MOSFET_S_QG_L_BU*10^-9*Fsw*10^3, VACnom*TI_MOSFET_S_QG_L_BO*10^-9*Fsw*10^3)/10^-3</f>
        <v>#REF!</v>
      </c>
      <c r="AZ162" s="152" t="e">
        <f aca="false">IF(VACnom&lt;Vbat, Table7[[#This Row],[Duty Cycle]]*Table7[[#This Row],[I_L RMS]]^2*TI_MOSFET_S_RDSON_H_BU*10^-3, (1-Table7[[#This Row],[Duty Cycle]])*Table7[[#This Row],[I_L RMS]]^2*TI_MOSFET_S_RDSON_H_BO*10^-3)/10^-3</f>
        <v>#REF!</v>
      </c>
      <c r="BA162" s="152" t="e">
        <f aca="false">IF(VACnom&gt;Vbat, Table7[[#This Row],[PIV (mW)]]+Table7[[#This Row],[Pqoss (mW)]]+Table7[[#This Row],[Pgate_top (mW)]], Table7[[#This Row],[PRR (mW)]]+Table7[[#This Row],[Pdead (mW)]]+Table7[[#This Row],[Pgate_top (mW)]])</f>
        <v>#REF!</v>
      </c>
      <c r="BB162" s="152" t="e">
        <f aca="false">Table7[[#This Row],[Pcon_top (mW)]]+Table7[[#This Row],[Psw_top (mW)]]</f>
        <v>#REF!</v>
      </c>
      <c r="BC162" s="152" t="e">
        <f aca="false">IF(VACnom&gt;Vbat, (1-Table7[[#This Row],[Duty Cycle]])*Table7[[#This Row],[I_L RMS]]^2*TI_MOSFET_S_RDSON_L_BU*10^-3, Table7[[#This Row],[Duty Cycle]]*Table7[[#This Row],[I_L RMS]]^2*TI_MOSFET_S_RDSON_L_BO*10^-3)/10^-3</f>
        <v>#REF!</v>
      </c>
      <c r="BD162" s="152" t="e">
        <f aca="false">IF(VACnom&gt;Vbat, Table7[[#This Row],[PRR (mW)]]+Table7[[#This Row],[Pdead (mW)]]+Table7[[#This Row],[Pgate_bottom (mW)]], Table7[[#This Row],[PIV (mW)]]+Table7[[#This Row],[Pqoss (mW)]]+Table7[[#This Row],[Pgate_bottom (mW)]])</f>
        <v>#REF!</v>
      </c>
      <c r="BE162" s="154" t="e">
        <f aca="false">Table7[[#This Row],[Pcon_bottom (mW)]]+Table7[[#This Row],[Psw_bottom (mW)]]</f>
        <v>#REF!</v>
      </c>
      <c r="BF162" s="152" t="e">
        <f aca="false">Table7[[#This Row],[Pbottom (mW)]]+Table7[[#This Row],[Ptop (mW)]]</f>
        <v>#REF!</v>
      </c>
      <c r="BG162" s="155"/>
      <c r="BH162" s="152" t="n">
        <f aca="false">MAX(0,Table7[[#This Row],[I_L]]-0.5*Table7[[#This Row],[I_L pkpk]])</f>
        <v>0.487142857142857</v>
      </c>
      <c r="BI162" s="152" t="n">
        <f aca="false">Table7[[#This Row],[I_L]]+0.5*Table7[[#This Row],[I_L pkpk]]</f>
        <v>0.772857142857143</v>
      </c>
      <c r="BJ162" s="152" t="n">
        <f aca="false">IF(VACnom&gt;Vbat, (VGS_S-(C_MOSFET_S_VTH_H_BU+Table7[[#This Row],[I_L]]/C_MOSFET_S_gFS_H_BU))/3.4, (VGS_S-(C_MOSFET_S_VTH_L_BO+Table7[[#This Row],[I_L]]/C_MOSFET_S_gFS_L_BO))/3.4 )</f>
        <v>2.35170588235294</v>
      </c>
      <c r="BK162" s="152" t="n">
        <f aca="false">IF(VACnom&gt;Vbat, ((C_MOSFET_S_VTH_H_BU+Table7[[#This Row],[I_L]]/C_MOSFET_S_gFS_H_BU))/1, ((C_MOSFET_S_VTH_L_BO+Table7[[#This Row],[I_L]]/C_MOSFET_S_gFS_L_BO))/1 )</f>
        <v>2.0042</v>
      </c>
      <c r="BL162" s="152" t="n">
        <f aca="false">IF(VACnom&gt;Vbat, (C_MOSFET_S_QGD_H_BU+C_MOSFET_S_QGS_H_BU)*10^-9/Table7[[#This Row],[Ion (A) C]], (C_MOSFET_S_QGD_L_BO+C_MOSFET_S_QGS_L_BO)*10^-9/Table7[[#This Row],[Ion (A) C]])/10^-9</f>
        <v>2.76395107431401</v>
      </c>
      <c r="BM162" s="152" t="n">
        <f aca="false">IF(VACnom&gt;Vbat, (C_MOSFET_S_QGD_H_BU+C_MOSFET_S_QGS_H_BU)*10^-9/Table7[[#This Row],[Ioff (A) C]], (C_MOSFET_S_QGD_L_BO+C_MOSFET_S_QGS_L_BO)*10^-9/Table7[[#This Row],[Ioff (A) C]])/10^-9</f>
        <v>3.24318930246482</v>
      </c>
      <c r="BN162" s="152" t="n">
        <f aca="false">0.5*VACnom*Table7[[#This Row],[Ivalley (A) C]]*Table7[[#This Row],[ton (ns) C]]*10^-9*Fsw*10^3+0.5*VACnom*Table7[[#This Row],[Ipeak (A) C]]*Table7[[#This Row],[toff (ns) C]]*10^-9*Fsw*10^3/10^-3</f>
        <v>3.00944214848539</v>
      </c>
      <c r="BO162" s="152" t="n">
        <f aca="false">IF(VACnom&gt;Vbat, 0.5*VACnom*C_MOSFET_S_QOSS_H_BU*10^-9*Fsw*10^3,0.5*VACnom*C_MOSFET_S_QOSS_L_BO*10^-9*Fsw*10^3)/10^-3</f>
        <v>43.2</v>
      </c>
      <c r="BP162" s="152" t="e">
        <f aca="false">IF(VACnom&gt;Vbat, VACnom*C_MOSFET_S_QG_H_BU*10^-9*Fsw*10^3,VACnom*C_MOSFET_S_QG_H_BO*10^-9*Fsw*10^3)/10^-3</f>
        <v>#REF!</v>
      </c>
      <c r="BQ162" s="152" t="n">
        <f aca="false">IF(VACnom&gt;Vbat, VACnom*C_MOSFET_S_QRR_L_BU*10^-9*Fsw*10^3, VACnom*C_MOSFET_S_QRR_H_BO*10^-9*Fsw*10^3)/10^-3</f>
        <v>79.2</v>
      </c>
      <c r="BR162" s="152" t="n">
        <f aca="false">IF(VACnom&gt;Vbat, C_MOSFET_S_VSD_L_BU*Table7[[#This Row],[Ivalley (A) C]]*Fsw*10^3*40*10^-9+C_MOSFET_S_VSD_L_BU*Table7[[#This Row],[Ipeak (A) C]]*Fsw*10^3*30*10^-9, C_MOSFET_S_VSD_H_BO*Table7[[#This Row],[Ivalley (A) C]]*Fsw*10^3*40*10^-9+C_MOSFET_S_VSD_H_BO*Table7[[#This Row],[Ipeak (A) C]]*Fsw*10^3*30*10^-9)/10^-3</f>
        <v>6.82742857142857</v>
      </c>
      <c r="BS162" s="152" t="e">
        <f aca="false">IF(VACnom&gt;Vbat, VACnom*C_MOSFET_S_QG_L_BU*10^-9*Fsw*10^3, VACnom*C_MOSFET_S_QG_L_BO*10^-9*Fsw*10^3)/10^-3</f>
        <v>#REF!</v>
      </c>
      <c r="BT162" s="152" t="n">
        <f aca="false">IF(VACnom&lt;Vbat, Table7[[#This Row],[Duty Cycle]]*Table7[[#This Row],[I_L RMS]]^2*C_MOSFET_S_RDSON_H_BU*10^-3, (1-Table7[[#This Row],[Duty Cycle]])*Table7[[#This Row],[I_L RMS]]^2*C_MOSFET_S_RDSON_H_BO*10^-3)/10^-3</f>
        <v>0.109576452866861</v>
      </c>
      <c r="BU162" s="152" t="e">
        <f aca="false">IF(VACnom&gt;Vbat, Table7[[#This Row],[PIV (mW) C]]+Table7[[#This Row],[PQoss (mW) C]]+Table7[[#This Row],[Pgate_top (mW) C]], Table7[[#This Row],[PRR (mW) C]]+Table7[[#This Row],[Pdead (mW) C]]+Table7[[#This Row],[Pgate_top (mW) C]])</f>
        <v>#REF!</v>
      </c>
      <c r="BV162" s="152" t="e">
        <f aca="false">Table7[[#This Row],[Pcon_top (mW) C]]+Table7[[#This Row],[Psw_top (mW) C]]</f>
        <v>#REF!</v>
      </c>
      <c r="BW162" s="152" t="e">
        <f aca="false">IF(VACnom&gt;Vbat, (1-Table7[[#This Row],[Duty Cycle]])*Table7[[#This Row],[I_L RMS]]^2*C_MOSFET_S_RDSON_L_BU*10^-3, Table7[[#This Row],[Duty Cycle]]*Table7[[#This Row],[I_L RMS]]^2*C_MOSFET_S_RDSON_L_BO*10^-3)/10^-3</f>
        <v>#REF!</v>
      </c>
      <c r="BX162" s="152" t="e">
        <f aca="false">IF(VACnom&gt;Vbat, Table7[[#This Row],[PRR (mW) C]]+Table7[[#This Row],[Pdead (mW) C]]+Table7[[#This Row],[Pgate_bottom (mW) C]], Table7[[#This Row],[PIV (mW) C]]+Table7[[#This Row],[PQoss (mW) C]]+Table7[[#This Row],[Pgate_bottom (mW) C]])</f>
        <v>#REF!</v>
      </c>
      <c r="BY162" s="152" t="e">
        <f aca="false">Table7[[#This Row],[Pcon_bottom (mW) C]]+Table7[[#This Row],[Psw_bottom (mV) C]]</f>
        <v>#REF!</v>
      </c>
      <c r="BZ162" s="152" t="e">
        <f aca="false">Table7[[#This Row],[Pbottom (mW) C]]+Table7[[#This Row],[Ptop (mW) C]]</f>
        <v>#REF!</v>
      </c>
      <c r="CA162" s="156"/>
      <c r="CB162" s="151" t="n">
        <f aca="false">(RAC_SNS*10^-3*(Table7[[#This Row],[IOUT (A)]]*Vbat/VACnom)^2/10^-3)</f>
        <v>1.9845</v>
      </c>
      <c r="CC162" s="151" t="n">
        <f aca="false">(RBAT_SNS*10^-3*Table7[[#This Row],[IOUT (A)]]^2)/10^-3</f>
        <v>1.8</v>
      </c>
      <c r="CD162" s="151" t="n">
        <f aca="false">IF(VACnom&gt;Vbat,(L_DRC*10^-3*(Table7[[#This Row],[IOUT (A)]])^2/10^-3),(L_DRC*10^-3*(Table7[[#This Row],[IOUT (A)]]*Vbat/VACnom)^2/10^-3))</f>
        <v>4.7628</v>
      </c>
      <c r="CE162" s="157"/>
      <c r="CF162" s="152" t="n">
        <f aca="false">(Table7[[#This Row],[R_AC (mW)]]+Table7[[#This Row],[R_SR (mW)]]+Table7[[#This Row],[Inductor Loss (mW)]])/10^3</f>
        <v>0.0085473</v>
      </c>
      <c r="CG162" s="152" t="e">
        <f aca="false">Table7[[#This Row],[Total TI (mW)]]/10^3</f>
        <v>#REF!</v>
      </c>
      <c r="CH162" s="152" t="e">
        <f aca="false">Table7[[#This Row],[Total Sense Loss]]+Table7[[#This Row],[Total MOSFET Loss]]</f>
        <v>#REF!</v>
      </c>
      <c r="CI162" s="158" t="e">
        <f aca="false">IF(Table7[[#This Row],[POUT (W)]]=0,0,(Table7[[#This Row],[POUT (W)]])/(Table7[[#This Row],[POUT (W)]]+Table7[[#This Row],[Total Power Loss (W)]]))*100</f>
        <v>#REF!</v>
      </c>
      <c r="CJ162" s="159"/>
      <c r="CK162" s="152" t="n">
        <f aca="false">(Table7[[#This Row],[R_AC (mW)]]+Table7[[#This Row],[R_SR (mW)]]+Table7[[#This Row],[Inductor Loss (mW)]])/10^3</f>
        <v>0.0085473</v>
      </c>
      <c r="CL162" s="152" t="e">
        <f aca="false">Table7[[#This Row],[Total (mW) C]]/10^3</f>
        <v>#REF!</v>
      </c>
      <c r="CM162" s="152" t="e">
        <f aca="false">Table7[[#This Row],[Total Sense Loss C]]+Table7[[#This Row],[Total MOSFET Loss C]]</f>
        <v>#REF!</v>
      </c>
      <c r="CN162" s="158" t="e">
        <f aca="false">IF(Table7[[#This Row],[POUT (W)]]=0,0,(Table7[[#This Row],[POUT (W)]])/(Table7[[#This Row],[POUT (W)]]+Table7[[#This Row],[Total Power Loss (W) C]]))*100</f>
        <v>#REF!</v>
      </c>
      <c r="CO162" s="159"/>
      <c r="CP162" s="158" t="n">
        <f aca="false">IF(MOSFET_S=Custom_MOSFET,Table7[[#This Row],[Total Sense Loss C]],Table7[[#This Row],[Total Sense Loss]])</f>
        <v>0.0085473</v>
      </c>
      <c r="CQ162" s="158" t="e">
        <f aca="false">IF(MOSFET_S=Custom_MOSFET,Table7[[#This Row],[Total MOSFET Loss C]],Table7[[#This Row],[Total MOSFET Loss]])</f>
        <v>#REF!</v>
      </c>
      <c r="CR162" s="158" t="e">
        <f aca="false">IF(MOSFET_S=Custom_MOSFET,Table7[[#This Row],[Efficiency C]],Table7[[#This Row],[Efficiency]])</f>
        <v>#REF!</v>
      </c>
      <c r="CS162" s="159"/>
      <c r="CT162" s="158" t="n">
        <f aca="false">IF(MOSFET_S=Compare_MOSFET, Table7[[#This Row],[Total Sense Loss C]], -100)</f>
        <v>-100</v>
      </c>
      <c r="CU162" s="158" t="n">
        <f aca="false">IF(MOSFET_S=Compare_MOSFET, Table7[[#This Row],[Total MOSFET Loss C]], -100)</f>
        <v>-100</v>
      </c>
      <c r="CV162" s="158" t="n">
        <f aca="false">IF(MOSFET_S=Compare_MOSFET, Table7[[#This Row],[Efficiency C]], -100)</f>
        <v>-100</v>
      </c>
      <c r="CW162" s="159"/>
      <c r="CX162" s="158" t="e">
        <f aca="false">IF(Save_Sel=CLR_Save,  Table7[[#This Row],[Total Sense Loss P1]], Table7[[#This Row],[Total Sense Loss P1 Saved]])</f>
        <v>#VALUE!</v>
      </c>
      <c r="CY162" s="158" t="e">
        <f aca="false">IF(Save_Sel=CLR_Save,  Table7[[#This Row],[Total MOSFET Loss P1]], Table7[[#This Row],[Total MOSFET Loss P1 Saved]] )</f>
        <v>#VALUE!</v>
      </c>
      <c r="CZ162" s="158" t="e">
        <f aca="false">IF(Save_Sel=CLR_Save, Table7[[#This Row],[Efficiency P1]], Table7[[#This Row],[Efficiency P1 Saved]])</f>
        <v>#VALUE!</v>
      </c>
      <c r="DA162" s="159"/>
      <c r="DB162" s="158" t="e">
        <f aca="false">IF(Save_Sel=CLR_Save,  Table7[[#This Row],[Total Sense Loss P2]], Table7[[#This Row],[Total Sense Loss P2 Saved]])</f>
        <v>#VALUE!</v>
      </c>
      <c r="DC162" s="158" t="e">
        <f aca="false">IF(Save_Sel=CLR_Save,  Table7[[#This Row],[Total MOSFET Loss P2]], Table7[[#This Row],[Total MOSFET Loss P2 Saved]] )</f>
        <v>#VALUE!</v>
      </c>
      <c r="DD162" s="158" t="e">
        <f aca="false">IF(Save_Sel=CLR_Save, Table7[[#This Row],[Efficiency P2]], Table7[[#This Row],[Efficiency P2 Saved]])</f>
        <v>#VALUE!</v>
      </c>
      <c r="DE162" s="159"/>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row>
    <row r="163" customFormat="false" ht="16.4" hidden="false" customHeight="false" outlineLevel="0" collapsed="false">
      <c r="A163" s="100"/>
      <c r="B163" s="84"/>
      <c r="C163" s="84"/>
      <c r="D163" s="41"/>
      <c r="E163" s="84" t="s">
        <v>125</v>
      </c>
      <c r="F163" s="84" t="s">
        <v>126</v>
      </c>
      <c r="G163" s="119"/>
      <c r="H163" s="24"/>
      <c r="I163" s="167"/>
      <c r="J163" s="84"/>
      <c r="K163" s="84"/>
      <c r="L163" s="84"/>
      <c r="M163" s="41"/>
      <c r="N163" s="84" t="s">
        <v>125</v>
      </c>
      <c r="O163" s="84" t="s">
        <v>126</v>
      </c>
      <c r="P163" s="119"/>
      <c r="Q163" s="24"/>
      <c r="R163" s="24"/>
      <c r="S163" s="25"/>
      <c r="T163" s="6"/>
      <c r="U163" s="7"/>
      <c r="V163" s="7"/>
      <c r="W163" s="7"/>
      <c r="X163" s="7"/>
      <c r="Y163" s="7"/>
      <c r="Z163" s="7"/>
      <c r="AA163" s="7"/>
      <c r="AB163" s="7"/>
      <c r="AC163" s="7"/>
      <c r="AD163" s="7"/>
      <c r="AE163" s="7"/>
      <c r="AF163" s="150" t="n">
        <f aca="false">AF162+1</f>
        <v>7</v>
      </c>
      <c r="AG163" s="150" t="n">
        <f aca="false">$AG$156+AF163*($AG$256-$AG$156)/$AF$256</f>
        <v>0.7</v>
      </c>
      <c r="AH163" s="151" t="n">
        <f aca="false">AG163*VACnom</f>
        <v>8.4</v>
      </c>
      <c r="AI163" s="152" t="n">
        <f aca="false">IF(VACnom&lt;Vbat, (Vbat-VACnom)/Vbat, Vbat/VACnom)</f>
        <v>0.0476190476190476</v>
      </c>
      <c r="AJ163" s="152" t="n">
        <f aca="false">IF(VACnom&lt;Vbat, AG163/(1-AI163), AG163*AI163)</f>
        <v>0.735</v>
      </c>
      <c r="AK163" s="152" t="n">
        <f aca="false">Ipkpk_VACnom</f>
        <v>0.285714285714285</v>
      </c>
      <c r="AL163" s="152" t="n">
        <f aca="false">SQRT(AJ163^2+AK163^2/12)</f>
        <v>0.739613223981586</v>
      </c>
      <c r="AM163" s="153"/>
      <c r="AN163" s="152" t="n">
        <f aca="false">MAX(0,Table7[[#This Row],[I_L]]-0.5*Table7[[#This Row],[I_L pkpk]])</f>
        <v>0.592142857142857</v>
      </c>
      <c r="AO163" s="152" t="n">
        <f aca="false">Table7[[#This Row],[I_L]]+0.5*Table7[[#This Row],[I_L pkpk]]</f>
        <v>0.877857142857143</v>
      </c>
      <c r="AP163" s="152" t="e">
        <f aca="false">IF(VACnom&gt;Vbat, (VGS_S-(TI_MOSFET_S_VTH_H_BU+Table7[[#This Row],[I_L]]/TI_MOSFET_S_gFS_H_BU))/3.4, (VGS_S-(TI_MOSFET_S_VTH_L_BO+Table7[[#This Row],[I_L]]/TI_MOSFET_S_gFS_L_BO))/3.4 )</f>
        <v>#REF!</v>
      </c>
      <c r="AQ163" s="152" t="e">
        <f aca="false">IF(VACnom&gt;Vbat, ((TI_MOSFET_S_VTH_H_BU+Table7[[#This Row],[I_L]]/TI_MOSFET_S_gFS_H_BU))/1, ((TI_MOSFET_S_VTH_L_BO+Table7[[#This Row],[I_L]]/TI_MOSFET_S_gFS_L_BO))/1 )</f>
        <v>#REF!</v>
      </c>
      <c r="AR163" s="152" t="e">
        <f aca="false">IF(VACnom&gt;Vbat, (TI_MOSFET_S_QGD_H_BU+TI_MOSFET_S_QGS_H_BU)*10^-9/Table7[[#This Row],[Ion (A)]], (TI_MOSFET_S_QGD_L_BO+TI_MOSFET_S_QGS_L_BO)*10^-9/Table7[[#This Row],[Ion (A)]])/10^-9</f>
        <v>#REF!</v>
      </c>
      <c r="AS163" s="152" t="e">
        <f aca="false">IF(VACnom&gt;Vbat, (TI_MOSFET_S_QGD_H_BU+TI_MOSFET_S_QGS_H_BU)*10^-9/Table7[[#This Row],[Ioff (A)]], (TI_MOSFET_S_QGD_L_BO+TI_MOSFET_S_QGS_L_BO)*10^-9/Table7[[#This Row],[Ioff (A)]])/10^-9</f>
        <v>#REF!</v>
      </c>
      <c r="AT163" s="152" t="e">
        <f aca="false">0.5*VACnom*Table7[[#This Row],[Ivalley (A)]]*Table7[[#This Row],[ton (ns)]]*10^-9*Fsw*10^3+0.5*VACnom*Table7[[#This Row],[Ipeak (A)]]*Table7[[#This Row],[toff (ns)]]*10^-9*Fsw*10^3/10^-3</f>
        <v>#REF!</v>
      </c>
      <c r="AU163" s="152" t="e">
        <f aca="false">IF(VACnom&gt;Vbat, 0.5*VACnom*TI_MOSFET_S_QOSS_H_BU*10^-9*Fsw*10^3,0.5*VACnom*TI_MOSFET_S_QOSS_L_BO*10^-9*Fsw*10^3)/10^-3</f>
        <v>#REF!</v>
      </c>
      <c r="AV163" s="152" t="e">
        <f aca="false">IF(VACnom&gt;Vbat, VACnom*TI_MOSFET_S_QG_H_BU*10^-9*Fsw*10^3,VACnom*TI_MOSFET_S_QG_H_BO*10^-9*Fsw*10^3)/10^-3</f>
        <v>#REF!</v>
      </c>
      <c r="AW163" s="152" t="e">
        <f aca="false">IF(VACnom&gt;Vbat, VACnom*TI_MOSFET_S_QRR_L_BU*10^-9*Fsw*10^3, VACnom*TI_MOSFET_S_QRR_H_BO*10^-9*Fsw*10^3)/10^-3</f>
        <v>#REF!</v>
      </c>
      <c r="AX163" s="152" t="e">
        <f aca="false">IF(VACnom&gt;Vbat, TI_MOSFET_S_VSD_L_BU*Table7[[#This Row],[Ivalley (A)]]*Fsw*10^3*40*10^-9+TI_MOSFET_S_VSD_L_BU*Table7[[#This Row],[Ipeak (A)]]*Fsw*10^3*30*10^-9, TI_MOSFET_S_VSD_H_BO*Table7[[#This Row],[Ivalley (A)]]*Fsw*10^3*40*10^-9+TI_MOSFET_S_VSD_H_BO*Table7[[#This Row],[Ipeak (A)]]*Fsw*10^3*30*10^-9)/10^-3</f>
        <v>#REF!</v>
      </c>
      <c r="AY163" s="152" t="e">
        <f aca="false">IF(VACnom&gt;Vbat, VACnom*TI_MOSFET_S_QG_L_BU*10^-9*Fsw*10^3, VACnom*TI_MOSFET_S_QG_L_BO*10^-9*Fsw*10^3)/10^-3</f>
        <v>#REF!</v>
      </c>
      <c r="AZ163" s="152" t="e">
        <f aca="false">IF(VACnom&lt;Vbat, Table7[[#This Row],[Duty Cycle]]*Table7[[#This Row],[I_L RMS]]^2*TI_MOSFET_S_RDSON_H_BU*10^-3, (1-Table7[[#This Row],[Duty Cycle]])*Table7[[#This Row],[I_L RMS]]^2*TI_MOSFET_S_RDSON_H_BO*10^-3)/10^-3</f>
        <v>#REF!</v>
      </c>
      <c r="BA163" s="152" t="e">
        <f aca="false">IF(VACnom&gt;Vbat, Table7[[#This Row],[PIV (mW)]]+Table7[[#This Row],[Pqoss (mW)]]+Table7[[#This Row],[Pgate_top (mW)]], Table7[[#This Row],[PRR (mW)]]+Table7[[#This Row],[Pdead (mW)]]+Table7[[#This Row],[Pgate_top (mW)]])</f>
        <v>#REF!</v>
      </c>
      <c r="BB163" s="152" t="e">
        <f aca="false">Table7[[#This Row],[Pcon_top (mW)]]+Table7[[#This Row],[Psw_top (mW)]]</f>
        <v>#REF!</v>
      </c>
      <c r="BC163" s="152" t="e">
        <f aca="false">IF(VACnom&gt;Vbat, (1-Table7[[#This Row],[Duty Cycle]])*Table7[[#This Row],[I_L RMS]]^2*TI_MOSFET_S_RDSON_L_BU*10^-3, Table7[[#This Row],[Duty Cycle]]*Table7[[#This Row],[I_L RMS]]^2*TI_MOSFET_S_RDSON_L_BO*10^-3)/10^-3</f>
        <v>#REF!</v>
      </c>
      <c r="BD163" s="152" t="e">
        <f aca="false">IF(VACnom&gt;Vbat, Table7[[#This Row],[PRR (mW)]]+Table7[[#This Row],[Pdead (mW)]]+Table7[[#This Row],[Pgate_bottom (mW)]], Table7[[#This Row],[PIV (mW)]]+Table7[[#This Row],[Pqoss (mW)]]+Table7[[#This Row],[Pgate_bottom (mW)]])</f>
        <v>#REF!</v>
      </c>
      <c r="BE163" s="154" t="e">
        <f aca="false">Table7[[#This Row],[Pcon_bottom (mW)]]+Table7[[#This Row],[Psw_bottom (mW)]]</f>
        <v>#REF!</v>
      </c>
      <c r="BF163" s="152" t="e">
        <f aca="false">Table7[[#This Row],[Pbottom (mW)]]+Table7[[#This Row],[Ptop (mW)]]</f>
        <v>#REF!</v>
      </c>
      <c r="BG163" s="155"/>
      <c r="BH163" s="152" t="n">
        <f aca="false">MAX(0,Table7[[#This Row],[I_L]]-0.5*Table7[[#This Row],[I_L pkpk]])</f>
        <v>0.592142857142857</v>
      </c>
      <c r="BI163" s="152" t="n">
        <f aca="false">Table7[[#This Row],[I_L]]+0.5*Table7[[#This Row],[I_L pkpk]]</f>
        <v>0.877857142857143</v>
      </c>
      <c r="BJ163" s="152" t="n">
        <f aca="false">IF(VACnom&gt;Vbat, (VGS_S-(C_MOSFET_S_VTH_H_BU+Table7[[#This Row],[I_L]]/C_MOSFET_S_gFS_H_BU))/3.4, (VGS_S-(C_MOSFET_S_VTH_L_BO+Table7[[#This Row],[I_L]]/C_MOSFET_S_gFS_L_BO))/3.4 )</f>
        <v>2.3515</v>
      </c>
      <c r="BK163" s="152" t="n">
        <f aca="false">IF(VACnom&gt;Vbat, ((C_MOSFET_S_VTH_H_BU+Table7[[#This Row],[I_L]]/C_MOSFET_S_gFS_H_BU))/1, ((C_MOSFET_S_VTH_L_BO+Table7[[#This Row],[I_L]]/C_MOSFET_S_gFS_L_BO))/1 )</f>
        <v>2.0049</v>
      </c>
      <c r="BL163" s="152" t="n">
        <f aca="false">IF(VACnom&gt;Vbat, (C_MOSFET_S_QGD_H_BU+C_MOSFET_S_QGS_H_BU)*10^-9/Table7[[#This Row],[Ion (A) C]], (C_MOSFET_S_QGD_L_BO+C_MOSFET_S_QGS_L_BO)*10^-9/Table7[[#This Row],[Ion (A) C]])/10^-9</f>
        <v>2.76419306825431</v>
      </c>
      <c r="BM163" s="152" t="n">
        <f aca="false">IF(VACnom&gt;Vbat, (C_MOSFET_S_QGD_H_BU+C_MOSFET_S_QGS_H_BU)*10^-9/Table7[[#This Row],[Ioff (A) C]], (C_MOSFET_S_QGD_L_BO+C_MOSFET_S_QGS_L_BO)*10^-9/Table7[[#This Row],[Ioff (A) C]])/10^-9</f>
        <v>3.24205696044691</v>
      </c>
      <c r="BN163" s="152" t="n">
        <f aca="false">0.5*VACnom*Table7[[#This Row],[Ivalley (A) C]]*Table7[[#This Row],[ton (ns) C]]*10^-9*Fsw*10^3+0.5*VACnom*Table7[[#This Row],[Ipeak (A) C]]*Table7[[#This Row],[toff (ns) C]]*10^-9*Fsw*10^3/10^-3</f>
        <v>3.417239588951</v>
      </c>
      <c r="BO163" s="152" t="n">
        <f aca="false">IF(VACnom&gt;Vbat, 0.5*VACnom*C_MOSFET_S_QOSS_H_BU*10^-9*Fsw*10^3,0.5*VACnom*C_MOSFET_S_QOSS_L_BO*10^-9*Fsw*10^3)/10^-3</f>
        <v>43.2</v>
      </c>
      <c r="BP163" s="152" t="e">
        <f aca="false">IF(VACnom&gt;Vbat, VACnom*C_MOSFET_S_QG_H_BU*10^-9*Fsw*10^3,VACnom*C_MOSFET_S_QG_H_BO*10^-9*Fsw*10^3)/10^-3</f>
        <v>#REF!</v>
      </c>
      <c r="BQ163" s="152" t="n">
        <f aca="false">IF(VACnom&gt;Vbat, VACnom*C_MOSFET_S_QRR_L_BU*10^-9*Fsw*10^3, VACnom*C_MOSFET_S_QRR_H_BO*10^-9*Fsw*10^3)/10^-3</f>
        <v>79.2</v>
      </c>
      <c r="BR163" s="152" t="n">
        <f aca="false">IF(VACnom&gt;Vbat, C_MOSFET_S_VSD_L_BU*Table7[[#This Row],[Ivalley (A) C]]*Fsw*10^3*40*10^-9+C_MOSFET_S_VSD_L_BU*Table7[[#This Row],[Ipeak (A) C]]*Fsw*10^3*30*10^-9, C_MOSFET_S_VSD_H_BO*Table7[[#This Row],[Ivalley (A) C]]*Fsw*10^3*40*10^-9+C_MOSFET_S_VSD_H_BO*Table7[[#This Row],[Ipeak (A) C]]*Fsw*10^3*30*10^-9)/10^-3</f>
        <v>8.00342857142858</v>
      </c>
      <c r="BS163" s="152" t="e">
        <f aca="false">IF(VACnom&gt;Vbat, VACnom*C_MOSFET_S_QG_L_BU*10^-9*Fsw*10^3, VACnom*C_MOSFET_S_QG_L_BO*10^-9*Fsw*10^3)/10^-3</f>
        <v>#REF!</v>
      </c>
      <c r="BT163" s="152" t="n">
        <f aca="false">IF(VACnom&lt;Vbat, Table7[[#This Row],[Duty Cycle]]*Table7[[#This Row],[I_L RMS]]^2*C_MOSFET_S_RDSON_H_BU*10^-3, (1-Table7[[#This Row],[Duty Cycle]])*Table7[[#This Row],[I_L RMS]]^2*C_MOSFET_S_RDSON_H_BO*10^-3)/10^-3</f>
        <v>0.148478952866861</v>
      </c>
      <c r="BU163" s="152" t="e">
        <f aca="false">IF(VACnom&gt;Vbat, Table7[[#This Row],[PIV (mW) C]]+Table7[[#This Row],[PQoss (mW) C]]+Table7[[#This Row],[Pgate_top (mW) C]], Table7[[#This Row],[PRR (mW) C]]+Table7[[#This Row],[Pdead (mW) C]]+Table7[[#This Row],[Pgate_top (mW) C]])</f>
        <v>#REF!</v>
      </c>
      <c r="BV163" s="152" t="e">
        <f aca="false">Table7[[#This Row],[Pcon_top (mW) C]]+Table7[[#This Row],[Psw_top (mW) C]]</f>
        <v>#REF!</v>
      </c>
      <c r="BW163" s="152" t="e">
        <f aca="false">IF(VACnom&gt;Vbat, (1-Table7[[#This Row],[Duty Cycle]])*Table7[[#This Row],[I_L RMS]]^2*C_MOSFET_S_RDSON_L_BU*10^-3, Table7[[#This Row],[Duty Cycle]]*Table7[[#This Row],[I_L RMS]]^2*C_MOSFET_S_RDSON_L_BO*10^-3)/10^-3</f>
        <v>#REF!</v>
      </c>
      <c r="BX163" s="152" t="e">
        <f aca="false">IF(VACnom&gt;Vbat, Table7[[#This Row],[PRR (mW) C]]+Table7[[#This Row],[Pdead (mW) C]]+Table7[[#This Row],[Pgate_bottom (mW) C]], Table7[[#This Row],[PIV (mW) C]]+Table7[[#This Row],[PQoss (mW) C]]+Table7[[#This Row],[Pgate_bottom (mW) C]])</f>
        <v>#REF!</v>
      </c>
      <c r="BY163" s="152" t="e">
        <f aca="false">Table7[[#This Row],[Pcon_bottom (mW) C]]+Table7[[#This Row],[Psw_bottom (mV) C]]</f>
        <v>#REF!</v>
      </c>
      <c r="BZ163" s="152" t="e">
        <f aca="false">Table7[[#This Row],[Pbottom (mW) C]]+Table7[[#This Row],[Ptop (mW) C]]</f>
        <v>#REF!</v>
      </c>
      <c r="CA163" s="156"/>
      <c r="CB163" s="151" t="n">
        <f aca="false">(RAC_SNS*10^-3*(Table7[[#This Row],[IOUT (A)]]*Vbat/VACnom)^2/10^-3)</f>
        <v>2.701125</v>
      </c>
      <c r="CC163" s="151" t="n">
        <f aca="false">(RBAT_SNS*10^-3*Table7[[#This Row],[IOUT (A)]]^2)/10^-3</f>
        <v>2.45</v>
      </c>
      <c r="CD163" s="151" t="n">
        <f aca="false">IF(VACnom&gt;Vbat,(L_DRC*10^-3*(Table7[[#This Row],[IOUT (A)]])^2/10^-3),(L_DRC*10^-3*(Table7[[#This Row],[IOUT (A)]]*Vbat/VACnom)^2/10^-3))</f>
        <v>6.4827</v>
      </c>
      <c r="CE163" s="157"/>
      <c r="CF163" s="152" t="n">
        <f aca="false">(Table7[[#This Row],[R_AC (mW)]]+Table7[[#This Row],[R_SR (mW)]]+Table7[[#This Row],[Inductor Loss (mW)]])/10^3</f>
        <v>0.011633825</v>
      </c>
      <c r="CG163" s="152" t="e">
        <f aca="false">Table7[[#This Row],[Total TI (mW)]]/10^3</f>
        <v>#REF!</v>
      </c>
      <c r="CH163" s="152" t="e">
        <f aca="false">Table7[[#This Row],[Total Sense Loss]]+Table7[[#This Row],[Total MOSFET Loss]]</f>
        <v>#REF!</v>
      </c>
      <c r="CI163" s="158" t="e">
        <f aca="false">IF(Table7[[#This Row],[POUT (W)]]=0,0,(Table7[[#This Row],[POUT (W)]])/(Table7[[#This Row],[POUT (W)]]+Table7[[#This Row],[Total Power Loss (W)]]))*100</f>
        <v>#REF!</v>
      </c>
      <c r="CJ163" s="159"/>
      <c r="CK163" s="152" t="n">
        <f aca="false">(Table7[[#This Row],[R_AC (mW)]]+Table7[[#This Row],[R_SR (mW)]]+Table7[[#This Row],[Inductor Loss (mW)]])/10^3</f>
        <v>0.011633825</v>
      </c>
      <c r="CL163" s="152" t="e">
        <f aca="false">Table7[[#This Row],[Total (mW) C]]/10^3</f>
        <v>#REF!</v>
      </c>
      <c r="CM163" s="152" t="e">
        <f aca="false">Table7[[#This Row],[Total Sense Loss C]]+Table7[[#This Row],[Total MOSFET Loss C]]</f>
        <v>#REF!</v>
      </c>
      <c r="CN163" s="158" t="e">
        <f aca="false">IF(Table7[[#This Row],[POUT (W)]]=0,0,(Table7[[#This Row],[POUT (W)]])/(Table7[[#This Row],[POUT (W)]]+Table7[[#This Row],[Total Power Loss (W) C]]))*100</f>
        <v>#REF!</v>
      </c>
      <c r="CO163" s="159"/>
      <c r="CP163" s="158" t="n">
        <f aca="false">IF(MOSFET_S=Custom_MOSFET,Table7[[#This Row],[Total Sense Loss C]],Table7[[#This Row],[Total Sense Loss]])</f>
        <v>0.011633825</v>
      </c>
      <c r="CQ163" s="158" t="e">
        <f aca="false">IF(MOSFET_S=Custom_MOSFET,Table7[[#This Row],[Total MOSFET Loss C]],Table7[[#This Row],[Total MOSFET Loss]])</f>
        <v>#REF!</v>
      </c>
      <c r="CR163" s="158" t="e">
        <f aca="false">IF(MOSFET_S=Custom_MOSFET,Table7[[#This Row],[Efficiency C]],Table7[[#This Row],[Efficiency]])</f>
        <v>#REF!</v>
      </c>
      <c r="CS163" s="159"/>
      <c r="CT163" s="158" t="n">
        <f aca="false">IF(MOSFET_S=Compare_MOSFET, Table7[[#This Row],[Total Sense Loss C]], -100)</f>
        <v>-100</v>
      </c>
      <c r="CU163" s="158" t="n">
        <f aca="false">IF(MOSFET_S=Compare_MOSFET, Table7[[#This Row],[Total MOSFET Loss C]], -100)</f>
        <v>-100</v>
      </c>
      <c r="CV163" s="158" t="n">
        <f aca="false">IF(MOSFET_S=Compare_MOSFET, Table7[[#This Row],[Efficiency C]], -100)</f>
        <v>-100</v>
      </c>
      <c r="CW163" s="159"/>
      <c r="CX163" s="158" t="e">
        <f aca="false">IF(Save_Sel=CLR_Save,  Table7[[#This Row],[Total Sense Loss P1]], Table7[[#This Row],[Total Sense Loss P1 Saved]])</f>
        <v>#VALUE!</v>
      </c>
      <c r="CY163" s="158" t="e">
        <f aca="false">IF(Save_Sel=CLR_Save,  Table7[[#This Row],[Total MOSFET Loss P1]], Table7[[#This Row],[Total MOSFET Loss P1 Saved]] )</f>
        <v>#VALUE!</v>
      </c>
      <c r="CZ163" s="158" t="e">
        <f aca="false">IF(Save_Sel=CLR_Save, Table7[[#This Row],[Efficiency P1]], Table7[[#This Row],[Efficiency P1 Saved]])</f>
        <v>#VALUE!</v>
      </c>
      <c r="DA163" s="159"/>
      <c r="DB163" s="158" t="e">
        <f aca="false">IF(Save_Sel=CLR_Save,  Table7[[#This Row],[Total Sense Loss P2]], Table7[[#This Row],[Total Sense Loss P2 Saved]])</f>
        <v>#VALUE!</v>
      </c>
      <c r="DC163" s="158" t="e">
        <f aca="false">IF(Save_Sel=CLR_Save,  Table7[[#This Row],[Total MOSFET Loss P2]], Table7[[#This Row],[Total MOSFET Loss P2 Saved]] )</f>
        <v>#VALUE!</v>
      </c>
      <c r="DD163" s="158" t="e">
        <f aca="false">IF(Save_Sel=CLR_Save, Table7[[#This Row],[Efficiency P2]], Table7[[#This Row],[Efficiency P2 Saved]])</f>
        <v>#VALUE!</v>
      </c>
      <c r="DE163" s="159"/>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row>
    <row r="164" customFormat="false" ht="16.4" hidden="false" customHeight="false" outlineLevel="0" collapsed="false">
      <c r="A164" s="100" t="n">
        <v>1</v>
      </c>
      <c r="B164" s="84"/>
      <c r="C164" s="84"/>
      <c r="D164" s="28" t="s">
        <v>259</v>
      </c>
      <c r="E164" s="168" t="e">
        <f aca="false">IF( VGS_S=Vgs_4P5,TI_RDS_4P5_H_BU, IF(VGS_S=Vgs_10, TI_RDS_10_H_BU, IF( AND(VGS_S=Vgs_C, ISNUMBER(TI_RDS_C_H_BU)), TI_RDS_C_H_BU, "ERROR" )))</f>
        <v>#REF!</v>
      </c>
      <c r="F164" s="168" t="e">
        <f aca="false">IF( VGS_S=Vgs_4P5,TI_RDS_4P5_L_BU, IF(VGS_S=Vgs_10, TI_RDS_10_L_BU, IF( AND(VGS_S=Vgs_C, ISNUMBER(TI_RDS_C_L_BU)), TI_RDS_C_L_BU, "ERROR" )))</f>
        <v>#REF!</v>
      </c>
      <c r="G164" s="119" t="s">
        <v>136</v>
      </c>
      <c r="H164" s="24"/>
      <c r="I164" s="100" t="n">
        <v>1</v>
      </c>
      <c r="J164" s="24"/>
      <c r="K164" s="84"/>
      <c r="L164" s="84"/>
      <c r="M164" s="28" t="s">
        <v>135</v>
      </c>
      <c r="N164" s="168" t="n">
        <f aca="false">IF( VGS_S=Vgs_4P5,C_RDS_4P5_H_BU, IF(VGS_S=Vgs_10, C_RDS_10_H_BU, IF( AND(VGS_S=Vgs_C, ISNUMBER(C_RDS_C_H_BU)), C_RDS_C_H_BU, "ERROR" )))</f>
        <v>5.7</v>
      </c>
      <c r="O164" s="168" t="n">
        <f aca="false">IF( VGS_S=Vgs_4P5,C_RDS_4P5_L_BU, IF(VGS_S=Vgs_10, C_RDS_10_L_BU, IF( AND(VGS_S=Vgs_C, ISNUMBER(C_RDS_C_L_BU)), C_RDS_C_L_BU, "ERROR" )))</f>
        <v>5.7</v>
      </c>
      <c r="P164" s="119" t="s">
        <v>136</v>
      </c>
      <c r="Q164" s="24"/>
      <c r="R164" s="24"/>
      <c r="S164" s="25"/>
      <c r="T164" s="6"/>
      <c r="U164" s="7"/>
      <c r="V164" s="7"/>
      <c r="W164" s="7"/>
      <c r="X164" s="7"/>
      <c r="Y164" s="7"/>
      <c r="Z164" s="7"/>
      <c r="AA164" s="7"/>
      <c r="AB164" s="7"/>
      <c r="AC164" s="7"/>
      <c r="AD164" s="7"/>
      <c r="AE164" s="7"/>
      <c r="AF164" s="150" t="n">
        <f aca="false">AF163+1</f>
        <v>8</v>
      </c>
      <c r="AG164" s="150" t="n">
        <f aca="false">$AG$156+AF164*($AG$256-$AG$156)/$AF$256</f>
        <v>0.8</v>
      </c>
      <c r="AH164" s="151" t="n">
        <f aca="false">AG164*VACnom</f>
        <v>9.6</v>
      </c>
      <c r="AI164" s="152" t="n">
        <f aca="false">IF(VACnom&lt;Vbat, (Vbat-VACnom)/Vbat, Vbat/VACnom)</f>
        <v>0.0476190476190476</v>
      </c>
      <c r="AJ164" s="152" t="n">
        <f aca="false">IF(VACnom&lt;Vbat, AG164/(1-AI164), AG164*AI164)</f>
        <v>0.84</v>
      </c>
      <c r="AK164" s="152" t="n">
        <f aca="false">Ipkpk_VACnom</f>
        <v>0.285714285714285</v>
      </c>
      <c r="AL164" s="152" t="n">
        <f aca="false">SQRT(AJ164^2+AK164^2/12)</f>
        <v>0.844039525785633</v>
      </c>
      <c r="AM164" s="153"/>
      <c r="AN164" s="152" t="n">
        <f aca="false">MAX(0,Table7[[#This Row],[I_L]]-0.5*Table7[[#This Row],[I_L pkpk]])</f>
        <v>0.697142857142857</v>
      </c>
      <c r="AO164" s="152" t="n">
        <f aca="false">Table7[[#This Row],[I_L]]+0.5*Table7[[#This Row],[I_L pkpk]]</f>
        <v>0.982857142857143</v>
      </c>
      <c r="AP164" s="152" t="e">
        <f aca="false">IF(VACnom&gt;Vbat, (VGS_S-(TI_MOSFET_S_VTH_H_BU+Table7[[#This Row],[I_L]]/TI_MOSFET_S_gFS_H_BU))/3.4, (VGS_S-(TI_MOSFET_S_VTH_L_BO+Table7[[#This Row],[I_L]]/TI_MOSFET_S_gFS_L_BO))/3.4 )</f>
        <v>#REF!</v>
      </c>
      <c r="AQ164" s="152" t="e">
        <f aca="false">IF(VACnom&gt;Vbat, ((TI_MOSFET_S_VTH_H_BU+Table7[[#This Row],[I_L]]/TI_MOSFET_S_gFS_H_BU))/1, ((TI_MOSFET_S_VTH_L_BO+Table7[[#This Row],[I_L]]/TI_MOSFET_S_gFS_L_BO))/1 )</f>
        <v>#REF!</v>
      </c>
      <c r="AR164" s="152" t="e">
        <f aca="false">IF(VACnom&gt;Vbat, (TI_MOSFET_S_QGD_H_BU+TI_MOSFET_S_QGS_H_BU)*10^-9/Table7[[#This Row],[Ion (A)]], (TI_MOSFET_S_QGD_L_BO+TI_MOSFET_S_QGS_L_BO)*10^-9/Table7[[#This Row],[Ion (A)]])/10^-9</f>
        <v>#REF!</v>
      </c>
      <c r="AS164" s="152" t="e">
        <f aca="false">IF(VACnom&gt;Vbat, (TI_MOSFET_S_QGD_H_BU+TI_MOSFET_S_QGS_H_BU)*10^-9/Table7[[#This Row],[Ioff (A)]], (TI_MOSFET_S_QGD_L_BO+TI_MOSFET_S_QGS_L_BO)*10^-9/Table7[[#This Row],[Ioff (A)]])/10^-9</f>
        <v>#REF!</v>
      </c>
      <c r="AT164" s="152" t="e">
        <f aca="false">0.5*VACnom*Table7[[#This Row],[Ivalley (A)]]*Table7[[#This Row],[ton (ns)]]*10^-9*Fsw*10^3+0.5*VACnom*Table7[[#This Row],[Ipeak (A)]]*Table7[[#This Row],[toff (ns)]]*10^-9*Fsw*10^3/10^-3</f>
        <v>#REF!</v>
      </c>
      <c r="AU164" s="152" t="e">
        <f aca="false">IF(VACnom&gt;Vbat, 0.5*VACnom*TI_MOSFET_S_QOSS_H_BU*10^-9*Fsw*10^3,0.5*VACnom*TI_MOSFET_S_QOSS_L_BO*10^-9*Fsw*10^3)/10^-3</f>
        <v>#REF!</v>
      </c>
      <c r="AV164" s="152" t="e">
        <f aca="false">IF(VACnom&gt;Vbat, VACnom*TI_MOSFET_S_QG_H_BU*10^-9*Fsw*10^3,VACnom*TI_MOSFET_S_QG_H_BO*10^-9*Fsw*10^3)/10^-3</f>
        <v>#REF!</v>
      </c>
      <c r="AW164" s="152" t="e">
        <f aca="false">IF(VACnom&gt;Vbat, VACnom*TI_MOSFET_S_QRR_L_BU*10^-9*Fsw*10^3, VACnom*TI_MOSFET_S_QRR_H_BO*10^-9*Fsw*10^3)/10^-3</f>
        <v>#REF!</v>
      </c>
      <c r="AX164" s="152" t="e">
        <f aca="false">IF(VACnom&gt;Vbat, TI_MOSFET_S_VSD_L_BU*Table7[[#This Row],[Ivalley (A)]]*Fsw*10^3*40*10^-9+TI_MOSFET_S_VSD_L_BU*Table7[[#This Row],[Ipeak (A)]]*Fsw*10^3*30*10^-9, TI_MOSFET_S_VSD_H_BO*Table7[[#This Row],[Ivalley (A)]]*Fsw*10^3*40*10^-9+TI_MOSFET_S_VSD_H_BO*Table7[[#This Row],[Ipeak (A)]]*Fsw*10^3*30*10^-9)/10^-3</f>
        <v>#REF!</v>
      </c>
      <c r="AY164" s="152" t="e">
        <f aca="false">IF(VACnom&gt;Vbat, VACnom*TI_MOSFET_S_QG_L_BU*10^-9*Fsw*10^3, VACnom*TI_MOSFET_S_QG_L_BO*10^-9*Fsw*10^3)/10^-3</f>
        <v>#REF!</v>
      </c>
      <c r="AZ164" s="152" t="e">
        <f aca="false">IF(VACnom&lt;Vbat, Table7[[#This Row],[Duty Cycle]]*Table7[[#This Row],[I_L RMS]]^2*TI_MOSFET_S_RDSON_H_BU*10^-3, (1-Table7[[#This Row],[Duty Cycle]])*Table7[[#This Row],[I_L RMS]]^2*TI_MOSFET_S_RDSON_H_BO*10^-3)/10^-3</f>
        <v>#REF!</v>
      </c>
      <c r="BA164" s="152" t="e">
        <f aca="false">IF(VACnom&gt;Vbat, Table7[[#This Row],[PIV (mW)]]+Table7[[#This Row],[Pqoss (mW)]]+Table7[[#This Row],[Pgate_top (mW)]], Table7[[#This Row],[PRR (mW)]]+Table7[[#This Row],[Pdead (mW)]]+Table7[[#This Row],[Pgate_top (mW)]])</f>
        <v>#REF!</v>
      </c>
      <c r="BB164" s="152" t="e">
        <f aca="false">Table7[[#This Row],[Pcon_top (mW)]]+Table7[[#This Row],[Psw_top (mW)]]</f>
        <v>#REF!</v>
      </c>
      <c r="BC164" s="152" t="e">
        <f aca="false">IF(VACnom&gt;Vbat, (1-Table7[[#This Row],[Duty Cycle]])*Table7[[#This Row],[I_L RMS]]^2*TI_MOSFET_S_RDSON_L_BU*10^-3, Table7[[#This Row],[Duty Cycle]]*Table7[[#This Row],[I_L RMS]]^2*TI_MOSFET_S_RDSON_L_BO*10^-3)/10^-3</f>
        <v>#REF!</v>
      </c>
      <c r="BD164" s="152" t="e">
        <f aca="false">IF(VACnom&gt;Vbat, Table7[[#This Row],[PRR (mW)]]+Table7[[#This Row],[Pdead (mW)]]+Table7[[#This Row],[Pgate_bottom (mW)]], Table7[[#This Row],[PIV (mW)]]+Table7[[#This Row],[Pqoss (mW)]]+Table7[[#This Row],[Pgate_bottom (mW)]])</f>
        <v>#REF!</v>
      </c>
      <c r="BE164" s="154" t="e">
        <f aca="false">Table7[[#This Row],[Pcon_bottom (mW)]]+Table7[[#This Row],[Psw_bottom (mW)]]</f>
        <v>#REF!</v>
      </c>
      <c r="BF164" s="152" t="e">
        <f aca="false">Table7[[#This Row],[Pbottom (mW)]]+Table7[[#This Row],[Ptop (mW)]]</f>
        <v>#REF!</v>
      </c>
      <c r="BG164" s="155"/>
      <c r="BH164" s="152" t="n">
        <f aca="false">MAX(0,Table7[[#This Row],[I_L]]-0.5*Table7[[#This Row],[I_L pkpk]])</f>
        <v>0.697142857142857</v>
      </c>
      <c r="BI164" s="152" t="n">
        <f aca="false">Table7[[#This Row],[I_L]]+0.5*Table7[[#This Row],[I_L pkpk]]</f>
        <v>0.982857142857143</v>
      </c>
      <c r="BJ164" s="152" t="n">
        <f aca="false">IF(VACnom&gt;Vbat, (VGS_S-(C_MOSFET_S_VTH_H_BU+Table7[[#This Row],[I_L]]/C_MOSFET_S_gFS_H_BU))/3.4, (VGS_S-(C_MOSFET_S_VTH_L_BO+Table7[[#This Row],[I_L]]/C_MOSFET_S_gFS_L_BO))/3.4 )</f>
        <v>2.35129411764706</v>
      </c>
      <c r="BK164" s="152" t="n">
        <f aca="false">IF(VACnom&gt;Vbat, ((C_MOSFET_S_VTH_H_BU+Table7[[#This Row],[I_L]]/C_MOSFET_S_gFS_H_BU))/1, ((C_MOSFET_S_VTH_L_BO+Table7[[#This Row],[I_L]]/C_MOSFET_S_gFS_L_BO))/1 )</f>
        <v>2.0056</v>
      </c>
      <c r="BL164" s="152" t="n">
        <f aca="false">IF(VACnom&gt;Vbat, (C_MOSFET_S_QGD_H_BU+C_MOSFET_S_QGS_H_BU)*10^-9/Table7[[#This Row],[Ion (A) C]], (C_MOSFET_S_QGD_L_BO+C_MOSFET_S_QGS_L_BO)*10^-9/Table7[[#This Row],[Ion (A) C]])/10^-9</f>
        <v>2.7644351045732</v>
      </c>
      <c r="BM164" s="152" t="n">
        <f aca="false">IF(VACnom&gt;Vbat, (C_MOSFET_S_QGD_H_BU+C_MOSFET_S_QGS_H_BU)*10^-9/Table7[[#This Row],[Ioff (A) C]], (C_MOSFET_S_QGD_L_BO+C_MOSFET_S_QGS_L_BO)*10^-9/Table7[[#This Row],[Ioff (A) C]])/10^-9</f>
        <v>3.24092540885521</v>
      </c>
      <c r="BN164" s="152" t="n">
        <f aca="false">0.5*VACnom*Table7[[#This Row],[Ivalley (A) C]]*Table7[[#This Row],[ton (ns) C]]*10^-9*Fsw*10^3+0.5*VACnom*Table7[[#This Row],[Ipeak (A) C]]*Table7[[#This Row],[toff (ns) C]]*10^-9*Fsw*10^3/10^-3</f>
        <v>3.82475267249728</v>
      </c>
      <c r="BO164" s="152" t="n">
        <f aca="false">IF(VACnom&gt;Vbat, 0.5*VACnom*C_MOSFET_S_QOSS_H_BU*10^-9*Fsw*10^3,0.5*VACnom*C_MOSFET_S_QOSS_L_BO*10^-9*Fsw*10^3)/10^-3</f>
        <v>43.2</v>
      </c>
      <c r="BP164" s="152" t="e">
        <f aca="false">IF(VACnom&gt;Vbat, VACnom*C_MOSFET_S_QG_H_BU*10^-9*Fsw*10^3,VACnom*C_MOSFET_S_QG_H_BO*10^-9*Fsw*10^3)/10^-3</f>
        <v>#REF!</v>
      </c>
      <c r="BQ164" s="152" t="n">
        <f aca="false">IF(VACnom&gt;Vbat, VACnom*C_MOSFET_S_QRR_L_BU*10^-9*Fsw*10^3, VACnom*C_MOSFET_S_QRR_H_BO*10^-9*Fsw*10^3)/10^-3</f>
        <v>79.2</v>
      </c>
      <c r="BR164" s="152" t="n">
        <f aca="false">IF(VACnom&gt;Vbat, C_MOSFET_S_VSD_L_BU*Table7[[#This Row],[Ivalley (A) C]]*Fsw*10^3*40*10^-9+C_MOSFET_S_VSD_L_BU*Table7[[#This Row],[Ipeak (A) C]]*Fsw*10^3*30*10^-9, C_MOSFET_S_VSD_H_BO*Table7[[#This Row],[Ivalley (A) C]]*Fsw*10^3*40*10^-9+C_MOSFET_S_VSD_H_BO*Table7[[#This Row],[Ipeak (A) C]]*Fsw*10^3*30*10^-9)/10^-3</f>
        <v>9.17942857142857</v>
      </c>
      <c r="BS164" s="152" t="e">
        <f aca="false">IF(VACnom&gt;Vbat, VACnom*C_MOSFET_S_QG_L_BU*10^-9*Fsw*10^3, VACnom*C_MOSFET_S_QG_L_BO*10^-9*Fsw*10^3)/10^-3</f>
        <v>#REF!</v>
      </c>
      <c r="BT164" s="152" t="n">
        <f aca="false">IF(VACnom&lt;Vbat, Table7[[#This Row],[Duty Cycle]]*Table7[[#This Row],[I_L RMS]]^2*C_MOSFET_S_RDSON_H_BU*10^-3, (1-Table7[[#This Row],[Duty Cycle]])*Table7[[#This Row],[I_L RMS]]^2*C_MOSFET_S_RDSON_H_BO*10^-3)/10^-3</f>
        <v>0.193366452866861</v>
      </c>
      <c r="BU164" s="152" t="e">
        <f aca="false">IF(VACnom&gt;Vbat, Table7[[#This Row],[PIV (mW) C]]+Table7[[#This Row],[PQoss (mW) C]]+Table7[[#This Row],[Pgate_top (mW) C]], Table7[[#This Row],[PRR (mW) C]]+Table7[[#This Row],[Pdead (mW) C]]+Table7[[#This Row],[Pgate_top (mW) C]])</f>
        <v>#REF!</v>
      </c>
      <c r="BV164" s="152" t="e">
        <f aca="false">Table7[[#This Row],[Pcon_top (mW) C]]+Table7[[#This Row],[Psw_top (mW) C]]</f>
        <v>#REF!</v>
      </c>
      <c r="BW164" s="152" t="e">
        <f aca="false">IF(VACnom&gt;Vbat, (1-Table7[[#This Row],[Duty Cycle]])*Table7[[#This Row],[I_L RMS]]^2*C_MOSFET_S_RDSON_L_BU*10^-3, Table7[[#This Row],[Duty Cycle]]*Table7[[#This Row],[I_L RMS]]^2*C_MOSFET_S_RDSON_L_BO*10^-3)/10^-3</f>
        <v>#REF!</v>
      </c>
      <c r="BX164" s="152" t="e">
        <f aca="false">IF(VACnom&gt;Vbat, Table7[[#This Row],[PRR (mW) C]]+Table7[[#This Row],[Pdead (mW) C]]+Table7[[#This Row],[Pgate_bottom (mW) C]], Table7[[#This Row],[PIV (mW) C]]+Table7[[#This Row],[PQoss (mW) C]]+Table7[[#This Row],[Pgate_bottom (mW) C]])</f>
        <v>#REF!</v>
      </c>
      <c r="BY164" s="152" t="e">
        <f aca="false">Table7[[#This Row],[Pcon_bottom (mW) C]]+Table7[[#This Row],[Psw_bottom (mV) C]]</f>
        <v>#REF!</v>
      </c>
      <c r="BZ164" s="152" t="e">
        <f aca="false">Table7[[#This Row],[Pbottom (mW) C]]+Table7[[#This Row],[Ptop (mW) C]]</f>
        <v>#REF!</v>
      </c>
      <c r="CA164" s="156"/>
      <c r="CB164" s="151" t="n">
        <f aca="false">(RAC_SNS*10^-3*(Table7[[#This Row],[IOUT (A)]]*Vbat/VACnom)^2/10^-3)</f>
        <v>3.528</v>
      </c>
      <c r="CC164" s="151" t="n">
        <f aca="false">(RBAT_SNS*10^-3*Table7[[#This Row],[IOUT (A)]]^2)/10^-3</f>
        <v>3.2</v>
      </c>
      <c r="CD164" s="151" t="n">
        <f aca="false">IF(VACnom&gt;Vbat,(L_DRC*10^-3*(Table7[[#This Row],[IOUT (A)]])^2/10^-3),(L_DRC*10^-3*(Table7[[#This Row],[IOUT (A)]]*Vbat/VACnom)^2/10^-3))</f>
        <v>8.4672</v>
      </c>
      <c r="CE164" s="157"/>
      <c r="CF164" s="152" t="n">
        <f aca="false">(Table7[[#This Row],[R_AC (mW)]]+Table7[[#This Row],[R_SR (mW)]]+Table7[[#This Row],[Inductor Loss (mW)]])/10^3</f>
        <v>0.0151952</v>
      </c>
      <c r="CG164" s="152" t="e">
        <f aca="false">Table7[[#This Row],[Total TI (mW)]]/10^3</f>
        <v>#REF!</v>
      </c>
      <c r="CH164" s="152" t="e">
        <f aca="false">Table7[[#This Row],[Total Sense Loss]]+Table7[[#This Row],[Total MOSFET Loss]]</f>
        <v>#REF!</v>
      </c>
      <c r="CI164" s="158" t="e">
        <f aca="false">IF(Table7[[#This Row],[POUT (W)]]=0,0,(Table7[[#This Row],[POUT (W)]])/(Table7[[#This Row],[POUT (W)]]+Table7[[#This Row],[Total Power Loss (W)]]))*100</f>
        <v>#REF!</v>
      </c>
      <c r="CJ164" s="159"/>
      <c r="CK164" s="152" t="n">
        <f aca="false">(Table7[[#This Row],[R_AC (mW)]]+Table7[[#This Row],[R_SR (mW)]]+Table7[[#This Row],[Inductor Loss (mW)]])/10^3</f>
        <v>0.0151952</v>
      </c>
      <c r="CL164" s="152" t="e">
        <f aca="false">Table7[[#This Row],[Total (mW) C]]/10^3</f>
        <v>#REF!</v>
      </c>
      <c r="CM164" s="152" t="e">
        <f aca="false">Table7[[#This Row],[Total Sense Loss C]]+Table7[[#This Row],[Total MOSFET Loss C]]</f>
        <v>#REF!</v>
      </c>
      <c r="CN164" s="158" t="e">
        <f aca="false">IF(Table7[[#This Row],[POUT (W)]]=0,0,(Table7[[#This Row],[POUT (W)]])/(Table7[[#This Row],[POUT (W)]]+Table7[[#This Row],[Total Power Loss (W) C]]))*100</f>
        <v>#REF!</v>
      </c>
      <c r="CO164" s="159"/>
      <c r="CP164" s="158" t="n">
        <f aca="false">IF(MOSFET_S=Custom_MOSFET,Table7[[#This Row],[Total Sense Loss C]],Table7[[#This Row],[Total Sense Loss]])</f>
        <v>0.0151952</v>
      </c>
      <c r="CQ164" s="158" t="e">
        <f aca="false">IF(MOSFET_S=Custom_MOSFET,Table7[[#This Row],[Total MOSFET Loss C]],Table7[[#This Row],[Total MOSFET Loss]])</f>
        <v>#REF!</v>
      </c>
      <c r="CR164" s="158" t="e">
        <f aca="false">IF(MOSFET_S=Custom_MOSFET,Table7[[#This Row],[Efficiency C]],Table7[[#This Row],[Efficiency]])</f>
        <v>#REF!</v>
      </c>
      <c r="CS164" s="159"/>
      <c r="CT164" s="158" t="n">
        <f aca="false">IF(MOSFET_S=Compare_MOSFET, Table7[[#This Row],[Total Sense Loss C]], -100)</f>
        <v>-100</v>
      </c>
      <c r="CU164" s="158" t="n">
        <f aca="false">IF(MOSFET_S=Compare_MOSFET, Table7[[#This Row],[Total MOSFET Loss C]], -100)</f>
        <v>-100</v>
      </c>
      <c r="CV164" s="158" t="n">
        <f aca="false">IF(MOSFET_S=Compare_MOSFET, Table7[[#This Row],[Efficiency C]], -100)</f>
        <v>-100</v>
      </c>
      <c r="CW164" s="159"/>
      <c r="CX164" s="158" t="e">
        <f aca="false">IF(Save_Sel=CLR_Save,  Table7[[#This Row],[Total Sense Loss P1]], Table7[[#This Row],[Total Sense Loss P1 Saved]])</f>
        <v>#VALUE!</v>
      </c>
      <c r="CY164" s="158" t="e">
        <f aca="false">IF(Save_Sel=CLR_Save,  Table7[[#This Row],[Total MOSFET Loss P1]], Table7[[#This Row],[Total MOSFET Loss P1 Saved]] )</f>
        <v>#VALUE!</v>
      </c>
      <c r="CZ164" s="158" t="e">
        <f aca="false">IF(Save_Sel=CLR_Save, Table7[[#This Row],[Efficiency P1]], Table7[[#This Row],[Efficiency P1 Saved]])</f>
        <v>#VALUE!</v>
      </c>
      <c r="DA164" s="159"/>
      <c r="DB164" s="158" t="e">
        <f aca="false">IF(Save_Sel=CLR_Save,  Table7[[#This Row],[Total Sense Loss P2]], Table7[[#This Row],[Total Sense Loss P2 Saved]])</f>
        <v>#VALUE!</v>
      </c>
      <c r="DC164" s="158" t="e">
        <f aca="false">IF(Save_Sel=CLR_Save,  Table7[[#This Row],[Total MOSFET Loss P2]], Table7[[#This Row],[Total MOSFET Loss P2 Saved]] )</f>
        <v>#VALUE!</v>
      </c>
      <c r="DD164" s="158" t="e">
        <f aca="false">IF(Save_Sel=CLR_Save, Table7[[#This Row],[Efficiency P2]], Table7[[#This Row],[Efficiency P2 Saved]])</f>
        <v>#VALUE!</v>
      </c>
      <c r="DE164" s="159"/>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row>
    <row r="165" customFormat="false" ht="16.4" hidden="false" customHeight="false" outlineLevel="0" collapsed="false">
      <c r="A165" s="100" t="n">
        <v>4</v>
      </c>
      <c r="B165" s="84"/>
      <c r="C165" s="84"/>
      <c r="D165" s="28" t="s">
        <v>260</v>
      </c>
      <c r="E165" s="168" t="e">
        <f aca="false">IF( VGS_S=Vgs_4P5,TI_QG_4P5_H_BU, IF(VGS_S=Vgs_10, TI_QG_10_H_BU, IF( AND(VGS_S=Vgs_C, ISNUMBER(TI_QG_C_H_BU)), TI_QG_C_H_BU, "ERROR" )))</f>
        <v>#REF!</v>
      </c>
      <c r="F165" s="168" t="e">
        <f aca="false">IF( VGS_S=Vgs_4P5,TI_QG_4P5_L_BU, IF(VGS_S=Vgs_10, TI_QG_10_L_BU, IF( AND(VGS_S=Vgs_C, ISNUMBER(TI_QG_C_L_BU)), TI_QG_C_L_BU, "ERROR" )))</f>
        <v>#REF!</v>
      </c>
      <c r="G165" s="119" t="s">
        <v>140</v>
      </c>
      <c r="H165" s="24"/>
      <c r="I165" s="100" t="n">
        <v>4</v>
      </c>
      <c r="J165" s="24"/>
      <c r="K165" s="84"/>
      <c r="L165" s="84"/>
      <c r="M165" s="28" t="s">
        <v>139</v>
      </c>
      <c r="N165" s="168" t="n">
        <f aca="false">IF( VGS_S=Vgs_4P5,C_QG_4P5_H_BU, IF(VGS_S=Vgs_10, C_QG_10_H_BU, IF( AND(VGS_S=Vgs_C, ISNUMBER(C_QG_C_H_BU)), C_QG_C_H_BU, "ERROR" )))</f>
        <v>15</v>
      </c>
      <c r="O165" s="168" t="n">
        <f aca="false">IF( VGS_S=Vgs_4P5,C_QG_4P5_L_BU, IF(VGS_S=Vgs_10, C_QG_10_L_BU, IF( AND(VGS_S=Vgs_C, ISNUMBER(C_QG_C_L_BU)), C_QG_C_L_BU, "ERROR" )))</f>
        <v>15</v>
      </c>
      <c r="P165" s="119" t="s">
        <v>140</v>
      </c>
      <c r="Q165" s="24"/>
      <c r="R165" s="24"/>
      <c r="S165" s="25"/>
      <c r="T165" s="6"/>
      <c r="U165" s="7"/>
      <c r="V165" s="7"/>
      <c r="W165" s="7"/>
      <c r="X165" s="7"/>
      <c r="Y165" s="7"/>
      <c r="Z165" s="7"/>
      <c r="AA165" s="7"/>
      <c r="AB165" s="7"/>
      <c r="AC165" s="7"/>
      <c r="AD165" s="7"/>
      <c r="AE165" s="7"/>
      <c r="AF165" s="150" t="n">
        <f aca="false">AF164+1</f>
        <v>9</v>
      </c>
      <c r="AG165" s="150" t="n">
        <f aca="false">$AG$156+AF165*($AG$256-$AG$156)/$AF$256</f>
        <v>0.9</v>
      </c>
      <c r="AH165" s="151" t="n">
        <f aca="false">AG165*VACnom</f>
        <v>10.8</v>
      </c>
      <c r="AI165" s="152" t="n">
        <f aca="false">IF(VACnom&lt;Vbat, (Vbat-VACnom)/Vbat, Vbat/VACnom)</f>
        <v>0.0476190476190476</v>
      </c>
      <c r="AJ165" s="152" t="n">
        <f aca="false">IF(VACnom&lt;Vbat, AG165/(1-AI165), AG165*AI165)</f>
        <v>0.945</v>
      </c>
      <c r="AK165" s="152" t="n">
        <f aca="false">Ipkpk_VACnom</f>
        <v>0.285714285714285</v>
      </c>
      <c r="AL165" s="152" t="n">
        <f aca="false">SQRT(AJ165^2+AK165^2/12)</f>
        <v>0.948592494745998</v>
      </c>
      <c r="AM165" s="153"/>
      <c r="AN165" s="152" t="n">
        <f aca="false">MAX(0,Table7[[#This Row],[I_L]]-0.5*Table7[[#This Row],[I_L pkpk]])</f>
        <v>0.802142857142857</v>
      </c>
      <c r="AO165" s="152" t="n">
        <f aca="false">Table7[[#This Row],[I_L]]+0.5*Table7[[#This Row],[I_L pkpk]]</f>
        <v>1.08785714285714</v>
      </c>
      <c r="AP165" s="152" t="e">
        <f aca="false">IF(VACnom&gt;Vbat, (VGS_S-(TI_MOSFET_S_VTH_H_BU+Table7[[#This Row],[I_L]]/TI_MOSFET_S_gFS_H_BU))/3.4, (VGS_S-(TI_MOSFET_S_VTH_L_BO+Table7[[#This Row],[I_L]]/TI_MOSFET_S_gFS_L_BO))/3.4 )</f>
        <v>#REF!</v>
      </c>
      <c r="AQ165" s="152" t="e">
        <f aca="false">IF(VACnom&gt;Vbat, ((TI_MOSFET_S_VTH_H_BU+Table7[[#This Row],[I_L]]/TI_MOSFET_S_gFS_H_BU))/1, ((TI_MOSFET_S_VTH_L_BO+Table7[[#This Row],[I_L]]/TI_MOSFET_S_gFS_L_BO))/1 )</f>
        <v>#REF!</v>
      </c>
      <c r="AR165" s="152" t="e">
        <f aca="false">IF(VACnom&gt;Vbat, (TI_MOSFET_S_QGD_H_BU+TI_MOSFET_S_QGS_H_BU)*10^-9/Table7[[#This Row],[Ion (A)]], (TI_MOSFET_S_QGD_L_BO+TI_MOSFET_S_QGS_L_BO)*10^-9/Table7[[#This Row],[Ion (A)]])/10^-9</f>
        <v>#REF!</v>
      </c>
      <c r="AS165" s="152" t="e">
        <f aca="false">IF(VACnom&gt;Vbat, (TI_MOSFET_S_QGD_H_BU+TI_MOSFET_S_QGS_H_BU)*10^-9/Table7[[#This Row],[Ioff (A)]], (TI_MOSFET_S_QGD_L_BO+TI_MOSFET_S_QGS_L_BO)*10^-9/Table7[[#This Row],[Ioff (A)]])/10^-9</f>
        <v>#REF!</v>
      </c>
      <c r="AT165" s="152" t="e">
        <f aca="false">0.5*VACnom*Table7[[#This Row],[Ivalley (A)]]*Table7[[#This Row],[ton (ns)]]*10^-9*Fsw*10^3+0.5*VACnom*Table7[[#This Row],[Ipeak (A)]]*Table7[[#This Row],[toff (ns)]]*10^-9*Fsw*10^3/10^-3</f>
        <v>#REF!</v>
      </c>
      <c r="AU165" s="152" t="e">
        <f aca="false">IF(VACnom&gt;Vbat, 0.5*VACnom*TI_MOSFET_S_QOSS_H_BU*10^-9*Fsw*10^3,0.5*VACnom*TI_MOSFET_S_QOSS_L_BO*10^-9*Fsw*10^3)/10^-3</f>
        <v>#REF!</v>
      </c>
      <c r="AV165" s="152" t="e">
        <f aca="false">IF(VACnom&gt;Vbat, VACnom*TI_MOSFET_S_QG_H_BU*10^-9*Fsw*10^3,VACnom*TI_MOSFET_S_QG_H_BO*10^-9*Fsw*10^3)/10^-3</f>
        <v>#REF!</v>
      </c>
      <c r="AW165" s="152" t="e">
        <f aca="false">IF(VACnom&gt;Vbat, VACnom*TI_MOSFET_S_QRR_L_BU*10^-9*Fsw*10^3, VACnom*TI_MOSFET_S_QRR_H_BO*10^-9*Fsw*10^3)/10^-3</f>
        <v>#REF!</v>
      </c>
      <c r="AX165" s="152" t="e">
        <f aca="false">IF(VACnom&gt;Vbat, TI_MOSFET_S_VSD_L_BU*Table7[[#This Row],[Ivalley (A)]]*Fsw*10^3*40*10^-9+TI_MOSFET_S_VSD_L_BU*Table7[[#This Row],[Ipeak (A)]]*Fsw*10^3*30*10^-9, TI_MOSFET_S_VSD_H_BO*Table7[[#This Row],[Ivalley (A)]]*Fsw*10^3*40*10^-9+TI_MOSFET_S_VSD_H_BO*Table7[[#This Row],[Ipeak (A)]]*Fsw*10^3*30*10^-9)/10^-3</f>
        <v>#REF!</v>
      </c>
      <c r="AY165" s="152" t="e">
        <f aca="false">IF(VACnom&gt;Vbat, VACnom*TI_MOSFET_S_QG_L_BU*10^-9*Fsw*10^3, VACnom*TI_MOSFET_S_QG_L_BO*10^-9*Fsw*10^3)/10^-3</f>
        <v>#REF!</v>
      </c>
      <c r="AZ165" s="152" t="e">
        <f aca="false">IF(VACnom&lt;Vbat, Table7[[#This Row],[Duty Cycle]]*Table7[[#This Row],[I_L RMS]]^2*TI_MOSFET_S_RDSON_H_BU*10^-3, (1-Table7[[#This Row],[Duty Cycle]])*Table7[[#This Row],[I_L RMS]]^2*TI_MOSFET_S_RDSON_H_BO*10^-3)/10^-3</f>
        <v>#REF!</v>
      </c>
      <c r="BA165" s="152" t="e">
        <f aca="false">IF(VACnom&gt;Vbat, Table7[[#This Row],[PIV (mW)]]+Table7[[#This Row],[Pqoss (mW)]]+Table7[[#This Row],[Pgate_top (mW)]], Table7[[#This Row],[PRR (mW)]]+Table7[[#This Row],[Pdead (mW)]]+Table7[[#This Row],[Pgate_top (mW)]])</f>
        <v>#REF!</v>
      </c>
      <c r="BB165" s="152" t="e">
        <f aca="false">Table7[[#This Row],[Pcon_top (mW)]]+Table7[[#This Row],[Psw_top (mW)]]</f>
        <v>#REF!</v>
      </c>
      <c r="BC165" s="152" t="e">
        <f aca="false">IF(VACnom&gt;Vbat, (1-Table7[[#This Row],[Duty Cycle]])*Table7[[#This Row],[I_L RMS]]^2*TI_MOSFET_S_RDSON_L_BU*10^-3, Table7[[#This Row],[Duty Cycle]]*Table7[[#This Row],[I_L RMS]]^2*TI_MOSFET_S_RDSON_L_BO*10^-3)/10^-3</f>
        <v>#REF!</v>
      </c>
      <c r="BD165" s="152" t="e">
        <f aca="false">IF(VACnom&gt;Vbat, Table7[[#This Row],[PRR (mW)]]+Table7[[#This Row],[Pdead (mW)]]+Table7[[#This Row],[Pgate_bottom (mW)]], Table7[[#This Row],[PIV (mW)]]+Table7[[#This Row],[Pqoss (mW)]]+Table7[[#This Row],[Pgate_bottom (mW)]])</f>
        <v>#REF!</v>
      </c>
      <c r="BE165" s="154" t="e">
        <f aca="false">Table7[[#This Row],[Pcon_bottom (mW)]]+Table7[[#This Row],[Psw_bottom (mW)]]</f>
        <v>#REF!</v>
      </c>
      <c r="BF165" s="152" t="e">
        <f aca="false">Table7[[#This Row],[Pbottom (mW)]]+Table7[[#This Row],[Ptop (mW)]]</f>
        <v>#REF!</v>
      </c>
      <c r="BG165" s="155"/>
      <c r="BH165" s="152" t="n">
        <f aca="false">MAX(0,Table7[[#This Row],[I_L]]-0.5*Table7[[#This Row],[I_L pkpk]])</f>
        <v>0.802142857142857</v>
      </c>
      <c r="BI165" s="152" t="n">
        <f aca="false">Table7[[#This Row],[I_L]]+0.5*Table7[[#This Row],[I_L pkpk]]</f>
        <v>1.08785714285714</v>
      </c>
      <c r="BJ165" s="152" t="n">
        <f aca="false">IF(VACnom&gt;Vbat, (VGS_S-(C_MOSFET_S_VTH_H_BU+Table7[[#This Row],[I_L]]/C_MOSFET_S_gFS_H_BU))/3.4, (VGS_S-(C_MOSFET_S_VTH_L_BO+Table7[[#This Row],[I_L]]/C_MOSFET_S_gFS_L_BO))/3.4 )</f>
        <v>2.35108823529412</v>
      </c>
      <c r="BK165" s="152" t="n">
        <f aca="false">IF(VACnom&gt;Vbat, ((C_MOSFET_S_VTH_H_BU+Table7[[#This Row],[I_L]]/C_MOSFET_S_gFS_H_BU))/1, ((C_MOSFET_S_VTH_L_BO+Table7[[#This Row],[I_L]]/C_MOSFET_S_gFS_L_BO))/1 )</f>
        <v>2.0063</v>
      </c>
      <c r="BL165" s="152" t="n">
        <f aca="false">IF(VACnom&gt;Vbat, (C_MOSFET_S_QGD_H_BU+C_MOSFET_S_QGS_H_BU)*10^-9/Table7[[#This Row],[Ion (A) C]], (C_MOSFET_S_QGD_L_BO+C_MOSFET_S_QGS_L_BO)*10^-9/Table7[[#This Row],[Ion (A) C]])/10^-9</f>
        <v>2.76467718328183</v>
      </c>
      <c r="BM165" s="152" t="n">
        <f aca="false">IF(VACnom&gt;Vbat, (C_MOSFET_S_QGD_H_BU+C_MOSFET_S_QGS_H_BU)*10^-9/Table7[[#This Row],[Ioff (A) C]], (C_MOSFET_S_QGD_L_BO+C_MOSFET_S_QGS_L_BO)*10^-9/Table7[[#This Row],[Ioff (A) C]])/10^-9</f>
        <v>3.23979464686238</v>
      </c>
      <c r="BN165" s="152" t="n">
        <f aca="false">0.5*VACnom*Table7[[#This Row],[Ivalley (A) C]]*Table7[[#This Row],[ton (ns) C]]*10^-9*Fsw*10^3+0.5*VACnom*Table7[[#This Row],[Ipeak (A) C]]*Table7[[#This Row],[toff (ns) C]]*10^-9*Fsw*10^3/10^-3</f>
        <v>4.23198169684135</v>
      </c>
      <c r="BO165" s="152" t="n">
        <f aca="false">IF(VACnom&gt;Vbat, 0.5*VACnom*C_MOSFET_S_QOSS_H_BU*10^-9*Fsw*10^3,0.5*VACnom*C_MOSFET_S_QOSS_L_BO*10^-9*Fsw*10^3)/10^-3</f>
        <v>43.2</v>
      </c>
      <c r="BP165" s="152" t="e">
        <f aca="false">IF(VACnom&gt;Vbat, VACnom*C_MOSFET_S_QG_H_BU*10^-9*Fsw*10^3,VACnom*C_MOSFET_S_QG_H_BO*10^-9*Fsw*10^3)/10^-3</f>
        <v>#REF!</v>
      </c>
      <c r="BQ165" s="152" t="n">
        <f aca="false">IF(VACnom&gt;Vbat, VACnom*C_MOSFET_S_QRR_L_BU*10^-9*Fsw*10^3, VACnom*C_MOSFET_S_QRR_H_BO*10^-9*Fsw*10^3)/10^-3</f>
        <v>79.2</v>
      </c>
      <c r="BR165" s="152" t="n">
        <f aca="false">IF(VACnom&gt;Vbat, C_MOSFET_S_VSD_L_BU*Table7[[#This Row],[Ivalley (A) C]]*Fsw*10^3*40*10^-9+C_MOSFET_S_VSD_L_BU*Table7[[#This Row],[Ipeak (A) C]]*Fsw*10^3*30*10^-9, C_MOSFET_S_VSD_H_BO*Table7[[#This Row],[Ivalley (A) C]]*Fsw*10^3*40*10^-9+C_MOSFET_S_VSD_H_BO*Table7[[#This Row],[Ipeak (A) C]]*Fsw*10^3*30*10^-9)/10^-3</f>
        <v>10.3554285714286</v>
      </c>
      <c r="BS165" s="152" t="e">
        <f aca="false">IF(VACnom&gt;Vbat, VACnom*C_MOSFET_S_QG_L_BU*10^-9*Fsw*10^3, VACnom*C_MOSFET_S_QG_L_BO*10^-9*Fsw*10^3)/10^-3</f>
        <v>#REF!</v>
      </c>
      <c r="BT165" s="152" t="n">
        <f aca="false">IF(VACnom&lt;Vbat, Table7[[#This Row],[Duty Cycle]]*Table7[[#This Row],[I_L RMS]]^2*C_MOSFET_S_RDSON_H_BU*10^-3, (1-Table7[[#This Row],[Duty Cycle]])*Table7[[#This Row],[I_L RMS]]^2*C_MOSFET_S_RDSON_H_BO*10^-3)/10^-3</f>
        <v>0.244238952866861</v>
      </c>
      <c r="BU165" s="152" t="e">
        <f aca="false">IF(VACnom&gt;Vbat, Table7[[#This Row],[PIV (mW) C]]+Table7[[#This Row],[PQoss (mW) C]]+Table7[[#This Row],[Pgate_top (mW) C]], Table7[[#This Row],[PRR (mW) C]]+Table7[[#This Row],[Pdead (mW) C]]+Table7[[#This Row],[Pgate_top (mW) C]])</f>
        <v>#REF!</v>
      </c>
      <c r="BV165" s="152" t="e">
        <f aca="false">Table7[[#This Row],[Pcon_top (mW) C]]+Table7[[#This Row],[Psw_top (mW) C]]</f>
        <v>#REF!</v>
      </c>
      <c r="BW165" s="152" t="e">
        <f aca="false">IF(VACnom&gt;Vbat, (1-Table7[[#This Row],[Duty Cycle]])*Table7[[#This Row],[I_L RMS]]^2*C_MOSFET_S_RDSON_L_BU*10^-3, Table7[[#This Row],[Duty Cycle]]*Table7[[#This Row],[I_L RMS]]^2*C_MOSFET_S_RDSON_L_BO*10^-3)/10^-3</f>
        <v>#REF!</v>
      </c>
      <c r="BX165" s="152" t="e">
        <f aca="false">IF(VACnom&gt;Vbat, Table7[[#This Row],[PRR (mW) C]]+Table7[[#This Row],[Pdead (mW) C]]+Table7[[#This Row],[Pgate_bottom (mW) C]], Table7[[#This Row],[PIV (mW) C]]+Table7[[#This Row],[PQoss (mW) C]]+Table7[[#This Row],[Pgate_bottom (mW) C]])</f>
        <v>#REF!</v>
      </c>
      <c r="BY165" s="152" t="e">
        <f aca="false">Table7[[#This Row],[Pcon_bottom (mW) C]]+Table7[[#This Row],[Psw_bottom (mV) C]]</f>
        <v>#REF!</v>
      </c>
      <c r="BZ165" s="152" t="e">
        <f aca="false">Table7[[#This Row],[Pbottom (mW) C]]+Table7[[#This Row],[Ptop (mW) C]]</f>
        <v>#REF!</v>
      </c>
      <c r="CA165" s="156"/>
      <c r="CB165" s="151" t="n">
        <f aca="false">(RAC_SNS*10^-3*(Table7[[#This Row],[IOUT (A)]]*Vbat/VACnom)^2/10^-3)</f>
        <v>4.465125</v>
      </c>
      <c r="CC165" s="151" t="n">
        <f aca="false">(RBAT_SNS*10^-3*Table7[[#This Row],[IOUT (A)]]^2)/10^-3</f>
        <v>4.05</v>
      </c>
      <c r="CD165" s="151" t="n">
        <f aca="false">IF(VACnom&gt;Vbat,(L_DRC*10^-3*(Table7[[#This Row],[IOUT (A)]])^2/10^-3),(L_DRC*10^-3*(Table7[[#This Row],[IOUT (A)]]*Vbat/VACnom)^2/10^-3))</f>
        <v>10.7163</v>
      </c>
      <c r="CE165" s="157"/>
      <c r="CF165" s="152" t="n">
        <f aca="false">(Table7[[#This Row],[R_AC (mW)]]+Table7[[#This Row],[R_SR (mW)]]+Table7[[#This Row],[Inductor Loss (mW)]])/10^3</f>
        <v>0.019231425</v>
      </c>
      <c r="CG165" s="152" t="e">
        <f aca="false">Table7[[#This Row],[Total TI (mW)]]/10^3</f>
        <v>#REF!</v>
      </c>
      <c r="CH165" s="152" t="e">
        <f aca="false">Table7[[#This Row],[Total Sense Loss]]+Table7[[#This Row],[Total MOSFET Loss]]</f>
        <v>#REF!</v>
      </c>
      <c r="CI165" s="158" t="e">
        <f aca="false">IF(Table7[[#This Row],[POUT (W)]]=0,0,(Table7[[#This Row],[POUT (W)]])/(Table7[[#This Row],[POUT (W)]]+Table7[[#This Row],[Total Power Loss (W)]]))*100</f>
        <v>#REF!</v>
      </c>
      <c r="CJ165" s="159"/>
      <c r="CK165" s="152" t="n">
        <f aca="false">(Table7[[#This Row],[R_AC (mW)]]+Table7[[#This Row],[R_SR (mW)]]+Table7[[#This Row],[Inductor Loss (mW)]])/10^3</f>
        <v>0.019231425</v>
      </c>
      <c r="CL165" s="152" t="e">
        <f aca="false">Table7[[#This Row],[Total (mW) C]]/10^3</f>
        <v>#REF!</v>
      </c>
      <c r="CM165" s="152" t="e">
        <f aca="false">Table7[[#This Row],[Total Sense Loss C]]+Table7[[#This Row],[Total MOSFET Loss C]]</f>
        <v>#REF!</v>
      </c>
      <c r="CN165" s="158" t="e">
        <f aca="false">IF(Table7[[#This Row],[POUT (W)]]=0,0,(Table7[[#This Row],[POUT (W)]])/(Table7[[#This Row],[POUT (W)]]+Table7[[#This Row],[Total Power Loss (W) C]]))*100</f>
        <v>#REF!</v>
      </c>
      <c r="CO165" s="159"/>
      <c r="CP165" s="158" t="n">
        <f aca="false">IF(MOSFET_S=Custom_MOSFET,Table7[[#This Row],[Total Sense Loss C]],Table7[[#This Row],[Total Sense Loss]])</f>
        <v>0.019231425</v>
      </c>
      <c r="CQ165" s="158" t="e">
        <f aca="false">IF(MOSFET_S=Custom_MOSFET,Table7[[#This Row],[Total MOSFET Loss C]],Table7[[#This Row],[Total MOSFET Loss]])</f>
        <v>#REF!</v>
      </c>
      <c r="CR165" s="158" t="e">
        <f aca="false">IF(MOSFET_S=Custom_MOSFET,Table7[[#This Row],[Efficiency C]],Table7[[#This Row],[Efficiency]])</f>
        <v>#REF!</v>
      </c>
      <c r="CS165" s="159"/>
      <c r="CT165" s="158" t="n">
        <f aca="false">IF(MOSFET_S=Compare_MOSFET, Table7[[#This Row],[Total Sense Loss C]], -100)</f>
        <v>-100</v>
      </c>
      <c r="CU165" s="158" t="n">
        <f aca="false">IF(MOSFET_S=Compare_MOSFET, Table7[[#This Row],[Total MOSFET Loss C]], -100)</f>
        <v>-100</v>
      </c>
      <c r="CV165" s="158" t="n">
        <f aca="false">IF(MOSFET_S=Compare_MOSFET, Table7[[#This Row],[Efficiency C]], -100)</f>
        <v>-100</v>
      </c>
      <c r="CW165" s="159"/>
      <c r="CX165" s="158" t="e">
        <f aca="false">IF(Save_Sel=CLR_Save,  Table7[[#This Row],[Total Sense Loss P1]], Table7[[#This Row],[Total Sense Loss P1 Saved]])</f>
        <v>#VALUE!</v>
      </c>
      <c r="CY165" s="158" t="e">
        <f aca="false">IF(Save_Sel=CLR_Save,  Table7[[#This Row],[Total MOSFET Loss P1]], Table7[[#This Row],[Total MOSFET Loss P1 Saved]] )</f>
        <v>#VALUE!</v>
      </c>
      <c r="CZ165" s="158" t="e">
        <f aca="false">IF(Save_Sel=CLR_Save, Table7[[#This Row],[Efficiency P1]], Table7[[#This Row],[Efficiency P1 Saved]])</f>
        <v>#VALUE!</v>
      </c>
      <c r="DA165" s="159"/>
      <c r="DB165" s="158" t="e">
        <f aca="false">IF(Save_Sel=CLR_Save,  Table7[[#This Row],[Total Sense Loss P2]], Table7[[#This Row],[Total Sense Loss P2 Saved]])</f>
        <v>#VALUE!</v>
      </c>
      <c r="DC165" s="158" t="e">
        <f aca="false">IF(Save_Sel=CLR_Save,  Table7[[#This Row],[Total MOSFET Loss P2]], Table7[[#This Row],[Total MOSFET Loss P2 Saved]] )</f>
        <v>#VALUE!</v>
      </c>
      <c r="DD165" s="158" t="e">
        <f aca="false">IF(Save_Sel=CLR_Save, Table7[[#This Row],[Efficiency P2]], Table7[[#This Row],[Efficiency P2 Saved]])</f>
        <v>#VALUE!</v>
      </c>
      <c r="DE165" s="159"/>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row>
    <row r="166" customFormat="false" ht="16.4" hidden="false" customHeight="false" outlineLevel="0" collapsed="false">
      <c r="A166" s="100" t="n">
        <v>7</v>
      </c>
      <c r="B166" s="84"/>
      <c r="C166" s="84"/>
      <c r="D166" s="28" t="s">
        <v>143</v>
      </c>
      <c r="E166" s="168" t="e">
        <f aca="false">TI_QGD_H_BU</f>
        <v>#REF!</v>
      </c>
      <c r="F166" s="168" t="e">
        <f aca="false">TI_QGD_L_BU</f>
        <v>#REF!</v>
      </c>
      <c r="G166" s="119" t="s">
        <v>140</v>
      </c>
      <c r="H166" s="24"/>
      <c r="I166" s="100" t="n">
        <v>7</v>
      </c>
      <c r="J166" s="24"/>
      <c r="K166" s="84"/>
      <c r="L166" s="84"/>
      <c r="M166" s="28" t="s">
        <v>143</v>
      </c>
      <c r="N166" s="124" t="n">
        <f aca="false">$E123</f>
        <v>2.9</v>
      </c>
      <c r="O166" s="124" t="n">
        <f aca="false">$F123</f>
        <v>2.9</v>
      </c>
      <c r="P166" s="119" t="s">
        <v>140</v>
      </c>
      <c r="Q166" s="24"/>
      <c r="R166" s="24"/>
      <c r="S166" s="25"/>
      <c r="T166" s="6"/>
      <c r="U166" s="7"/>
      <c r="V166" s="7"/>
      <c r="W166" s="7"/>
      <c r="X166" s="7"/>
      <c r="Y166" s="7"/>
      <c r="Z166" s="7"/>
      <c r="AA166" s="7"/>
      <c r="AB166" s="7"/>
      <c r="AC166" s="7"/>
      <c r="AD166" s="7"/>
      <c r="AE166" s="7"/>
      <c r="AF166" s="150" t="n">
        <f aca="false">AF165+1</f>
        <v>10</v>
      </c>
      <c r="AG166" s="150" t="n">
        <f aca="false">$AG$156+AF166*($AG$256-$AG$156)/$AF$256</f>
        <v>1</v>
      </c>
      <c r="AH166" s="151" t="n">
        <f aca="false">AG166*VACnom</f>
        <v>12</v>
      </c>
      <c r="AI166" s="152" t="n">
        <f aca="false">IF(VACnom&lt;Vbat, (Vbat-VACnom)/Vbat, Vbat/VACnom)</f>
        <v>0.0476190476190476</v>
      </c>
      <c r="AJ166" s="152" t="n">
        <f aca="false">IF(VACnom&lt;Vbat, AG166/(1-AI166), AG166*AI166)</f>
        <v>1.05</v>
      </c>
      <c r="AK166" s="152" t="n">
        <f aca="false">Ipkpk_VACnom</f>
        <v>0.285714285714285</v>
      </c>
      <c r="AL166" s="152" t="n">
        <f aca="false">SQRT(AJ166^2+AK166^2/12)</f>
        <v>1.05323440937354</v>
      </c>
      <c r="AM166" s="153"/>
      <c r="AN166" s="152" t="n">
        <f aca="false">MAX(0,Table7[[#This Row],[I_L]]-0.5*Table7[[#This Row],[I_L pkpk]])</f>
        <v>0.907142857142857</v>
      </c>
      <c r="AO166" s="152" t="n">
        <f aca="false">Table7[[#This Row],[I_L]]+0.5*Table7[[#This Row],[I_L pkpk]]</f>
        <v>1.19285714285714</v>
      </c>
      <c r="AP166" s="152" t="e">
        <f aca="false">IF(VACnom&gt;Vbat, (VGS_S-(TI_MOSFET_S_VTH_H_BU+Table7[[#This Row],[I_L]]/TI_MOSFET_S_gFS_H_BU))/3.4, (VGS_S-(TI_MOSFET_S_VTH_L_BO+Table7[[#This Row],[I_L]]/TI_MOSFET_S_gFS_L_BO))/3.4 )</f>
        <v>#REF!</v>
      </c>
      <c r="AQ166" s="152" t="e">
        <f aca="false">IF(VACnom&gt;Vbat, ((TI_MOSFET_S_VTH_H_BU+Table7[[#This Row],[I_L]]/TI_MOSFET_S_gFS_H_BU))/1, ((TI_MOSFET_S_VTH_L_BO+Table7[[#This Row],[I_L]]/TI_MOSFET_S_gFS_L_BO))/1 )</f>
        <v>#REF!</v>
      </c>
      <c r="AR166" s="152" t="e">
        <f aca="false">IF(VACnom&gt;Vbat, (TI_MOSFET_S_QGD_H_BU+TI_MOSFET_S_QGS_H_BU)*10^-9/Table7[[#This Row],[Ion (A)]], (TI_MOSFET_S_QGD_L_BO+TI_MOSFET_S_QGS_L_BO)*10^-9/Table7[[#This Row],[Ion (A)]])/10^-9</f>
        <v>#REF!</v>
      </c>
      <c r="AS166" s="152" t="e">
        <f aca="false">IF(VACnom&gt;Vbat, (TI_MOSFET_S_QGD_H_BU+TI_MOSFET_S_QGS_H_BU)*10^-9/Table7[[#This Row],[Ioff (A)]], (TI_MOSFET_S_QGD_L_BO+TI_MOSFET_S_QGS_L_BO)*10^-9/Table7[[#This Row],[Ioff (A)]])/10^-9</f>
        <v>#REF!</v>
      </c>
      <c r="AT166" s="152" t="e">
        <f aca="false">0.5*VACnom*Table7[[#This Row],[Ivalley (A)]]*Table7[[#This Row],[ton (ns)]]*10^-9*Fsw*10^3+0.5*VACnom*Table7[[#This Row],[Ipeak (A)]]*Table7[[#This Row],[toff (ns)]]*10^-9*Fsw*10^3/10^-3</f>
        <v>#REF!</v>
      </c>
      <c r="AU166" s="152" t="e">
        <f aca="false">IF(VACnom&gt;Vbat, 0.5*VACnom*TI_MOSFET_S_QOSS_H_BU*10^-9*Fsw*10^3,0.5*VACnom*TI_MOSFET_S_QOSS_L_BO*10^-9*Fsw*10^3)/10^-3</f>
        <v>#REF!</v>
      </c>
      <c r="AV166" s="152" t="e">
        <f aca="false">IF(VACnom&gt;Vbat, VACnom*TI_MOSFET_S_QG_H_BU*10^-9*Fsw*10^3,VACnom*TI_MOSFET_S_QG_H_BO*10^-9*Fsw*10^3)/10^-3</f>
        <v>#REF!</v>
      </c>
      <c r="AW166" s="152" t="e">
        <f aca="false">IF(VACnom&gt;Vbat, VACnom*TI_MOSFET_S_QRR_L_BU*10^-9*Fsw*10^3, VACnom*TI_MOSFET_S_QRR_H_BO*10^-9*Fsw*10^3)/10^-3</f>
        <v>#REF!</v>
      </c>
      <c r="AX166" s="152" t="e">
        <f aca="false">IF(VACnom&gt;Vbat, TI_MOSFET_S_VSD_L_BU*Table7[[#This Row],[Ivalley (A)]]*Fsw*10^3*40*10^-9+TI_MOSFET_S_VSD_L_BU*Table7[[#This Row],[Ipeak (A)]]*Fsw*10^3*30*10^-9, TI_MOSFET_S_VSD_H_BO*Table7[[#This Row],[Ivalley (A)]]*Fsw*10^3*40*10^-9+TI_MOSFET_S_VSD_H_BO*Table7[[#This Row],[Ipeak (A)]]*Fsw*10^3*30*10^-9)/10^-3</f>
        <v>#REF!</v>
      </c>
      <c r="AY166" s="152" t="e">
        <f aca="false">IF(VACnom&gt;Vbat, VACnom*TI_MOSFET_S_QG_L_BU*10^-9*Fsw*10^3, VACnom*TI_MOSFET_S_QG_L_BO*10^-9*Fsw*10^3)/10^-3</f>
        <v>#REF!</v>
      </c>
      <c r="AZ166" s="152" t="e">
        <f aca="false">IF(VACnom&lt;Vbat, Table7[[#This Row],[Duty Cycle]]*Table7[[#This Row],[I_L RMS]]^2*TI_MOSFET_S_RDSON_H_BU*10^-3, (1-Table7[[#This Row],[Duty Cycle]])*Table7[[#This Row],[I_L RMS]]^2*TI_MOSFET_S_RDSON_H_BO*10^-3)/10^-3</f>
        <v>#REF!</v>
      </c>
      <c r="BA166" s="152" t="e">
        <f aca="false">IF(VACnom&gt;Vbat, Table7[[#This Row],[PIV (mW)]]+Table7[[#This Row],[Pqoss (mW)]]+Table7[[#This Row],[Pgate_top (mW)]], Table7[[#This Row],[PRR (mW)]]+Table7[[#This Row],[Pdead (mW)]]+Table7[[#This Row],[Pgate_top (mW)]])</f>
        <v>#REF!</v>
      </c>
      <c r="BB166" s="152" t="e">
        <f aca="false">Table7[[#This Row],[Pcon_top (mW)]]+Table7[[#This Row],[Psw_top (mW)]]</f>
        <v>#REF!</v>
      </c>
      <c r="BC166" s="152" t="e">
        <f aca="false">IF(VACnom&gt;Vbat, (1-Table7[[#This Row],[Duty Cycle]])*Table7[[#This Row],[I_L RMS]]^2*TI_MOSFET_S_RDSON_L_BU*10^-3, Table7[[#This Row],[Duty Cycle]]*Table7[[#This Row],[I_L RMS]]^2*TI_MOSFET_S_RDSON_L_BO*10^-3)/10^-3</f>
        <v>#REF!</v>
      </c>
      <c r="BD166" s="152" t="e">
        <f aca="false">IF(VACnom&gt;Vbat, Table7[[#This Row],[PRR (mW)]]+Table7[[#This Row],[Pdead (mW)]]+Table7[[#This Row],[Pgate_bottom (mW)]], Table7[[#This Row],[PIV (mW)]]+Table7[[#This Row],[Pqoss (mW)]]+Table7[[#This Row],[Pgate_bottom (mW)]])</f>
        <v>#REF!</v>
      </c>
      <c r="BE166" s="154" t="e">
        <f aca="false">Table7[[#This Row],[Pcon_bottom (mW)]]+Table7[[#This Row],[Psw_bottom (mW)]]</f>
        <v>#REF!</v>
      </c>
      <c r="BF166" s="152" t="e">
        <f aca="false">Table7[[#This Row],[Pbottom (mW)]]+Table7[[#This Row],[Ptop (mW)]]</f>
        <v>#REF!</v>
      </c>
      <c r="BG166" s="155"/>
      <c r="BH166" s="152" t="n">
        <f aca="false">MAX(0,Table7[[#This Row],[I_L]]-0.5*Table7[[#This Row],[I_L pkpk]])</f>
        <v>0.907142857142857</v>
      </c>
      <c r="BI166" s="152" t="n">
        <f aca="false">Table7[[#This Row],[I_L]]+0.5*Table7[[#This Row],[I_L pkpk]]</f>
        <v>1.19285714285714</v>
      </c>
      <c r="BJ166" s="152" t="n">
        <f aca="false">IF(VACnom&gt;Vbat, (VGS_S-(C_MOSFET_S_VTH_H_BU+Table7[[#This Row],[I_L]]/C_MOSFET_S_gFS_H_BU))/3.4, (VGS_S-(C_MOSFET_S_VTH_L_BO+Table7[[#This Row],[I_L]]/C_MOSFET_S_gFS_L_BO))/3.4 )</f>
        <v>2.35088235294118</v>
      </c>
      <c r="BK166" s="152" t="n">
        <f aca="false">IF(VACnom&gt;Vbat, ((C_MOSFET_S_VTH_H_BU+Table7[[#This Row],[I_L]]/C_MOSFET_S_gFS_H_BU))/1, ((C_MOSFET_S_VTH_L_BO+Table7[[#This Row],[I_L]]/C_MOSFET_S_gFS_L_BO))/1 )</f>
        <v>2.007</v>
      </c>
      <c r="BL166" s="152" t="n">
        <f aca="false">IF(VACnom&gt;Vbat, (C_MOSFET_S_QGD_H_BU+C_MOSFET_S_QGS_H_BU)*10^-9/Table7[[#This Row],[Ion (A) C]], (C_MOSFET_S_QGD_L_BO+C_MOSFET_S_QGS_L_BO)*10^-9/Table7[[#This Row],[Ion (A) C]])/10^-9</f>
        <v>2.76491930439134</v>
      </c>
      <c r="BM166" s="152" t="n">
        <f aca="false">IF(VACnom&gt;Vbat, (C_MOSFET_S_QGD_H_BU+C_MOSFET_S_QGS_H_BU)*10^-9/Table7[[#This Row],[Ioff (A) C]], (C_MOSFET_S_QGD_L_BO+C_MOSFET_S_QGS_L_BO)*10^-9/Table7[[#This Row],[Ioff (A) C]])/10^-9</f>
        <v>3.23866467364225</v>
      </c>
      <c r="BN166" s="152" t="n">
        <f aca="false">0.5*VACnom*Table7[[#This Row],[Ivalley (A) C]]*Table7[[#This Row],[ton (ns) C]]*10^-9*Fsw*10^3+0.5*VACnom*Table7[[#This Row],[Ipeak (A) C]]*Table7[[#This Row],[toff (ns) C]]*10^-9*Fsw*10^3/10^-3</f>
        <v>4.63892695928498</v>
      </c>
      <c r="BO166" s="152" t="n">
        <f aca="false">IF(VACnom&gt;Vbat, 0.5*VACnom*C_MOSFET_S_QOSS_H_BU*10^-9*Fsw*10^3,0.5*VACnom*C_MOSFET_S_QOSS_L_BO*10^-9*Fsw*10^3)/10^-3</f>
        <v>43.2</v>
      </c>
      <c r="BP166" s="152" t="e">
        <f aca="false">IF(VACnom&gt;Vbat, VACnom*C_MOSFET_S_QG_H_BU*10^-9*Fsw*10^3,VACnom*C_MOSFET_S_QG_H_BO*10^-9*Fsw*10^3)/10^-3</f>
        <v>#REF!</v>
      </c>
      <c r="BQ166" s="152" t="n">
        <f aca="false">IF(VACnom&gt;Vbat, VACnom*C_MOSFET_S_QRR_L_BU*10^-9*Fsw*10^3, VACnom*C_MOSFET_S_QRR_H_BO*10^-9*Fsw*10^3)/10^-3</f>
        <v>79.2</v>
      </c>
      <c r="BR166" s="152" t="n">
        <f aca="false">IF(VACnom&gt;Vbat, C_MOSFET_S_VSD_L_BU*Table7[[#This Row],[Ivalley (A) C]]*Fsw*10^3*40*10^-9+C_MOSFET_S_VSD_L_BU*Table7[[#This Row],[Ipeak (A) C]]*Fsw*10^3*30*10^-9, C_MOSFET_S_VSD_H_BO*Table7[[#This Row],[Ivalley (A) C]]*Fsw*10^3*40*10^-9+C_MOSFET_S_VSD_H_BO*Table7[[#This Row],[Ipeak (A) C]]*Fsw*10^3*30*10^-9)/10^-3</f>
        <v>11.5314285714286</v>
      </c>
      <c r="BS166" s="152" t="e">
        <f aca="false">IF(VACnom&gt;Vbat, VACnom*C_MOSFET_S_QG_L_BU*10^-9*Fsw*10^3, VACnom*C_MOSFET_S_QG_L_BO*10^-9*Fsw*10^3)/10^-3</f>
        <v>#REF!</v>
      </c>
      <c r="BT166" s="152" t="n">
        <f aca="false">IF(VACnom&lt;Vbat, Table7[[#This Row],[Duty Cycle]]*Table7[[#This Row],[I_L RMS]]^2*C_MOSFET_S_RDSON_H_BU*10^-3, (1-Table7[[#This Row],[Duty Cycle]])*Table7[[#This Row],[I_L RMS]]^2*C_MOSFET_S_RDSON_H_BO*10^-3)/10^-3</f>
        <v>0.301096452866861</v>
      </c>
      <c r="BU166" s="152" t="e">
        <f aca="false">IF(VACnom&gt;Vbat, Table7[[#This Row],[PIV (mW) C]]+Table7[[#This Row],[PQoss (mW) C]]+Table7[[#This Row],[Pgate_top (mW) C]], Table7[[#This Row],[PRR (mW) C]]+Table7[[#This Row],[Pdead (mW) C]]+Table7[[#This Row],[Pgate_top (mW) C]])</f>
        <v>#REF!</v>
      </c>
      <c r="BV166" s="152" t="e">
        <f aca="false">Table7[[#This Row],[Pcon_top (mW) C]]+Table7[[#This Row],[Psw_top (mW) C]]</f>
        <v>#REF!</v>
      </c>
      <c r="BW166" s="152" t="e">
        <f aca="false">IF(VACnom&gt;Vbat, (1-Table7[[#This Row],[Duty Cycle]])*Table7[[#This Row],[I_L RMS]]^2*C_MOSFET_S_RDSON_L_BU*10^-3, Table7[[#This Row],[Duty Cycle]]*Table7[[#This Row],[I_L RMS]]^2*C_MOSFET_S_RDSON_L_BO*10^-3)/10^-3</f>
        <v>#REF!</v>
      </c>
      <c r="BX166" s="152" t="e">
        <f aca="false">IF(VACnom&gt;Vbat, Table7[[#This Row],[PRR (mW) C]]+Table7[[#This Row],[Pdead (mW) C]]+Table7[[#This Row],[Pgate_bottom (mW) C]], Table7[[#This Row],[PIV (mW) C]]+Table7[[#This Row],[PQoss (mW) C]]+Table7[[#This Row],[Pgate_bottom (mW) C]])</f>
        <v>#REF!</v>
      </c>
      <c r="BY166" s="152" t="e">
        <f aca="false">Table7[[#This Row],[Pcon_bottom (mW) C]]+Table7[[#This Row],[Psw_bottom (mV) C]]</f>
        <v>#REF!</v>
      </c>
      <c r="BZ166" s="152" t="e">
        <f aca="false">Table7[[#This Row],[Pbottom (mW) C]]+Table7[[#This Row],[Ptop (mW) C]]</f>
        <v>#REF!</v>
      </c>
      <c r="CA166" s="156"/>
      <c r="CB166" s="151" t="n">
        <f aca="false">(RAC_SNS*10^-3*(Table7[[#This Row],[IOUT (A)]]*Vbat/VACnom)^2/10^-3)</f>
        <v>5.5125</v>
      </c>
      <c r="CC166" s="151" t="n">
        <f aca="false">(RBAT_SNS*10^-3*Table7[[#This Row],[IOUT (A)]]^2)/10^-3</f>
        <v>5</v>
      </c>
      <c r="CD166" s="151" t="n">
        <f aca="false">IF(VACnom&gt;Vbat,(L_DRC*10^-3*(Table7[[#This Row],[IOUT (A)]])^2/10^-3),(L_DRC*10^-3*(Table7[[#This Row],[IOUT (A)]]*Vbat/VACnom)^2/10^-3))</f>
        <v>13.23</v>
      </c>
      <c r="CE166" s="157"/>
      <c r="CF166" s="152" t="n">
        <f aca="false">(Table7[[#This Row],[R_AC (mW)]]+Table7[[#This Row],[R_SR (mW)]]+Table7[[#This Row],[Inductor Loss (mW)]])/10^3</f>
        <v>0.0237425</v>
      </c>
      <c r="CG166" s="152" t="e">
        <f aca="false">Table7[[#This Row],[Total TI (mW)]]/10^3</f>
        <v>#REF!</v>
      </c>
      <c r="CH166" s="152" t="e">
        <f aca="false">Table7[[#This Row],[Total Sense Loss]]+Table7[[#This Row],[Total MOSFET Loss]]</f>
        <v>#REF!</v>
      </c>
      <c r="CI166" s="158" t="e">
        <f aca="false">IF(Table7[[#This Row],[POUT (W)]]=0,0,(Table7[[#This Row],[POUT (W)]])/(Table7[[#This Row],[POUT (W)]]+Table7[[#This Row],[Total Power Loss (W)]]))*100</f>
        <v>#REF!</v>
      </c>
      <c r="CJ166" s="159"/>
      <c r="CK166" s="152" t="n">
        <f aca="false">(Table7[[#This Row],[R_AC (mW)]]+Table7[[#This Row],[R_SR (mW)]]+Table7[[#This Row],[Inductor Loss (mW)]])/10^3</f>
        <v>0.0237425</v>
      </c>
      <c r="CL166" s="152" t="e">
        <f aca="false">Table7[[#This Row],[Total (mW) C]]/10^3</f>
        <v>#REF!</v>
      </c>
      <c r="CM166" s="152" t="e">
        <f aca="false">Table7[[#This Row],[Total Sense Loss C]]+Table7[[#This Row],[Total MOSFET Loss C]]</f>
        <v>#REF!</v>
      </c>
      <c r="CN166" s="158" t="e">
        <f aca="false">IF(Table7[[#This Row],[POUT (W)]]=0,0,(Table7[[#This Row],[POUT (W)]])/(Table7[[#This Row],[POUT (W)]]+Table7[[#This Row],[Total Power Loss (W) C]]))*100</f>
        <v>#REF!</v>
      </c>
      <c r="CO166" s="159"/>
      <c r="CP166" s="158" t="n">
        <f aca="false">IF(MOSFET_S=Custom_MOSFET,Table7[[#This Row],[Total Sense Loss C]],Table7[[#This Row],[Total Sense Loss]])</f>
        <v>0.0237425</v>
      </c>
      <c r="CQ166" s="158" t="e">
        <f aca="false">IF(MOSFET_S=Custom_MOSFET,Table7[[#This Row],[Total MOSFET Loss C]],Table7[[#This Row],[Total MOSFET Loss]])</f>
        <v>#REF!</v>
      </c>
      <c r="CR166" s="158" t="e">
        <f aca="false">IF(MOSFET_S=Custom_MOSFET,Table7[[#This Row],[Efficiency C]],Table7[[#This Row],[Efficiency]])</f>
        <v>#REF!</v>
      </c>
      <c r="CS166" s="159"/>
      <c r="CT166" s="158" t="n">
        <f aca="false">IF(MOSFET_S=Compare_MOSFET, Table7[[#This Row],[Total Sense Loss C]], -100)</f>
        <v>-100</v>
      </c>
      <c r="CU166" s="158" t="n">
        <f aca="false">IF(MOSFET_S=Compare_MOSFET, Table7[[#This Row],[Total MOSFET Loss C]], -100)</f>
        <v>-100</v>
      </c>
      <c r="CV166" s="158" t="n">
        <f aca="false">IF(MOSFET_S=Compare_MOSFET, Table7[[#This Row],[Efficiency C]], -100)</f>
        <v>-100</v>
      </c>
      <c r="CW166" s="159"/>
      <c r="CX166" s="158" t="e">
        <f aca="false">IF(Save_Sel=CLR_Save,  Table7[[#This Row],[Total Sense Loss P1]], Table7[[#This Row],[Total Sense Loss P1 Saved]])</f>
        <v>#VALUE!</v>
      </c>
      <c r="CY166" s="158" t="e">
        <f aca="false">IF(Save_Sel=CLR_Save,  Table7[[#This Row],[Total MOSFET Loss P1]], Table7[[#This Row],[Total MOSFET Loss P1 Saved]] )</f>
        <v>#VALUE!</v>
      </c>
      <c r="CZ166" s="158" t="e">
        <f aca="false">IF(Save_Sel=CLR_Save, Table7[[#This Row],[Efficiency P1]], Table7[[#This Row],[Efficiency P1 Saved]])</f>
        <v>#VALUE!</v>
      </c>
      <c r="DA166" s="159"/>
      <c r="DB166" s="158" t="e">
        <f aca="false">IF(Save_Sel=CLR_Save,  Table7[[#This Row],[Total Sense Loss P2]], Table7[[#This Row],[Total Sense Loss P2 Saved]])</f>
        <v>#VALUE!</v>
      </c>
      <c r="DC166" s="158" t="e">
        <f aca="false">IF(Save_Sel=CLR_Save,  Table7[[#This Row],[Total MOSFET Loss P2]], Table7[[#This Row],[Total MOSFET Loss P2 Saved]] )</f>
        <v>#VALUE!</v>
      </c>
      <c r="DD166" s="158" t="e">
        <f aca="false">IF(Save_Sel=CLR_Save, Table7[[#This Row],[Efficiency P2]], Table7[[#This Row],[Efficiency P2 Saved]])</f>
        <v>#VALUE!</v>
      </c>
      <c r="DE166" s="159"/>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row>
    <row r="167" customFormat="false" ht="16.4" hidden="false" customHeight="false" outlineLevel="0" collapsed="false">
      <c r="A167" s="100" t="n">
        <v>8</v>
      </c>
      <c r="B167" s="84"/>
      <c r="C167" s="84"/>
      <c r="D167" s="28" t="s">
        <v>144</v>
      </c>
      <c r="E167" s="168" t="e">
        <f aca="false">$N124</f>
        <v>#REF!</v>
      </c>
      <c r="F167" s="168" t="e">
        <f aca="false">$O124</f>
        <v>#REF!</v>
      </c>
      <c r="G167" s="119" t="s">
        <v>140</v>
      </c>
      <c r="H167" s="24"/>
      <c r="I167" s="100" t="n">
        <v>8</v>
      </c>
      <c r="J167" s="24"/>
      <c r="K167" s="84"/>
      <c r="L167" s="84"/>
      <c r="M167" s="28" t="s">
        <v>144</v>
      </c>
      <c r="N167" s="124" t="n">
        <f aca="false">$E124</f>
        <v>3.3</v>
      </c>
      <c r="O167" s="124" t="n">
        <f aca="false">$F124</f>
        <v>3.3</v>
      </c>
      <c r="P167" s="119" t="s">
        <v>140</v>
      </c>
      <c r="Q167" s="24"/>
      <c r="R167" s="24"/>
      <c r="S167" s="25"/>
      <c r="T167" s="6"/>
      <c r="U167" s="7"/>
      <c r="V167" s="7"/>
      <c r="W167" s="7"/>
      <c r="X167" s="7"/>
      <c r="Y167" s="7"/>
      <c r="Z167" s="7"/>
      <c r="AA167" s="7"/>
      <c r="AB167" s="7"/>
      <c r="AC167" s="7"/>
      <c r="AD167" s="7"/>
      <c r="AE167" s="7"/>
      <c r="AF167" s="150" t="n">
        <f aca="false">AF166+1</f>
        <v>11</v>
      </c>
      <c r="AG167" s="150" t="n">
        <f aca="false">$AG$156+AF167*($AG$256-$AG$156)/$AF$256</f>
        <v>1.1</v>
      </c>
      <c r="AH167" s="151" t="n">
        <f aca="false">AG167*VACnom</f>
        <v>13.2</v>
      </c>
      <c r="AI167" s="152" t="n">
        <f aca="false">IF(VACnom&lt;Vbat, (Vbat-VACnom)/Vbat, Vbat/VACnom)</f>
        <v>0.0476190476190476</v>
      </c>
      <c r="AJ167" s="152" t="n">
        <f aca="false">IF(VACnom&lt;Vbat, AG167/(1-AI167), AG167*AI167)</f>
        <v>1.155</v>
      </c>
      <c r="AK167" s="152" t="n">
        <f aca="false">Ipkpk_VACnom</f>
        <v>0.285714285714285</v>
      </c>
      <c r="AL167" s="152" t="n">
        <f aca="false">SQRT(AJ167^2+AK167^2/12)</f>
        <v>1.15794115614242</v>
      </c>
      <c r="AM167" s="153"/>
      <c r="AN167" s="152" t="n">
        <f aca="false">MAX(0,Table7[[#This Row],[I_L]]-0.5*Table7[[#This Row],[I_L pkpk]])</f>
        <v>1.01214285714286</v>
      </c>
      <c r="AO167" s="152" t="n">
        <f aca="false">Table7[[#This Row],[I_L]]+0.5*Table7[[#This Row],[I_L pkpk]]</f>
        <v>1.29785714285714</v>
      </c>
      <c r="AP167" s="152" t="e">
        <f aca="false">IF(VACnom&gt;Vbat, (VGS_S-(TI_MOSFET_S_VTH_H_BU+Table7[[#This Row],[I_L]]/TI_MOSFET_S_gFS_H_BU))/3.4, (VGS_S-(TI_MOSFET_S_VTH_L_BO+Table7[[#This Row],[I_L]]/TI_MOSFET_S_gFS_L_BO))/3.4 )</f>
        <v>#REF!</v>
      </c>
      <c r="AQ167" s="152" t="e">
        <f aca="false">IF(VACnom&gt;Vbat, ((TI_MOSFET_S_VTH_H_BU+Table7[[#This Row],[I_L]]/TI_MOSFET_S_gFS_H_BU))/1, ((TI_MOSFET_S_VTH_L_BO+Table7[[#This Row],[I_L]]/TI_MOSFET_S_gFS_L_BO))/1 )</f>
        <v>#REF!</v>
      </c>
      <c r="AR167" s="152" t="e">
        <f aca="false">IF(VACnom&gt;Vbat, (TI_MOSFET_S_QGD_H_BU+TI_MOSFET_S_QGS_H_BU)*10^-9/Table7[[#This Row],[Ion (A)]], (TI_MOSFET_S_QGD_L_BO+TI_MOSFET_S_QGS_L_BO)*10^-9/Table7[[#This Row],[Ion (A)]])/10^-9</f>
        <v>#REF!</v>
      </c>
      <c r="AS167" s="152" t="e">
        <f aca="false">IF(VACnom&gt;Vbat, (TI_MOSFET_S_QGD_H_BU+TI_MOSFET_S_QGS_H_BU)*10^-9/Table7[[#This Row],[Ioff (A)]], (TI_MOSFET_S_QGD_L_BO+TI_MOSFET_S_QGS_L_BO)*10^-9/Table7[[#This Row],[Ioff (A)]])/10^-9</f>
        <v>#REF!</v>
      </c>
      <c r="AT167" s="152" t="e">
        <f aca="false">0.5*VACnom*Table7[[#This Row],[Ivalley (A)]]*Table7[[#This Row],[ton (ns)]]*10^-9*Fsw*10^3+0.5*VACnom*Table7[[#This Row],[Ipeak (A)]]*Table7[[#This Row],[toff (ns)]]*10^-9*Fsw*10^3/10^-3</f>
        <v>#REF!</v>
      </c>
      <c r="AU167" s="152" t="e">
        <f aca="false">IF(VACnom&gt;Vbat, 0.5*VACnom*TI_MOSFET_S_QOSS_H_BU*10^-9*Fsw*10^3,0.5*VACnom*TI_MOSFET_S_QOSS_L_BO*10^-9*Fsw*10^3)/10^-3</f>
        <v>#REF!</v>
      </c>
      <c r="AV167" s="152" t="e">
        <f aca="false">IF(VACnom&gt;Vbat, VACnom*TI_MOSFET_S_QG_H_BU*10^-9*Fsw*10^3,VACnom*TI_MOSFET_S_QG_H_BO*10^-9*Fsw*10^3)/10^-3</f>
        <v>#REF!</v>
      </c>
      <c r="AW167" s="152" t="e">
        <f aca="false">IF(VACnom&gt;Vbat, VACnom*TI_MOSFET_S_QRR_L_BU*10^-9*Fsw*10^3, VACnom*TI_MOSFET_S_QRR_H_BO*10^-9*Fsw*10^3)/10^-3</f>
        <v>#REF!</v>
      </c>
      <c r="AX167" s="152" t="e">
        <f aca="false">IF(VACnom&gt;Vbat, TI_MOSFET_S_VSD_L_BU*Table7[[#This Row],[Ivalley (A)]]*Fsw*10^3*40*10^-9+TI_MOSFET_S_VSD_L_BU*Table7[[#This Row],[Ipeak (A)]]*Fsw*10^3*30*10^-9, TI_MOSFET_S_VSD_H_BO*Table7[[#This Row],[Ivalley (A)]]*Fsw*10^3*40*10^-9+TI_MOSFET_S_VSD_H_BO*Table7[[#This Row],[Ipeak (A)]]*Fsw*10^3*30*10^-9)/10^-3</f>
        <v>#REF!</v>
      </c>
      <c r="AY167" s="152" t="e">
        <f aca="false">IF(VACnom&gt;Vbat, VACnom*TI_MOSFET_S_QG_L_BU*10^-9*Fsw*10^3, VACnom*TI_MOSFET_S_QG_L_BO*10^-9*Fsw*10^3)/10^-3</f>
        <v>#REF!</v>
      </c>
      <c r="AZ167" s="152" t="e">
        <f aca="false">IF(VACnom&lt;Vbat, Table7[[#This Row],[Duty Cycle]]*Table7[[#This Row],[I_L RMS]]^2*TI_MOSFET_S_RDSON_H_BU*10^-3, (1-Table7[[#This Row],[Duty Cycle]])*Table7[[#This Row],[I_L RMS]]^2*TI_MOSFET_S_RDSON_H_BO*10^-3)/10^-3</f>
        <v>#REF!</v>
      </c>
      <c r="BA167" s="152" t="e">
        <f aca="false">IF(VACnom&gt;Vbat, Table7[[#This Row],[PIV (mW)]]+Table7[[#This Row],[Pqoss (mW)]]+Table7[[#This Row],[Pgate_top (mW)]], Table7[[#This Row],[PRR (mW)]]+Table7[[#This Row],[Pdead (mW)]]+Table7[[#This Row],[Pgate_top (mW)]])</f>
        <v>#REF!</v>
      </c>
      <c r="BB167" s="152" t="e">
        <f aca="false">Table7[[#This Row],[Pcon_top (mW)]]+Table7[[#This Row],[Psw_top (mW)]]</f>
        <v>#REF!</v>
      </c>
      <c r="BC167" s="152" t="e">
        <f aca="false">IF(VACnom&gt;Vbat, (1-Table7[[#This Row],[Duty Cycle]])*Table7[[#This Row],[I_L RMS]]^2*TI_MOSFET_S_RDSON_L_BU*10^-3, Table7[[#This Row],[Duty Cycle]]*Table7[[#This Row],[I_L RMS]]^2*TI_MOSFET_S_RDSON_L_BO*10^-3)/10^-3</f>
        <v>#REF!</v>
      </c>
      <c r="BD167" s="152" t="e">
        <f aca="false">IF(VACnom&gt;Vbat, Table7[[#This Row],[PRR (mW)]]+Table7[[#This Row],[Pdead (mW)]]+Table7[[#This Row],[Pgate_bottom (mW)]], Table7[[#This Row],[PIV (mW)]]+Table7[[#This Row],[Pqoss (mW)]]+Table7[[#This Row],[Pgate_bottom (mW)]])</f>
        <v>#REF!</v>
      </c>
      <c r="BE167" s="154" t="e">
        <f aca="false">Table7[[#This Row],[Pcon_bottom (mW)]]+Table7[[#This Row],[Psw_bottom (mW)]]</f>
        <v>#REF!</v>
      </c>
      <c r="BF167" s="152" t="e">
        <f aca="false">Table7[[#This Row],[Pbottom (mW)]]+Table7[[#This Row],[Ptop (mW)]]</f>
        <v>#REF!</v>
      </c>
      <c r="BG167" s="155"/>
      <c r="BH167" s="152" t="n">
        <f aca="false">MAX(0,Table7[[#This Row],[I_L]]-0.5*Table7[[#This Row],[I_L pkpk]])</f>
        <v>1.01214285714286</v>
      </c>
      <c r="BI167" s="152" t="n">
        <f aca="false">Table7[[#This Row],[I_L]]+0.5*Table7[[#This Row],[I_L pkpk]]</f>
        <v>1.29785714285714</v>
      </c>
      <c r="BJ167" s="152" t="n">
        <f aca="false">IF(VACnom&gt;Vbat, (VGS_S-(C_MOSFET_S_VTH_H_BU+Table7[[#This Row],[I_L]]/C_MOSFET_S_gFS_H_BU))/3.4, (VGS_S-(C_MOSFET_S_VTH_L_BO+Table7[[#This Row],[I_L]]/C_MOSFET_S_gFS_L_BO))/3.4 )</f>
        <v>2.35067647058824</v>
      </c>
      <c r="BK167" s="152" t="n">
        <f aca="false">IF(VACnom&gt;Vbat, ((C_MOSFET_S_VTH_H_BU+Table7[[#This Row],[I_L]]/C_MOSFET_S_gFS_H_BU))/1, ((C_MOSFET_S_VTH_L_BO+Table7[[#This Row],[I_L]]/C_MOSFET_S_gFS_L_BO))/1 )</f>
        <v>2.0077</v>
      </c>
      <c r="BL167" s="152" t="n">
        <f aca="false">IF(VACnom&gt;Vbat, (C_MOSFET_S_QGD_H_BU+C_MOSFET_S_QGS_H_BU)*10^-9/Table7[[#This Row],[Ion (A) C]], (C_MOSFET_S_QGD_L_BO+C_MOSFET_S_QGS_L_BO)*10^-9/Table7[[#This Row],[Ion (A) C]])/10^-9</f>
        <v>2.76516146791287</v>
      </c>
      <c r="BM167" s="152" t="n">
        <f aca="false">IF(VACnom&gt;Vbat, (C_MOSFET_S_QGD_H_BU+C_MOSFET_S_QGS_H_BU)*10^-9/Table7[[#This Row],[Ioff (A) C]], (C_MOSFET_S_QGD_L_BO+C_MOSFET_S_QGS_L_BO)*10^-9/Table7[[#This Row],[Ioff (A) C]])/10^-9</f>
        <v>3.23753548836978</v>
      </c>
      <c r="BN167" s="152" t="n">
        <f aca="false">0.5*VACnom*Table7[[#This Row],[Ivalley (A) C]]*Table7[[#This Row],[ton (ns) C]]*10^-9*Fsw*10^3+0.5*VACnom*Table7[[#This Row],[Ipeak (A) C]]*Table7[[#This Row],[toff (ns) C]]*10^-9*Fsw*10^3/10^-3</f>
        <v>5.04558875671536</v>
      </c>
      <c r="BO167" s="152" t="n">
        <f aca="false">IF(VACnom&gt;Vbat, 0.5*VACnom*C_MOSFET_S_QOSS_H_BU*10^-9*Fsw*10^3,0.5*VACnom*C_MOSFET_S_QOSS_L_BO*10^-9*Fsw*10^3)/10^-3</f>
        <v>43.2</v>
      </c>
      <c r="BP167" s="152" t="e">
        <f aca="false">IF(VACnom&gt;Vbat, VACnom*C_MOSFET_S_QG_H_BU*10^-9*Fsw*10^3,VACnom*C_MOSFET_S_QG_H_BO*10^-9*Fsw*10^3)/10^-3</f>
        <v>#REF!</v>
      </c>
      <c r="BQ167" s="152" t="n">
        <f aca="false">IF(VACnom&gt;Vbat, VACnom*C_MOSFET_S_QRR_L_BU*10^-9*Fsw*10^3, VACnom*C_MOSFET_S_QRR_H_BO*10^-9*Fsw*10^3)/10^-3</f>
        <v>79.2</v>
      </c>
      <c r="BR167" s="152" t="n">
        <f aca="false">IF(VACnom&gt;Vbat, C_MOSFET_S_VSD_L_BU*Table7[[#This Row],[Ivalley (A) C]]*Fsw*10^3*40*10^-9+C_MOSFET_S_VSD_L_BU*Table7[[#This Row],[Ipeak (A) C]]*Fsw*10^3*30*10^-9, C_MOSFET_S_VSD_H_BO*Table7[[#This Row],[Ivalley (A) C]]*Fsw*10^3*40*10^-9+C_MOSFET_S_VSD_H_BO*Table7[[#This Row],[Ipeak (A) C]]*Fsw*10^3*30*10^-9)/10^-3</f>
        <v>12.7074285714286</v>
      </c>
      <c r="BS167" s="152" t="e">
        <f aca="false">IF(VACnom&gt;Vbat, VACnom*C_MOSFET_S_QG_L_BU*10^-9*Fsw*10^3, VACnom*C_MOSFET_S_QG_L_BO*10^-9*Fsw*10^3)/10^-3</f>
        <v>#REF!</v>
      </c>
      <c r="BT167" s="152" t="n">
        <f aca="false">IF(VACnom&lt;Vbat, Table7[[#This Row],[Duty Cycle]]*Table7[[#This Row],[I_L RMS]]^2*C_MOSFET_S_RDSON_H_BU*10^-3, (1-Table7[[#This Row],[Duty Cycle]])*Table7[[#This Row],[I_L RMS]]^2*C_MOSFET_S_RDSON_H_BO*10^-3)/10^-3</f>
        <v>0.363938952866861</v>
      </c>
      <c r="BU167" s="152" t="e">
        <f aca="false">IF(VACnom&gt;Vbat, Table7[[#This Row],[PIV (mW) C]]+Table7[[#This Row],[PQoss (mW) C]]+Table7[[#This Row],[Pgate_top (mW) C]], Table7[[#This Row],[PRR (mW) C]]+Table7[[#This Row],[Pdead (mW) C]]+Table7[[#This Row],[Pgate_top (mW) C]])</f>
        <v>#REF!</v>
      </c>
      <c r="BV167" s="152" t="e">
        <f aca="false">Table7[[#This Row],[Pcon_top (mW) C]]+Table7[[#This Row],[Psw_top (mW) C]]</f>
        <v>#REF!</v>
      </c>
      <c r="BW167" s="152" t="e">
        <f aca="false">IF(VACnom&gt;Vbat, (1-Table7[[#This Row],[Duty Cycle]])*Table7[[#This Row],[I_L RMS]]^2*C_MOSFET_S_RDSON_L_BU*10^-3, Table7[[#This Row],[Duty Cycle]]*Table7[[#This Row],[I_L RMS]]^2*C_MOSFET_S_RDSON_L_BO*10^-3)/10^-3</f>
        <v>#REF!</v>
      </c>
      <c r="BX167" s="152" t="e">
        <f aca="false">IF(VACnom&gt;Vbat, Table7[[#This Row],[PRR (mW) C]]+Table7[[#This Row],[Pdead (mW) C]]+Table7[[#This Row],[Pgate_bottom (mW) C]], Table7[[#This Row],[PIV (mW) C]]+Table7[[#This Row],[PQoss (mW) C]]+Table7[[#This Row],[Pgate_bottom (mW) C]])</f>
        <v>#REF!</v>
      </c>
      <c r="BY167" s="152" t="e">
        <f aca="false">Table7[[#This Row],[Pcon_bottom (mW) C]]+Table7[[#This Row],[Psw_bottom (mV) C]]</f>
        <v>#REF!</v>
      </c>
      <c r="BZ167" s="152" t="e">
        <f aca="false">Table7[[#This Row],[Pbottom (mW) C]]+Table7[[#This Row],[Ptop (mW) C]]</f>
        <v>#REF!</v>
      </c>
      <c r="CA167" s="156"/>
      <c r="CB167" s="151" t="n">
        <f aca="false">(RAC_SNS*10^-3*(Table7[[#This Row],[IOUT (A)]]*Vbat/VACnom)^2/10^-3)</f>
        <v>6.670125</v>
      </c>
      <c r="CC167" s="151" t="n">
        <f aca="false">(RBAT_SNS*10^-3*Table7[[#This Row],[IOUT (A)]]^2)/10^-3</f>
        <v>6.05</v>
      </c>
      <c r="CD167" s="151" t="n">
        <f aca="false">IF(VACnom&gt;Vbat,(L_DRC*10^-3*(Table7[[#This Row],[IOUT (A)]])^2/10^-3),(L_DRC*10^-3*(Table7[[#This Row],[IOUT (A)]]*Vbat/VACnom)^2/10^-3))</f>
        <v>16.0083</v>
      </c>
      <c r="CE167" s="157"/>
      <c r="CF167" s="152" t="n">
        <f aca="false">(Table7[[#This Row],[R_AC (mW)]]+Table7[[#This Row],[R_SR (mW)]]+Table7[[#This Row],[Inductor Loss (mW)]])/10^3</f>
        <v>0.028728425</v>
      </c>
      <c r="CG167" s="152" t="e">
        <f aca="false">Table7[[#This Row],[Total TI (mW)]]/10^3</f>
        <v>#REF!</v>
      </c>
      <c r="CH167" s="152" t="e">
        <f aca="false">Table7[[#This Row],[Total Sense Loss]]+Table7[[#This Row],[Total MOSFET Loss]]</f>
        <v>#REF!</v>
      </c>
      <c r="CI167" s="158" t="e">
        <f aca="false">IF(Table7[[#This Row],[POUT (W)]]=0,0,(Table7[[#This Row],[POUT (W)]])/(Table7[[#This Row],[POUT (W)]]+Table7[[#This Row],[Total Power Loss (W)]]))*100</f>
        <v>#REF!</v>
      </c>
      <c r="CJ167" s="159"/>
      <c r="CK167" s="152" t="n">
        <f aca="false">(Table7[[#This Row],[R_AC (mW)]]+Table7[[#This Row],[R_SR (mW)]]+Table7[[#This Row],[Inductor Loss (mW)]])/10^3</f>
        <v>0.028728425</v>
      </c>
      <c r="CL167" s="152" t="e">
        <f aca="false">Table7[[#This Row],[Total (mW) C]]/10^3</f>
        <v>#REF!</v>
      </c>
      <c r="CM167" s="152" t="e">
        <f aca="false">Table7[[#This Row],[Total Sense Loss C]]+Table7[[#This Row],[Total MOSFET Loss C]]</f>
        <v>#REF!</v>
      </c>
      <c r="CN167" s="158" t="e">
        <f aca="false">IF(Table7[[#This Row],[POUT (W)]]=0,0,(Table7[[#This Row],[POUT (W)]])/(Table7[[#This Row],[POUT (W)]]+Table7[[#This Row],[Total Power Loss (W) C]]))*100</f>
        <v>#REF!</v>
      </c>
      <c r="CO167" s="159"/>
      <c r="CP167" s="158" t="n">
        <f aca="false">IF(MOSFET_S=Custom_MOSFET,Table7[[#This Row],[Total Sense Loss C]],Table7[[#This Row],[Total Sense Loss]])</f>
        <v>0.028728425</v>
      </c>
      <c r="CQ167" s="158" t="e">
        <f aca="false">IF(MOSFET_S=Custom_MOSFET,Table7[[#This Row],[Total MOSFET Loss C]],Table7[[#This Row],[Total MOSFET Loss]])</f>
        <v>#REF!</v>
      </c>
      <c r="CR167" s="158" t="e">
        <f aca="false">IF(MOSFET_S=Custom_MOSFET,Table7[[#This Row],[Efficiency C]],Table7[[#This Row],[Efficiency]])</f>
        <v>#REF!</v>
      </c>
      <c r="CS167" s="159"/>
      <c r="CT167" s="158" t="n">
        <f aca="false">IF(MOSFET_S=Compare_MOSFET, Table7[[#This Row],[Total Sense Loss C]], -100)</f>
        <v>-100</v>
      </c>
      <c r="CU167" s="158" t="n">
        <f aca="false">IF(MOSFET_S=Compare_MOSFET, Table7[[#This Row],[Total MOSFET Loss C]], -100)</f>
        <v>-100</v>
      </c>
      <c r="CV167" s="158" t="n">
        <f aca="false">IF(MOSFET_S=Compare_MOSFET, Table7[[#This Row],[Efficiency C]], -100)</f>
        <v>-100</v>
      </c>
      <c r="CW167" s="159"/>
      <c r="CX167" s="158" t="e">
        <f aca="false">IF(Save_Sel=CLR_Save,  Table7[[#This Row],[Total Sense Loss P1]], Table7[[#This Row],[Total Sense Loss P1 Saved]])</f>
        <v>#VALUE!</v>
      </c>
      <c r="CY167" s="158" t="e">
        <f aca="false">IF(Save_Sel=CLR_Save,  Table7[[#This Row],[Total MOSFET Loss P1]], Table7[[#This Row],[Total MOSFET Loss P1 Saved]] )</f>
        <v>#VALUE!</v>
      </c>
      <c r="CZ167" s="158" t="e">
        <f aca="false">IF(Save_Sel=CLR_Save, Table7[[#This Row],[Efficiency P1]], Table7[[#This Row],[Efficiency P1 Saved]])</f>
        <v>#VALUE!</v>
      </c>
      <c r="DA167" s="159"/>
      <c r="DB167" s="158" t="e">
        <f aca="false">IF(Save_Sel=CLR_Save,  Table7[[#This Row],[Total Sense Loss P2]], Table7[[#This Row],[Total Sense Loss P2 Saved]])</f>
        <v>#VALUE!</v>
      </c>
      <c r="DC167" s="158" t="e">
        <f aca="false">IF(Save_Sel=CLR_Save,  Table7[[#This Row],[Total MOSFET Loss P2]], Table7[[#This Row],[Total MOSFET Loss P2 Saved]] )</f>
        <v>#VALUE!</v>
      </c>
      <c r="DD167" s="158" t="e">
        <f aca="false">IF(Save_Sel=CLR_Save, Table7[[#This Row],[Efficiency P2]], Table7[[#This Row],[Efficiency P2 Saved]])</f>
        <v>#VALUE!</v>
      </c>
      <c r="DE167" s="159"/>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row>
    <row r="168" customFormat="false" ht="16.4" hidden="false" customHeight="false" outlineLevel="0" collapsed="false">
      <c r="A168" s="100" t="n">
        <v>9</v>
      </c>
      <c r="B168" s="84"/>
      <c r="C168" s="84"/>
      <c r="D168" s="28" t="s">
        <v>146</v>
      </c>
      <c r="E168" s="168" t="e">
        <f aca="false">$N125</f>
        <v>#REF!</v>
      </c>
      <c r="F168" s="168" t="e">
        <f aca="false">$O125</f>
        <v>#REF!</v>
      </c>
      <c r="G168" s="119" t="s">
        <v>140</v>
      </c>
      <c r="H168" s="24"/>
      <c r="I168" s="100" t="n">
        <v>9</v>
      </c>
      <c r="J168" s="24"/>
      <c r="K168" s="84"/>
      <c r="L168" s="84"/>
      <c r="M168" s="28" t="s">
        <v>146</v>
      </c>
      <c r="N168" s="124" t="n">
        <f aca="false">$E125</f>
        <v>36</v>
      </c>
      <c r="O168" s="124" t="n">
        <f aca="false">$F125</f>
        <v>36</v>
      </c>
      <c r="P168" s="119" t="s">
        <v>140</v>
      </c>
      <c r="Q168" s="24"/>
      <c r="R168" s="24"/>
      <c r="S168" s="25"/>
      <c r="T168" s="6"/>
      <c r="U168" s="7"/>
      <c r="V168" s="7"/>
      <c r="W168" s="7"/>
      <c r="X168" s="7"/>
      <c r="Y168" s="7"/>
      <c r="Z168" s="7"/>
      <c r="AA168" s="7"/>
      <c r="AB168" s="7"/>
      <c r="AC168" s="7"/>
      <c r="AD168" s="7"/>
      <c r="AE168" s="7"/>
      <c r="AF168" s="150" t="n">
        <f aca="false">AF167+1</f>
        <v>12</v>
      </c>
      <c r="AG168" s="150" t="n">
        <f aca="false">$AG$156+AF168*($AG$256-$AG$156)/$AF$256</f>
        <v>1.2</v>
      </c>
      <c r="AH168" s="151" t="n">
        <f aca="false">AG168*VACnom</f>
        <v>14.4</v>
      </c>
      <c r="AI168" s="152" t="n">
        <f aca="false">IF(VACnom&lt;Vbat, (Vbat-VACnom)/Vbat, Vbat/VACnom)</f>
        <v>0.0476190476190476</v>
      </c>
      <c r="AJ168" s="152" t="n">
        <f aca="false">IF(VACnom&lt;Vbat, AG168/(1-AI168), AG168*AI168)</f>
        <v>1.26</v>
      </c>
      <c r="AK168" s="152" t="n">
        <f aca="false">Ipkpk_VACnom</f>
        <v>0.285714285714285</v>
      </c>
      <c r="AL168" s="152" t="n">
        <f aca="false">SQRT(AJ168^2+AK168^2/12)</f>
        <v>1.26269660690462</v>
      </c>
      <c r="AM168" s="153"/>
      <c r="AN168" s="152" t="n">
        <f aca="false">MAX(0,Table7[[#This Row],[I_L]]-0.5*Table7[[#This Row],[I_L pkpk]])</f>
        <v>1.11714285714286</v>
      </c>
      <c r="AO168" s="152" t="n">
        <f aca="false">Table7[[#This Row],[I_L]]+0.5*Table7[[#This Row],[I_L pkpk]]</f>
        <v>1.40285714285714</v>
      </c>
      <c r="AP168" s="152" t="e">
        <f aca="false">IF(VACnom&gt;Vbat, (VGS_S-(TI_MOSFET_S_VTH_H_BU+Table7[[#This Row],[I_L]]/TI_MOSFET_S_gFS_H_BU))/3.4, (VGS_S-(TI_MOSFET_S_VTH_L_BO+Table7[[#This Row],[I_L]]/TI_MOSFET_S_gFS_L_BO))/3.4 )</f>
        <v>#REF!</v>
      </c>
      <c r="AQ168" s="152" t="e">
        <f aca="false">IF(VACnom&gt;Vbat, ((TI_MOSFET_S_VTH_H_BU+Table7[[#This Row],[I_L]]/TI_MOSFET_S_gFS_H_BU))/1, ((TI_MOSFET_S_VTH_L_BO+Table7[[#This Row],[I_L]]/TI_MOSFET_S_gFS_L_BO))/1 )</f>
        <v>#REF!</v>
      </c>
      <c r="AR168" s="152" t="e">
        <f aca="false">IF(VACnom&gt;Vbat, (TI_MOSFET_S_QGD_H_BU+TI_MOSFET_S_QGS_H_BU)*10^-9/Table7[[#This Row],[Ion (A)]], (TI_MOSFET_S_QGD_L_BO+TI_MOSFET_S_QGS_L_BO)*10^-9/Table7[[#This Row],[Ion (A)]])/10^-9</f>
        <v>#REF!</v>
      </c>
      <c r="AS168" s="152" t="e">
        <f aca="false">IF(VACnom&gt;Vbat, (TI_MOSFET_S_QGD_H_BU+TI_MOSFET_S_QGS_H_BU)*10^-9/Table7[[#This Row],[Ioff (A)]], (TI_MOSFET_S_QGD_L_BO+TI_MOSFET_S_QGS_L_BO)*10^-9/Table7[[#This Row],[Ioff (A)]])/10^-9</f>
        <v>#REF!</v>
      </c>
      <c r="AT168" s="152" t="e">
        <f aca="false">0.5*VACnom*Table7[[#This Row],[Ivalley (A)]]*Table7[[#This Row],[ton (ns)]]*10^-9*Fsw*10^3+0.5*VACnom*Table7[[#This Row],[Ipeak (A)]]*Table7[[#This Row],[toff (ns)]]*10^-9*Fsw*10^3/10^-3</f>
        <v>#REF!</v>
      </c>
      <c r="AU168" s="152" t="e">
        <f aca="false">IF(VACnom&gt;Vbat, 0.5*VACnom*TI_MOSFET_S_QOSS_H_BU*10^-9*Fsw*10^3,0.5*VACnom*TI_MOSFET_S_QOSS_L_BO*10^-9*Fsw*10^3)/10^-3</f>
        <v>#REF!</v>
      </c>
      <c r="AV168" s="152" t="e">
        <f aca="false">IF(VACnom&gt;Vbat, VACnom*TI_MOSFET_S_QG_H_BU*10^-9*Fsw*10^3,VACnom*TI_MOSFET_S_QG_H_BO*10^-9*Fsw*10^3)/10^-3</f>
        <v>#REF!</v>
      </c>
      <c r="AW168" s="152" t="e">
        <f aca="false">IF(VACnom&gt;Vbat, VACnom*TI_MOSFET_S_QRR_L_BU*10^-9*Fsw*10^3, VACnom*TI_MOSFET_S_QRR_H_BO*10^-9*Fsw*10^3)/10^-3</f>
        <v>#REF!</v>
      </c>
      <c r="AX168" s="152" t="e">
        <f aca="false">IF(VACnom&gt;Vbat, TI_MOSFET_S_VSD_L_BU*Table7[[#This Row],[Ivalley (A)]]*Fsw*10^3*40*10^-9+TI_MOSFET_S_VSD_L_BU*Table7[[#This Row],[Ipeak (A)]]*Fsw*10^3*30*10^-9, TI_MOSFET_S_VSD_H_BO*Table7[[#This Row],[Ivalley (A)]]*Fsw*10^3*40*10^-9+TI_MOSFET_S_VSD_H_BO*Table7[[#This Row],[Ipeak (A)]]*Fsw*10^3*30*10^-9)/10^-3</f>
        <v>#REF!</v>
      </c>
      <c r="AY168" s="152" t="e">
        <f aca="false">IF(VACnom&gt;Vbat, VACnom*TI_MOSFET_S_QG_L_BU*10^-9*Fsw*10^3, VACnom*TI_MOSFET_S_QG_L_BO*10^-9*Fsw*10^3)/10^-3</f>
        <v>#REF!</v>
      </c>
      <c r="AZ168" s="152" t="e">
        <f aca="false">IF(VACnom&lt;Vbat, Table7[[#This Row],[Duty Cycle]]*Table7[[#This Row],[I_L RMS]]^2*TI_MOSFET_S_RDSON_H_BU*10^-3, (1-Table7[[#This Row],[Duty Cycle]])*Table7[[#This Row],[I_L RMS]]^2*TI_MOSFET_S_RDSON_H_BO*10^-3)/10^-3</f>
        <v>#REF!</v>
      </c>
      <c r="BA168" s="152" t="e">
        <f aca="false">IF(VACnom&gt;Vbat, Table7[[#This Row],[PIV (mW)]]+Table7[[#This Row],[Pqoss (mW)]]+Table7[[#This Row],[Pgate_top (mW)]], Table7[[#This Row],[PRR (mW)]]+Table7[[#This Row],[Pdead (mW)]]+Table7[[#This Row],[Pgate_top (mW)]])</f>
        <v>#REF!</v>
      </c>
      <c r="BB168" s="152" t="e">
        <f aca="false">Table7[[#This Row],[Pcon_top (mW)]]+Table7[[#This Row],[Psw_top (mW)]]</f>
        <v>#REF!</v>
      </c>
      <c r="BC168" s="152" t="e">
        <f aca="false">IF(VACnom&gt;Vbat, (1-Table7[[#This Row],[Duty Cycle]])*Table7[[#This Row],[I_L RMS]]^2*TI_MOSFET_S_RDSON_L_BU*10^-3, Table7[[#This Row],[Duty Cycle]]*Table7[[#This Row],[I_L RMS]]^2*TI_MOSFET_S_RDSON_L_BO*10^-3)/10^-3</f>
        <v>#REF!</v>
      </c>
      <c r="BD168" s="152" t="e">
        <f aca="false">IF(VACnom&gt;Vbat, Table7[[#This Row],[PRR (mW)]]+Table7[[#This Row],[Pdead (mW)]]+Table7[[#This Row],[Pgate_bottom (mW)]], Table7[[#This Row],[PIV (mW)]]+Table7[[#This Row],[Pqoss (mW)]]+Table7[[#This Row],[Pgate_bottom (mW)]])</f>
        <v>#REF!</v>
      </c>
      <c r="BE168" s="154" t="e">
        <f aca="false">Table7[[#This Row],[Pcon_bottom (mW)]]+Table7[[#This Row],[Psw_bottom (mW)]]</f>
        <v>#REF!</v>
      </c>
      <c r="BF168" s="152" t="e">
        <f aca="false">Table7[[#This Row],[Pbottom (mW)]]+Table7[[#This Row],[Ptop (mW)]]</f>
        <v>#REF!</v>
      </c>
      <c r="BG168" s="155"/>
      <c r="BH168" s="152" t="n">
        <f aca="false">MAX(0,Table7[[#This Row],[I_L]]-0.5*Table7[[#This Row],[I_L pkpk]])</f>
        <v>1.11714285714286</v>
      </c>
      <c r="BI168" s="152" t="n">
        <f aca="false">Table7[[#This Row],[I_L]]+0.5*Table7[[#This Row],[I_L pkpk]]</f>
        <v>1.40285714285714</v>
      </c>
      <c r="BJ168" s="152" t="n">
        <f aca="false">IF(VACnom&gt;Vbat, (VGS_S-(C_MOSFET_S_VTH_H_BU+Table7[[#This Row],[I_L]]/C_MOSFET_S_gFS_H_BU))/3.4, (VGS_S-(C_MOSFET_S_VTH_L_BO+Table7[[#This Row],[I_L]]/C_MOSFET_S_gFS_L_BO))/3.4 )</f>
        <v>2.35047058823529</v>
      </c>
      <c r="BK168" s="152" t="n">
        <f aca="false">IF(VACnom&gt;Vbat, ((C_MOSFET_S_VTH_H_BU+Table7[[#This Row],[I_L]]/C_MOSFET_S_gFS_H_BU))/1, ((C_MOSFET_S_VTH_L_BO+Table7[[#This Row],[I_L]]/C_MOSFET_S_gFS_L_BO))/1 )</f>
        <v>2.0084</v>
      </c>
      <c r="BL168" s="152" t="n">
        <f aca="false">IF(VACnom&gt;Vbat, (C_MOSFET_S_QGD_H_BU+C_MOSFET_S_QGS_H_BU)*10^-9/Table7[[#This Row],[Ion (A) C]], (C_MOSFET_S_QGD_L_BO+C_MOSFET_S_QGS_L_BO)*10^-9/Table7[[#This Row],[Ion (A) C]])/10^-9</f>
        <v>2.76540367385755</v>
      </c>
      <c r="BM168" s="152" t="n">
        <f aca="false">IF(VACnom&gt;Vbat, (C_MOSFET_S_QGD_H_BU+C_MOSFET_S_QGS_H_BU)*10^-9/Table7[[#This Row],[Ioff (A) C]], (C_MOSFET_S_QGD_L_BO+C_MOSFET_S_QGS_L_BO)*10^-9/Table7[[#This Row],[Ioff (A) C]])/10^-9</f>
        <v>3.23640709022107</v>
      </c>
      <c r="BN168" s="152" t="n">
        <f aca="false">0.5*VACnom*Table7[[#This Row],[Ivalley (A) C]]*Table7[[#This Row],[ton (ns) C]]*10^-9*Fsw*10^3+0.5*VACnom*Table7[[#This Row],[Ipeak (A) C]]*Table7[[#This Row],[toff (ns) C]]*10^-9*Fsw*10^3/10^-3</f>
        <v>5.4519673856058</v>
      </c>
      <c r="BO168" s="152" t="n">
        <f aca="false">IF(VACnom&gt;Vbat, 0.5*VACnom*C_MOSFET_S_QOSS_H_BU*10^-9*Fsw*10^3,0.5*VACnom*C_MOSFET_S_QOSS_L_BO*10^-9*Fsw*10^3)/10^-3</f>
        <v>43.2</v>
      </c>
      <c r="BP168" s="152" t="e">
        <f aca="false">IF(VACnom&gt;Vbat, VACnom*C_MOSFET_S_QG_H_BU*10^-9*Fsw*10^3,VACnom*C_MOSFET_S_QG_H_BO*10^-9*Fsw*10^3)/10^-3</f>
        <v>#REF!</v>
      </c>
      <c r="BQ168" s="152" t="n">
        <f aca="false">IF(VACnom&gt;Vbat, VACnom*C_MOSFET_S_QRR_L_BU*10^-9*Fsw*10^3, VACnom*C_MOSFET_S_QRR_H_BO*10^-9*Fsw*10^3)/10^-3</f>
        <v>79.2</v>
      </c>
      <c r="BR168" s="152" t="n">
        <f aca="false">IF(VACnom&gt;Vbat, C_MOSFET_S_VSD_L_BU*Table7[[#This Row],[Ivalley (A) C]]*Fsw*10^3*40*10^-9+C_MOSFET_S_VSD_L_BU*Table7[[#This Row],[Ipeak (A) C]]*Fsw*10^3*30*10^-9, C_MOSFET_S_VSD_H_BO*Table7[[#This Row],[Ivalley (A) C]]*Fsw*10^3*40*10^-9+C_MOSFET_S_VSD_H_BO*Table7[[#This Row],[Ipeak (A) C]]*Fsw*10^3*30*10^-9)/10^-3</f>
        <v>13.8834285714286</v>
      </c>
      <c r="BS168" s="152" t="e">
        <f aca="false">IF(VACnom&gt;Vbat, VACnom*C_MOSFET_S_QG_L_BU*10^-9*Fsw*10^3, VACnom*C_MOSFET_S_QG_L_BO*10^-9*Fsw*10^3)/10^-3</f>
        <v>#REF!</v>
      </c>
      <c r="BT168" s="152" t="n">
        <f aca="false">IF(VACnom&lt;Vbat, Table7[[#This Row],[Duty Cycle]]*Table7[[#This Row],[I_L RMS]]^2*C_MOSFET_S_RDSON_H_BU*10^-3, (1-Table7[[#This Row],[Duty Cycle]])*Table7[[#This Row],[I_L RMS]]^2*C_MOSFET_S_RDSON_H_BO*10^-3)/10^-3</f>
        <v>0.432766452866861</v>
      </c>
      <c r="BU168" s="152" t="e">
        <f aca="false">IF(VACnom&gt;Vbat, Table7[[#This Row],[PIV (mW) C]]+Table7[[#This Row],[PQoss (mW) C]]+Table7[[#This Row],[Pgate_top (mW) C]], Table7[[#This Row],[PRR (mW) C]]+Table7[[#This Row],[Pdead (mW) C]]+Table7[[#This Row],[Pgate_top (mW) C]])</f>
        <v>#REF!</v>
      </c>
      <c r="BV168" s="152" t="e">
        <f aca="false">Table7[[#This Row],[Pcon_top (mW) C]]+Table7[[#This Row],[Psw_top (mW) C]]</f>
        <v>#REF!</v>
      </c>
      <c r="BW168" s="152" t="e">
        <f aca="false">IF(VACnom&gt;Vbat, (1-Table7[[#This Row],[Duty Cycle]])*Table7[[#This Row],[I_L RMS]]^2*C_MOSFET_S_RDSON_L_BU*10^-3, Table7[[#This Row],[Duty Cycle]]*Table7[[#This Row],[I_L RMS]]^2*C_MOSFET_S_RDSON_L_BO*10^-3)/10^-3</f>
        <v>#REF!</v>
      </c>
      <c r="BX168" s="152" t="e">
        <f aca="false">IF(VACnom&gt;Vbat, Table7[[#This Row],[PRR (mW) C]]+Table7[[#This Row],[Pdead (mW) C]]+Table7[[#This Row],[Pgate_bottom (mW) C]], Table7[[#This Row],[PIV (mW) C]]+Table7[[#This Row],[PQoss (mW) C]]+Table7[[#This Row],[Pgate_bottom (mW) C]])</f>
        <v>#REF!</v>
      </c>
      <c r="BY168" s="152" t="e">
        <f aca="false">Table7[[#This Row],[Pcon_bottom (mW) C]]+Table7[[#This Row],[Psw_bottom (mV) C]]</f>
        <v>#REF!</v>
      </c>
      <c r="BZ168" s="152" t="e">
        <f aca="false">Table7[[#This Row],[Pbottom (mW) C]]+Table7[[#This Row],[Ptop (mW) C]]</f>
        <v>#REF!</v>
      </c>
      <c r="CA168" s="156"/>
      <c r="CB168" s="151" t="n">
        <f aca="false">(RAC_SNS*10^-3*(Table7[[#This Row],[IOUT (A)]]*Vbat/VACnom)^2/10^-3)</f>
        <v>7.938</v>
      </c>
      <c r="CC168" s="151" t="n">
        <f aca="false">(RBAT_SNS*10^-3*Table7[[#This Row],[IOUT (A)]]^2)/10^-3</f>
        <v>7.2</v>
      </c>
      <c r="CD168" s="151" t="n">
        <f aca="false">IF(VACnom&gt;Vbat,(L_DRC*10^-3*(Table7[[#This Row],[IOUT (A)]])^2/10^-3),(L_DRC*10^-3*(Table7[[#This Row],[IOUT (A)]]*Vbat/VACnom)^2/10^-3))</f>
        <v>19.0512</v>
      </c>
      <c r="CE168" s="157"/>
      <c r="CF168" s="152" t="n">
        <f aca="false">(Table7[[#This Row],[R_AC (mW)]]+Table7[[#This Row],[R_SR (mW)]]+Table7[[#This Row],[Inductor Loss (mW)]])/10^3</f>
        <v>0.0341892</v>
      </c>
      <c r="CG168" s="152" t="e">
        <f aca="false">Table7[[#This Row],[Total TI (mW)]]/10^3</f>
        <v>#REF!</v>
      </c>
      <c r="CH168" s="152" t="e">
        <f aca="false">Table7[[#This Row],[Total Sense Loss]]+Table7[[#This Row],[Total MOSFET Loss]]</f>
        <v>#REF!</v>
      </c>
      <c r="CI168" s="158" t="e">
        <f aca="false">IF(Table7[[#This Row],[POUT (W)]]=0,0,(Table7[[#This Row],[POUT (W)]])/(Table7[[#This Row],[POUT (W)]]+Table7[[#This Row],[Total Power Loss (W)]]))*100</f>
        <v>#REF!</v>
      </c>
      <c r="CJ168" s="159"/>
      <c r="CK168" s="152" t="n">
        <f aca="false">(Table7[[#This Row],[R_AC (mW)]]+Table7[[#This Row],[R_SR (mW)]]+Table7[[#This Row],[Inductor Loss (mW)]])/10^3</f>
        <v>0.0341892</v>
      </c>
      <c r="CL168" s="152" t="e">
        <f aca="false">Table7[[#This Row],[Total (mW) C]]/10^3</f>
        <v>#REF!</v>
      </c>
      <c r="CM168" s="152" t="e">
        <f aca="false">Table7[[#This Row],[Total Sense Loss C]]+Table7[[#This Row],[Total MOSFET Loss C]]</f>
        <v>#REF!</v>
      </c>
      <c r="CN168" s="158" t="e">
        <f aca="false">IF(Table7[[#This Row],[POUT (W)]]=0,0,(Table7[[#This Row],[POUT (W)]])/(Table7[[#This Row],[POUT (W)]]+Table7[[#This Row],[Total Power Loss (W) C]]))*100</f>
        <v>#REF!</v>
      </c>
      <c r="CO168" s="159"/>
      <c r="CP168" s="158" t="n">
        <f aca="false">IF(MOSFET_S=Custom_MOSFET,Table7[[#This Row],[Total Sense Loss C]],Table7[[#This Row],[Total Sense Loss]])</f>
        <v>0.0341892</v>
      </c>
      <c r="CQ168" s="158" t="e">
        <f aca="false">IF(MOSFET_S=Custom_MOSFET,Table7[[#This Row],[Total MOSFET Loss C]],Table7[[#This Row],[Total MOSFET Loss]])</f>
        <v>#REF!</v>
      </c>
      <c r="CR168" s="158" t="e">
        <f aca="false">IF(MOSFET_S=Custom_MOSFET,Table7[[#This Row],[Efficiency C]],Table7[[#This Row],[Efficiency]])</f>
        <v>#REF!</v>
      </c>
      <c r="CS168" s="159"/>
      <c r="CT168" s="158" t="n">
        <f aca="false">IF(MOSFET_S=Compare_MOSFET, Table7[[#This Row],[Total Sense Loss C]], -100)</f>
        <v>-100</v>
      </c>
      <c r="CU168" s="158" t="n">
        <f aca="false">IF(MOSFET_S=Compare_MOSFET, Table7[[#This Row],[Total MOSFET Loss C]], -100)</f>
        <v>-100</v>
      </c>
      <c r="CV168" s="158" t="n">
        <f aca="false">IF(MOSFET_S=Compare_MOSFET, Table7[[#This Row],[Efficiency C]], -100)</f>
        <v>-100</v>
      </c>
      <c r="CW168" s="159"/>
      <c r="CX168" s="158" t="e">
        <f aca="false">IF(Save_Sel=CLR_Save,  Table7[[#This Row],[Total Sense Loss P1]], Table7[[#This Row],[Total Sense Loss P1 Saved]])</f>
        <v>#VALUE!</v>
      </c>
      <c r="CY168" s="158" t="e">
        <f aca="false">IF(Save_Sel=CLR_Save,  Table7[[#This Row],[Total MOSFET Loss P1]], Table7[[#This Row],[Total MOSFET Loss P1 Saved]] )</f>
        <v>#VALUE!</v>
      </c>
      <c r="CZ168" s="158" t="e">
        <f aca="false">IF(Save_Sel=CLR_Save, Table7[[#This Row],[Efficiency P1]], Table7[[#This Row],[Efficiency P1 Saved]])</f>
        <v>#VALUE!</v>
      </c>
      <c r="DA168" s="159"/>
      <c r="DB168" s="158" t="e">
        <f aca="false">IF(Save_Sel=CLR_Save,  Table7[[#This Row],[Total Sense Loss P2]], Table7[[#This Row],[Total Sense Loss P2 Saved]])</f>
        <v>#VALUE!</v>
      </c>
      <c r="DC168" s="158" t="e">
        <f aca="false">IF(Save_Sel=CLR_Save,  Table7[[#This Row],[Total MOSFET Loss P2]], Table7[[#This Row],[Total MOSFET Loss P2 Saved]] )</f>
        <v>#VALUE!</v>
      </c>
      <c r="DD168" s="158" t="e">
        <f aca="false">IF(Save_Sel=CLR_Save, Table7[[#This Row],[Efficiency P2]], Table7[[#This Row],[Efficiency P2 Saved]])</f>
        <v>#VALUE!</v>
      </c>
      <c r="DE168" s="159"/>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row>
    <row r="169" customFormat="false" ht="16.4" hidden="false" customHeight="false" outlineLevel="0" collapsed="false">
      <c r="A169" s="100" t="n">
        <v>10</v>
      </c>
      <c r="B169" s="84"/>
      <c r="C169" s="84"/>
      <c r="D169" s="28" t="s">
        <v>147</v>
      </c>
      <c r="E169" s="168" t="e">
        <f aca="false">$N126</f>
        <v>#REF!</v>
      </c>
      <c r="F169" s="168" t="e">
        <f aca="false">$O126</f>
        <v>#REF!</v>
      </c>
      <c r="G169" s="128" t="s">
        <v>148</v>
      </c>
      <c r="H169" s="24"/>
      <c r="I169" s="100" t="n">
        <v>10</v>
      </c>
      <c r="J169" s="24"/>
      <c r="K169" s="84"/>
      <c r="L169" s="84"/>
      <c r="M169" s="28" t="s">
        <v>147</v>
      </c>
      <c r="N169" s="124" t="n">
        <f aca="false">$E126</f>
        <v>1.5</v>
      </c>
      <c r="O169" s="124" t="n">
        <f aca="false">$F126</f>
        <v>1.5</v>
      </c>
      <c r="P169" s="128" t="s">
        <v>148</v>
      </c>
      <c r="Q169" s="24"/>
      <c r="R169" s="24"/>
      <c r="S169" s="25"/>
      <c r="T169" s="6"/>
      <c r="U169" s="7"/>
      <c r="V169" s="7"/>
      <c r="W169" s="7"/>
      <c r="X169" s="7"/>
      <c r="Y169" s="7"/>
      <c r="Z169" s="7"/>
      <c r="AA169" s="7"/>
      <c r="AB169" s="7"/>
      <c r="AC169" s="7"/>
      <c r="AD169" s="7"/>
      <c r="AE169" s="7"/>
      <c r="AF169" s="150" t="n">
        <f aca="false">AF168+1</f>
        <v>13</v>
      </c>
      <c r="AG169" s="150" t="n">
        <f aca="false">$AG$156+AF169*($AG$256-$AG$156)/$AF$256</f>
        <v>1.3</v>
      </c>
      <c r="AH169" s="151" t="n">
        <f aca="false">AG169*VACnom</f>
        <v>15.6</v>
      </c>
      <c r="AI169" s="152" t="n">
        <f aca="false">IF(VACnom&lt;Vbat, (Vbat-VACnom)/Vbat, Vbat/VACnom)</f>
        <v>0.0476190476190476</v>
      </c>
      <c r="AJ169" s="152" t="n">
        <f aca="false">IF(VACnom&lt;Vbat, AG169/(1-AI169), AG169*AI169)</f>
        <v>1.365</v>
      </c>
      <c r="AK169" s="152" t="n">
        <f aca="false">Ipkpk_VACnom</f>
        <v>0.285714285714285</v>
      </c>
      <c r="AL169" s="152" t="n">
        <f aca="false">SQRT(AJ169^2+AK169^2/12)</f>
        <v>1.36748956891394</v>
      </c>
      <c r="AM169" s="153"/>
      <c r="AN169" s="152" t="n">
        <f aca="false">MAX(0,Table7[[#This Row],[I_L]]-0.5*Table7[[#This Row],[I_L pkpk]])</f>
        <v>1.22214285714286</v>
      </c>
      <c r="AO169" s="152" t="n">
        <f aca="false">Table7[[#This Row],[I_L]]+0.5*Table7[[#This Row],[I_L pkpk]]</f>
        <v>1.50785714285714</v>
      </c>
      <c r="AP169" s="152" t="e">
        <f aca="false">IF(VACnom&gt;Vbat, (VGS_S-(TI_MOSFET_S_VTH_H_BU+Table7[[#This Row],[I_L]]/TI_MOSFET_S_gFS_H_BU))/3.4, (VGS_S-(TI_MOSFET_S_VTH_L_BO+Table7[[#This Row],[I_L]]/TI_MOSFET_S_gFS_L_BO))/3.4 )</f>
        <v>#REF!</v>
      </c>
      <c r="AQ169" s="152" t="e">
        <f aca="false">IF(VACnom&gt;Vbat, ((TI_MOSFET_S_VTH_H_BU+Table7[[#This Row],[I_L]]/TI_MOSFET_S_gFS_H_BU))/1, ((TI_MOSFET_S_VTH_L_BO+Table7[[#This Row],[I_L]]/TI_MOSFET_S_gFS_L_BO))/1 )</f>
        <v>#REF!</v>
      </c>
      <c r="AR169" s="152" t="e">
        <f aca="false">IF(VACnom&gt;Vbat, (TI_MOSFET_S_QGD_H_BU+TI_MOSFET_S_QGS_H_BU)*10^-9/Table7[[#This Row],[Ion (A)]], (TI_MOSFET_S_QGD_L_BO+TI_MOSFET_S_QGS_L_BO)*10^-9/Table7[[#This Row],[Ion (A)]])/10^-9</f>
        <v>#REF!</v>
      </c>
      <c r="AS169" s="152" t="e">
        <f aca="false">IF(VACnom&gt;Vbat, (TI_MOSFET_S_QGD_H_BU+TI_MOSFET_S_QGS_H_BU)*10^-9/Table7[[#This Row],[Ioff (A)]], (TI_MOSFET_S_QGD_L_BO+TI_MOSFET_S_QGS_L_BO)*10^-9/Table7[[#This Row],[Ioff (A)]])/10^-9</f>
        <v>#REF!</v>
      </c>
      <c r="AT169" s="152" t="e">
        <f aca="false">0.5*VACnom*Table7[[#This Row],[Ivalley (A)]]*Table7[[#This Row],[ton (ns)]]*10^-9*Fsw*10^3+0.5*VACnom*Table7[[#This Row],[Ipeak (A)]]*Table7[[#This Row],[toff (ns)]]*10^-9*Fsw*10^3/10^-3</f>
        <v>#REF!</v>
      </c>
      <c r="AU169" s="152" t="e">
        <f aca="false">IF(VACnom&gt;Vbat, 0.5*VACnom*TI_MOSFET_S_QOSS_H_BU*10^-9*Fsw*10^3,0.5*VACnom*TI_MOSFET_S_QOSS_L_BO*10^-9*Fsw*10^3)/10^-3</f>
        <v>#REF!</v>
      </c>
      <c r="AV169" s="152" t="e">
        <f aca="false">IF(VACnom&gt;Vbat, VACnom*TI_MOSFET_S_QG_H_BU*10^-9*Fsw*10^3,VACnom*TI_MOSFET_S_QG_H_BO*10^-9*Fsw*10^3)/10^-3</f>
        <v>#REF!</v>
      </c>
      <c r="AW169" s="152" t="e">
        <f aca="false">IF(VACnom&gt;Vbat, VACnom*TI_MOSFET_S_QRR_L_BU*10^-9*Fsw*10^3, VACnom*TI_MOSFET_S_QRR_H_BO*10^-9*Fsw*10^3)/10^-3</f>
        <v>#REF!</v>
      </c>
      <c r="AX169" s="152" t="e">
        <f aca="false">IF(VACnom&gt;Vbat, TI_MOSFET_S_VSD_L_BU*Table7[[#This Row],[Ivalley (A)]]*Fsw*10^3*40*10^-9+TI_MOSFET_S_VSD_L_BU*Table7[[#This Row],[Ipeak (A)]]*Fsw*10^3*30*10^-9, TI_MOSFET_S_VSD_H_BO*Table7[[#This Row],[Ivalley (A)]]*Fsw*10^3*40*10^-9+TI_MOSFET_S_VSD_H_BO*Table7[[#This Row],[Ipeak (A)]]*Fsw*10^3*30*10^-9)/10^-3</f>
        <v>#REF!</v>
      </c>
      <c r="AY169" s="152" t="e">
        <f aca="false">IF(VACnom&gt;Vbat, VACnom*TI_MOSFET_S_QG_L_BU*10^-9*Fsw*10^3, VACnom*TI_MOSFET_S_QG_L_BO*10^-9*Fsw*10^3)/10^-3</f>
        <v>#REF!</v>
      </c>
      <c r="AZ169" s="152" t="e">
        <f aca="false">IF(VACnom&lt;Vbat, Table7[[#This Row],[Duty Cycle]]*Table7[[#This Row],[I_L RMS]]^2*TI_MOSFET_S_RDSON_H_BU*10^-3, (1-Table7[[#This Row],[Duty Cycle]])*Table7[[#This Row],[I_L RMS]]^2*TI_MOSFET_S_RDSON_H_BO*10^-3)/10^-3</f>
        <v>#REF!</v>
      </c>
      <c r="BA169" s="152" t="e">
        <f aca="false">IF(VACnom&gt;Vbat, Table7[[#This Row],[PIV (mW)]]+Table7[[#This Row],[Pqoss (mW)]]+Table7[[#This Row],[Pgate_top (mW)]], Table7[[#This Row],[PRR (mW)]]+Table7[[#This Row],[Pdead (mW)]]+Table7[[#This Row],[Pgate_top (mW)]])</f>
        <v>#REF!</v>
      </c>
      <c r="BB169" s="152" t="e">
        <f aca="false">Table7[[#This Row],[Pcon_top (mW)]]+Table7[[#This Row],[Psw_top (mW)]]</f>
        <v>#REF!</v>
      </c>
      <c r="BC169" s="152" t="e">
        <f aca="false">IF(VACnom&gt;Vbat, (1-Table7[[#This Row],[Duty Cycle]])*Table7[[#This Row],[I_L RMS]]^2*TI_MOSFET_S_RDSON_L_BU*10^-3, Table7[[#This Row],[Duty Cycle]]*Table7[[#This Row],[I_L RMS]]^2*TI_MOSFET_S_RDSON_L_BO*10^-3)/10^-3</f>
        <v>#REF!</v>
      </c>
      <c r="BD169" s="152" t="e">
        <f aca="false">IF(VACnom&gt;Vbat, Table7[[#This Row],[PRR (mW)]]+Table7[[#This Row],[Pdead (mW)]]+Table7[[#This Row],[Pgate_bottom (mW)]], Table7[[#This Row],[PIV (mW)]]+Table7[[#This Row],[Pqoss (mW)]]+Table7[[#This Row],[Pgate_bottom (mW)]])</f>
        <v>#REF!</v>
      </c>
      <c r="BE169" s="154" t="e">
        <f aca="false">Table7[[#This Row],[Pcon_bottom (mW)]]+Table7[[#This Row],[Psw_bottom (mW)]]</f>
        <v>#REF!</v>
      </c>
      <c r="BF169" s="152" t="e">
        <f aca="false">Table7[[#This Row],[Pbottom (mW)]]+Table7[[#This Row],[Ptop (mW)]]</f>
        <v>#REF!</v>
      </c>
      <c r="BG169" s="155"/>
      <c r="BH169" s="152" t="n">
        <f aca="false">MAX(0,Table7[[#This Row],[I_L]]-0.5*Table7[[#This Row],[I_L pkpk]])</f>
        <v>1.22214285714286</v>
      </c>
      <c r="BI169" s="152" t="n">
        <f aca="false">Table7[[#This Row],[I_L]]+0.5*Table7[[#This Row],[I_L pkpk]]</f>
        <v>1.50785714285714</v>
      </c>
      <c r="BJ169" s="152" t="n">
        <f aca="false">IF(VACnom&gt;Vbat, (VGS_S-(C_MOSFET_S_VTH_H_BU+Table7[[#This Row],[I_L]]/C_MOSFET_S_gFS_H_BU))/3.4, (VGS_S-(C_MOSFET_S_VTH_L_BO+Table7[[#This Row],[I_L]]/C_MOSFET_S_gFS_L_BO))/3.4 )</f>
        <v>2.35026470588235</v>
      </c>
      <c r="BK169" s="152" t="n">
        <f aca="false">IF(VACnom&gt;Vbat, ((C_MOSFET_S_VTH_H_BU+Table7[[#This Row],[I_L]]/C_MOSFET_S_gFS_H_BU))/1, ((C_MOSFET_S_VTH_L_BO+Table7[[#This Row],[I_L]]/C_MOSFET_S_gFS_L_BO))/1 )</f>
        <v>2.0091</v>
      </c>
      <c r="BL169" s="152" t="n">
        <f aca="false">IF(VACnom&gt;Vbat, (C_MOSFET_S_QGD_H_BU+C_MOSFET_S_QGS_H_BU)*10^-9/Table7[[#This Row],[Ion (A) C]], (C_MOSFET_S_QGD_L_BO+C_MOSFET_S_QGS_L_BO)*10^-9/Table7[[#This Row],[Ion (A) C]])/10^-9</f>
        <v>2.76564592223654</v>
      </c>
      <c r="BM169" s="152" t="n">
        <f aca="false">IF(VACnom&gt;Vbat, (C_MOSFET_S_QGD_H_BU+C_MOSFET_S_QGS_H_BU)*10^-9/Table7[[#This Row],[Ioff (A) C]], (C_MOSFET_S_QGD_L_BO+C_MOSFET_S_QGS_L_BO)*10^-9/Table7[[#This Row],[Ioff (A) C]])/10^-9</f>
        <v>3.2352794783734</v>
      </c>
      <c r="BN169" s="152" t="n">
        <f aca="false">0.5*VACnom*Table7[[#This Row],[Ivalley (A) C]]*Table7[[#This Row],[ton (ns) C]]*10^-9*Fsw*10^3+0.5*VACnom*Table7[[#This Row],[Ipeak (A) C]]*Table7[[#This Row],[toff (ns) C]]*10^-9*Fsw*10^3/10^-3</f>
        <v>5.85806314201645</v>
      </c>
      <c r="BO169" s="152" t="n">
        <f aca="false">IF(VACnom&gt;Vbat, 0.5*VACnom*C_MOSFET_S_QOSS_H_BU*10^-9*Fsw*10^3,0.5*VACnom*C_MOSFET_S_QOSS_L_BO*10^-9*Fsw*10^3)/10^-3</f>
        <v>43.2</v>
      </c>
      <c r="BP169" s="152" t="e">
        <f aca="false">IF(VACnom&gt;Vbat, VACnom*C_MOSFET_S_QG_H_BU*10^-9*Fsw*10^3,VACnom*C_MOSFET_S_QG_H_BO*10^-9*Fsw*10^3)/10^-3</f>
        <v>#REF!</v>
      </c>
      <c r="BQ169" s="152" t="n">
        <f aca="false">IF(VACnom&gt;Vbat, VACnom*C_MOSFET_S_QRR_L_BU*10^-9*Fsw*10^3, VACnom*C_MOSFET_S_QRR_H_BO*10^-9*Fsw*10^3)/10^-3</f>
        <v>79.2</v>
      </c>
      <c r="BR169" s="152" t="n">
        <f aca="false">IF(VACnom&gt;Vbat, C_MOSFET_S_VSD_L_BU*Table7[[#This Row],[Ivalley (A) C]]*Fsw*10^3*40*10^-9+C_MOSFET_S_VSD_L_BU*Table7[[#This Row],[Ipeak (A) C]]*Fsw*10^3*30*10^-9, C_MOSFET_S_VSD_H_BO*Table7[[#This Row],[Ivalley (A) C]]*Fsw*10^3*40*10^-9+C_MOSFET_S_VSD_H_BO*Table7[[#This Row],[Ipeak (A) C]]*Fsw*10^3*30*10^-9)/10^-3</f>
        <v>15.0594285714286</v>
      </c>
      <c r="BS169" s="152" t="e">
        <f aca="false">IF(VACnom&gt;Vbat, VACnom*C_MOSFET_S_QG_L_BU*10^-9*Fsw*10^3, VACnom*C_MOSFET_S_QG_L_BO*10^-9*Fsw*10^3)/10^-3</f>
        <v>#REF!</v>
      </c>
      <c r="BT169" s="152" t="n">
        <f aca="false">IF(VACnom&lt;Vbat, Table7[[#This Row],[Duty Cycle]]*Table7[[#This Row],[I_L RMS]]^2*C_MOSFET_S_RDSON_H_BU*10^-3, (1-Table7[[#This Row],[Duty Cycle]])*Table7[[#This Row],[I_L RMS]]^2*C_MOSFET_S_RDSON_H_BO*10^-3)/10^-3</f>
        <v>0.507578952866861</v>
      </c>
      <c r="BU169" s="152" t="e">
        <f aca="false">IF(VACnom&gt;Vbat, Table7[[#This Row],[PIV (mW) C]]+Table7[[#This Row],[PQoss (mW) C]]+Table7[[#This Row],[Pgate_top (mW) C]], Table7[[#This Row],[PRR (mW) C]]+Table7[[#This Row],[Pdead (mW) C]]+Table7[[#This Row],[Pgate_top (mW) C]])</f>
        <v>#REF!</v>
      </c>
      <c r="BV169" s="152" t="e">
        <f aca="false">Table7[[#This Row],[Pcon_top (mW) C]]+Table7[[#This Row],[Psw_top (mW) C]]</f>
        <v>#REF!</v>
      </c>
      <c r="BW169" s="152" t="e">
        <f aca="false">IF(VACnom&gt;Vbat, (1-Table7[[#This Row],[Duty Cycle]])*Table7[[#This Row],[I_L RMS]]^2*C_MOSFET_S_RDSON_L_BU*10^-3, Table7[[#This Row],[Duty Cycle]]*Table7[[#This Row],[I_L RMS]]^2*C_MOSFET_S_RDSON_L_BO*10^-3)/10^-3</f>
        <v>#REF!</v>
      </c>
      <c r="BX169" s="152" t="e">
        <f aca="false">IF(VACnom&gt;Vbat, Table7[[#This Row],[PRR (mW) C]]+Table7[[#This Row],[Pdead (mW) C]]+Table7[[#This Row],[Pgate_bottom (mW) C]], Table7[[#This Row],[PIV (mW) C]]+Table7[[#This Row],[PQoss (mW) C]]+Table7[[#This Row],[Pgate_bottom (mW) C]])</f>
        <v>#REF!</v>
      </c>
      <c r="BY169" s="152" t="e">
        <f aca="false">Table7[[#This Row],[Pcon_bottom (mW) C]]+Table7[[#This Row],[Psw_bottom (mV) C]]</f>
        <v>#REF!</v>
      </c>
      <c r="BZ169" s="152" t="e">
        <f aca="false">Table7[[#This Row],[Pbottom (mW) C]]+Table7[[#This Row],[Ptop (mW) C]]</f>
        <v>#REF!</v>
      </c>
      <c r="CA169" s="156"/>
      <c r="CB169" s="151" t="n">
        <f aca="false">(RAC_SNS*10^-3*(Table7[[#This Row],[IOUT (A)]]*Vbat/VACnom)^2/10^-3)</f>
        <v>9.316125</v>
      </c>
      <c r="CC169" s="151" t="n">
        <f aca="false">(RBAT_SNS*10^-3*Table7[[#This Row],[IOUT (A)]]^2)/10^-3</f>
        <v>8.45</v>
      </c>
      <c r="CD169" s="151" t="n">
        <f aca="false">IF(VACnom&gt;Vbat,(L_DRC*10^-3*(Table7[[#This Row],[IOUT (A)]])^2/10^-3),(L_DRC*10^-3*(Table7[[#This Row],[IOUT (A)]]*Vbat/VACnom)^2/10^-3))</f>
        <v>22.3587</v>
      </c>
      <c r="CE169" s="157"/>
      <c r="CF169" s="152" t="n">
        <f aca="false">(Table7[[#This Row],[R_AC (mW)]]+Table7[[#This Row],[R_SR (mW)]]+Table7[[#This Row],[Inductor Loss (mW)]])/10^3</f>
        <v>0.040124825</v>
      </c>
      <c r="CG169" s="152" t="e">
        <f aca="false">Table7[[#This Row],[Total TI (mW)]]/10^3</f>
        <v>#REF!</v>
      </c>
      <c r="CH169" s="152" t="e">
        <f aca="false">Table7[[#This Row],[Total Sense Loss]]+Table7[[#This Row],[Total MOSFET Loss]]</f>
        <v>#REF!</v>
      </c>
      <c r="CI169" s="158" t="e">
        <f aca="false">IF(Table7[[#This Row],[POUT (W)]]=0,0,(Table7[[#This Row],[POUT (W)]])/(Table7[[#This Row],[POUT (W)]]+Table7[[#This Row],[Total Power Loss (W)]]))*100</f>
        <v>#REF!</v>
      </c>
      <c r="CJ169" s="159"/>
      <c r="CK169" s="152" t="n">
        <f aca="false">(Table7[[#This Row],[R_AC (mW)]]+Table7[[#This Row],[R_SR (mW)]]+Table7[[#This Row],[Inductor Loss (mW)]])/10^3</f>
        <v>0.040124825</v>
      </c>
      <c r="CL169" s="152" t="e">
        <f aca="false">Table7[[#This Row],[Total (mW) C]]/10^3</f>
        <v>#REF!</v>
      </c>
      <c r="CM169" s="152" t="e">
        <f aca="false">Table7[[#This Row],[Total Sense Loss C]]+Table7[[#This Row],[Total MOSFET Loss C]]</f>
        <v>#REF!</v>
      </c>
      <c r="CN169" s="158" t="e">
        <f aca="false">IF(Table7[[#This Row],[POUT (W)]]=0,0,(Table7[[#This Row],[POUT (W)]])/(Table7[[#This Row],[POUT (W)]]+Table7[[#This Row],[Total Power Loss (W) C]]))*100</f>
        <v>#REF!</v>
      </c>
      <c r="CO169" s="159"/>
      <c r="CP169" s="158" t="n">
        <f aca="false">IF(MOSFET_S=Custom_MOSFET,Table7[[#This Row],[Total Sense Loss C]],Table7[[#This Row],[Total Sense Loss]])</f>
        <v>0.040124825</v>
      </c>
      <c r="CQ169" s="158" t="e">
        <f aca="false">IF(MOSFET_S=Custom_MOSFET,Table7[[#This Row],[Total MOSFET Loss C]],Table7[[#This Row],[Total MOSFET Loss]])</f>
        <v>#REF!</v>
      </c>
      <c r="CR169" s="158" t="e">
        <f aca="false">IF(MOSFET_S=Custom_MOSFET,Table7[[#This Row],[Efficiency C]],Table7[[#This Row],[Efficiency]])</f>
        <v>#REF!</v>
      </c>
      <c r="CS169" s="159"/>
      <c r="CT169" s="158" t="n">
        <f aca="false">IF(MOSFET_S=Compare_MOSFET, Table7[[#This Row],[Total Sense Loss C]], -100)</f>
        <v>-100</v>
      </c>
      <c r="CU169" s="158" t="n">
        <f aca="false">IF(MOSFET_S=Compare_MOSFET, Table7[[#This Row],[Total MOSFET Loss C]], -100)</f>
        <v>-100</v>
      </c>
      <c r="CV169" s="158" t="n">
        <f aca="false">IF(MOSFET_S=Compare_MOSFET, Table7[[#This Row],[Efficiency C]], -100)</f>
        <v>-100</v>
      </c>
      <c r="CW169" s="159"/>
      <c r="CX169" s="158" t="e">
        <f aca="false">IF(Save_Sel=CLR_Save,  Table7[[#This Row],[Total Sense Loss P1]], Table7[[#This Row],[Total Sense Loss P1 Saved]])</f>
        <v>#VALUE!</v>
      </c>
      <c r="CY169" s="158" t="e">
        <f aca="false">IF(Save_Sel=CLR_Save,  Table7[[#This Row],[Total MOSFET Loss P1]], Table7[[#This Row],[Total MOSFET Loss P1 Saved]] )</f>
        <v>#VALUE!</v>
      </c>
      <c r="CZ169" s="158" t="e">
        <f aca="false">IF(Save_Sel=CLR_Save, Table7[[#This Row],[Efficiency P1]], Table7[[#This Row],[Efficiency P1 Saved]])</f>
        <v>#VALUE!</v>
      </c>
      <c r="DA169" s="159"/>
      <c r="DB169" s="158" t="e">
        <f aca="false">IF(Save_Sel=CLR_Save,  Table7[[#This Row],[Total Sense Loss P2]], Table7[[#This Row],[Total Sense Loss P2 Saved]])</f>
        <v>#VALUE!</v>
      </c>
      <c r="DC169" s="158" t="e">
        <f aca="false">IF(Save_Sel=CLR_Save,  Table7[[#This Row],[Total MOSFET Loss P2]], Table7[[#This Row],[Total MOSFET Loss P2 Saved]] )</f>
        <v>#VALUE!</v>
      </c>
      <c r="DD169" s="158" t="e">
        <f aca="false">IF(Save_Sel=CLR_Save, Table7[[#This Row],[Efficiency P2]], Table7[[#This Row],[Efficiency P2 Saved]])</f>
        <v>#VALUE!</v>
      </c>
      <c r="DE169" s="159"/>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row>
    <row r="170" customFormat="false" ht="16.4" hidden="false" customHeight="false" outlineLevel="0" collapsed="false">
      <c r="A170" s="100" t="n">
        <v>11</v>
      </c>
      <c r="B170" s="84"/>
      <c r="C170" s="84"/>
      <c r="D170" s="28" t="s">
        <v>149</v>
      </c>
      <c r="E170" s="168" t="e">
        <f aca="false">$N127</f>
        <v>#REF!</v>
      </c>
      <c r="F170" s="168" t="e">
        <f aca="false">$O127</f>
        <v>#REF!</v>
      </c>
      <c r="G170" s="119" t="s">
        <v>150</v>
      </c>
      <c r="H170" s="24"/>
      <c r="I170" s="100" t="n">
        <v>11</v>
      </c>
      <c r="J170" s="24"/>
      <c r="K170" s="84"/>
      <c r="L170" s="84"/>
      <c r="M170" s="28" t="s">
        <v>149</v>
      </c>
      <c r="N170" s="124" t="n">
        <f aca="false">$E127</f>
        <v>60</v>
      </c>
      <c r="O170" s="124" t="n">
        <f aca="false">$F127</f>
        <v>60</v>
      </c>
      <c r="P170" s="119" t="s">
        <v>150</v>
      </c>
      <c r="Q170" s="24"/>
      <c r="R170" s="24"/>
      <c r="S170" s="25"/>
      <c r="T170" s="6"/>
      <c r="U170" s="7"/>
      <c r="V170" s="7"/>
      <c r="W170" s="7"/>
      <c r="X170" s="7"/>
      <c r="Y170" s="7"/>
      <c r="Z170" s="7"/>
      <c r="AA170" s="7"/>
      <c r="AB170" s="7"/>
      <c r="AC170" s="7"/>
      <c r="AD170" s="7"/>
      <c r="AE170" s="7"/>
      <c r="AF170" s="150" t="n">
        <f aca="false">AF169+1</f>
        <v>14</v>
      </c>
      <c r="AG170" s="150" t="n">
        <f aca="false">$AG$156+AF170*($AG$256-$AG$156)/$AF$256</f>
        <v>1.4</v>
      </c>
      <c r="AH170" s="151" t="n">
        <f aca="false">AG170*VACnom</f>
        <v>16.8</v>
      </c>
      <c r="AI170" s="152" t="n">
        <f aca="false">IF(VACnom&lt;Vbat, (Vbat-VACnom)/Vbat, Vbat/VACnom)</f>
        <v>0.0476190476190476</v>
      </c>
      <c r="AJ170" s="152" t="n">
        <f aca="false">IF(VACnom&lt;Vbat, AG170/(1-AI170), AG170*AI170)</f>
        <v>1.47</v>
      </c>
      <c r="AK170" s="152" t="n">
        <f aca="false">Ipkpk_VACnom</f>
        <v>0.285714285714285</v>
      </c>
      <c r="AL170" s="152" t="n">
        <f aca="false">SQRT(AJ170^2+AK170^2/12)</f>
        <v>1.47231203251499</v>
      </c>
      <c r="AM170" s="153"/>
      <c r="AN170" s="152" t="n">
        <f aca="false">MAX(0,Table7[[#This Row],[I_L]]-0.5*Table7[[#This Row],[I_L pkpk]])</f>
        <v>1.32714285714286</v>
      </c>
      <c r="AO170" s="152" t="n">
        <f aca="false">Table7[[#This Row],[I_L]]+0.5*Table7[[#This Row],[I_L pkpk]]</f>
        <v>1.61285714285714</v>
      </c>
      <c r="AP170" s="152" t="e">
        <f aca="false">IF(VACnom&gt;Vbat, (VGS_S-(TI_MOSFET_S_VTH_H_BU+Table7[[#This Row],[I_L]]/TI_MOSFET_S_gFS_H_BU))/3.4, (VGS_S-(TI_MOSFET_S_VTH_L_BO+Table7[[#This Row],[I_L]]/TI_MOSFET_S_gFS_L_BO))/3.4 )</f>
        <v>#REF!</v>
      </c>
      <c r="AQ170" s="152" t="e">
        <f aca="false">IF(VACnom&gt;Vbat, ((TI_MOSFET_S_VTH_H_BU+Table7[[#This Row],[I_L]]/TI_MOSFET_S_gFS_H_BU))/1, ((TI_MOSFET_S_VTH_L_BO+Table7[[#This Row],[I_L]]/TI_MOSFET_S_gFS_L_BO))/1 )</f>
        <v>#REF!</v>
      </c>
      <c r="AR170" s="152" t="e">
        <f aca="false">IF(VACnom&gt;Vbat, (TI_MOSFET_S_QGD_H_BU+TI_MOSFET_S_QGS_H_BU)*10^-9/Table7[[#This Row],[Ion (A)]], (TI_MOSFET_S_QGD_L_BO+TI_MOSFET_S_QGS_L_BO)*10^-9/Table7[[#This Row],[Ion (A)]])/10^-9</f>
        <v>#REF!</v>
      </c>
      <c r="AS170" s="152" t="e">
        <f aca="false">IF(VACnom&gt;Vbat, (TI_MOSFET_S_QGD_H_BU+TI_MOSFET_S_QGS_H_BU)*10^-9/Table7[[#This Row],[Ioff (A)]], (TI_MOSFET_S_QGD_L_BO+TI_MOSFET_S_QGS_L_BO)*10^-9/Table7[[#This Row],[Ioff (A)]])/10^-9</f>
        <v>#REF!</v>
      </c>
      <c r="AT170" s="152" t="e">
        <f aca="false">0.5*VACnom*Table7[[#This Row],[Ivalley (A)]]*Table7[[#This Row],[ton (ns)]]*10^-9*Fsw*10^3+0.5*VACnom*Table7[[#This Row],[Ipeak (A)]]*Table7[[#This Row],[toff (ns)]]*10^-9*Fsw*10^3/10^-3</f>
        <v>#REF!</v>
      </c>
      <c r="AU170" s="152" t="e">
        <f aca="false">IF(VACnom&gt;Vbat, 0.5*VACnom*TI_MOSFET_S_QOSS_H_BU*10^-9*Fsw*10^3,0.5*VACnom*TI_MOSFET_S_QOSS_L_BO*10^-9*Fsw*10^3)/10^-3</f>
        <v>#REF!</v>
      </c>
      <c r="AV170" s="152" t="e">
        <f aca="false">IF(VACnom&gt;Vbat, VACnom*TI_MOSFET_S_QG_H_BU*10^-9*Fsw*10^3,VACnom*TI_MOSFET_S_QG_H_BO*10^-9*Fsw*10^3)/10^-3</f>
        <v>#REF!</v>
      </c>
      <c r="AW170" s="152" t="e">
        <f aca="false">IF(VACnom&gt;Vbat, VACnom*TI_MOSFET_S_QRR_L_BU*10^-9*Fsw*10^3, VACnom*TI_MOSFET_S_QRR_H_BO*10^-9*Fsw*10^3)/10^-3</f>
        <v>#REF!</v>
      </c>
      <c r="AX170" s="152" t="e">
        <f aca="false">IF(VACnom&gt;Vbat, TI_MOSFET_S_VSD_L_BU*Table7[[#This Row],[Ivalley (A)]]*Fsw*10^3*40*10^-9+TI_MOSFET_S_VSD_L_BU*Table7[[#This Row],[Ipeak (A)]]*Fsw*10^3*30*10^-9, TI_MOSFET_S_VSD_H_BO*Table7[[#This Row],[Ivalley (A)]]*Fsw*10^3*40*10^-9+TI_MOSFET_S_VSD_H_BO*Table7[[#This Row],[Ipeak (A)]]*Fsw*10^3*30*10^-9)/10^-3</f>
        <v>#REF!</v>
      </c>
      <c r="AY170" s="152" t="e">
        <f aca="false">IF(VACnom&gt;Vbat, VACnom*TI_MOSFET_S_QG_L_BU*10^-9*Fsw*10^3, VACnom*TI_MOSFET_S_QG_L_BO*10^-9*Fsw*10^3)/10^-3</f>
        <v>#REF!</v>
      </c>
      <c r="AZ170" s="152" t="e">
        <f aca="false">IF(VACnom&lt;Vbat, Table7[[#This Row],[Duty Cycle]]*Table7[[#This Row],[I_L RMS]]^2*TI_MOSFET_S_RDSON_H_BU*10^-3, (1-Table7[[#This Row],[Duty Cycle]])*Table7[[#This Row],[I_L RMS]]^2*TI_MOSFET_S_RDSON_H_BO*10^-3)/10^-3</f>
        <v>#REF!</v>
      </c>
      <c r="BA170" s="152" t="e">
        <f aca="false">IF(VACnom&gt;Vbat, Table7[[#This Row],[PIV (mW)]]+Table7[[#This Row],[Pqoss (mW)]]+Table7[[#This Row],[Pgate_top (mW)]], Table7[[#This Row],[PRR (mW)]]+Table7[[#This Row],[Pdead (mW)]]+Table7[[#This Row],[Pgate_top (mW)]])</f>
        <v>#REF!</v>
      </c>
      <c r="BB170" s="152" t="e">
        <f aca="false">Table7[[#This Row],[Pcon_top (mW)]]+Table7[[#This Row],[Psw_top (mW)]]</f>
        <v>#REF!</v>
      </c>
      <c r="BC170" s="152" t="e">
        <f aca="false">IF(VACnom&gt;Vbat, (1-Table7[[#This Row],[Duty Cycle]])*Table7[[#This Row],[I_L RMS]]^2*TI_MOSFET_S_RDSON_L_BU*10^-3, Table7[[#This Row],[Duty Cycle]]*Table7[[#This Row],[I_L RMS]]^2*TI_MOSFET_S_RDSON_L_BO*10^-3)/10^-3</f>
        <v>#REF!</v>
      </c>
      <c r="BD170" s="152" t="e">
        <f aca="false">IF(VACnom&gt;Vbat, Table7[[#This Row],[PRR (mW)]]+Table7[[#This Row],[Pdead (mW)]]+Table7[[#This Row],[Pgate_bottom (mW)]], Table7[[#This Row],[PIV (mW)]]+Table7[[#This Row],[Pqoss (mW)]]+Table7[[#This Row],[Pgate_bottom (mW)]])</f>
        <v>#REF!</v>
      </c>
      <c r="BE170" s="154" t="e">
        <f aca="false">Table7[[#This Row],[Pcon_bottom (mW)]]+Table7[[#This Row],[Psw_bottom (mW)]]</f>
        <v>#REF!</v>
      </c>
      <c r="BF170" s="152" t="e">
        <f aca="false">Table7[[#This Row],[Pbottom (mW)]]+Table7[[#This Row],[Ptop (mW)]]</f>
        <v>#REF!</v>
      </c>
      <c r="BG170" s="155"/>
      <c r="BH170" s="152" t="n">
        <f aca="false">MAX(0,Table7[[#This Row],[I_L]]-0.5*Table7[[#This Row],[I_L pkpk]])</f>
        <v>1.32714285714286</v>
      </c>
      <c r="BI170" s="152" t="n">
        <f aca="false">Table7[[#This Row],[I_L]]+0.5*Table7[[#This Row],[I_L pkpk]]</f>
        <v>1.61285714285714</v>
      </c>
      <c r="BJ170" s="152" t="n">
        <f aca="false">IF(VACnom&gt;Vbat, (VGS_S-(C_MOSFET_S_VTH_H_BU+Table7[[#This Row],[I_L]]/C_MOSFET_S_gFS_H_BU))/3.4, (VGS_S-(C_MOSFET_S_VTH_L_BO+Table7[[#This Row],[I_L]]/C_MOSFET_S_gFS_L_BO))/3.4 )</f>
        <v>2.35005882352941</v>
      </c>
      <c r="BK170" s="152" t="n">
        <f aca="false">IF(VACnom&gt;Vbat, ((C_MOSFET_S_VTH_H_BU+Table7[[#This Row],[I_L]]/C_MOSFET_S_gFS_H_BU))/1, ((C_MOSFET_S_VTH_L_BO+Table7[[#This Row],[I_L]]/C_MOSFET_S_gFS_L_BO))/1 )</f>
        <v>2.0098</v>
      </c>
      <c r="BL170" s="152" t="n">
        <f aca="false">IF(VACnom&gt;Vbat, (C_MOSFET_S_QGD_H_BU+C_MOSFET_S_QGS_H_BU)*10^-9/Table7[[#This Row],[Ion (A) C]], (C_MOSFET_S_QGD_L_BO+C_MOSFET_S_QGS_L_BO)*10^-9/Table7[[#This Row],[Ion (A) C]])/10^-9</f>
        <v>2.765888213061</v>
      </c>
      <c r="BM170" s="152" t="n">
        <f aca="false">IF(VACnom&gt;Vbat, (C_MOSFET_S_QGD_H_BU+C_MOSFET_S_QGS_H_BU)*10^-9/Table7[[#This Row],[Ioff (A) C]], (C_MOSFET_S_QGD_L_BO+C_MOSFET_S_QGS_L_BO)*10^-9/Table7[[#This Row],[Ioff (A) C]])/10^-9</f>
        <v>3.23415265200518</v>
      </c>
      <c r="BN170" s="152" t="n">
        <f aca="false">0.5*VACnom*Table7[[#This Row],[Ivalley (A) C]]*Table7[[#This Row],[ton (ns) C]]*10^-9*Fsw*10^3+0.5*VACnom*Table7[[#This Row],[Ipeak (A) C]]*Table7[[#This Row],[toff (ns) C]]*10^-9*Fsw*10^3/10^-3</f>
        <v>6.26387632159505</v>
      </c>
      <c r="BO170" s="152" t="n">
        <f aca="false">IF(VACnom&gt;Vbat, 0.5*VACnom*C_MOSFET_S_QOSS_H_BU*10^-9*Fsw*10^3,0.5*VACnom*C_MOSFET_S_QOSS_L_BO*10^-9*Fsw*10^3)/10^-3</f>
        <v>43.2</v>
      </c>
      <c r="BP170" s="152" t="e">
        <f aca="false">IF(VACnom&gt;Vbat, VACnom*C_MOSFET_S_QG_H_BU*10^-9*Fsw*10^3,VACnom*C_MOSFET_S_QG_H_BO*10^-9*Fsw*10^3)/10^-3</f>
        <v>#REF!</v>
      </c>
      <c r="BQ170" s="152" t="n">
        <f aca="false">IF(VACnom&gt;Vbat, VACnom*C_MOSFET_S_QRR_L_BU*10^-9*Fsw*10^3, VACnom*C_MOSFET_S_QRR_H_BO*10^-9*Fsw*10^3)/10^-3</f>
        <v>79.2</v>
      </c>
      <c r="BR170" s="152" t="n">
        <f aca="false">IF(VACnom&gt;Vbat, C_MOSFET_S_VSD_L_BU*Table7[[#This Row],[Ivalley (A) C]]*Fsw*10^3*40*10^-9+C_MOSFET_S_VSD_L_BU*Table7[[#This Row],[Ipeak (A) C]]*Fsw*10^3*30*10^-9, C_MOSFET_S_VSD_H_BO*Table7[[#This Row],[Ivalley (A) C]]*Fsw*10^3*40*10^-9+C_MOSFET_S_VSD_H_BO*Table7[[#This Row],[Ipeak (A) C]]*Fsw*10^3*30*10^-9)/10^-3</f>
        <v>16.2354285714286</v>
      </c>
      <c r="BS170" s="152" t="e">
        <f aca="false">IF(VACnom&gt;Vbat, VACnom*C_MOSFET_S_QG_L_BU*10^-9*Fsw*10^3, VACnom*C_MOSFET_S_QG_L_BO*10^-9*Fsw*10^3)/10^-3</f>
        <v>#REF!</v>
      </c>
      <c r="BT170" s="152" t="n">
        <f aca="false">IF(VACnom&lt;Vbat, Table7[[#This Row],[Duty Cycle]]*Table7[[#This Row],[I_L RMS]]^2*C_MOSFET_S_RDSON_H_BU*10^-3, (1-Table7[[#This Row],[Duty Cycle]])*Table7[[#This Row],[I_L RMS]]^2*C_MOSFET_S_RDSON_H_BO*10^-3)/10^-3</f>
        <v>0.588376452866861</v>
      </c>
      <c r="BU170" s="152" t="e">
        <f aca="false">IF(VACnom&gt;Vbat, Table7[[#This Row],[PIV (mW) C]]+Table7[[#This Row],[PQoss (mW) C]]+Table7[[#This Row],[Pgate_top (mW) C]], Table7[[#This Row],[PRR (mW) C]]+Table7[[#This Row],[Pdead (mW) C]]+Table7[[#This Row],[Pgate_top (mW) C]])</f>
        <v>#REF!</v>
      </c>
      <c r="BV170" s="152" t="e">
        <f aca="false">Table7[[#This Row],[Pcon_top (mW) C]]+Table7[[#This Row],[Psw_top (mW) C]]</f>
        <v>#REF!</v>
      </c>
      <c r="BW170" s="152" t="e">
        <f aca="false">IF(VACnom&gt;Vbat, (1-Table7[[#This Row],[Duty Cycle]])*Table7[[#This Row],[I_L RMS]]^2*C_MOSFET_S_RDSON_L_BU*10^-3, Table7[[#This Row],[Duty Cycle]]*Table7[[#This Row],[I_L RMS]]^2*C_MOSFET_S_RDSON_L_BO*10^-3)/10^-3</f>
        <v>#REF!</v>
      </c>
      <c r="BX170" s="152" t="e">
        <f aca="false">IF(VACnom&gt;Vbat, Table7[[#This Row],[PRR (mW) C]]+Table7[[#This Row],[Pdead (mW) C]]+Table7[[#This Row],[Pgate_bottom (mW) C]], Table7[[#This Row],[PIV (mW) C]]+Table7[[#This Row],[PQoss (mW) C]]+Table7[[#This Row],[Pgate_bottom (mW) C]])</f>
        <v>#REF!</v>
      </c>
      <c r="BY170" s="152" t="e">
        <f aca="false">Table7[[#This Row],[Pcon_bottom (mW) C]]+Table7[[#This Row],[Psw_bottom (mV) C]]</f>
        <v>#REF!</v>
      </c>
      <c r="BZ170" s="152" t="e">
        <f aca="false">Table7[[#This Row],[Pbottom (mW) C]]+Table7[[#This Row],[Ptop (mW) C]]</f>
        <v>#REF!</v>
      </c>
      <c r="CA170" s="156"/>
      <c r="CB170" s="151" t="n">
        <f aca="false">(RAC_SNS*10^-3*(Table7[[#This Row],[IOUT (A)]]*Vbat/VACnom)^2/10^-3)</f>
        <v>10.8045</v>
      </c>
      <c r="CC170" s="151" t="n">
        <f aca="false">(RBAT_SNS*10^-3*Table7[[#This Row],[IOUT (A)]]^2)/10^-3</f>
        <v>9.8</v>
      </c>
      <c r="CD170" s="151" t="n">
        <f aca="false">IF(VACnom&gt;Vbat,(L_DRC*10^-3*(Table7[[#This Row],[IOUT (A)]])^2/10^-3),(L_DRC*10^-3*(Table7[[#This Row],[IOUT (A)]]*Vbat/VACnom)^2/10^-3))</f>
        <v>25.9308</v>
      </c>
      <c r="CE170" s="157"/>
      <c r="CF170" s="152" t="n">
        <f aca="false">(Table7[[#This Row],[R_AC (mW)]]+Table7[[#This Row],[R_SR (mW)]]+Table7[[#This Row],[Inductor Loss (mW)]])/10^3</f>
        <v>0.0465353</v>
      </c>
      <c r="CG170" s="152" t="e">
        <f aca="false">Table7[[#This Row],[Total TI (mW)]]/10^3</f>
        <v>#REF!</v>
      </c>
      <c r="CH170" s="152" t="e">
        <f aca="false">Table7[[#This Row],[Total Sense Loss]]+Table7[[#This Row],[Total MOSFET Loss]]</f>
        <v>#REF!</v>
      </c>
      <c r="CI170" s="158" t="e">
        <f aca="false">IF(Table7[[#This Row],[POUT (W)]]=0,0,(Table7[[#This Row],[POUT (W)]])/(Table7[[#This Row],[POUT (W)]]+Table7[[#This Row],[Total Power Loss (W)]]))*100</f>
        <v>#REF!</v>
      </c>
      <c r="CJ170" s="159"/>
      <c r="CK170" s="152" t="n">
        <f aca="false">(Table7[[#This Row],[R_AC (mW)]]+Table7[[#This Row],[R_SR (mW)]]+Table7[[#This Row],[Inductor Loss (mW)]])/10^3</f>
        <v>0.0465353</v>
      </c>
      <c r="CL170" s="152" t="e">
        <f aca="false">Table7[[#This Row],[Total (mW) C]]/10^3</f>
        <v>#REF!</v>
      </c>
      <c r="CM170" s="152" t="e">
        <f aca="false">Table7[[#This Row],[Total Sense Loss C]]+Table7[[#This Row],[Total MOSFET Loss C]]</f>
        <v>#REF!</v>
      </c>
      <c r="CN170" s="158" t="e">
        <f aca="false">IF(Table7[[#This Row],[POUT (W)]]=0,0,(Table7[[#This Row],[POUT (W)]])/(Table7[[#This Row],[POUT (W)]]+Table7[[#This Row],[Total Power Loss (W) C]]))*100</f>
        <v>#REF!</v>
      </c>
      <c r="CO170" s="159"/>
      <c r="CP170" s="158" t="n">
        <f aca="false">IF(MOSFET_S=Custom_MOSFET,Table7[[#This Row],[Total Sense Loss C]],Table7[[#This Row],[Total Sense Loss]])</f>
        <v>0.0465353</v>
      </c>
      <c r="CQ170" s="158" t="e">
        <f aca="false">IF(MOSFET_S=Custom_MOSFET,Table7[[#This Row],[Total MOSFET Loss C]],Table7[[#This Row],[Total MOSFET Loss]])</f>
        <v>#REF!</v>
      </c>
      <c r="CR170" s="158" t="e">
        <f aca="false">IF(MOSFET_S=Custom_MOSFET,Table7[[#This Row],[Efficiency C]],Table7[[#This Row],[Efficiency]])</f>
        <v>#REF!</v>
      </c>
      <c r="CS170" s="159"/>
      <c r="CT170" s="158" t="n">
        <f aca="false">IF(MOSFET_S=Compare_MOSFET, Table7[[#This Row],[Total Sense Loss C]], -100)</f>
        <v>-100</v>
      </c>
      <c r="CU170" s="158" t="n">
        <f aca="false">IF(MOSFET_S=Compare_MOSFET, Table7[[#This Row],[Total MOSFET Loss C]], -100)</f>
        <v>-100</v>
      </c>
      <c r="CV170" s="158" t="n">
        <f aca="false">IF(MOSFET_S=Compare_MOSFET, Table7[[#This Row],[Efficiency C]], -100)</f>
        <v>-100</v>
      </c>
      <c r="CW170" s="159"/>
      <c r="CX170" s="158" t="e">
        <f aca="false">IF(Save_Sel=CLR_Save,  Table7[[#This Row],[Total Sense Loss P1]], Table7[[#This Row],[Total Sense Loss P1 Saved]])</f>
        <v>#VALUE!</v>
      </c>
      <c r="CY170" s="158" t="e">
        <f aca="false">IF(Save_Sel=CLR_Save,  Table7[[#This Row],[Total MOSFET Loss P1]], Table7[[#This Row],[Total MOSFET Loss P1 Saved]] )</f>
        <v>#VALUE!</v>
      </c>
      <c r="CZ170" s="158" t="e">
        <f aca="false">IF(Save_Sel=CLR_Save, Table7[[#This Row],[Efficiency P1]], Table7[[#This Row],[Efficiency P1 Saved]])</f>
        <v>#VALUE!</v>
      </c>
      <c r="DA170" s="159"/>
      <c r="DB170" s="158" t="e">
        <f aca="false">IF(Save_Sel=CLR_Save,  Table7[[#This Row],[Total Sense Loss P2]], Table7[[#This Row],[Total Sense Loss P2 Saved]])</f>
        <v>#VALUE!</v>
      </c>
      <c r="DC170" s="158" t="e">
        <f aca="false">IF(Save_Sel=CLR_Save,  Table7[[#This Row],[Total MOSFET Loss P2]], Table7[[#This Row],[Total MOSFET Loss P2 Saved]] )</f>
        <v>#VALUE!</v>
      </c>
      <c r="DD170" s="158" t="e">
        <f aca="false">IF(Save_Sel=CLR_Save, Table7[[#This Row],[Efficiency P2]], Table7[[#This Row],[Efficiency P2 Saved]])</f>
        <v>#VALUE!</v>
      </c>
      <c r="DE170" s="159"/>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row>
    <row r="171" customFormat="false" ht="16.4" hidden="false" customHeight="false" outlineLevel="0" collapsed="false">
      <c r="A171" s="100" t="n">
        <v>12</v>
      </c>
      <c r="B171" s="84"/>
      <c r="C171" s="84"/>
      <c r="D171" s="28" t="s">
        <v>151</v>
      </c>
      <c r="E171" s="168" t="e">
        <f aca="false">$N128</f>
        <v>#REF!</v>
      </c>
      <c r="F171" s="168" t="e">
        <f aca="false">$O128</f>
        <v>#REF!</v>
      </c>
      <c r="G171" s="119" t="s">
        <v>7</v>
      </c>
      <c r="H171" s="24"/>
      <c r="I171" s="100" t="n">
        <v>12</v>
      </c>
      <c r="J171" s="24"/>
      <c r="K171" s="84"/>
      <c r="L171" s="84"/>
      <c r="M171" s="28" t="s">
        <v>151</v>
      </c>
      <c r="N171" s="124" t="n">
        <f aca="false">$E128</f>
        <v>4</v>
      </c>
      <c r="O171" s="124" t="n">
        <f aca="false">$F128</f>
        <v>4</v>
      </c>
      <c r="P171" s="119" t="s">
        <v>7</v>
      </c>
      <c r="Q171" s="24"/>
      <c r="R171" s="24"/>
      <c r="S171" s="25"/>
      <c r="T171" s="6"/>
      <c r="U171" s="7"/>
      <c r="V171" s="7"/>
      <c r="W171" s="7"/>
      <c r="X171" s="7"/>
      <c r="Y171" s="7"/>
      <c r="Z171" s="7"/>
      <c r="AA171" s="7"/>
      <c r="AB171" s="7"/>
      <c r="AC171" s="7"/>
      <c r="AD171" s="7"/>
      <c r="AE171" s="7"/>
      <c r="AF171" s="150" t="n">
        <f aca="false">AF170+1</f>
        <v>15</v>
      </c>
      <c r="AG171" s="150" t="n">
        <f aca="false">$AG$156+AF171*($AG$256-$AG$156)/$AF$256</f>
        <v>1.5</v>
      </c>
      <c r="AH171" s="151" t="n">
        <f aca="false">AG171*VACnom</f>
        <v>18</v>
      </c>
      <c r="AI171" s="152" t="n">
        <f aca="false">IF(VACnom&lt;Vbat, (Vbat-VACnom)/Vbat, Vbat/VACnom)</f>
        <v>0.0476190476190476</v>
      </c>
      <c r="AJ171" s="152" t="n">
        <f aca="false">IF(VACnom&lt;Vbat, AG171/(1-AI171), AG171*AI171)</f>
        <v>1.575</v>
      </c>
      <c r="AK171" s="152" t="n">
        <f aca="false">Ipkpk_VACnom</f>
        <v>0.285714285714285</v>
      </c>
      <c r="AL171" s="152" t="n">
        <f aca="false">SQRT(AJ171^2+AK171^2/12)</f>
        <v>1.57715811543689</v>
      </c>
      <c r="AM171" s="153"/>
      <c r="AN171" s="152" t="n">
        <f aca="false">MAX(0,Table7[[#This Row],[I_L]]-0.5*Table7[[#This Row],[I_L pkpk]])</f>
        <v>1.43214285714286</v>
      </c>
      <c r="AO171" s="152" t="n">
        <f aca="false">Table7[[#This Row],[I_L]]+0.5*Table7[[#This Row],[I_L pkpk]]</f>
        <v>1.71785714285714</v>
      </c>
      <c r="AP171" s="152" t="e">
        <f aca="false">IF(VACnom&gt;Vbat, (VGS_S-(TI_MOSFET_S_VTH_H_BU+Table7[[#This Row],[I_L]]/TI_MOSFET_S_gFS_H_BU))/3.4, (VGS_S-(TI_MOSFET_S_VTH_L_BO+Table7[[#This Row],[I_L]]/TI_MOSFET_S_gFS_L_BO))/3.4 )</f>
        <v>#REF!</v>
      </c>
      <c r="AQ171" s="152" t="e">
        <f aca="false">IF(VACnom&gt;Vbat, ((TI_MOSFET_S_VTH_H_BU+Table7[[#This Row],[I_L]]/TI_MOSFET_S_gFS_H_BU))/1, ((TI_MOSFET_S_VTH_L_BO+Table7[[#This Row],[I_L]]/TI_MOSFET_S_gFS_L_BO))/1 )</f>
        <v>#REF!</v>
      </c>
      <c r="AR171" s="152" t="e">
        <f aca="false">IF(VACnom&gt;Vbat, (TI_MOSFET_S_QGD_H_BU+TI_MOSFET_S_QGS_H_BU)*10^-9/Table7[[#This Row],[Ion (A)]], (TI_MOSFET_S_QGD_L_BO+TI_MOSFET_S_QGS_L_BO)*10^-9/Table7[[#This Row],[Ion (A)]])/10^-9</f>
        <v>#REF!</v>
      </c>
      <c r="AS171" s="152" t="e">
        <f aca="false">IF(VACnom&gt;Vbat, (TI_MOSFET_S_QGD_H_BU+TI_MOSFET_S_QGS_H_BU)*10^-9/Table7[[#This Row],[Ioff (A)]], (TI_MOSFET_S_QGD_L_BO+TI_MOSFET_S_QGS_L_BO)*10^-9/Table7[[#This Row],[Ioff (A)]])/10^-9</f>
        <v>#REF!</v>
      </c>
      <c r="AT171" s="152" t="e">
        <f aca="false">0.5*VACnom*Table7[[#This Row],[Ivalley (A)]]*Table7[[#This Row],[ton (ns)]]*10^-9*Fsw*10^3+0.5*VACnom*Table7[[#This Row],[Ipeak (A)]]*Table7[[#This Row],[toff (ns)]]*10^-9*Fsw*10^3/10^-3</f>
        <v>#REF!</v>
      </c>
      <c r="AU171" s="152" t="e">
        <f aca="false">IF(VACnom&gt;Vbat, 0.5*VACnom*TI_MOSFET_S_QOSS_H_BU*10^-9*Fsw*10^3,0.5*VACnom*TI_MOSFET_S_QOSS_L_BO*10^-9*Fsw*10^3)/10^-3</f>
        <v>#REF!</v>
      </c>
      <c r="AV171" s="152" t="e">
        <f aca="false">IF(VACnom&gt;Vbat, VACnom*TI_MOSFET_S_QG_H_BU*10^-9*Fsw*10^3,VACnom*TI_MOSFET_S_QG_H_BO*10^-9*Fsw*10^3)/10^-3</f>
        <v>#REF!</v>
      </c>
      <c r="AW171" s="152" t="e">
        <f aca="false">IF(VACnom&gt;Vbat, VACnom*TI_MOSFET_S_QRR_L_BU*10^-9*Fsw*10^3, VACnom*TI_MOSFET_S_QRR_H_BO*10^-9*Fsw*10^3)/10^-3</f>
        <v>#REF!</v>
      </c>
      <c r="AX171" s="152" t="e">
        <f aca="false">IF(VACnom&gt;Vbat, TI_MOSFET_S_VSD_L_BU*Table7[[#This Row],[Ivalley (A)]]*Fsw*10^3*40*10^-9+TI_MOSFET_S_VSD_L_BU*Table7[[#This Row],[Ipeak (A)]]*Fsw*10^3*30*10^-9, TI_MOSFET_S_VSD_H_BO*Table7[[#This Row],[Ivalley (A)]]*Fsw*10^3*40*10^-9+TI_MOSFET_S_VSD_H_BO*Table7[[#This Row],[Ipeak (A)]]*Fsw*10^3*30*10^-9)/10^-3</f>
        <v>#REF!</v>
      </c>
      <c r="AY171" s="152" t="e">
        <f aca="false">IF(VACnom&gt;Vbat, VACnom*TI_MOSFET_S_QG_L_BU*10^-9*Fsw*10^3, VACnom*TI_MOSFET_S_QG_L_BO*10^-9*Fsw*10^3)/10^-3</f>
        <v>#REF!</v>
      </c>
      <c r="AZ171" s="152" t="e">
        <f aca="false">IF(VACnom&lt;Vbat, Table7[[#This Row],[Duty Cycle]]*Table7[[#This Row],[I_L RMS]]^2*TI_MOSFET_S_RDSON_H_BU*10^-3, (1-Table7[[#This Row],[Duty Cycle]])*Table7[[#This Row],[I_L RMS]]^2*TI_MOSFET_S_RDSON_H_BO*10^-3)/10^-3</f>
        <v>#REF!</v>
      </c>
      <c r="BA171" s="152" t="e">
        <f aca="false">IF(VACnom&gt;Vbat, Table7[[#This Row],[PIV (mW)]]+Table7[[#This Row],[Pqoss (mW)]]+Table7[[#This Row],[Pgate_top (mW)]], Table7[[#This Row],[PRR (mW)]]+Table7[[#This Row],[Pdead (mW)]]+Table7[[#This Row],[Pgate_top (mW)]])</f>
        <v>#REF!</v>
      </c>
      <c r="BB171" s="152" t="e">
        <f aca="false">Table7[[#This Row],[Pcon_top (mW)]]+Table7[[#This Row],[Psw_top (mW)]]</f>
        <v>#REF!</v>
      </c>
      <c r="BC171" s="152" t="e">
        <f aca="false">IF(VACnom&gt;Vbat, (1-Table7[[#This Row],[Duty Cycle]])*Table7[[#This Row],[I_L RMS]]^2*TI_MOSFET_S_RDSON_L_BU*10^-3, Table7[[#This Row],[Duty Cycle]]*Table7[[#This Row],[I_L RMS]]^2*TI_MOSFET_S_RDSON_L_BO*10^-3)/10^-3</f>
        <v>#REF!</v>
      </c>
      <c r="BD171" s="152" t="e">
        <f aca="false">IF(VACnom&gt;Vbat, Table7[[#This Row],[PRR (mW)]]+Table7[[#This Row],[Pdead (mW)]]+Table7[[#This Row],[Pgate_bottom (mW)]], Table7[[#This Row],[PIV (mW)]]+Table7[[#This Row],[Pqoss (mW)]]+Table7[[#This Row],[Pgate_bottom (mW)]])</f>
        <v>#REF!</v>
      </c>
      <c r="BE171" s="154" t="e">
        <f aca="false">Table7[[#This Row],[Pcon_bottom (mW)]]+Table7[[#This Row],[Psw_bottom (mW)]]</f>
        <v>#REF!</v>
      </c>
      <c r="BF171" s="152" t="e">
        <f aca="false">Table7[[#This Row],[Pbottom (mW)]]+Table7[[#This Row],[Ptop (mW)]]</f>
        <v>#REF!</v>
      </c>
      <c r="BG171" s="155"/>
      <c r="BH171" s="152" t="n">
        <f aca="false">MAX(0,Table7[[#This Row],[I_L]]-0.5*Table7[[#This Row],[I_L pkpk]])</f>
        <v>1.43214285714286</v>
      </c>
      <c r="BI171" s="152" t="n">
        <f aca="false">Table7[[#This Row],[I_L]]+0.5*Table7[[#This Row],[I_L pkpk]]</f>
        <v>1.71785714285714</v>
      </c>
      <c r="BJ171" s="152" t="n">
        <f aca="false">IF(VACnom&gt;Vbat, (VGS_S-(C_MOSFET_S_VTH_H_BU+Table7[[#This Row],[I_L]]/C_MOSFET_S_gFS_H_BU))/3.4, (VGS_S-(C_MOSFET_S_VTH_L_BO+Table7[[#This Row],[I_L]]/C_MOSFET_S_gFS_L_BO))/3.4 )</f>
        <v>2.34985294117647</v>
      </c>
      <c r="BK171" s="152" t="n">
        <f aca="false">IF(VACnom&gt;Vbat, ((C_MOSFET_S_VTH_H_BU+Table7[[#This Row],[I_L]]/C_MOSFET_S_gFS_H_BU))/1, ((C_MOSFET_S_VTH_L_BO+Table7[[#This Row],[I_L]]/C_MOSFET_S_gFS_L_BO))/1 )</f>
        <v>2.0105</v>
      </c>
      <c r="BL171" s="152" t="n">
        <f aca="false">IF(VACnom&gt;Vbat, (C_MOSFET_S_QGD_H_BU+C_MOSFET_S_QGS_H_BU)*10^-9/Table7[[#This Row],[Ion (A) C]], (C_MOSFET_S_QGD_L_BO+C_MOSFET_S_QGS_L_BO)*10^-9/Table7[[#This Row],[Ion (A) C]])/10^-9</f>
        <v>2.76613054634207</v>
      </c>
      <c r="BM171" s="152" t="n">
        <f aca="false">IF(VACnom&gt;Vbat, (C_MOSFET_S_QGD_H_BU+C_MOSFET_S_QGS_H_BU)*10^-9/Table7[[#This Row],[Ioff (A) C]], (C_MOSFET_S_QGD_L_BO+C_MOSFET_S_QGS_L_BO)*10^-9/Table7[[#This Row],[Ioff (A) C]])/10^-9</f>
        <v>3.23302661029595</v>
      </c>
      <c r="BN171" s="152" t="n">
        <f aca="false">0.5*VACnom*Table7[[#This Row],[Ivalley (A) C]]*Table7[[#This Row],[ton (ns) C]]*10^-9*Fsw*10^3+0.5*VACnom*Table7[[#This Row],[Ipeak (A) C]]*Table7[[#This Row],[toff (ns) C]]*10^-9*Fsw*10^3/10^-3</f>
        <v>6.66940721957757</v>
      </c>
      <c r="BO171" s="152" t="n">
        <f aca="false">IF(VACnom&gt;Vbat, 0.5*VACnom*C_MOSFET_S_QOSS_H_BU*10^-9*Fsw*10^3,0.5*VACnom*C_MOSFET_S_QOSS_L_BO*10^-9*Fsw*10^3)/10^-3</f>
        <v>43.2</v>
      </c>
      <c r="BP171" s="152" t="e">
        <f aca="false">IF(VACnom&gt;Vbat, VACnom*C_MOSFET_S_QG_H_BU*10^-9*Fsw*10^3,VACnom*C_MOSFET_S_QG_H_BO*10^-9*Fsw*10^3)/10^-3</f>
        <v>#REF!</v>
      </c>
      <c r="BQ171" s="152" t="n">
        <f aca="false">IF(VACnom&gt;Vbat, VACnom*C_MOSFET_S_QRR_L_BU*10^-9*Fsw*10^3, VACnom*C_MOSFET_S_QRR_H_BO*10^-9*Fsw*10^3)/10^-3</f>
        <v>79.2</v>
      </c>
      <c r="BR171" s="152" t="n">
        <f aca="false">IF(VACnom&gt;Vbat, C_MOSFET_S_VSD_L_BU*Table7[[#This Row],[Ivalley (A) C]]*Fsw*10^3*40*10^-9+C_MOSFET_S_VSD_L_BU*Table7[[#This Row],[Ipeak (A) C]]*Fsw*10^3*30*10^-9, C_MOSFET_S_VSD_H_BO*Table7[[#This Row],[Ivalley (A) C]]*Fsw*10^3*40*10^-9+C_MOSFET_S_VSD_H_BO*Table7[[#This Row],[Ipeak (A) C]]*Fsw*10^3*30*10^-9)/10^-3</f>
        <v>17.4114285714286</v>
      </c>
      <c r="BS171" s="152" t="e">
        <f aca="false">IF(VACnom&gt;Vbat, VACnom*C_MOSFET_S_QG_L_BU*10^-9*Fsw*10^3, VACnom*C_MOSFET_S_QG_L_BO*10^-9*Fsw*10^3)/10^-3</f>
        <v>#REF!</v>
      </c>
      <c r="BT171" s="152" t="n">
        <f aca="false">IF(VACnom&lt;Vbat, Table7[[#This Row],[Duty Cycle]]*Table7[[#This Row],[I_L RMS]]^2*C_MOSFET_S_RDSON_H_BU*10^-3, (1-Table7[[#This Row],[Duty Cycle]])*Table7[[#This Row],[I_L RMS]]^2*C_MOSFET_S_RDSON_H_BO*10^-3)/10^-3</f>
        <v>0.675158952866861</v>
      </c>
      <c r="BU171" s="152" t="e">
        <f aca="false">IF(VACnom&gt;Vbat, Table7[[#This Row],[PIV (mW) C]]+Table7[[#This Row],[PQoss (mW) C]]+Table7[[#This Row],[Pgate_top (mW) C]], Table7[[#This Row],[PRR (mW) C]]+Table7[[#This Row],[Pdead (mW) C]]+Table7[[#This Row],[Pgate_top (mW) C]])</f>
        <v>#REF!</v>
      </c>
      <c r="BV171" s="152" t="e">
        <f aca="false">Table7[[#This Row],[Pcon_top (mW) C]]+Table7[[#This Row],[Psw_top (mW) C]]</f>
        <v>#REF!</v>
      </c>
      <c r="BW171" s="152" t="e">
        <f aca="false">IF(VACnom&gt;Vbat, (1-Table7[[#This Row],[Duty Cycle]])*Table7[[#This Row],[I_L RMS]]^2*C_MOSFET_S_RDSON_L_BU*10^-3, Table7[[#This Row],[Duty Cycle]]*Table7[[#This Row],[I_L RMS]]^2*C_MOSFET_S_RDSON_L_BO*10^-3)/10^-3</f>
        <v>#REF!</v>
      </c>
      <c r="BX171" s="152" t="e">
        <f aca="false">IF(VACnom&gt;Vbat, Table7[[#This Row],[PRR (mW) C]]+Table7[[#This Row],[Pdead (mW) C]]+Table7[[#This Row],[Pgate_bottom (mW) C]], Table7[[#This Row],[PIV (mW) C]]+Table7[[#This Row],[PQoss (mW) C]]+Table7[[#This Row],[Pgate_bottom (mW) C]])</f>
        <v>#REF!</v>
      </c>
      <c r="BY171" s="152" t="e">
        <f aca="false">Table7[[#This Row],[Pcon_bottom (mW) C]]+Table7[[#This Row],[Psw_bottom (mV) C]]</f>
        <v>#REF!</v>
      </c>
      <c r="BZ171" s="152" t="e">
        <f aca="false">Table7[[#This Row],[Pbottom (mW) C]]+Table7[[#This Row],[Ptop (mW) C]]</f>
        <v>#REF!</v>
      </c>
      <c r="CA171" s="156"/>
      <c r="CB171" s="151" t="n">
        <f aca="false">(RAC_SNS*10^-3*(Table7[[#This Row],[IOUT (A)]]*Vbat/VACnom)^2/10^-3)</f>
        <v>12.403125</v>
      </c>
      <c r="CC171" s="151" t="n">
        <f aca="false">(RBAT_SNS*10^-3*Table7[[#This Row],[IOUT (A)]]^2)/10^-3</f>
        <v>11.25</v>
      </c>
      <c r="CD171" s="151" t="n">
        <f aca="false">IF(VACnom&gt;Vbat,(L_DRC*10^-3*(Table7[[#This Row],[IOUT (A)]])^2/10^-3),(L_DRC*10^-3*(Table7[[#This Row],[IOUT (A)]]*Vbat/VACnom)^2/10^-3))</f>
        <v>29.7675</v>
      </c>
      <c r="CE171" s="157"/>
      <c r="CF171" s="152" t="n">
        <f aca="false">(Table7[[#This Row],[R_AC (mW)]]+Table7[[#This Row],[R_SR (mW)]]+Table7[[#This Row],[Inductor Loss (mW)]])/10^3</f>
        <v>0.053420625</v>
      </c>
      <c r="CG171" s="152" t="e">
        <f aca="false">Table7[[#This Row],[Total TI (mW)]]/10^3</f>
        <v>#REF!</v>
      </c>
      <c r="CH171" s="152" t="e">
        <f aca="false">Table7[[#This Row],[Total Sense Loss]]+Table7[[#This Row],[Total MOSFET Loss]]</f>
        <v>#REF!</v>
      </c>
      <c r="CI171" s="158" t="e">
        <f aca="false">IF(Table7[[#This Row],[POUT (W)]]=0,0,(Table7[[#This Row],[POUT (W)]])/(Table7[[#This Row],[POUT (W)]]+Table7[[#This Row],[Total Power Loss (W)]]))*100</f>
        <v>#REF!</v>
      </c>
      <c r="CJ171" s="159"/>
      <c r="CK171" s="152" t="n">
        <f aca="false">(Table7[[#This Row],[R_AC (mW)]]+Table7[[#This Row],[R_SR (mW)]]+Table7[[#This Row],[Inductor Loss (mW)]])/10^3</f>
        <v>0.053420625</v>
      </c>
      <c r="CL171" s="152" t="e">
        <f aca="false">Table7[[#This Row],[Total (mW) C]]/10^3</f>
        <v>#REF!</v>
      </c>
      <c r="CM171" s="152" t="e">
        <f aca="false">Table7[[#This Row],[Total Sense Loss C]]+Table7[[#This Row],[Total MOSFET Loss C]]</f>
        <v>#REF!</v>
      </c>
      <c r="CN171" s="158" t="e">
        <f aca="false">IF(Table7[[#This Row],[POUT (W)]]=0,0,(Table7[[#This Row],[POUT (W)]])/(Table7[[#This Row],[POUT (W)]]+Table7[[#This Row],[Total Power Loss (W) C]]))*100</f>
        <v>#REF!</v>
      </c>
      <c r="CO171" s="159"/>
      <c r="CP171" s="158" t="n">
        <f aca="false">IF(MOSFET_S=Custom_MOSFET,Table7[[#This Row],[Total Sense Loss C]],Table7[[#This Row],[Total Sense Loss]])</f>
        <v>0.053420625</v>
      </c>
      <c r="CQ171" s="158" t="e">
        <f aca="false">IF(MOSFET_S=Custom_MOSFET,Table7[[#This Row],[Total MOSFET Loss C]],Table7[[#This Row],[Total MOSFET Loss]])</f>
        <v>#REF!</v>
      </c>
      <c r="CR171" s="158" t="e">
        <f aca="false">IF(MOSFET_S=Custom_MOSFET,Table7[[#This Row],[Efficiency C]],Table7[[#This Row],[Efficiency]])</f>
        <v>#REF!</v>
      </c>
      <c r="CS171" s="159"/>
      <c r="CT171" s="158" t="n">
        <f aca="false">IF(MOSFET_S=Compare_MOSFET, Table7[[#This Row],[Total Sense Loss C]], -100)</f>
        <v>-100</v>
      </c>
      <c r="CU171" s="158" t="n">
        <f aca="false">IF(MOSFET_S=Compare_MOSFET, Table7[[#This Row],[Total MOSFET Loss C]], -100)</f>
        <v>-100</v>
      </c>
      <c r="CV171" s="158" t="n">
        <f aca="false">IF(MOSFET_S=Compare_MOSFET, Table7[[#This Row],[Efficiency C]], -100)</f>
        <v>-100</v>
      </c>
      <c r="CW171" s="159"/>
      <c r="CX171" s="158" t="e">
        <f aca="false">IF(Save_Sel=CLR_Save,  Table7[[#This Row],[Total Sense Loss P1]], Table7[[#This Row],[Total Sense Loss P1 Saved]])</f>
        <v>#VALUE!</v>
      </c>
      <c r="CY171" s="158" t="e">
        <f aca="false">IF(Save_Sel=CLR_Save,  Table7[[#This Row],[Total MOSFET Loss P1]], Table7[[#This Row],[Total MOSFET Loss P1 Saved]] )</f>
        <v>#VALUE!</v>
      </c>
      <c r="CZ171" s="158" t="e">
        <f aca="false">IF(Save_Sel=CLR_Save, Table7[[#This Row],[Efficiency P1]], Table7[[#This Row],[Efficiency P1 Saved]])</f>
        <v>#VALUE!</v>
      </c>
      <c r="DA171" s="159"/>
      <c r="DB171" s="158" t="e">
        <f aca="false">IF(Save_Sel=CLR_Save,  Table7[[#This Row],[Total Sense Loss P2]], Table7[[#This Row],[Total Sense Loss P2 Saved]])</f>
        <v>#VALUE!</v>
      </c>
      <c r="DC171" s="158" t="e">
        <f aca="false">IF(Save_Sel=CLR_Save,  Table7[[#This Row],[Total MOSFET Loss P2]], Table7[[#This Row],[Total MOSFET Loss P2 Saved]] )</f>
        <v>#VALUE!</v>
      </c>
      <c r="DD171" s="158" t="e">
        <f aca="false">IF(Save_Sel=CLR_Save, Table7[[#This Row],[Efficiency P2]], Table7[[#This Row],[Efficiency P2 Saved]])</f>
        <v>#VALUE!</v>
      </c>
      <c r="DE171" s="159"/>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row>
    <row r="172" customFormat="false" ht="16.4" hidden="false" customHeight="false" outlineLevel="0" collapsed="false">
      <c r="A172" s="100" t="n">
        <v>13</v>
      </c>
      <c r="B172" s="84"/>
      <c r="C172" s="84"/>
      <c r="D172" s="28" t="s">
        <v>152</v>
      </c>
      <c r="E172" s="168" t="e">
        <f aca="false">$N129</f>
        <v>#REF!</v>
      </c>
      <c r="F172" s="168" t="e">
        <f aca="false">$O129</f>
        <v>#REF!</v>
      </c>
      <c r="G172" s="119" t="s">
        <v>7</v>
      </c>
      <c r="H172" s="24"/>
      <c r="I172" s="100" t="n">
        <v>13</v>
      </c>
      <c r="J172" s="24"/>
      <c r="K172" s="84"/>
      <c r="L172" s="84"/>
      <c r="M172" s="28" t="s">
        <v>152</v>
      </c>
      <c r="N172" s="124" t="n">
        <f aca="false">$E129</f>
        <v>0.8</v>
      </c>
      <c r="O172" s="124" t="n">
        <f aca="false">$F129</f>
        <v>0.8</v>
      </c>
      <c r="P172" s="119" t="s">
        <v>7</v>
      </c>
      <c r="Q172" s="24"/>
      <c r="R172" s="24"/>
      <c r="S172" s="25"/>
      <c r="T172" s="6"/>
      <c r="U172" s="7"/>
      <c r="V172" s="7"/>
      <c r="W172" s="7"/>
      <c r="X172" s="7"/>
      <c r="Y172" s="7"/>
      <c r="Z172" s="7"/>
      <c r="AA172" s="7"/>
      <c r="AB172" s="7"/>
      <c r="AC172" s="7"/>
      <c r="AD172" s="7"/>
      <c r="AE172" s="7"/>
      <c r="AF172" s="150" t="n">
        <f aca="false">AF171+1</f>
        <v>16</v>
      </c>
      <c r="AG172" s="150" t="n">
        <f aca="false">$AG$156+AF172*($AG$256-$AG$156)/$AF$256</f>
        <v>1.6</v>
      </c>
      <c r="AH172" s="151" t="n">
        <f aca="false">AG172*VACnom</f>
        <v>19.2</v>
      </c>
      <c r="AI172" s="152" t="n">
        <f aca="false">IF(VACnom&lt;Vbat, (Vbat-VACnom)/Vbat, Vbat/VACnom)</f>
        <v>0.0476190476190476</v>
      </c>
      <c r="AJ172" s="152" t="n">
        <f aca="false">IF(VACnom&lt;Vbat, AG172/(1-AI172), AG172*AI172)</f>
        <v>1.68</v>
      </c>
      <c r="AK172" s="152" t="n">
        <f aca="false">Ipkpk_VACnom</f>
        <v>0.285714285714285</v>
      </c>
      <c r="AL172" s="152" t="n">
        <f aca="false">SQRT(AJ172^2+AK172^2/12)</f>
        <v>1.68202340087421</v>
      </c>
      <c r="AM172" s="153"/>
      <c r="AN172" s="152" t="n">
        <f aca="false">MAX(0,Table7[[#This Row],[I_L]]-0.5*Table7[[#This Row],[I_L pkpk]])</f>
        <v>1.53714285714286</v>
      </c>
      <c r="AO172" s="152" t="n">
        <f aca="false">Table7[[#This Row],[I_L]]+0.5*Table7[[#This Row],[I_L pkpk]]</f>
        <v>1.82285714285714</v>
      </c>
      <c r="AP172" s="152" t="e">
        <f aca="false">IF(VACnom&gt;Vbat, (VGS_S-(TI_MOSFET_S_VTH_H_BU+Table7[[#This Row],[I_L]]/TI_MOSFET_S_gFS_H_BU))/3.4, (VGS_S-(TI_MOSFET_S_VTH_L_BO+Table7[[#This Row],[I_L]]/TI_MOSFET_S_gFS_L_BO))/3.4 )</f>
        <v>#REF!</v>
      </c>
      <c r="AQ172" s="152" t="e">
        <f aca="false">IF(VACnom&gt;Vbat, ((TI_MOSFET_S_VTH_H_BU+Table7[[#This Row],[I_L]]/TI_MOSFET_S_gFS_H_BU))/1, ((TI_MOSFET_S_VTH_L_BO+Table7[[#This Row],[I_L]]/TI_MOSFET_S_gFS_L_BO))/1 )</f>
        <v>#REF!</v>
      </c>
      <c r="AR172" s="152" t="e">
        <f aca="false">IF(VACnom&gt;Vbat, (TI_MOSFET_S_QGD_H_BU+TI_MOSFET_S_QGS_H_BU)*10^-9/Table7[[#This Row],[Ion (A)]], (TI_MOSFET_S_QGD_L_BO+TI_MOSFET_S_QGS_L_BO)*10^-9/Table7[[#This Row],[Ion (A)]])/10^-9</f>
        <v>#REF!</v>
      </c>
      <c r="AS172" s="152" t="e">
        <f aca="false">IF(VACnom&gt;Vbat, (TI_MOSFET_S_QGD_H_BU+TI_MOSFET_S_QGS_H_BU)*10^-9/Table7[[#This Row],[Ioff (A)]], (TI_MOSFET_S_QGD_L_BO+TI_MOSFET_S_QGS_L_BO)*10^-9/Table7[[#This Row],[Ioff (A)]])/10^-9</f>
        <v>#REF!</v>
      </c>
      <c r="AT172" s="152" t="e">
        <f aca="false">0.5*VACnom*Table7[[#This Row],[Ivalley (A)]]*Table7[[#This Row],[ton (ns)]]*10^-9*Fsw*10^3+0.5*VACnom*Table7[[#This Row],[Ipeak (A)]]*Table7[[#This Row],[toff (ns)]]*10^-9*Fsw*10^3/10^-3</f>
        <v>#REF!</v>
      </c>
      <c r="AU172" s="152" t="e">
        <f aca="false">IF(VACnom&gt;Vbat, 0.5*VACnom*TI_MOSFET_S_QOSS_H_BU*10^-9*Fsw*10^3,0.5*VACnom*TI_MOSFET_S_QOSS_L_BO*10^-9*Fsw*10^3)/10^-3</f>
        <v>#REF!</v>
      </c>
      <c r="AV172" s="152" t="e">
        <f aca="false">IF(VACnom&gt;Vbat, VACnom*TI_MOSFET_S_QG_H_BU*10^-9*Fsw*10^3,VACnom*TI_MOSFET_S_QG_H_BO*10^-9*Fsw*10^3)/10^-3</f>
        <v>#REF!</v>
      </c>
      <c r="AW172" s="152" t="e">
        <f aca="false">IF(VACnom&gt;Vbat, VACnom*TI_MOSFET_S_QRR_L_BU*10^-9*Fsw*10^3, VACnom*TI_MOSFET_S_QRR_H_BO*10^-9*Fsw*10^3)/10^-3</f>
        <v>#REF!</v>
      </c>
      <c r="AX172" s="152" t="e">
        <f aca="false">IF(VACnom&gt;Vbat, TI_MOSFET_S_VSD_L_BU*Table7[[#This Row],[Ivalley (A)]]*Fsw*10^3*40*10^-9+TI_MOSFET_S_VSD_L_BU*Table7[[#This Row],[Ipeak (A)]]*Fsw*10^3*30*10^-9, TI_MOSFET_S_VSD_H_BO*Table7[[#This Row],[Ivalley (A)]]*Fsw*10^3*40*10^-9+TI_MOSFET_S_VSD_H_BO*Table7[[#This Row],[Ipeak (A)]]*Fsw*10^3*30*10^-9)/10^-3</f>
        <v>#REF!</v>
      </c>
      <c r="AY172" s="152" t="e">
        <f aca="false">IF(VACnom&gt;Vbat, VACnom*TI_MOSFET_S_QG_L_BU*10^-9*Fsw*10^3, VACnom*TI_MOSFET_S_QG_L_BO*10^-9*Fsw*10^3)/10^-3</f>
        <v>#REF!</v>
      </c>
      <c r="AZ172" s="152" t="e">
        <f aca="false">IF(VACnom&lt;Vbat, Table7[[#This Row],[Duty Cycle]]*Table7[[#This Row],[I_L RMS]]^2*TI_MOSFET_S_RDSON_H_BU*10^-3, (1-Table7[[#This Row],[Duty Cycle]])*Table7[[#This Row],[I_L RMS]]^2*TI_MOSFET_S_RDSON_H_BO*10^-3)/10^-3</f>
        <v>#REF!</v>
      </c>
      <c r="BA172" s="152" t="e">
        <f aca="false">IF(VACnom&gt;Vbat, Table7[[#This Row],[PIV (mW)]]+Table7[[#This Row],[Pqoss (mW)]]+Table7[[#This Row],[Pgate_top (mW)]], Table7[[#This Row],[PRR (mW)]]+Table7[[#This Row],[Pdead (mW)]]+Table7[[#This Row],[Pgate_top (mW)]])</f>
        <v>#REF!</v>
      </c>
      <c r="BB172" s="152" t="e">
        <f aca="false">Table7[[#This Row],[Pcon_top (mW)]]+Table7[[#This Row],[Psw_top (mW)]]</f>
        <v>#REF!</v>
      </c>
      <c r="BC172" s="152" t="e">
        <f aca="false">IF(VACnom&gt;Vbat, (1-Table7[[#This Row],[Duty Cycle]])*Table7[[#This Row],[I_L RMS]]^2*TI_MOSFET_S_RDSON_L_BU*10^-3, Table7[[#This Row],[Duty Cycle]]*Table7[[#This Row],[I_L RMS]]^2*TI_MOSFET_S_RDSON_L_BO*10^-3)/10^-3</f>
        <v>#REF!</v>
      </c>
      <c r="BD172" s="152" t="e">
        <f aca="false">IF(VACnom&gt;Vbat, Table7[[#This Row],[PRR (mW)]]+Table7[[#This Row],[Pdead (mW)]]+Table7[[#This Row],[Pgate_bottom (mW)]], Table7[[#This Row],[PIV (mW)]]+Table7[[#This Row],[Pqoss (mW)]]+Table7[[#This Row],[Pgate_bottom (mW)]])</f>
        <v>#REF!</v>
      </c>
      <c r="BE172" s="154" t="e">
        <f aca="false">Table7[[#This Row],[Pcon_bottom (mW)]]+Table7[[#This Row],[Psw_bottom (mW)]]</f>
        <v>#REF!</v>
      </c>
      <c r="BF172" s="152" t="e">
        <f aca="false">Table7[[#This Row],[Pbottom (mW)]]+Table7[[#This Row],[Ptop (mW)]]</f>
        <v>#REF!</v>
      </c>
      <c r="BG172" s="155"/>
      <c r="BH172" s="152" t="n">
        <f aca="false">MAX(0,Table7[[#This Row],[I_L]]-0.5*Table7[[#This Row],[I_L pkpk]])</f>
        <v>1.53714285714286</v>
      </c>
      <c r="BI172" s="152" t="n">
        <f aca="false">Table7[[#This Row],[I_L]]+0.5*Table7[[#This Row],[I_L pkpk]]</f>
        <v>1.82285714285714</v>
      </c>
      <c r="BJ172" s="152" t="n">
        <f aca="false">IF(VACnom&gt;Vbat, (VGS_S-(C_MOSFET_S_VTH_H_BU+Table7[[#This Row],[I_L]]/C_MOSFET_S_gFS_H_BU))/3.4, (VGS_S-(C_MOSFET_S_VTH_L_BO+Table7[[#This Row],[I_L]]/C_MOSFET_S_gFS_L_BO))/3.4 )</f>
        <v>2.34964705882353</v>
      </c>
      <c r="BK172" s="152" t="n">
        <f aca="false">IF(VACnom&gt;Vbat, ((C_MOSFET_S_VTH_H_BU+Table7[[#This Row],[I_L]]/C_MOSFET_S_gFS_H_BU))/1, ((C_MOSFET_S_VTH_L_BO+Table7[[#This Row],[I_L]]/C_MOSFET_S_gFS_L_BO))/1 )</f>
        <v>2.0112</v>
      </c>
      <c r="BL172" s="152" t="n">
        <f aca="false">IF(VACnom&gt;Vbat, (C_MOSFET_S_QGD_H_BU+C_MOSFET_S_QGS_H_BU)*10^-9/Table7[[#This Row],[Ion (A) C]], (C_MOSFET_S_QGD_L_BO+C_MOSFET_S_QGS_L_BO)*10^-9/Table7[[#This Row],[Ion (A) C]])/10^-9</f>
        <v>2.76637292209093</v>
      </c>
      <c r="BM172" s="152" t="n">
        <f aca="false">IF(VACnom&gt;Vbat, (C_MOSFET_S_QGD_H_BU+C_MOSFET_S_QGS_H_BU)*10^-9/Table7[[#This Row],[Ioff (A) C]], (C_MOSFET_S_QGD_L_BO+C_MOSFET_S_QGS_L_BO)*10^-9/Table7[[#This Row],[Ioff (A) C]])/10^-9</f>
        <v>3.23190135242641</v>
      </c>
      <c r="BN172" s="152" t="n">
        <f aca="false">0.5*VACnom*Table7[[#This Row],[Ivalley (A) C]]*Table7[[#This Row],[ton (ns) C]]*10^-9*Fsw*10^3+0.5*VACnom*Table7[[#This Row],[Ipeak (A) C]]*Table7[[#This Row],[toff (ns) C]]*10^-9*Fsw*10^3/10^-3</f>
        <v>7.07465613078904</v>
      </c>
      <c r="BO172" s="152" t="n">
        <f aca="false">IF(VACnom&gt;Vbat, 0.5*VACnom*C_MOSFET_S_QOSS_H_BU*10^-9*Fsw*10^3,0.5*VACnom*C_MOSFET_S_QOSS_L_BO*10^-9*Fsw*10^3)/10^-3</f>
        <v>43.2</v>
      </c>
      <c r="BP172" s="152" t="e">
        <f aca="false">IF(VACnom&gt;Vbat, VACnom*C_MOSFET_S_QG_H_BU*10^-9*Fsw*10^3,VACnom*C_MOSFET_S_QG_H_BO*10^-9*Fsw*10^3)/10^-3</f>
        <v>#REF!</v>
      </c>
      <c r="BQ172" s="152" t="n">
        <f aca="false">IF(VACnom&gt;Vbat, VACnom*C_MOSFET_S_QRR_L_BU*10^-9*Fsw*10^3, VACnom*C_MOSFET_S_QRR_H_BO*10^-9*Fsw*10^3)/10^-3</f>
        <v>79.2</v>
      </c>
      <c r="BR172" s="152" t="n">
        <f aca="false">IF(VACnom&gt;Vbat, C_MOSFET_S_VSD_L_BU*Table7[[#This Row],[Ivalley (A) C]]*Fsw*10^3*40*10^-9+C_MOSFET_S_VSD_L_BU*Table7[[#This Row],[Ipeak (A) C]]*Fsw*10^3*30*10^-9, C_MOSFET_S_VSD_H_BO*Table7[[#This Row],[Ivalley (A) C]]*Fsw*10^3*40*10^-9+C_MOSFET_S_VSD_H_BO*Table7[[#This Row],[Ipeak (A) C]]*Fsw*10^3*30*10^-9)/10^-3</f>
        <v>18.5874285714286</v>
      </c>
      <c r="BS172" s="152" t="e">
        <f aca="false">IF(VACnom&gt;Vbat, VACnom*C_MOSFET_S_QG_L_BU*10^-9*Fsw*10^3, VACnom*C_MOSFET_S_QG_L_BO*10^-9*Fsw*10^3)/10^-3</f>
        <v>#REF!</v>
      </c>
      <c r="BT172" s="152" t="n">
        <f aca="false">IF(VACnom&lt;Vbat, Table7[[#This Row],[Duty Cycle]]*Table7[[#This Row],[I_L RMS]]^2*C_MOSFET_S_RDSON_H_BU*10^-3, (1-Table7[[#This Row],[Duty Cycle]])*Table7[[#This Row],[I_L RMS]]^2*C_MOSFET_S_RDSON_H_BO*10^-3)/10^-3</f>
        <v>0.767926452866861</v>
      </c>
      <c r="BU172" s="152" t="e">
        <f aca="false">IF(VACnom&gt;Vbat, Table7[[#This Row],[PIV (mW) C]]+Table7[[#This Row],[PQoss (mW) C]]+Table7[[#This Row],[Pgate_top (mW) C]], Table7[[#This Row],[PRR (mW) C]]+Table7[[#This Row],[Pdead (mW) C]]+Table7[[#This Row],[Pgate_top (mW) C]])</f>
        <v>#REF!</v>
      </c>
      <c r="BV172" s="152" t="e">
        <f aca="false">Table7[[#This Row],[Pcon_top (mW) C]]+Table7[[#This Row],[Psw_top (mW) C]]</f>
        <v>#REF!</v>
      </c>
      <c r="BW172" s="152" t="e">
        <f aca="false">IF(VACnom&gt;Vbat, (1-Table7[[#This Row],[Duty Cycle]])*Table7[[#This Row],[I_L RMS]]^2*C_MOSFET_S_RDSON_L_BU*10^-3, Table7[[#This Row],[Duty Cycle]]*Table7[[#This Row],[I_L RMS]]^2*C_MOSFET_S_RDSON_L_BO*10^-3)/10^-3</f>
        <v>#REF!</v>
      </c>
      <c r="BX172" s="152" t="e">
        <f aca="false">IF(VACnom&gt;Vbat, Table7[[#This Row],[PRR (mW) C]]+Table7[[#This Row],[Pdead (mW) C]]+Table7[[#This Row],[Pgate_bottom (mW) C]], Table7[[#This Row],[PIV (mW) C]]+Table7[[#This Row],[PQoss (mW) C]]+Table7[[#This Row],[Pgate_bottom (mW) C]])</f>
        <v>#REF!</v>
      </c>
      <c r="BY172" s="152" t="e">
        <f aca="false">Table7[[#This Row],[Pcon_bottom (mW) C]]+Table7[[#This Row],[Psw_bottom (mV) C]]</f>
        <v>#REF!</v>
      </c>
      <c r="BZ172" s="152" t="e">
        <f aca="false">Table7[[#This Row],[Pbottom (mW) C]]+Table7[[#This Row],[Ptop (mW) C]]</f>
        <v>#REF!</v>
      </c>
      <c r="CA172" s="156"/>
      <c r="CB172" s="151" t="n">
        <f aca="false">(RAC_SNS*10^-3*(Table7[[#This Row],[IOUT (A)]]*Vbat/VACnom)^2/10^-3)</f>
        <v>14.112</v>
      </c>
      <c r="CC172" s="151" t="n">
        <f aca="false">(RBAT_SNS*10^-3*Table7[[#This Row],[IOUT (A)]]^2)/10^-3</f>
        <v>12.8</v>
      </c>
      <c r="CD172" s="151" t="n">
        <f aca="false">IF(VACnom&gt;Vbat,(L_DRC*10^-3*(Table7[[#This Row],[IOUT (A)]])^2/10^-3),(L_DRC*10^-3*(Table7[[#This Row],[IOUT (A)]]*Vbat/VACnom)^2/10^-3))</f>
        <v>33.8688</v>
      </c>
      <c r="CE172" s="157"/>
      <c r="CF172" s="152" t="n">
        <f aca="false">(Table7[[#This Row],[R_AC (mW)]]+Table7[[#This Row],[R_SR (mW)]]+Table7[[#This Row],[Inductor Loss (mW)]])/10^3</f>
        <v>0.0607808</v>
      </c>
      <c r="CG172" s="152" t="e">
        <f aca="false">Table7[[#This Row],[Total TI (mW)]]/10^3</f>
        <v>#REF!</v>
      </c>
      <c r="CH172" s="152" t="e">
        <f aca="false">Table7[[#This Row],[Total Sense Loss]]+Table7[[#This Row],[Total MOSFET Loss]]</f>
        <v>#REF!</v>
      </c>
      <c r="CI172" s="158" t="e">
        <f aca="false">IF(Table7[[#This Row],[POUT (W)]]=0,0,(Table7[[#This Row],[POUT (W)]])/(Table7[[#This Row],[POUT (W)]]+Table7[[#This Row],[Total Power Loss (W)]]))*100</f>
        <v>#REF!</v>
      </c>
      <c r="CJ172" s="159"/>
      <c r="CK172" s="152" t="n">
        <f aca="false">(Table7[[#This Row],[R_AC (mW)]]+Table7[[#This Row],[R_SR (mW)]]+Table7[[#This Row],[Inductor Loss (mW)]])/10^3</f>
        <v>0.0607808</v>
      </c>
      <c r="CL172" s="152" t="e">
        <f aca="false">Table7[[#This Row],[Total (mW) C]]/10^3</f>
        <v>#REF!</v>
      </c>
      <c r="CM172" s="152" t="e">
        <f aca="false">Table7[[#This Row],[Total Sense Loss C]]+Table7[[#This Row],[Total MOSFET Loss C]]</f>
        <v>#REF!</v>
      </c>
      <c r="CN172" s="158" t="e">
        <f aca="false">IF(Table7[[#This Row],[POUT (W)]]=0,0,(Table7[[#This Row],[POUT (W)]])/(Table7[[#This Row],[POUT (W)]]+Table7[[#This Row],[Total Power Loss (W) C]]))*100</f>
        <v>#REF!</v>
      </c>
      <c r="CO172" s="159"/>
      <c r="CP172" s="158" t="n">
        <f aca="false">IF(MOSFET_S=Custom_MOSFET,Table7[[#This Row],[Total Sense Loss C]],Table7[[#This Row],[Total Sense Loss]])</f>
        <v>0.0607808</v>
      </c>
      <c r="CQ172" s="158" t="e">
        <f aca="false">IF(MOSFET_S=Custom_MOSFET,Table7[[#This Row],[Total MOSFET Loss C]],Table7[[#This Row],[Total MOSFET Loss]])</f>
        <v>#REF!</v>
      </c>
      <c r="CR172" s="158" t="e">
        <f aca="false">IF(MOSFET_S=Custom_MOSFET,Table7[[#This Row],[Efficiency C]],Table7[[#This Row],[Efficiency]])</f>
        <v>#REF!</v>
      </c>
      <c r="CS172" s="159"/>
      <c r="CT172" s="158" t="n">
        <f aca="false">IF(MOSFET_S=Compare_MOSFET, Table7[[#This Row],[Total Sense Loss C]], -100)</f>
        <v>-100</v>
      </c>
      <c r="CU172" s="158" t="n">
        <f aca="false">IF(MOSFET_S=Compare_MOSFET, Table7[[#This Row],[Total MOSFET Loss C]], -100)</f>
        <v>-100</v>
      </c>
      <c r="CV172" s="158" t="n">
        <f aca="false">IF(MOSFET_S=Compare_MOSFET, Table7[[#This Row],[Efficiency C]], -100)</f>
        <v>-100</v>
      </c>
      <c r="CW172" s="159"/>
      <c r="CX172" s="158" t="e">
        <f aca="false">IF(Save_Sel=CLR_Save,  Table7[[#This Row],[Total Sense Loss P1]], Table7[[#This Row],[Total Sense Loss P1 Saved]])</f>
        <v>#VALUE!</v>
      </c>
      <c r="CY172" s="158" t="e">
        <f aca="false">IF(Save_Sel=CLR_Save,  Table7[[#This Row],[Total MOSFET Loss P1]], Table7[[#This Row],[Total MOSFET Loss P1 Saved]] )</f>
        <v>#VALUE!</v>
      </c>
      <c r="CZ172" s="158" t="e">
        <f aca="false">IF(Save_Sel=CLR_Save, Table7[[#This Row],[Efficiency P1]], Table7[[#This Row],[Efficiency P1 Saved]])</f>
        <v>#VALUE!</v>
      </c>
      <c r="DA172" s="159"/>
      <c r="DB172" s="158" t="e">
        <f aca="false">IF(Save_Sel=CLR_Save,  Table7[[#This Row],[Total Sense Loss P2]], Table7[[#This Row],[Total Sense Loss P2 Saved]])</f>
        <v>#VALUE!</v>
      </c>
      <c r="DC172" s="158" t="e">
        <f aca="false">IF(Save_Sel=CLR_Save,  Table7[[#This Row],[Total MOSFET Loss P2]], Table7[[#This Row],[Total MOSFET Loss P2 Saved]] )</f>
        <v>#VALUE!</v>
      </c>
      <c r="DD172" s="158" t="e">
        <f aca="false">IF(Save_Sel=CLR_Save, Table7[[#This Row],[Efficiency P2]], Table7[[#This Row],[Efficiency P2 Saved]])</f>
        <v>#VALUE!</v>
      </c>
      <c r="DE172" s="159"/>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row>
    <row r="173" customFormat="false" ht="16.4" hidden="false" customHeight="false" outlineLevel="0" collapsed="false">
      <c r="A173" s="100" t="n">
        <v>14</v>
      </c>
      <c r="B173" s="84"/>
      <c r="C173" s="84"/>
      <c r="D173" s="28" t="s">
        <v>153</v>
      </c>
      <c r="E173" s="41"/>
      <c r="F173" s="168" t="e">
        <f aca="false">$O130</f>
        <v>#REF!</v>
      </c>
      <c r="G173" s="119" t="s">
        <v>140</v>
      </c>
      <c r="H173" s="24"/>
      <c r="I173" s="100" t="n">
        <v>14</v>
      </c>
      <c r="J173" s="24"/>
      <c r="K173" s="84"/>
      <c r="L173" s="84"/>
      <c r="M173" s="28" t="s">
        <v>153</v>
      </c>
      <c r="N173" s="84"/>
      <c r="O173" s="124" t="n">
        <f aca="false">$F130</f>
        <v>63</v>
      </c>
      <c r="P173" s="119" t="s">
        <v>140</v>
      </c>
      <c r="Q173" s="24"/>
      <c r="R173" s="24"/>
      <c r="S173" s="25"/>
      <c r="T173" s="6"/>
      <c r="U173" s="7"/>
      <c r="V173" s="7"/>
      <c r="W173" s="7"/>
      <c r="X173" s="7"/>
      <c r="Y173" s="7"/>
      <c r="Z173" s="7"/>
      <c r="AA173" s="7"/>
      <c r="AB173" s="7"/>
      <c r="AC173" s="7"/>
      <c r="AD173" s="7"/>
      <c r="AE173" s="7"/>
      <c r="AF173" s="150" t="n">
        <f aca="false">AF172+1</f>
        <v>17</v>
      </c>
      <c r="AG173" s="150" t="n">
        <f aca="false">$AG$156+AF173*($AG$256-$AG$156)/$AF$256</f>
        <v>1.7</v>
      </c>
      <c r="AH173" s="151" t="n">
        <f aca="false">AG173*VACnom</f>
        <v>20.4</v>
      </c>
      <c r="AI173" s="152" t="n">
        <f aca="false">IF(VACnom&lt;Vbat, (Vbat-VACnom)/Vbat, Vbat/VACnom)</f>
        <v>0.0476190476190476</v>
      </c>
      <c r="AJ173" s="152" t="n">
        <f aca="false">IF(VACnom&lt;Vbat, AG173/(1-AI173), AG173*AI173)</f>
        <v>1.785</v>
      </c>
      <c r="AK173" s="152" t="n">
        <f aca="false">Ipkpk_VACnom</f>
        <v>0.285714285714285</v>
      </c>
      <c r="AL173" s="152" t="n">
        <f aca="false">SQRT(AJ173^2+AK173^2/12)</f>
        <v>1.78690450810569</v>
      </c>
      <c r="AM173" s="153"/>
      <c r="AN173" s="152" t="n">
        <f aca="false">MAX(0,Table7[[#This Row],[I_L]]-0.5*Table7[[#This Row],[I_L pkpk]])</f>
        <v>1.64214285714286</v>
      </c>
      <c r="AO173" s="152" t="n">
        <f aca="false">Table7[[#This Row],[I_L]]+0.5*Table7[[#This Row],[I_L pkpk]]</f>
        <v>1.92785714285714</v>
      </c>
      <c r="AP173" s="152" t="e">
        <f aca="false">IF(VACnom&gt;Vbat, (VGS_S-(TI_MOSFET_S_VTH_H_BU+Table7[[#This Row],[I_L]]/TI_MOSFET_S_gFS_H_BU))/3.4, (VGS_S-(TI_MOSFET_S_VTH_L_BO+Table7[[#This Row],[I_L]]/TI_MOSFET_S_gFS_L_BO))/3.4 )</f>
        <v>#REF!</v>
      </c>
      <c r="AQ173" s="152" t="e">
        <f aca="false">IF(VACnom&gt;Vbat, ((TI_MOSFET_S_VTH_H_BU+Table7[[#This Row],[I_L]]/TI_MOSFET_S_gFS_H_BU))/1, ((TI_MOSFET_S_VTH_L_BO+Table7[[#This Row],[I_L]]/TI_MOSFET_S_gFS_L_BO))/1 )</f>
        <v>#REF!</v>
      </c>
      <c r="AR173" s="152" t="e">
        <f aca="false">IF(VACnom&gt;Vbat, (TI_MOSFET_S_QGD_H_BU+TI_MOSFET_S_QGS_H_BU)*10^-9/Table7[[#This Row],[Ion (A)]], (TI_MOSFET_S_QGD_L_BO+TI_MOSFET_S_QGS_L_BO)*10^-9/Table7[[#This Row],[Ion (A)]])/10^-9</f>
        <v>#REF!</v>
      </c>
      <c r="AS173" s="152" t="e">
        <f aca="false">IF(VACnom&gt;Vbat, (TI_MOSFET_S_QGD_H_BU+TI_MOSFET_S_QGS_H_BU)*10^-9/Table7[[#This Row],[Ioff (A)]], (TI_MOSFET_S_QGD_L_BO+TI_MOSFET_S_QGS_L_BO)*10^-9/Table7[[#This Row],[Ioff (A)]])/10^-9</f>
        <v>#REF!</v>
      </c>
      <c r="AT173" s="152" t="e">
        <f aca="false">0.5*VACnom*Table7[[#This Row],[Ivalley (A)]]*Table7[[#This Row],[ton (ns)]]*10^-9*Fsw*10^3+0.5*VACnom*Table7[[#This Row],[Ipeak (A)]]*Table7[[#This Row],[toff (ns)]]*10^-9*Fsw*10^3/10^-3</f>
        <v>#REF!</v>
      </c>
      <c r="AU173" s="152" t="e">
        <f aca="false">IF(VACnom&gt;Vbat, 0.5*VACnom*TI_MOSFET_S_QOSS_H_BU*10^-9*Fsw*10^3,0.5*VACnom*TI_MOSFET_S_QOSS_L_BO*10^-9*Fsw*10^3)/10^-3</f>
        <v>#REF!</v>
      </c>
      <c r="AV173" s="152" t="e">
        <f aca="false">IF(VACnom&gt;Vbat, VACnom*TI_MOSFET_S_QG_H_BU*10^-9*Fsw*10^3,VACnom*TI_MOSFET_S_QG_H_BO*10^-9*Fsw*10^3)/10^-3</f>
        <v>#REF!</v>
      </c>
      <c r="AW173" s="152" t="e">
        <f aca="false">IF(VACnom&gt;Vbat, VACnom*TI_MOSFET_S_QRR_L_BU*10^-9*Fsw*10^3, VACnom*TI_MOSFET_S_QRR_H_BO*10^-9*Fsw*10^3)/10^-3</f>
        <v>#REF!</v>
      </c>
      <c r="AX173" s="152" t="e">
        <f aca="false">IF(VACnom&gt;Vbat, TI_MOSFET_S_VSD_L_BU*Table7[[#This Row],[Ivalley (A)]]*Fsw*10^3*40*10^-9+TI_MOSFET_S_VSD_L_BU*Table7[[#This Row],[Ipeak (A)]]*Fsw*10^3*30*10^-9, TI_MOSFET_S_VSD_H_BO*Table7[[#This Row],[Ivalley (A)]]*Fsw*10^3*40*10^-9+TI_MOSFET_S_VSD_H_BO*Table7[[#This Row],[Ipeak (A)]]*Fsw*10^3*30*10^-9)/10^-3</f>
        <v>#REF!</v>
      </c>
      <c r="AY173" s="152" t="e">
        <f aca="false">IF(VACnom&gt;Vbat, VACnom*TI_MOSFET_S_QG_L_BU*10^-9*Fsw*10^3, VACnom*TI_MOSFET_S_QG_L_BO*10^-9*Fsw*10^3)/10^-3</f>
        <v>#REF!</v>
      </c>
      <c r="AZ173" s="152" t="e">
        <f aca="false">IF(VACnom&lt;Vbat, Table7[[#This Row],[Duty Cycle]]*Table7[[#This Row],[I_L RMS]]^2*TI_MOSFET_S_RDSON_H_BU*10^-3, (1-Table7[[#This Row],[Duty Cycle]])*Table7[[#This Row],[I_L RMS]]^2*TI_MOSFET_S_RDSON_H_BO*10^-3)/10^-3</f>
        <v>#REF!</v>
      </c>
      <c r="BA173" s="152" t="e">
        <f aca="false">IF(VACnom&gt;Vbat, Table7[[#This Row],[PIV (mW)]]+Table7[[#This Row],[Pqoss (mW)]]+Table7[[#This Row],[Pgate_top (mW)]], Table7[[#This Row],[PRR (mW)]]+Table7[[#This Row],[Pdead (mW)]]+Table7[[#This Row],[Pgate_top (mW)]])</f>
        <v>#REF!</v>
      </c>
      <c r="BB173" s="152" t="e">
        <f aca="false">Table7[[#This Row],[Pcon_top (mW)]]+Table7[[#This Row],[Psw_top (mW)]]</f>
        <v>#REF!</v>
      </c>
      <c r="BC173" s="152" t="e">
        <f aca="false">IF(VACnom&gt;Vbat, (1-Table7[[#This Row],[Duty Cycle]])*Table7[[#This Row],[I_L RMS]]^2*TI_MOSFET_S_RDSON_L_BU*10^-3, Table7[[#This Row],[Duty Cycle]]*Table7[[#This Row],[I_L RMS]]^2*TI_MOSFET_S_RDSON_L_BO*10^-3)/10^-3</f>
        <v>#REF!</v>
      </c>
      <c r="BD173" s="152" t="e">
        <f aca="false">IF(VACnom&gt;Vbat, Table7[[#This Row],[PRR (mW)]]+Table7[[#This Row],[Pdead (mW)]]+Table7[[#This Row],[Pgate_bottom (mW)]], Table7[[#This Row],[PIV (mW)]]+Table7[[#This Row],[Pqoss (mW)]]+Table7[[#This Row],[Pgate_bottom (mW)]])</f>
        <v>#REF!</v>
      </c>
      <c r="BE173" s="154" t="e">
        <f aca="false">Table7[[#This Row],[Pcon_bottom (mW)]]+Table7[[#This Row],[Psw_bottom (mW)]]</f>
        <v>#REF!</v>
      </c>
      <c r="BF173" s="152" t="e">
        <f aca="false">Table7[[#This Row],[Pbottom (mW)]]+Table7[[#This Row],[Ptop (mW)]]</f>
        <v>#REF!</v>
      </c>
      <c r="BG173" s="155"/>
      <c r="BH173" s="152" t="n">
        <f aca="false">MAX(0,Table7[[#This Row],[I_L]]-0.5*Table7[[#This Row],[I_L pkpk]])</f>
        <v>1.64214285714286</v>
      </c>
      <c r="BI173" s="152" t="n">
        <f aca="false">Table7[[#This Row],[I_L]]+0.5*Table7[[#This Row],[I_L pkpk]]</f>
        <v>1.92785714285714</v>
      </c>
      <c r="BJ173" s="152" t="n">
        <f aca="false">IF(VACnom&gt;Vbat, (VGS_S-(C_MOSFET_S_VTH_H_BU+Table7[[#This Row],[I_L]]/C_MOSFET_S_gFS_H_BU))/3.4, (VGS_S-(C_MOSFET_S_VTH_L_BO+Table7[[#This Row],[I_L]]/C_MOSFET_S_gFS_L_BO))/3.4 )</f>
        <v>2.34944117647059</v>
      </c>
      <c r="BK173" s="152" t="n">
        <f aca="false">IF(VACnom&gt;Vbat, ((C_MOSFET_S_VTH_H_BU+Table7[[#This Row],[I_L]]/C_MOSFET_S_gFS_H_BU))/1, ((C_MOSFET_S_VTH_L_BO+Table7[[#This Row],[I_L]]/C_MOSFET_S_gFS_L_BO))/1 )</f>
        <v>2.0119</v>
      </c>
      <c r="BL173" s="152" t="n">
        <f aca="false">IF(VACnom&gt;Vbat, (C_MOSFET_S_QGD_H_BU+C_MOSFET_S_QGS_H_BU)*10^-9/Table7[[#This Row],[Ion (A) C]], (C_MOSFET_S_QGD_L_BO+C_MOSFET_S_QGS_L_BO)*10^-9/Table7[[#This Row],[Ion (A) C]])/10^-9</f>
        <v>2.76661534031872</v>
      </c>
      <c r="BM173" s="152" t="n">
        <f aca="false">IF(VACnom&gt;Vbat, (C_MOSFET_S_QGD_H_BU+C_MOSFET_S_QGS_H_BU)*10^-9/Table7[[#This Row],[Ioff (A) C]], (C_MOSFET_S_QGD_L_BO+C_MOSFET_S_QGS_L_BO)*10^-9/Table7[[#This Row],[Ioff (A) C]])/10^-9</f>
        <v>3.23077687757841</v>
      </c>
      <c r="BN173" s="152" t="n">
        <f aca="false">0.5*VACnom*Table7[[#This Row],[Ivalley (A) C]]*Table7[[#This Row],[ton (ns) C]]*10^-9*Fsw*10^3+0.5*VACnom*Table7[[#This Row],[Ipeak (A) C]]*Table7[[#This Row],[toff (ns) C]]*10^-9*Fsw*10^3/10^-3</f>
        <v>7.47962334964416</v>
      </c>
      <c r="BO173" s="152" t="n">
        <f aca="false">IF(VACnom&gt;Vbat, 0.5*VACnom*C_MOSFET_S_QOSS_H_BU*10^-9*Fsw*10^3,0.5*VACnom*C_MOSFET_S_QOSS_L_BO*10^-9*Fsw*10^3)/10^-3</f>
        <v>43.2</v>
      </c>
      <c r="BP173" s="152" t="e">
        <f aca="false">IF(VACnom&gt;Vbat, VACnom*C_MOSFET_S_QG_H_BU*10^-9*Fsw*10^3,VACnom*C_MOSFET_S_QG_H_BO*10^-9*Fsw*10^3)/10^-3</f>
        <v>#REF!</v>
      </c>
      <c r="BQ173" s="152" t="n">
        <f aca="false">IF(VACnom&gt;Vbat, VACnom*C_MOSFET_S_QRR_L_BU*10^-9*Fsw*10^3, VACnom*C_MOSFET_S_QRR_H_BO*10^-9*Fsw*10^3)/10^-3</f>
        <v>79.2</v>
      </c>
      <c r="BR173" s="152" t="n">
        <f aca="false">IF(VACnom&gt;Vbat, C_MOSFET_S_VSD_L_BU*Table7[[#This Row],[Ivalley (A) C]]*Fsw*10^3*40*10^-9+C_MOSFET_S_VSD_L_BU*Table7[[#This Row],[Ipeak (A) C]]*Fsw*10^3*30*10^-9, C_MOSFET_S_VSD_H_BO*Table7[[#This Row],[Ivalley (A) C]]*Fsw*10^3*40*10^-9+C_MOSFET_S_VSD_H_BO*Table7[[#This Row],[Ipeak (A) C]]*Fsw*10^3*30*10^-9)/10^-3</f>
        <v>19.7634285714286</v>
      </c>
      <c r="BS173" s="152" t="e">
        <f aca="false">IF(VACnom&gt;Vbat, VACnom*C_MOSFET_S_QG_L_BU*10^-9*Fsw*10^3, VACnom*C_MOSFET_S_QG_L_BO*10^-9*Fsw*10^3)/10^-3</f>
        <v>#REF!</v>
      </c>
      <c r="BT173" s="152" t="n">
        <f aca="false">IF(VACnom&lt;Vbat, Table7[[#This Row],[Duty Cycle]]*Table7[[#This Row],[I_L RMS]]^2*C_MOSFET_S_RDSON_H_BU*10^-3, (1-Table7[[#This Row],[Duty Cycle]])*Table7[[#This Row],[I_L RMS]]^2*C_MOSFET_S_RDSON_H_BO*10^-3)/10^-3</f>
        <v>0.866678952866861</v>
      </c>
      <c r="BU173" s="152" t="e">
        <f aca="false">IF(VACnom&gt;Vbat, Table7[[#This Row],[PIV (mW) C]]+Table7[[#This Row],[PQoss (mW) C]]+Table7[[#This Row],[Pgate_top (mW) C]], Table7[[#This Row],[PRR (mW) C]]+Table7[[#This Row],[Pdead (mW) C]]+Table7[[#This Row],[Pgate_top (mW) C]])</f>
        <v>#REF!</v>
      </c>
      <c r="BV173" s="152" t="e">
        <f aca="false">Table7[[#This Row],[Pcon_top (mW) C]]+Table7[[#This Row],[Psw_top (mW) C]]</f>
        <v>#REF!</v>
      </c>
      <c r="BW173" s="152" t="e">
        <f aca="false">IF(VACnom&gt;Vbat, (1-Table7[[#This Row],[Duty Cycle]])*Table7[[#This Row],[I_L RMS]]^2*C_MOSFET_S_RDSON_L_BU*10^-3, Table7[[#This Row],[Duty Cycle]]*Table7[[#This Row],[I_L RMS]]^2*C_MOSFET_S_RDSON_L_BO*10^-3)/10^-3</f>
        <v>#REF!</v>
      </c>
      <c r="BX173" s="152" t="e">
        <f aca="false">IF(VACnom&gt;Vbat, Table7[[#This Row],[PRR (mW) C]]+Table7[[#This Row],[Pdead (mW) C]]+Table7[[#This Row],[Pgate_bottom (mW) C]], Table7[[#This Row],[PIV (mW) C]]+Table7[[#This Row],[PQoss (mW) C]]+Table7[[#This Row],[Pgate_bottom (mW) C]])</f>
        <v>#REF!</v>
      </c>
      <c r="BY173" s="152" t="e">
        <f aca="false">Table7[[#This Row],[Pcon_bottom (mW) C]]+Table7[[#This Row],[Psw_bottom (mV) C]]</f>
        <v>#REF!</v>
      </c>
      <c r="BZ173" s="152" t="e">
        <f aca="false">Table7[[#This Row],[Pbottom (mW) C]]+Table7[[#This Row],[Ptop (mW) C]]</f>
        <v>#REF!</v>
      </c>
      <c r="CA173" s="156"/>
      <c r="CB173" s="151" t="n">
        <f aca="false">(RAC_SNS*10^-3*(Table7[[#This Row],[IOUT (A)]]*Vbat/VACnom)^2/10^-3)</f>
        <v>15.931125</v>
      </c>
      <c r="CC173" s="151" t="n">
        <f aca="false">(RBAT_SNS*10^-3*Table7[[#This Row],[IOUT (A)]]^2)/10^-3</f>
        <v>14.45</v>
      </c>
      <c r="CD173" s="151" t="n">
        <f aca="false">IF(VACnom&gt;Vbat,(L_DRC*10^-3*(Table7[[#This Row],[IOUT (A)]])^2/10^-3),(L_DRC*10^-3*(Table7[[#This Row],[IOUT (A)]]*Vbat/VACnom)^2/10^-3))</f>
        <v>38.2347</v>
      </c>
      <c r="CE173" s="157"/>
      <c r="CF173" s="152" t="n">
        <f aca="false">(Table7[[#This Row],[R_AC (mW)]]+Table7[[#This Row],[R_SR (mW)]]+Table7[[#This Row],[Inductor Loss (mW)]])/10^3</f>
        <v>0.068615825</v>
      </c>
      <c r="CG173" s="152" t="e">
        <f aca="false">Table7[[#This Row],[Total TI (mW)]]/10^3</f>
        <v>#REF!</v>
      </c>
      <c r="CH173" s="152" t="e">
        <f aca="false">Table7[[#This Row],[Total Sense Loss]]+Table7[[#This Row],[Total MOSFET Loss]]</f>
        <v>#REF!</v>
      </c>
      <c r="CI173" s="158" t="e">
        <f aca="false">IF(Table7[[#This Row],[POUT (W)]]=0,0,(Table7[[#This Row],[POUT (W)]])/(Table7[[#This Row],[POUT (W)]]+Table7[[#This Row],[Total Power Loss (W)]]))*100</f>
        <v>#REF!</v>
      </c>
      <c r="CJ173" s="159"/>
      <c r="CK173" s="152" t="n">
        <f aca="false">(Table7[[#This Row],[R_AC (mW)]]+Table7[[#This Row],[R_SR (mW)]]+Table7[[#This Row],[Inductor Loss (mW)]])/10^3</f>
        <v>0.068615825</v>
      </c>
      <c r="CL173" s="152" t="e">
        <f aca="false">Table7[[#This Row],[Total (mW) C]]/10^3</f>
        <v>#REF!</v>
      </c>
      <c r="CM173" s="152" t="e">
        <f aca="false">Table7[[#This Row],[Total Sense Loss C]]+Table7[[#This Row],[Total MOSFET Loss C]]</f>
        <v>#REF!</v>
      </c>
      <c r="CN173" s="158" t="e">
        <f aca="false">IF(Table7[[#This Row],[POUT (W)]]=0,0,(Table7[[#This Row],[POUT (W)]])/(Table7[[#This Row],[POUT (W)]]+Table7[[#This Row],[Total Power Loss (W) C]]))*100</f>
        <v>#REF!</v>
      </c>
      <c r="CO173" s="159"/>
      <c r="CP173" s="158" t="n">
        <f aca="false">IF(MOSFET_S=Custom_MOSFET,Table7[[#This Row],[Total Sense Loss C]],Table7[[#This Row],[Total Sense Loss]])</f>
        <v>0.068615825</v>
      </c>
      <c r="CQ173" s="158" t="e">
        <f aca="false">IF(MOSFET_S=Custom_MOSFET,Table7[[#This Row],[Total MOSFET Loss C]],Table7[[#This Row],[Total MOSFET Loss]])</f>
        <v>#REF!</v>
      </c>
      <c r="CR173" s="158" t="e">
        <f aca="false">IF(MOSFET_S=Custom_MOSFET,Table7[[#This Row],[Efficiency C]],Table7[[#This Row],[Efficiency]])</f>
        <v>#REF!</v>
      </c>
      <c r="CS173" s="159"/>
      <c r="CT173" s="158" t="n">
        <f aca="false">IF(MOSFET_S=Compare_MOSFET, Table7[[#This Row],[Total Sense Loss C]], -100)</f>
        <v>-100</v>
      </c>
      <c r="CU173" s="158" t="n">
        <f aca="false">IF(MOSFET_S=Compare_MOSFET, Table7[[#This Row],[Total MOSFET Loss C]], -100)</f>
        <v>-100</v>
      </c>
      <c r="CV173" s="158" t="n">
        <f aca="false">IF(MOSFET_S=Compare_MOSFET, Table7[[#This Row],[Efficiency C]], -100)</f>
        <v>-100</v>
      </c>
      <c r="CW173" s="159"/>
      <c r="CX173" s="158" t="e">
        <f aca="false">IF(Save_Sel=CLR_Save,  Table7[[#This Row],[Total Sense Loss P1]], Table7[[#This Row],[Total Sense Loss P1 Saved]])</f>
        <v>#VALUE!</v>
      </c>
      <c r="CY173" s="158" t="e">
        <f aca="false">IF(Save_Sel=CLR_Save,  Table7[[#This Row],[Total MOSFET Loss P1]], Table7[[#This Row],[Total MOSFET Loss P1 Saved]] )</f>
        <v>#VALUE!</v>
      </c>
      <c r="CZ173" s="158" t="e">
        <f aca="false">IF(Save_Sel=CLR_Save, Table7[[#This Row],[Efficiency P1]], Table7[[#This Row],[Efficiency P1 Saved]])</f>
        <v>#VALUE!</v>
      </c>
      <c r="DA173" s="159"/>
      <c r="DB173" s="158" t="e">
        <f aca="false">IF(Save_Sel=CLR_Save,  Table7[[#This Row],[Total Sense Loss P2]], Table7[[#This Row],[Total Sense Loss P2 Saved]])</f>
        <v>#VALUE!</v>
      </c>
      <c r="DC173" s="158" t="e">
        <f aca="false">IF(Save_Sel=CLR_Save,  Table7[[#This Row],[Total MOSFET Loss P2]], Table7[[#This Row],[Total MOSFET Loss P2 Saved]] )</f>
        <v>#VALUE!</v>
      </c>
      <c r="DD173" s="158" t="e">
        <f aca="false">IF(Save_Sel=CLR_Save, Table7[[#This Row],[Efficiency P2]], Table7[[#This Row],[Efficiency P2 Saved]])</f>
        <v>#VALUE!</v>
      </c>
      <c r="DE173" s="159"/>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row>
    <row r="174" customFormat="false" ht="16.4" hidden="false" customHeight="false" outlineLevel="0" collapsed="false">
      <c r="A174" s="96" t="n">
        <v>15</v>
      </c>
      <c r="B174" s="97"/>
      <c r="C174" s="97"/>
      <c r="D174" s="35" t="s">
        <v>154</v>
      </c>
      <c r="E174" s="169" t="e">
        <f aca="false">$N131</f>
        <v>#REF!</v>
      </c>
      <c r="F174" s="169" t="e">
        <f aca="false">$O131</f>
        <v>#REF!</v>
      </c>
      <c r="G174" s="130" t="s">
        <v>155</v>
      </c>
      <c r="H174" s="24"/>
      <c r="I174" s="96" t="n">
        <v>15</v>
      </c>
      <c r="J174" s="131"/>
      <c r="K174" s="97"/>
      <c r="L174" s="97"/>
      <c r="M174" s="35" t="s">
        <v>154</v>
      </c>
      <c r="N174" s="132" t="n">
        <f aca="false">$E131</f>
        <v>50</v>
      </c>
      <c r="O174" s="132" t="n">
        <f aca="false">$F131</f>
        <v>50</v>
      </c>
      <c r="P174" s="130" t="s">
        <v>155</v>
      </c>
      <c r="Q174" s="24"/>
      <c r="R174" s="24"/>
      <c r="S174" s="25"/>
      <c r="T174" s="6"/>
      <c r="U174" s="7"/>
      <c r="V174" s="7"/>
      <c r="W174" s="7"/>
      <c r="X174" s="7"/>
      <c r="Y174" s="7"/>
      <c r="Z174" s="7"/>
      <c r="AA174" s="7"/>
      <c r="AB174" s="7"/>
      <c r="AC174" s="7"/>
      <c r="AD174" s="7"/>
      <c r="AE174" s="7"/>
      <c r="AF174" s="150" t="n">
        <f aca="false">AF173+1</f>
        <v>18</v>
      </c>
      <c r="AG174" s="150" t="n">
        <f aca="false">$AG$156+AF174*($AG$256-$AG$156)/$AF$256</f>
        <v>1.8</v>
      </c>
      <c r="AH174" s="151" t="n">
        <f aca="false">AG174*VACnom</f>
        <v>21.6</v>
      </c>
      <c r="AI174" s="152" t="n">
        <f aca="false">IF(VACnom&lt;Vbat, (Vbat-VACnom)/Vbat, Vbat/VACnom)</f>
        <v>0.0476190476190476</v>
      </c>
      <c r="AJ174" s="152" t="n">
        <f aca="false">IF(VACnom&lt;Vbat, AG174/(1-AI174), AG174*AI174)</f>
        <v>1.89</v>
      </c>
      <c r="AK174" s="152" t="n">
        <f aca="false">Ipkpk_VACnom</f>
        <v>0.285714285714285</v>
      </c>
      <c r="AL174" s="152" t="n">
        <f aca="false">SQRT(AJ174^2+AK174^2/12)</f>
        <v>1.89179880565784</v>
      </c>
      <c r="AM174" s="153"/>
      <c r="AN174" s="152" t="n">
        <f aca="false">MAX(0,Table7[[#This Row],[I_L]]-0.5*Table7[[#This Row],[I_L pkpk]])</f>
        <v>1.74714285714286</v>
      </c>
      <c r="AO174" s="152" t="n">
        <f aca="false">Table7[[#This Row],[I_L]]+0.5*Table7[[#This Row],[I_L pkpk]]</f>
        <v>2.03285714285714</v>
      </c>
      <c r="AP174" s="152" t="e">
        <f aca="false">IF(VACnom&gt;Vbat, (VGS_S-(TI_MOSFET_S_VTH_H_BU+Table7[[#This Row],[I_L]]/TI_MOSFET_S_gFS_H_BU))/3.4, (VGS_S-(TI_MOSFET_S_VTH_L_BO+Table7[[#This Row],[I_L]]/TI_MOSFET_S_gFS_L_BO))/3.4 )</f>
        <v>#REF!</v>
      </c>
      <c r="AQ174" s="152" t="e">
        <f aca="false">IF(VACnom&gt;Vbat, ((TI_MOSFET_S_VTH_H_BU+Table7[[#This Row],[I_L]]/TI_MOSFET_S_gFS_H_BU))/1, ((TI_MOSFET_S_VTH_L_BO+Table7[[#This Row],[I_L]]/TI_MOSFET_S_gFS_L_BO))/1 )</f>
        <v>#REF!</v>
      </c>
      <c r="AR174" s="152" t="e">
        <f aca="false">IF(VACnom&gt;Vbat, (TI_MOSFET_S_QGD_H_BU+TI_MOSFET_S_QGS_H_BU)*10^-9/Table7[[#This Row],[Ion (A)]], (TI_MOSFET_S_QGD_L_BO+TI_MOSFET_S_QGS_L_BO)*10^-9/Table7[[#This Row],[Ion (A)]])/10^-9</f>
        <v>#REF!</v>
      </c>
      <c r="AS174" s="152" t="e">
        <f aca="false">IF(VACnom&gt;Vbat, (TI_MOSFET_S_QGD_H_BU+TI_MOSFET_S_QGS_H_BU)*10^-9/Table7[[#This Row],[Ioff (A)]], (TI_MOSFET_S_QGD_L_BO+TI_MOSFET_S_QGS_L_BO)*10^-9/Table7[[#This Row],[Ioff (A)]])/10^-9</f>
        <v>#REF!</v>
      </c>
      <c r="AT174" s="152" t="e">
        <f aca="false">0.5*VACnom*Table7[[#This Row],[Ivalley (A)]]*Table7[[#This Row],[ton (ns)]]*10^-9*Fsw*10^3+0.5*VACnom*Table7[[#This Row],[Ipeak (A)]]*Table7[[#This Row],[toff (ns)]]*10^-9*Fsw*10^3/10^-3</f>
        <v>#REF!</v>
      </c>
      <c r="AU174" s="152" t="e">
        <f aca="false">IF(VACnom&gt;Vbat, 0.5*VACnom*TI_MOSFET_S_QOSS_H_BU*10^-9*Fsw*10^3,0.5*VACnom*TI_MOSFET_S_QOSS_L_BO*10^-9*Fsw*10^3)/10^-3</f>
        <v>#REF!</v>
      </c>
      <c r="AV174" s="152" t="e">
        <f aca="false">IF(VACnom&gt;Vbat, VACnom*TI_MOSFET_S_QG_H_BU*10^-9*Fsw*10^3,VACnom*TI_MOSFET_S_QG_H_BO*10^-9*Fsw*10^3)/10^-3</f>
        <v>#REF!</v>
      </c>
      <c r="AW174" s="152" t="e">
        <f aca="false">IF(VACnom&gt;Vbat, VACnom*TI_MOSFET_S_QRR_L_BU*10^-9*Fsw*10^3, VACnom*TI_MOSFET_S_QRR_H_BO*10^-9*Fsw*10^3)/10^-3</f>
        <v>#REF!</v>
      </c>
      <c r="AX174" s="152" t="e">
        <f aca="false">IF(VACnom&gt;Vbat, TI_MOSFET_S_VSD_L_BU*Table7[[#This Row],[Ivalley (A)]]*Fsw*10^3*40*10^-9+TI_MOSFET_S_VSD_L_BU*Table7[[#This Row],[Ipeak (A)]]*Fsw*10^3*30*10^-9, TI_MOSFET_S_VSD_H_BO*Table7[[#This Row],[Ivalley (A)]]*Fsw*10^3*40*10^-9+TI_MOSFET_S_VSD_H_BO*Table7[[#This Row],[Ipeak (A)]]*Fsw*10^3*30*10^-9)/10^-3</f>
        <v>#REF!</v>
      </c>
      <c r="AY174" s="152" t="e">
        <f aca="false">IF(VACnom&gt;Vbat, VACnom*TI_MOSFET_S_QG_L_BU*10^-9*Fsw*10^3, VACnom*TI_MOSFET_S_QG_L_BO*10^-9*Fsw*10^3)/10^-3</f>
        <v>#REF!</v>
      </c>
      <c r="AZ174" s="152" t="e">
        <f aca="false">IF(VACnom&lt;Vbat, Table7[[#This Row],[Duty Cycle]]*Table7[[#This Row],[I_L RMS]]^2*TI_MOSFET_S_RDSON_H_BU*10^-3, (1-Table7[[#This Row],[Duty Cycle]])*Table7[[#This Row],[I_L RMS]]^2*TI_MOSFET_S_RDSON_H_BO*10^-3)/10^-3</f>
        <v>#REF!</v>
      </c>
      <c r="BA174" s="152" t="e">
        <f aca="false">IF(VACnom&gt;Vbat, Table7[[#This Row],[PIV (mW)]]+Table7[[#This Row],[Pqoss (mW)]]+Table7[[#This Row],[Pgate_top (mW)]], Table7[[#This Row],[PRR (mW)]]+Table7[[#This Row],[Pdead (mW)]]+Table7[[#This Row],[Pgate_top (mW)]])</f>
        <v>#REF!</v>
      </c>
      <c r="BB174" s="152" t="e">
        <f aca="false">Table7[[#This Row],[Pcon_top (mW)]]+Table7[[#This Row],[Psw_top (mW)]]</f>
        <v>#REF!</v>
      </c>
      <c r="BC174" s="152" t="e">
        <f aca="false">IF(VACnom&gt;Vbat, (1-Table7[[#This Row],[Duty Cycle]])*Table7[[#This Row],[I_L RMS]]^2*TI_MOSFET_S_RDSON_L_BU*10^-3, Table7[[#This Row],[Duty Cycle]]*Table7[[#This Row],[I_L RMS]]^2*TI_MOSFET_S_RDSON_L_BO*10^-3)/10^-3</f>
        <v>#REF!</v>
      </c>
      <c r="BD174" s="152" t="e">
        <f aca="false">IF(VACnom&gt;Vbat, Table7[[#This Row],[PRR (mW)]]+Table7[[#This Row],[Pdead (mW)]]+Table7[[#This Row],[Pgate_bottom (mW)]], Table7[[#This Row],[PIV (mW)]]+Table7[[#This Row],[Pqoss (mW)]]+Table7[[#This Row],[Pgate_bottom (mW)]])</f>
        <v>#REF!</v>
      </c>
      <c r="BE174" s="154" t="e">
        <f aca="false">Table7[[#This Row],[Pcon_bottom (mW)]]+Table7[[#This Row],[Psw_bottom (mW)]]</f>
        <v>#REF!</v>
      </c>
      <c r="BF174" s="152" t="e">
        <f aca="false">Table7[[#This Row],[Pbottom (mW)]]+Table7[[#This Row],[Ptop (mW)]]</f>
        <v>#REF!</v>
      </c>
      <c r="BG174" s="155"/>
      <c r="BH174" s="152" t="n">
        <f aca="false">MAX(0,Table7[[#This Row],[I_L]]-0.5*Table7[[#This Row],[I_L pkpk]])</f>
        <v>1.74714285714286</v>
      </c>
      <c r="BI174" s="152" t="n">
        <f aca="false">Table7[[#This Row],[I_L]]+0.5*Table7[[#This Row],[I_L pkpk]]</f>
        <v>2.03285714285714</v>
      </c>
      <c r="BJ174" s="152" t="n">
        <f aca="false">IF(VACnom&gt;Vbat, (VGS_S-(C_MOSFET_S_VTH_H_BU+Table7[[#This Row],[I_L]]/C_MOSFET_S_gFS_H_BU))/3.4, (VGS_S-(C_MOSFET_S_VTH_L_BO+Table7[[#This Row],[I_L]]/C_MOSFET_S_gFS_L_BO))/3.4 )</f>
        <v>2.34923529411765</v>
      </c>
      <c r="BK174" s="152" t="n">
        <f aca="false">IF(VACnom&gt;Vbat, ((C_MOSFET_S_VTH_H_BU+Table7[[#This Row],[I_L]]/C_MOSFET_S_gFS_H_BU))/1, ((C_MOSFET_S_VTH_L_BO+Table7[[#This Row],[I_L]]/C_MOSFET_S_gFS_L_BO))/1 )</f>
        <v>2.0126</v>
      </c>
      <c r="BL174" s="152" t="n">
        <f aca="false">IF(VACnom&gt;Vbat, (C_MOSFET_S_QGD_H_BU+C_MOSFET_S_QGS_H_BU)*10^-9/Table7[[#This Row],[Ion (A) C]], (C_MOSFET_S_QGD_L_BO+C_MOSFET_S_QGS_L_BO)*10^-9/Table7[[#This Row],[Ion (A) C]])/10^-9</f>
        <v>2.76685780103663</v>
      </c>
      <c r="BM174" s="152" t="n">
        <f aca="false">IF(VACnom&gt;Vbat, (C_MOSFET_S_QGD_H_BU+C_MOSFET_S_QGS_H_BU)*10^-9/Table7[[#This Row],[Ioff (A) C]], (C_MOSFET_S_QGD_L_BO+C_MOSFET_S_QGS_L_BO)*10^-9/Table7[[#This Row],[Ioff (A) C]])/10^-9</f>
        <v>3.22965318493491</v>
      </c>
      <c r="BN174" s="152" t="n">
        <f aca="false">0.5*VACnom*Table7[[#This Row],[Ivalley (A) C]]*Table7[[#This Row],[ton (ns) C]]*10^-9*Fsw*10^3+0.5*VACnom*Table7[[#This Row],[Ipeak (A) C]]*Table7[[#This Row],[toff (ns) C]]*10^-9*Fsw*10^3/10^-3</f>
        <v>7.88430917014808</v>
      </c>
      <c r="BO174" s="152" t="n">
        <f aca="false">IF(VACnom&gt;Vbat, 0.5*VACnom*C_MOSFET_S_QOSS_H_BU*10^-9*Fsw*10^3,0.5*VACnom*C_MOSFET_S_QOSS_L_BO*10^-9*Fsw*10^3)/10^-3</f>
        <v>43.2</v>
      </c>
      <c r="BP174" s="152" t="e">
        <f aca="false">IF(VACnom&gt;Vbat, VACnom*C_MOSFET_S_QG_H_BU*10^-9*Fsw*10^3,VACnom*C_MOSFET_S_QG_H_BO*10^-9*Fsw*10^3)/10^-3</f>
        <v>#REF!</v>
      </c>
      <c r="BQ174" s="152" t="n">
        <f aca="false">IF(VACnom&gt;Vbat, VACnom*C_MOSFET_S_QRR_L_BU*10^-9*Fsw*10^3, VACnom*C_MOSFET_S_QRR_H_BO*10^-9*Fsw*10^3)/10^-3</f>
        <v>79.2</v>
      </c>
      <c r="BR174" s="152" t="n">
        <f aca="false">IF(VACnom&gt;Vbat, C_MOSFET_S_VSD_L_BU*Table7[[#This Row],[Ivalley (A) C]]*Fsw*10^3*40*10^-9+C_MOSFET_S_VSD_L_BU*Table7[[#This Row],[Ipeak (A) C]]*Fsw*10^3*30*10^-9, C_MOSFET_S_VSD_H_BO*Table7[[#This Row],[Ivalley (A) C]]*Fsw*10^3*40*10^-9+C_MOSFET_S_VSD_H_BO*Table7[[#This Row],[Ipeak (A) C]]*Fsw*10^3*30*10^-9)/10^-3</f>
        <v>20.9394285714286</v>
      </c>
      <c r="BS174" s="152" t="e">
        <f aca="false">IF(VACnom&gt;Vbat, VACnom*C_MOSFET_S_QG_L_BU*10^-9*Fsw*10^3, VACnom*C_MOSFET_S_QG_L_BO*10^-9*Fsw*10^3)/10^-3</f>
        <v>#REF!</v>
      </c>
      <c r="BT174" s="152" t="n">
        <f aca="false">IF(VACnom&lt;Vbat, Table7[[#This Row],[Duty Cycle]]*Table7[[#This Row],[I_L RMS]]^2*C_MOSFET_S_RDSON_H_BU*10^-3, (1-Table7[[#This Row],[Duty Cycle]])*Table7[[#This Row],[I_L RMS]]^2*C_MOSFET_S_RDSON_H_BO*10^-3)/10^-3</f>
        <v>0.971416452866861</v>
      </c>
      <c r="BU174" s="152" t="e">
        <f aca="false">IF(VACnom&gt;Vbat, Table7[[#This Row],[PIV (mW) C]]+Table7[[#This Row],[PQoss (mW) C]]+Table7[[#This Row],[Pgate_top (mW) C]], Table7[[#This Row],[PRR (mW) C]]+Table7[[#This Row],[Pdead (mW) C]]+Table7[[#This Row],[Pgate_top (mW) C]])</f>
        <v>#REF!</v>
      </c>
      <c r="BV174" s="152" t="e">
        <f aca="false">Table7[[#This Row],[Pcon_top (mW) C]]+Table7[[#This Row],[Psw_top (mW) C]]</f>
        <v>#REF!</v>
      </c>
      <c r="BW174" s="152" t="e">
        <f aca="false">IF(VACnom&gt;Vbat, (1-Table7[[#This Row],[Duty Cycle]])*Table7[[#This Row],[I_L RMS]]^2*C_MOSFET_S_RDSON_L_BU*10^-3, Table7[[#This Row],[Duty Cycle]]*Table7[[#This Row],[I_L RMS]]^2*C_MOSFET_S_RDSON_L_BO*10^-3)/10^-3</f>
        <v>#REF!</v>
      </c>
      <c r="BX174" s="152" t="e">
        <f aca="false">IF(VACnom&gt;Vbat, Table7[[#This Row],[PRR (mW) C]]+Table7[[#This Row],[Pdead (mW) C]]+Table7[[#This Row],[Pgate_bottom (mW) C]], Table7[[#This Row],[PIV (mW) C]]+Table7[[#This Row],[PQoss (mW) C]]+Table7[[#This Row],[Pgate_bottom (mW) C]])</f>
        <v>#REF!</v>
      </c>
      <c r="BY174" s="152" t="e">
        <f aca="false">Table7[[#This Row],[Pcon_bottom (mW) C]]+Table7[[#This Row],[Psw_bottom (mV) C]]</f>
        <v>#REF!</v>
      </c>
      <c r="BZ174" s="152" t="e">
        <f aca="false">Table7[[#This Row],[Pbottom (mW) C]]+Table7[[#This Row],[Ptop (mW) C]]</f>
        <v>#REF!</v>
      </c>
      <c r="CA174" s="156"/>
      <c r="CB174" s="151" t="n">
        <f aca="false">(RAC_SNS*10^-3*(Table7[[#This Row],[IOUT (A)]]*Vbat/VACnom)^2/10^-3)</f>
        <v>17.8605</v>
      </c>
      <c r="CC174" s="151" t="n">
        <f aca="false">(RBAT_SNS*10^-3*Table7[[#This Row],[IOUT (A)]]^2)/10^-3</f>
        <v>16.2</v>
      </c>
      <c r="CD174" s="151" t="n">
        <f aca="false">IF(VACnom&gt;Vbat,(L_DRC*10^-3*(Table7[[#This Row],[IOUT (A)]])^2/10^-3),(L_DRC*10^-3*(Table7[[#This Row],[IOUT (A)]]*Vbat/VACnom)^2/10^-3))</f>
        <v>42.8652</v>
      </c>
      <c r="CE174" s="157"/>
      <c r="CF174" s="152" t="n">
        <f aca="false">(Table7[[#This Row],[R_AC (mW)]]+Table7[[#This Row],[R_SR (mW)]]+Table7[[#This Row],[Inductor Loss (mW)]])/10^3</f>
        <v>0.0769257</v>
      </c>
      <c r="CG174" s="152" t="e">
        <f aca="false">Table7[[#This Row],[Total TI (mW)]]/10^3</f>
        <v>#REF!</v>
      </c>
      <c r="CH174" s="152" t="e">
        <f aca="false">Table7[[#This Row],[Total Sense Loss]]+Table7[[#This Row],[Total MOSFET Loss]]</f>
        <v>#REF!</v>
      </c>
      <c r="CI174" s="158" t="e">
        <f aca="false">IF(Table7[[#This Row],[POUT (W)]]=0,0,(Table7[[#This Row],[POUT (W)]])/(Table7[[#This Row],[POUT (W)]]+Table7[[#This Row],[Total Power Loss (W)]]))*100</f>
        <v>#REF!</v>
      </c>
      <c r="CJ174" s="159"/>
      <c r="CK174" s="152" t="n">
        <f aca="false">(Table7[[#This Row],[R_AC (mW)]]+Table7[[#This Row],[R_SR (mW)]]+Table7[[#This Row],[Inductor Loss (mW)]])/10^3</f>
        <v>0.0769257</v>
      </c>
      <c r="CL174" s="152" t="e">
        <f aca="false">Table7[[#This Row],[Total (mW) C]]/10^3</f>
        <v>#REF!</v>
      </c>
      <c r="CM174" s="152" t="e">
        <f aca="false">Table7[[#This Row],[Total Sense Loss C]]+Table7[[#This Row],[Total MOSFET Loss C]]</f>
        <v>#REF!</v>
      </c>
      <c r="CN174" s="158" t="e">
        <f aca="false">IF(Table7[[#This Row],[POUT (W)]]=0,0,(Table7[[#This Row],[POUT (W)]])/(Table7[[#This Row],[POUT (W)]]+Table7[[#This Row],[Total Power Loss (W) C]]))*100</f>
        <v>#REF!</v>
      </c>
      <c r="CO174" s="159"/>
      <c r="CP174" s="158" t="n">
        <f aca="false">IF(MOSFET_S=Custom_MOSFET,Table7[[#This Row],[Total Sense Loss C]],Table7[[#This Row],[Total Sense Loss]])</f>
        <v>0.0769257</v>
      </c>
      <c r="CQ174" s="158" t="e">
        <f aca="false">IF(MOSFET_S=Custom_MOSFET,Table7[[#This Row],[Total MOSFET Loss C]],Table7[[#This Row],[Total MOSFET Loss]])</f>
        <v>#REF!</v>
      </c>
      <c r="CR174" s="158" t="e">
        <f aca="false">IF(MOSFET_S=Custom_MOSFET,Table7[[#This Row],[Efficiency C]],Table7[[#This Row],[Efficiency]])</f>
        <v>#REF!</v>
      </c>
      <c r="CS174" s="159"/>
      <c r="CT174" s="158" t="n">
        <f aca="false">IF(MOSFET_S=Compare_MOSFET, Table7[[#This Row],[Total Sense Loss C]], -100)</f>
        <v>-100</v>
      </c>
      <c r="CU174" s="158" t="n">
        <f aca="false">IF(MOSFET_S=Compare_MOSFET, Table7[[#This Row],[Total MOSFET Loss C]], -100)</f>
        <v>-100</v>
      </c>
      <c r="CV174" s="158" t="n">
        <f aca="false">IF(MOSFET_S=Compare_MOSFET, Table7[[#This Row],[Efficiency C]], -100)</f>
        <v>-100</v>
      </c>
      <c r="CW174" s="159"/>
      <c r="CX174" s="158" t="e">
        <f aca="false">IF(Save_Sel=CLR_Save,  Table7[[#This Row],[Total Sense Loss P1]], Table7[[#This Row],[Total Sense Loss P1 Saved]])</f>
        <v>#VALUE!</v>
      </c>
      <c r="CY174" s="158" t="e">
        <f aca="false">IF(Save_Sel=CLR_Save,  Table7[[#This Row],[Total MOSFET Loss P1]], Table7[[#This Row],[Total MOSFET Loss P1 Saved]] )</f>
        <v>#VALUE!</v>
      </c>
      <c r="CZ174" s="158" t="e">
        <f aca="false">IF(Save_Sel=CLR_Save, Table7[[#This Row],[Efficiency P1]], Table7[[#This Row],[Efficiency P1 Saved]])</f>
        <v>#VALUE!</v>
      </c>
      <c r="DA174" s="159"/>
      <c r="DB174" s="158" t="e">
        <f aca="false">IF(Save_Sel=CLR_Save,  Table7[[#This Row],[Total Sense Loss P2]], Table7[[#This Row],[Total Sense Loss P2 Saved]])</f>
        <v>#VALUE!</v>
      </c>
      <c r="DC174" s="158" t="e">
        <f aca="false">IF(Save_Sel=CLR_Save,  Table7[[#This Row],[Total MOSFET Loss P2]], Table7[[#This Row],[Total MOSFET Loss P2 Saved]] )</f>
        <v>#VALUE!</v>
      </c>
      <c r="DD174" s="158" t="e">
        <f aca="false">IF(Save_Sel=CLR_Save, Table7[[#This Row],[Efficiency P2]], Table7[[#This Row],[Efficiency P2 Saved]])</f>
        <v>#VALUE!</v>
      </c>
      <c r="DE174" s="159"/>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row>
    <row r="175" customFormat="false" ht="16.4" hidden="false" customHeight="false" outlineLevel="0" collapsed="false">
      <c r="A175" s="100"/>
      <c r="B175" s="84"/>
      <c r="C175" s="84"/>
      <c r="D175" s="28"/>
      <c r="E175" s="170"/>
      <c r="F175" s="124"/>
      <c r="G175" s="84"/>
      <c r="H175" s="24"/>
      <c r="I175" s="24"/>
      <c r="J175" s="84"/>
      <c r="K175" s="84"/>
      <c r="L175" s="84"/>
      <c r="M175" s="28"/>
      <c r="N175" s="170"/>
      <c r="O175" s="124"/>
      <c r="P175" s="84"/>
      <c r="Q175" s="24"/>
      <c r="R175" s="24"/>
      <c r="S175" s="25"/>
      <c r="T175" s="6"/>
      <c r="U175" s="7"/>
      <c r="V175" s="7"/>
      <c r="W175" s="7"/>
      <c r="X175" s="7"/>
      <c r="Y175" s="7"/>
      <c r="Z175" s="7"/>
      <c r="AA175" s="7"/>
      <c r="AB175" s="7"/>
      <c r="AC175" s="7"/>
      <c r="AD175" s="7"/>
      <c r="AE175" s="7"/>
      <c r="AF175" s="150" t="n">
        <f aca="false">AF174+1</f>
        <v>19</v>
      </c>
      <c r="AG175" s="150" t="n">
        <f aca="false">$AG$156+AF175*($AG$256-$AG$156)/$AF$256</f>
        <v>1.9</v>
      </c>
      <c r="AH175" s="151" t="n">
        <f aca="false">AG175*VACnom</f>
        <v>22.8</v>
      </c>
      <c r="AI175" s="152" t="n">
        <f aca="false">IF(VACnom&lt;Vbat, (Vbat-VACnom)/Vbat, Vbat/VACnom)</f>
        <v>0.0476190476190476</v>
      </c>
      <c r="AJ175" s="152" t="n">
        <f aca="false">IF(VACnom&lt;Vbat, AG175/(1-AI175), AG175*AI175)</f>
        <v>1.995</v>
      </c>
      <c r="AK175" s="152" t="n">
        <f aca="false">Ipkpk_VACnom</f>
        <v>0.285714285714285</v>
      </c>
      <c r="AL175" s="152" t="n">
        <f aca="false">SQRT(AJ175^2+AK175^2/12)</f>
        <v>1.99670421472196</v>
      </c>
      <c r="AM175" s="153"/>
      <c r="AN175" s="152" t="n">
        <f aca="false">MAX(0,Table7[[#This Row],[I_L]]-0.5*Table7[[#This Row],[I_L pkpk]])</f>
        <v>1.85214285714286</v>
      </c>
      <c r="AO175" s="152" t="n">
        <f aca="false">Table7[[#This Row],[I_L]]+0.5*Table7[[#This Row],[I_L pkpk]]</f>
        <v>2.13785714285714</v>
      </c>
      <c r="AP175" s="152" t="e">
        <f aca="false">IF(VACnom&gt;Vbat, (VGS_S-(TI_MOSFET_S_VTH_H_BU+Table7[[#This Row],[I_L]]/TI_MOSFET_S_gFS_H_BU))/3.4, (VGS_S-(TI_MOSFET_S_VTH_L_BO+Table7[[#This Row],[I_L]]/TI_MOSFET_S_gFS_L_BO))/3.4 )</f>
        <v>#REF!</v>
      </c>
      <c r="AQ175" s="152" t="e">
        <f aca="false">IF(VACnom&gt;Vbat, ((TI_MOSFET_S_VTH_H_BU+Table7[[#This Row],[I_L]]/TI_MOSFET_S_gFS_H_BU))/1, ((TI_MOSFET_S_VTH_L_BO+Table7[[#This Row],[I_L]]/TI_MOSFET_S_gFS_L_BO))/1 )</f>
        <v>#REF!</v>
      </c>
      <c r="AR175" s="152" t="e">
        <f aca="false">IF(VACnom&gt;Vbat, (TI_MOSFET_S_QGD_H_BU+TI_MOSFET_S_QGS_H_BU)*10^-9/Table7[[#This Row],[Ion (A)]], (TI_MOSFET_S_QGD_L_BO+TI_MOSFET_S_QGS_L_BO)*10^-9/Table7[[#This Row],[Ion (A)]])/10^-9</f>
        <v>#REF!</v>
      </c>
      <c r="AS175" s="152" t="e">
        <f aca="false">IF(VACnom&gt;Vbat, (TI_MOSFET_S_QGD_H_BU+TI_MOSFET_S_QGS_H_BU)*10^-9/Table7[[#This Row],[Ioff (A)]], (TI_MOSFET_S_QGD_L_BO+TI_MOSFET_S_QGS_L_BO)*10^-9/Table7[[#This Row],[Ioff (A)]])/10^-9</f>
        <v>#REF!</v>
      </c>
      <c r="AT175" s="152" t="e">
        <f aca="false">0.5*VACnom*Table7[[#This Row],[Ivalley (A)]]*Table7[[#This Row],[ton (ns)]]*10^-9*Fsw*10^3+0.5*VACnom*Table7[[#This Row],[Ipeak (A)]]*Table7[[#This Row],[toff (ns)]]*10^-9*Fsw*10^3/10^-3</f>
        <v>#REF!</v>
      </c>
      <c r="AU175" s="152" t="e">
        <f aca="false">IF(VACnom&gt;Vbat, 0.5*VACnom*TI_MOSFET_S_QOSS_H_BU*10^-9*Fsw*10^3,0.5*VACnom*TI_MOSFET_S_QOSS_L_BO*10^-9*Fsw*10^3)/10^-3</f>
        <v>#REF!</v>
      </c>
      <c r="AV175" s="152" t="e">
        <f aca="false">IF(VACnom&gt;Vbat, VACnom*TI_MOSFET_S_QG_H_BU*10^-9*Fsw*10^3,VACnom*TI_MOSFET_S_QG_H_BO*10^-9*Fsw*10^3)/10^-3</f>
        <v>#REF!</v>
      </c>
      <c r="AW175" s="152" t="e">
        <f aca="false">IF(VACnom&gt;Vbat, VACnom*TI_MOSFET_S_QRR_L_BU*10^-9*Fsw*10^3, VACnom*TI_MOSFET_S_QRR_H_BO*10^-9*Fsw*10^3)/10^-3</f>
        <v>#REF!</v>
      </c>
      <c r="AX175" s="152" t="e">
        <f aca="false">IF(VACnom&gt;Vbat, TI_MOSFET_S_VSD_L_BU*Table7[[#This Row],[Ivalley (A)]]*Fsw*10^3*40*10^-9+TI_MOSFET_S_VSD_L_BU*Table7[[#This Row],[Ipeak (A)]]*Fsw*10^3*30*10^-9, TI_MOSFET_S_VSD_H_BO*Table7[[#This Row],[Ivalley (A)]]*Fsw*10^3*40*10^-9+TI_MOSFET_S_VSD_H_BO*Table7[[#This Row],[Ipeak (A)]]*Fsw*10^3*30*10^-9)/10^-3</f>
        <v>#REF!</v>
      </c>
      <c r="AY175" s="152" t="e">
        <f aca="false">IF(VACnom&gt;Vbat, VACnom*TI_MOSFET_S_QG_L_BU*10^-9*Fsw*10^3, VACnom*TI_MOSFET_S_QG_L_BO*10^-9*Fsw*10^3)/10^-3</f>
        <v>#REF!</v>
      </c>
      <c r="AZ175" s="152" t="e">
        <f aca="false">IF(VACnom&lt;Vbat, Table7[[#This Row],[Duty Cycle]]*Table7[[#This Row],[I_L RMS]]^2*TI_MOSFET_S_RDSON_H_BU*10^-3, (1-Table7[[#This Row],[Duty Cycle]])*Table7[[#This Row],[I_L RMS]]^2*TI_MOSFET_S_RDSON_H_BO*10^-3)/10^-3</f>
        <v>#REF!</v>
      </c>
      <c r="BA175" s="152" t="e">
        <f aca="false">IF(VACnom&gt;Vbat, Table7[[#This Row],[PIV (mW)]]+Table7[[#This Row],[Pqoss (mW)]]+Table7[[#This Row],[Pgate_top (mW)]], Table7[[#This Row],[PRR (mW)]]+Table7[[#This Row],[Pdead (mW)]]+Table7[[#This Row],[Pgate_top (mW)]])</f>
        <v>#REF!</v>
      </c>
      <c r="BB175" s="152" t="e">
        <f aca="false">Table7[[#This Row],[Pcon_top (mW)]]+Table7[[#This Row],[Psw_top (mW)]]</f>
        <v>#REF!</v>
      </c>
      <c r="BC175" s="152" t="e">
        <f aca="false">IF(VACnom&gt;Vbat, (1-Table7[[#This Row],[Duty Cycle]])*Table7[[#This Row],[I_L RMS]]^2*TI_MOSFET_S_RDSON_L_BU*10^-3, Table7[[#This Row],[Duty Cycle]]*Table7[[#This Row],[I_L RMS]]^2*TI_MOSFET_S_RDSON_L_BO*10^-3)/10^-3</f>
        <v>#REF!</v>
      </c>
      <c r="BD175" s="152" t="e">
        <f aca="false">IF(VACnom&gt;Vbat, Table7[[#This Row],[PRR (mW)]]+Table7[[#This Row],[Pdead (mW)]]+Table7[[#This Row],[Pgate_bottom (mW)]], Table7[[#This Row],[PIV (mW)]]+Table7[[#This Row],[Pqoss (mW)]]+Table7[[#This Row],[Pgate_bottom (mW)]])</f>
        <v>#REF!</v>
      </c>
      <c r="BE175" s="154" t="e">
        <f aca="false">Table7[[#This Row],[Pcon_bottom (mW)]]+Table7[[#This Row],[Psw_bottom (mW)]]</f>
        <v>#REF!</v>
      </c>
      <c r="BF175" s="152" t="e">
        <f aca="false">Table7[[#This Row],[Pbottom (mW)]]+Table7[[#This Row],[Ptop (mW)]]</f>
        <v>#REF!</v>
      </c>
      <c r="BG175" s="155"/>
      <c r="BH175" s="152" t="n">
        <f aca="false">MAX(0,Table7[[#This Row],[I_L]]-0.5*Table7[[#This Row],[I_L pkpk]])</f>
        <v>1.85214285714286</v>
      </c>
      <c r="BI175" s="152" t="n">
        <f aca="false">Table7[[#This Row],[I_L]]+0.5*Table7[[#This Row],[I_L pkpk]]</f>
        <v>2.13785714285714</v>
      </c>
      <c r="BJ175" s="152" t="n">
        <f aca="false">IF(VACnom&gt;Vbat, (VGS_S-(C_MOSFET_S_VTH_H_BU+Table7[[#This Row],[I_L]]/C_MOSFET_S_gFS_H_BU))/3.4, (VGS_S-(C_MOSFET_S_VTH_L_BO+Table7[[#This Row],[I_L]]/C_MOSFET_S_gFS_L_BO))/3.4 )</f>
        <v>2.34902941176471</v>
      </c>
      <c r="BK175" s="152" t="n">
        <f aca="false">IF(VACnom&gt;Vbat, ((C_MOSFET_S_VTH_H_BU+Table7[[#This Row],[I_L]]/C_MOSFET_S_gFS_H_BU))/1, ((C_MOSFET_S_VTH_L_BO+Table7[[#This Row],[I_L]]/C_MOSFET_S_gFS_L_BO))/1 )</f>
        <v>2.0133</v>
      </c>
      <c r="BL175" s="152" t="n">
        <f aca="false">IF(VACnom&gt;Vbat, (C_MOSFET_S_QGD_H_BU+C_MOSFET_S_QGS_H_BU)*10^-9/Table7[[#This Row],[Ion (A) C]], (C_MOSFET_S_QGD_L_BO+C_MOSFET_S_QGS_L_BO)*10^-9/Table7[[#This Row],[Ion (A) C]])/10^-9</f>
        <v>2.76710030425583</v>
      </c>
      <c r="BM175" s="152" t="n">
        <f aca="false">IF(VACnom&gt;Vbat, (C_MOSFET_S_QGD_H_BU+C_MOSFET_S_QGS_H_BU)*10^-9/Table7[[#This Row],[Ioff (A) C]], (C_MOSFET_S_QGD_L_BO+C_MOSFET_S_QGS_L_BO)*10^-9/Table7[[#This Row],[Ioff (A) C]])/10^-9</f>
        <v>3.22853027368003</v>
      </c>
      <c r="BN175" s="152" t="n">
        <f aca="false">0.5*VACnom*Table7[[#This Row],[Ivalley (A) C]]*Table7[[#This Row],[ton (ns) C]]*10^-9*Fsw*10^3+0.5*VACnom*Table7[[#This Row],[Ipeak (A) C]]*Table7[[#This Row],[toff (ns) C]]*10^-9*Fsw*10^3/10^-3</f>
        <v>8.28871388589708</v>
      </c>
      <c r="BO175" s="152" t="n">
        <f aca="false">IF(VACnom&gt;Vbat, 0.5*VACnom*C_MOSFET_S_QOSS_H_BU*10^-9*Fsw*10^3,0.5*VACnom*C_MOSFET_S_QOSS_L_BO*10^-9*Fsw*10^3)/10^-3</f>
        <v>43.2</v>
      </c>
      <c r="BP175" s="152" t="e">
        <f aca="false">IF(VACnom&gt;Vbat, VACnom*C_MOSFET_S_QG_H_BU*10^-9*Fsw*10^3,VACnom*C_MOSFET_S_QG_H_BO*10^-9*Fsw*10^3)/10^-3</f>
        <v>#REF!</v>
      </c>
      <c r="BQ175" s="152" t="n">
        <f aca="false">IF(VACnom&gt;Vbat, VACnom*C_MOSFET_S_QRR_L_BU*10^-9*Fsw*10^3, VACnom*C_MOSFET_S_QRR_H_BO*10^-9*Fsw*10^3)/10^-3</f>
        <v>79.2</v>
      </c>
      <c r="BR175" s="152" t="n">
        <f aca="false">IF(VACnom&gt;Vbat, C_MOSFET_S_VSD_L_BU*Table7[[#This Row],[Ivalley (A) C]]*Fsw*10^3*40*10^-9+C_MOSFET_S_VSD_L_BU*Table7[[#This Row],[Ipeak (A) C]]*Fsw*10^3*30*10^-9, C_MOSFET_S_VSD_H_BO*Table7[[#This Row],[Ivalley (A) C]]*Fsw*10^3*40*10^-9+C_MOSFET_S_VSD_H_BO*Table7[[#This Row],[Ipeak (A) C]]*Fsw*10^3*30*10^-9)/10^-3</f>
        <v>22.1154285714286</v>
      </c>
      <c r="BS175" s="152" t="e">
        <f aca="false">IF(VACnom&gt;Vbat, VACnom*C_MOSFET_S_QG_L_BU*10^-9*Fsw*10^3, VACnom*C_MOSFET_S_QG_L_BO*10^-9*Fsw*10^3)/10^-3</f>
        <v>#REF!</v>
      </c>
      <c r="BT175" s="152" t="n">
        <f aca="false">IF(VACnom&lt;Vbat, Table7[[#This Row],[Duty Cycle]]*Table7[[#This Row],[I_L RMS]]^2*C_MOSFET_S_RDSON_H_BU*10^-3, (1-Table7[[#This Row],[Duty Cycle]])*Table7[[#This Row],[I_L RMS]]^2*C_MOSFET_S_RDSON_H_BO*10^-3)/10^-3</f>
        <v>1.08213895286686</v>
      </c>
      <c r="BU175" s="152" t="e">
        <f aca="false">IF(VACnom&gt;Vbat, Table7[[#This Row],[PIV (mW) C]]+Table7[[#This Row],[PQoss (mW) C]]+Table7[[#This Row],[Pgate_top (mW) C]], Table7[[#This Row],[PRR (mW) C]]+Table7[[#This Row],[Pdead (mW) C]]+Table7[[#This Row],[Pgate_top (mW) C]])</f>
        <v>#REF!</v>
      </c>
      <c r="BV175" s="152" t="e">
        <f aca="false">Table7[[#This Row],[Pcon_top (mW) C]]+Table7[[#This Row],[Psw_top (mW) C]]</f>
        <v>#REF!</v>
      </c>
      <c r="BW175" s="152" t="e">
        <f aca="false">IF(VACnom&gt;Vbat, (1-Table7[[#This Row],[Duty Cycle]])*Table7[[#This Row],[I_L RMS]]^2*C_MOSFET_S_RDSON_L_BU*10^-3, Table7[[#This Row],[Duty Cycle]]*Table7[[#This Row],[I_L RMS]]^2*C_MOSFET_S_RDSON_L_BO*10^-3)/10^-3</f>
        <v>#REF!</v>
      </c>
      <c r="BX175" s="152" t="e">
        <f aca="false">IF(VACnom&gt;Vbat, Table7[[#This Row],[PRR (mW) C]]+Table7[[#This Row],[Pdead (mW) C]]+Table7[[#This Row],[Pgate_bottom (mW) C]], Table7[[#This Row],[PIV (mW) C]]+Table7[[#This Row],[PQoss (mW) C]]+Table7[[#This Row],[Pgate_bottom (mW) C]])</f>
        <v>#REF!</v>
      </c>
      <c r="BY175" s="152" t="e">
        <f aca="false">Table7[[#This Row],[Pcon_bottom (mW) C]]+Table7[[#This Row],[Psw_bottom (mV) C]]</f>
        <v>#REF!</v>
      </c>
      <c r="BZ175" s="152" t="e">
        <f aca="false">Table7[[#This Row],[Pbottom (mW) C]]+Table7[[#This Row],[Ptop (mW) C]]</f>
        <v>#REF!</v>
      </c>
      <c r="CA175" s="156"/>
      <c r="CB175" s="151" t="n">
        <f aca="false">(RAC_SNS*10^-3*(Table7[[#This Row],[IOUT (A)]]*Vbat/VACnom)^2/10^-3)</f>
        <v>19.900125</v>
      </c>
      <c r="CC175" s="151" t="n">
        <f aca="false">(RBAT_SNS*10^-3*Table7[[#This Row],[IOUT (A)]]^2)/10^-3</f>
        <v>18.05</v>
      </c>
      <c r="CD175" s="151" t="n">
        <f aca="false">IF(VACnom&gt;Vbat,(L_DRC*10^-3*(Table7[[#This Row],[IOUT (A)]])^2/10^-3),(L_DRC*10^-3*(Table7[[#This Row],[IOUT (A)]]*Vbat/VACnom)^2/10^-3))</f>
        <v>47.7603</v>
      </c>
      <c r="CE175" s="157"/>
      <c r="CF175" s="152" t="n">
        <f aca="false">(Table7[[#This Row],[R_AC (mW)]]+Table7[[#This Row],[R_SR (mW)]]+Table7[[#This Row],[Inductor Loss (mW)]])/10^3</f>
        <v>0.085710425</v>
      </c>
      <c r="CG175" s="152" t="e">
        <f aca="false">Table7[[#This Row],[Total TI (mW)]]/10^3</f>
        <v>#REF!</v>
      </c>
      <c r="CH175" s="152" t="e">
        <f aca="false">Table7[[#This Row],[Total Sense Loss]]+Table7[[#This Row],[Total MOSFET Loss]]</f>
        <v>#REF!</v>
      </c>
      <c r="CI175" s="158" t="e">
        <f aca="false">IF(Table7[[#This Row],[POUT (W)]]=0,0,(Table7[[#This Row],[POUT (W)]])/(Table7[[#This Row],[POUT (W)]]+Table7[[#This Row],[Total Power Loss (W)]]))*100</f>
        <v>#REF!</v>
      </c>
      <c r="CJ175" s="159"/>
      <c r="CK175" s="152" t="n">
        <f aca="false">(Table7[[#This Row],[R_AC (mW)]]+Table7[[#This Row],[R_SR (mW)]]+Table7[[#This Row],[Inductor Loss (mW)]])/10^3</f>
        <v>0.085710425</v>
      </c>
      <c r="CL175" s="152" t="e">
        <f aca="false">Table7[[#This Row],[Total (mW) C]]/10^3</f>
        <v>#REF!</v>
      </c>
      <c r="CM175" s="152" t="e">
        <f aca="false">Table7[[#This Row],[Total Sense Loss C]]+Table7[[#This Row],[Total MOSFET Loss C]]</f>
        <v>#REF!</v>
      </c>
      <c r="CN175" s="158" t="e">
        <f aca="false">IF(Table7[[#This Row],[POUT (W)]]=0,0,(Table7[[#This Row],[POUT (W)]])/(Table7[[#This Row],[POUT (W)]]+Table7[[#This Row],[Total Power Loss (W) C]]))*100</f>
        <v>#REF!</v>
      </c>
      <c r="CO175" s="159"/>
      <c r="CP175" s="158" t="n">
        <f aca="false">IF(MOSFET_S=Custom_MOSFET,Table7[[#This Row],[Total Sense Loss C]],Table7[[#This Row],[Total Sense Loss]])</f>
        <v>0.085710425</v>
      </c>
      <c r="CQ175" s="158" t="e">
        <f aca="false">IF(MOSFET_S=Custom_MOSFET,Table7[[#This Row],[Total MOSFET Loss C]],Table7[[#This Row],[Total MOSFET Loss]])</f>
        <v>#REF!</v>
      </c>
      <c r="CR175" s="158" t="e">
        <f aca="false">IF(MOSFET_S=Custom_MOSFET,Table7[[#This Row],[Efficiency C]],Table7[[#This Row],[Efficiency]])</f>
        <v>#REF!</v>
      </c>
      <c r="CS175" s="159"/>
      <c r="CT175" s="158" t="n">
        <f aca="false">IF(MOSFET_S=Compare_MOSFET, Table7[[#This Row],[Total Sense Loss C]], -100)</f>
        <v>-100</v>
      </c>
      <c r="CU175" s="158" t="n">
        <f aca="false">IF(MOSFET_S=Compare_MOSFET, Table7[[#This Row],[Total MOSFET Loss C]], -100)</f>
        <v>-100</v>
      </c>
      <c r="CV175" s="158" t="n">
        <f aca="false">IF(MOSFET_S=Compare_MOSFET, Table7[[#This Row],[Efficiency C]], -100)</f>
        <v>-100</v>
      </c>
      <c r="CW175" s="159"/>
      <c r="CX175" s="158" t="e">
        <f aca="false">IF(Save_Sel=CLR_Save,  Table7[[#This Row],[Total Sense Loss P1]], Table7[[#This Row],[Total Sense Loss P1 Saved]])</f>
        <v>#VALUE!</v>
      </c>
      <c r="CY175" s="158" t="e">
        <f aca="false">IF(Save_Sel=CLR_Save,  Table7[[#This Row],[Total MOSFET Loss P1]], Table7[[#This Row],[Total MOSFET Loss P1 Saved]] )</f>
        <v>#VALUE!</v>
      </c>
      <c r="CZ175" s="158" t="e">
        <f aca="false">IF(Save_Sel=CLR_Save, Table7[[#This Row],[Efficiency P1]], Table7[[#This Row],[Efficiency P1 Saved]])</f>
        <v>#VALUE!</v>
      </c>
      <c r="DA175" s="159"/>
      <c r="DB175" s="158" t="e">
        <f aca="false">IF(Save_Sel=CLR_Save,  Table7[[#This Row],[Total Sense Loss P2]], Table7[[#This Row],[Total Sense Loss P2 Saved]])</f>
        <v>#VALUE!</v>
      </c>
      <c r="DC175" s="158" t="e">
        <f aca="false">IF(Save_Sel=CLR_Save,  Table7[[#This Row],[Total MOSFET Loss P2]], Table7[[#This Row],[Total MOSFET Loss P2 Saved]] )</f>
        <v>#VALUE!</v>
      </c>
      <c r="DD175" s="158" t="e">
        <f aca="false">IF(Save_Sel=CLR_Save, Table7[[#This Row],[Efficiency P2]], Table7[[#This Row],[Efficiency P2 Saved]])</f>
        <v>#VALUE!</v>
      </c>
      <c r="DE175" s="159"/>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row>
    <row r="176" customFormat="false" ht="16.4" hidden="false" customHeight="false" outlineLevel="0" collapsed="false">
      <c r="A176" s="102"/>
      <c r="B176" s="114"/>
      <c r="C176" s="86"/>
      <c r="D176" s="115" t="s">
        <v>156</v>
      </c>
      <c r="E176" s="116"/>
      <c r="F176" s="86"/>
      <c r="G176" s="117"/>
      <c r="H176" s="24"/>
      <c r="I176" s="166"/>
      <c r="J176" s="86"/>
      <c r="K176" s="114"/>
      <c r="L176" s="86"/>
      <c r="M176" s="115" t="s">
        <v>156</v>
      </c>
      <c r="N176" s="116"/>
      <c r="O176" s="86"/>
      <c r="P176" s="117"/>
      <c r="Q176" s="24"/>
      <c r="R176" s="24"/>
      <c r="S176" s="25"/>
      <c r="T176" s="6"/>
      <c r="U176" s="7"/>
      <c r="V176" s="7"/>
      <c r="W176" s="7"/>
      <c r="X176" s="7"/>
      <c r="Y176" s="7"/>
      <c r="Z176" s="7"/>
      <c r="AA176" s="7"/>
      <c r="AB176" s="7"/>
      <c r="AC176" s="7"/>
      <c r="AD176" s="7"/>
      <c r="AE176" s="7"/>
      <c r="AF176" s="150" t="n">
        <f aca="false">AF175+1</f>
        <v>20</v>
      </c>
      <c r="AG176" s="150" t="n">
        <f aca="false">$AG$156+AF176*($AG$256-$AG$156)/$AF$256</f>
        <v>2</v>
      </c>
      <c r="AH176" s="151" t="n">
        <f aca="false">AG176*VACnom</f>
        <v>24</v>
      </c>
      <c r="AI176" s="152" t="n">
        <f aca="false">IF(VACnom&lt;Vbat, (Vbat-VACnom)/Vbat, Vbat/VACnom)</f>
        <v>0.0476190476190476</v>
      </c>
      <c r="AJ176" s="152" t="n">
        <f aca="false">IF(VACnom&lt;Vbat, AG176/(1-AI176), AG176*AI176)</f>
        <v>2.1</v>
      </c>
      <c r="AK176" s="152" t="n">
        <f aca="false">Ipkpk_VACnom</f>
        <v>0.285714285714285</v>
      </c>
      <c r="AL176" s="152" t="n">
        <f aca="false">SQRT(AJ176^2+AK176^2/12)</f>
        <v>2.10161907135628</v>
      </c>
      <c r="AM176" s="153"/>
      <c r="AN176" s="152" t="n">
        <f aca="false">MAX(0,Table7[[#This Row],[I_L]]-0.5*Table7[[#This Row],[I_L pkpk]])</f>
        <v>1.95714285714286</v>
      </c>
      <c r="AO176" s="152" t="n">
        <f aca="false">Table7[[#This Row],[I_L]]+0.5*Table7[[#This Row],[I_L pkpk]]</f>
        <v>2.24285714285714</v>
      </c>
      <c r="AP176" s="152" t="e">
        <f aca="false">IF(VACnom&gt;Vbat, (VGS_S-(TI_MOSFET_S_VTH_H_BU+Table7[[#This Row],[I_L]]/TI_MOSFET_S_gFS_H_BU))/3.4, (VGS_S-(TI_MOSFET_S_VTH_L_BO+Table7[[#This Row],[I_L]]/TI_MOSFET_S_gFS_L_BO))/3.4 )</f>
        <v>#REF!</v>
      </c>
      <c r="AQ176" s="152" t="e">
        <f aca="false">IF(VACnom&gt;Vbat, ((TI_MOSFET_S_VTH_H_BU+Table7[[#This Row],[I_L]]/TI_MOSFET_S_gFS_H_BU))/1, ((TI_MOSFET_S_VTH_L_BO+Table7[[#This Row],[I_L]]/TI_MOSFET_S_gFS_L_BO))/1 )</f>
        <v>#REF!</v>
      </c>
      <c r="AR176" s="152" t="e">
        <f aca="false">IF(VACnom&gt;Vbat, (TI_MOSFET_S_QGD_H_BU+TI_MOSFET_S_QGS_H_BU)*10^-9/Table7[[#This Row],[Ion (A)]], (TI_MOSFET_S_QGD_L_BO+TI_MOSFET_S_QGS_L_BO)*10^-9/Table7[[#This Row],[Ion (A)]])/10^-9</f>
        <v>#REF!</v>
      </c>
      <c r="AS176" s="152" t="e">
        <f aca="false">IF(VACnom&gt;Vbat, (TI_MOSFET_S_QGD_H_BU+TI_MOSFET_S_QGS_H_BU)*10^-9/Table7[[#This Row],[Ioff (A)]], (TI_MOSFET_S_QGD_L_BO+TI_MOSFET_S_QGS_L_BO)*10^-9/Table7[[#This Row],[Ioff (A)]])/10^-9</f>
        <v>#REF!</v>
      </c>
      <c r="AT176" s="152" t="e">
        <f aca="false">0.5*VACnom*Table7[[#This Row],[Ivalley (A)]]*Table7[[#This Row],[ton (ns)]]*10^-9*Fsw*10^3+0.5*VACnom*Table7[[#This Row],[Ipeak (A)]]*Table7[[#This Row],[toff (ns)]]*10^-9*Fsw*10^3/10^-3</f>
        <v>#REF!</v>
      </c>
      <c r="AU176" s="152" t="e">
        <f aca="false">IF(VACnom&gt;Vbat, 0.5*VACnom*TI_MOSFET_S_QOSS_H_BU*10^-9*Fsw*10^3,0.5*VACnom*TI_MOSFET_S_QOSS_L_BO*10^-9*Fsw*10^3)/10^-3</f>
        <v>#REF!</v>
      </c>
      <c r="AV176" s="152" t="e">
        <f aca="false">IF(VACnom&gt;Vbat, VACnom*TI_MOSFET_S_QG_H_BU*10^-9*Fsw*10^3,VACnom*TI_MOSFET_S_QG_H_BO*10^-9*Fsw*10^3)/10^-3</f>
        <v>#REF!</v>
      </c>
      <c r="AW176" s="152" t="e">
        <f aca="false">IF(VACnom&gt;Vbat, VACnom*TI_MOSFET_S_QRR_L_BU*10^-9*Fsw*10^3, VACnom*TI_MOSFET_S_QRR_H_BO*10^-9*Fsw*10^3)/10^-3</f>
        <v>#REF!</v>
      </c>
      <c r="AX176" s="152" t="e">
        <f aca="false">IF(VACnom&gt;Vbat, TI_MOSFET_S_VSD_L_BU*Table7[[#This Row],[Ivalley (A)]]*Fsw*10^3*40*10^-9+TI_MOSFET_S_VSD_L_BU*Table7[[#This Row],[Ipeak (A)]]*Fsw*10^3*30*10^-9, TI_MOSFET_S_VSD_H_BO*Table7[[#This Row],[Ivalley (A)]]*Fsw*10^3*40*10^-9+TI_MOSFET_S_VSD_H_BO*Table7[[#This Row],[Ipeak (A)]]*Fsw*10^3*30*10^-9)/10^-3</f>
        <v>#REF!</v>
      </c>
      <c r="AY176" s="152" t="e">
        <f aca="false">IF(VACnom&gt;Vbat, VACnom*TI_MOSFET_S_QG_L_BU*10^-9*Fsw*10^3, VACnom*TI_MOSFET_S_QG_L_BO*10^-9*Fsw*10^3)/10^-3</f>
        <v>#REF!</v>
      </c>
      <c r="AZ176" s="152" t="e">
        <f aca="false">IF(VACnom&lt;Vbat, Table7[[#This Row],[Duty Cycle]]*Table7[[#This Row],[I_L RMS]]^2*TI_MOSFET_S_RDSON_H_BU*10^-3, (1-Table7[[#This Row],[Duty Cycle]])*Table7[[#This Row],[I_L RMS]]^2*TI_MOSFET_S_RDSON_H_BO*10^-3)/10^-3</f>
        <v>#REF!</v>
      </c>
      <c r="BA176" s="152" t="e">
        <f aca="false">IF(VACnom&gt;Vbat, Table7[[#This Row],[PIV (mW)]]+Table7[[#This Row],[Pqoss (mW)]]+Table7[[#This Row],[Pgate_top (mW)]], Table7[[#This Row],[PRR (mW)]]+Table7[[#This Row],[Pdead (mW)]]+Table7[[#This Row],[Pgate_top (mW)]])</f>
        <v>#REF!</v>
      </c>
      <c r="BB176" s="152" t="e">
        <f aca="false">Table7[[#This Row],[Pcon_top (mW)]]+Table7[[#This Row],[Psw_top (mW)]]</f>
        <v>#REF!</v>
      </c>
      <c r="BC176" s="152" t="e">
        <f aca="false">IF(VACnom&gt;Vbat, (1-Table7[[#This Row],[Duty Cycle]])*Table7[[#This Row],[I_L RMS]]^2*TI_MOSFET_S_RDSON_L_BU*10^-3, Table7[[#This Row],[Duty Cycle]]*Table7[[#This Row],[I_L RMS]]^2*TI_MOSFET_S_RDSON_L_BO*10^-3)/10^-3</f>
        <v>#REF!</v>
      </c>
      <c r="BD176" s="152" t="e">
        <f aca="false">IF(VACnom&gt;Vbat, Table7[[#This Row],[PRR (mW)]]+Table7[[#This Row],[Pdead (mW)]]+Table7[[#This Row],[Pgate_bottom (mW)]], Table7[[#This Row],[PIV (mW)]]+Table7[[#This Row],[Pqoss (mW)]]+Table7[[#This Row],[Pgate_bottom (mW)]])</f>
        <v>#REF!</v>
      </c>
      <c r="BE176" s="154" t="e">
        <f aca="false">Table7[[#This Row],[Pcon_bottom (mW)]]+Table7[[#This Row],[Psw_bottom (mW)]]</f>
        <v>#REF!</v>
      </c>
      <c r="BF176" s="152" t="e">
        <f aca="false">Table7[[#This Row],[Pbottom (mW)]]+Table7[[#This Row],[Ptop (mW)]]</f>
        <v>#REF!</v>
      </c>
      <c r="BG176" s="155"/>
      <c r="BH176" s="152" t="n">
        <f aca="false">MAX(0,Table7[[#This Row],[I_L]]-0.5*Table7[[#This Row],[I_L pkpk]])</f>
        <v>1.95714285714286</v>
      </c>
      <c r="BI176" s="152" t="n">
        <f aca="false">Table7[[#This Row],[I_L]]+0.5*Table7[[#This Row],[I_L pkpk]]</f>
        <v>2.24285714285714</v>
      </c>
      <c r="BJ176" s="152" t="n">
        <f aca="false">IF(VACnom&gt;Vbat, (VGS_S-(C_MOSFET_S_VTH_H_BU+Table7[[#This Row],[I_L]]/C_MOSFET_S_gFS_H_BU))/3.4, (VGS_S-(C_MOSFET_S_VTH_L_BO+Table7[[#This Row],[I_L]]/C_MOSFET_S_gFS_L_BO))/3.4 )</f>
        <v>2.34882352941177</v>
      </c>
      <c r="BK176" s="152" t="n">
        <f aca="false">IF(VACnom&gt;Vbat, ((C_MOSFET_S_VTH_H_BU+Table7[[#This Row],[I_L]]/C_MOSFET_S_gFS_H_BU))/1, ((C_MOSFET_S_VTH_L_BO+Table7[[#This Row],[I_L]]/C_MOSFET_S_gFS_L_BO))/1 )</f>
        <v>2.014</v>
      </c>
      <c r="BL176" s="152" t="n">
        <f aca="false">IF(VACnom&gt;Vbat, (C_MOSFET_S_QGD_H_BU+C_MOSFET_S_QGS_H_BU)*10^-9/Table7[[#This Row],[Ion (A) C]], (C_MOSFET_S_QGD_L_BO+C_MOSFET_S_QGS_L_BO)*10^-9/Table7[[#This Row],[Ion (A) C]])/10^-9</f>
        <v>2.76734284998748</v>
      </c>
      <c r="BM176" s="152" t="n">
        <f aca="false">IF(VACnom&gt;Vbat, (C_MOSFET_S_QGD_H_BU+C_MOSFET_S_QGS_H_BU)*10^-9/Table7[[#This Row],[Ioff (A) C]], (C_MOSFET_S_QGD_L_BO+C_MOSFET_S_QGS_L_BO)*10^-9/Table7[[#This Row],[Ioff (A) C]])/10^-9</f>
        <v>3.22740814299901</v>
      </c>
      <c r="BN176" s="152" t="n">
        <f aca="false">0.5*VACnom*Table7[[#This Row],[Ivalley (A) C]]*Table7[[#This Row],[ton (ns) C]]*10^-9*Fsw*10^3+0.5*VACnom*Table7[[#This Row],[Ipeak (A) C]]*Table7[[#This Row],[toff (ns) C]]*10^-9*Fsw*10^3/10^-3</f>
        <v>8.6928377900793</v>
      </c>
      <c r="BO176" s="152" t="n">
        <f aca="false">IF(VACnom&gt;Vbat, 0.5*VACnom*C_MOSFET_S_QOSS_H_BU*10^-9*Fsw*10^3,0.5*VACnom*C_MOSFET_S_QOSS_L_BO*10^-9*Fsw*10^3)/10^-3</f>
        <v>43.2</v>
      </c>
      <c r="BP176" s="152" t="e">
        <f aca="false">IF(VACnom&gt;Vbat, VACnom*C_MOSFET_S_QG_H_BU*10^-9*Fsw*10^3,VACnom*C_MOSFET_S_QG_H_BO*10^-9*Fsw*10^3)/10^-3</f>
        <v>#REF!</v>
      </c>
      <c r="BQ176" s="152" t="n">
        <f aca="false">IF(VACnom&gt;Vbat, VACnom*C_MOSFET_S_QRR_L_BU*10^-9*Fsw*10^3, VACnom*C_MOSFET_S_QRR_H_BO*10^-9*Fsw*10^3)/10^-3</f>
        <v>79.2</v>
      </c>
      <c r="BR176" s="152" t="n">
        <f aca="false">IF(VACnom&gt;Vbat, C_MOSFET_S_VSD_L_BU*Table7[[#This Row],[Ivalley (A) C]]*Fsw*10^3*40*10^-9+C_MOSFET_S_VSD_L_BU*Table7[[#This Row],[Ipeak (A) C]]*Fsw*10^3*30*10^-9, C_MOSFET_S_VSD_H_BO*Table7[[#This Row],[Ivalley (A) C]]*Fsw*10^3*40*10^-9+C_MOSFET_S_VSD_H_BO*Table7[[#This Row],[Ipeak (A) C]]*Fsw*10^3*30*10^-9)/10^-3</f>
        <v>23.2914285714286</v>
      </c>
      <c r="BS176" s="152" t="e">
        <f aca="false">IF(VACnom&gt;Vbat, VACnom*C_MOSFET_S_QG_L_BU*10^-9*Fsw*10^3, VACnom*C_MOSFET_S_QG_L_BO*10^-9*Fsw*10^3)/10^-3</f>
        <v>#REF!</v>
      </c>
      <c r="BT176" s="152" t="n">
        <f aca="false">IF(VACnom&lt;Vbat, Table7[[#This Row],[Duty Cycle]]*Table7[[#This Row],[I_L RMS]]^2*C_MOSFET_S_RDSON_H_BU*10^-3, (1-Table7[[#This Row],[Duty Cycle]])*Table7[[#This Row],[I_L RMS]]^2*C_MOSFET_S_RDSON_H_BO*10^-3)/10^-3</f>
        <v>1.19884645286686</v>
      </c>
      <c r="BU176" s="152" t="e">
        <f aca="false">IF(VACnom&gt;Vbat, Table7[[#This Row],[PIV (mW) C]]+Table7[[#This Row],[PQoss (mW) C]]+Table7[[#This Row],[Pgate_top (mW) C]], Table7[[#This Row],[PRR (mW) C]]+Table7[[#This Row],[Pdead (mW) C]]+Table7[[#This Row],[Pgate_top (mW) C]])</f>
        <v>#REF!</v>
      </c>
      <c r="BV176" s="152" t="e">
        <f aca="false">Table7[[#This Row],[Pcon_top (mW) C]]+Table7[[#This Row],[Psw_top (mW) C]]</f>
        <v>#REF!</v>
      </c>
      <c r="BW176" s="152" t="e">
        <f aca="false">IF(VACnom&gt;Vbat, (1-Table7[[#This Row],[Duty Cycle]])*Table7[[#This Row],[I_L RMS]]^2*C_MOSFET_S_RDSON_L_BU*10^-3, Table7[[#This Row],[Duty Cycle]]*Table7[[#This Row],[I_L RMS]]^2*C_MOSFET_S_RDSON_L_BO*10^-3)/10^-3</f>
        <v>#REF!</v>
      </c>
      <c r="BX176" s="152" t="e">
        <f aca="false">IF(VACnom&gt;Vbat, Table7[[#This Row],[PRR (mW) C]]+Table7[[#This Row],[Pdead (mW) C]]+Table7[[#This Row],[Pgate_bottom (mW) C]], Table7[[#This Row],[PIV (mW) C]]+Table7[[#This Row],[PQoss (mW) C]]+Table7[[#This Row],[Pgate_bottom (mW) C]])</f>
        <v>#REF!</v>
      </c>
      <c r="BY176" s="152" t="e">
        <f aca="false">Table7[[#This Row],[Pcon_bottom (mW) C]]+Table7[[#This Row],[Psw_bottom (mV) C]]</f>
        <v>#REF!</v>
      </c>
      <c r="BZ176" s="152" t="e">
        <f aca="false">Table7[[#This Row],[Pbottom (mW) C]]+Table7[[#This Row],[Ptop (mW) C]]</f>
        <v>#REF!</v>
      </c>
      <c r="CA176" s="156"/>
      <c r="CB176" s="151" t="n">
        <f aca="false">(RAC_SNS*10^-3*(Table7[[#This Row],[IOUT (A)]]*Vbat/VACnom)^2/10^-3)</f>
        <v>22.05</v>
      </c>
      <c r="CC176" s="151" t="n">
        <f aca="false">(RBAT_SNS*10^-3*Table7[[#This Row],[IOUT (A)]]^2)/10^-3</f>
        <v>20</v>
      </c>
      <c r="CD176" s="151" t="n">
        <f aca="false">IF(VACnom&gt;Vbat,(L_DRC*10^-3*(Table7[[#This Row],[IOUT (A)]])^2/10^-3),(L_DRC*10^-3*(Table7[[#This Row],[IOUT (A)]]*Vbat/VACnom)^2/10^-3))</f>
        <v>52.92</v>
      </c>
      <c r="CE176" s="157"/>
      <c r="CF176" s="152" t="n">
        <f aca="false">(Table7[[#This Row],[R_AC (mW)]]+Table7[[#This Row],[R_SR (mW)]]+Table7[[#This Row],[Inductor Loss (mW)]])/10^3</f>
        <v>0.09497</v>
      </c>
      <c r="CG176" s="152" t="e">
        <f aca="false">Table7[[#This Row],[Total TI (mW)]]/10^3</f>
        <v>#REF!</v>
      </c>
      <c r="CH176" s="152" t="e">
        <f aca="false">Table7[[#This Row],[Total Sense Loss]]+Table7[[#This Row],[Total MOSFET Loss]]</f>
        <v>#REF!</v>
      </c>
      <c r="CI176" s="158" t="e">
        <f aca="false">IF(Table7[[#This Row],[POUT (W)]]=0,0,(Table7[[#This Row],[POUT (W)]])/(Table7[[#This Row],[POUT (W)]]+Table7[[#This Row],[Total Power Loss (W)]]))*100</f>
        <v>#REF!</v>
      </c>
      <c r="CJ176" s="159"/>
      <c r="CK176" s="152" t="n">
        <f aca="false">(Table7[[#This Row],[R_AC (mW)]]+Table7[[#This Row],[R_SR (mW)]]+Table7[[#This Row],[Inductor Loss (mW)]])/10^3</f>
        <v>0.09497</v>
      </c>
      <c r="CL176" s="152" t="e">
        <f aca="false">Table7[[#This Row],[Total (mW) C]]/10^3</f>
        <v>#REF!</v>
      </c>
      <c r="CM176" s="152" t="e">
        <f aca="false">Table7[[#This Row],[Total Sense Loss C]]+Table7[[#This Row],[Total MOSFET Loss C]]</f>
        <v>#REF!</v>
      </c>
      <c r="CN176" s="158" t="e">
        <f aca="false">IF(Table7[[#This Row],[POUT (W)]]=0,0,(Table7[[#This Row],[POUT (W)]])/(Table7[[#This Row],[POUT (W)]]+Table7[[#This Row],[Total Power Loss (W) C]]))*100</f>
        <v>#REF!</v>
      </c>
      <c r="CO176" s="159"/>
      <c r="CP176" s="158" t="n">
        <f aca="false">IF(MOSFET_S=Custom_MOSFET,Table7[[#This Row],[Total Sense Loss C]],Table7[[#This Row],[Total Sense Loss]])</f>
        <v>0.09497</v>
      </c>
      <c r="CQ176" s="158" t="e">
        <f aca="false">IF(MOSFET_S=Custom_MOSFET,Table7[[#This Row],[Total MOSFET Loss C]],Table7[[#This Row],[Total MOSFET Loss]])</f>
        <v>#REF!</v>
      </c>
      <c r="CR176" s="158" t="e">
        <f aca="false">IF(MOSFET_S=Custom_MOSFET,Table7[[#This Row],[Efficiency C]],Table7[[#This Row],[Efficiency]])</f>
        <v>#REF!</v>
      </c>
      <c r="CS176" s="159"/>
      <c r="CT176" s="158" t="n">
        <f aca="false">IF(MOSFET_S=Compare_MOSFET, Table7[[#This Row],[Total Sense Loss C]], -100)</f>
        <v>-100</v>
      </c>
      <c r="CU176" s="158" t="n">
        <f aca="false">IF(MOSFET_S=Compare_MOSFET, Table7[[#This Row],[Total MOSFET Loss C]], -100)</f>
        <v>-100</v>
      </c>
      <c r="CV176" s="158" t="n">
        <f aca="false">IF(MOSFET_S=Compare_MOSFET, Table7[[#This Row],[Efficiency C]], -100)</f>
        <v>-100</v>
      </c>
      <c r="CW176" s="159"/>
      <c r="CX176" s="158" t="e">
        <f aca="false">IF(Save_Sel=CLR_Save,  Table7[[#This Row],[Total Sense Loss P1]], Table7[[#This Row],[Total Sense Loss P1 Saved]])</f>
        <v>#VALUE!</v>
      </c>
      <c r="CY176" s="158" t="e">
        <f aca="false">IF(Save_Sel=CLR_Save,  Table7[[#This Row],[Total MOSFET Loss P1]], Table7[[#This Row],[Total MOSFET Loss P1 Saved]] )</f>
        <v>#VALUE!</v>
      </c>
      <c r="CZ176" s="158" t="e">
        <f aca="false">IF(Save_Sel=CLR_Save, Table7[[#This Row],[Efficiency P1]], Table7[[#This Row],[Efficiency P1 Saved]])</f>
        <v>#VALUE!</v>
      </c>
      <c r="DA176" s="159"/>
      <c r="DB176" s="158" t="e">
        <f aca="false">IF(Save_Sel=CLR_Save,  Table7[[#This Row],[Total Sense Loss P2]], Table7[[#This Row],[Total Sense Loss P2 Saved]])</f>
        <v>#VALUE!</v>
      </c>
      <c r="DC176" s="158" t="e">
        <f aca="false">IF(Save_Sel=CLR_Save,  Table7[[#This Row],[Total MOSFET Loss P2]], Table7[[#This Row],[Total MOSFET Loss P2 Saved]] )</f>
        <v>#VALUE!</v>
      </c>
      <c r="DD176" s="158" t="e">
        <f aca="false">IF(Save_Sel=CLR_Save, Table7[[#This Row],[Efficiency P2]], Table7[[#This Row],[Efficiency P2 Saved]])</f>
        <v>#VALUE!</v>
      </c>
      <c r="DE176" s="159"/>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row>
    <row r="177" customFormat="false" ht="16.4" hidden="false" customHeight="false" outlineLevel="0" collapsed="false">
      <c r="A177" s="100"/>
      <c r="B177" s="84"/>
      <c r="C177" s="84"/>
      <c r="D177" s="41"/>
      <c r="E177" s="84" t="s">
        <v>125</v>
      </c>
      <c r="F177" s="84" t="s">
        <v>126</v>
      </c>
      <c r="G177" s="119"/>
      <c r="H177" s="24"/>
      <c r="I177" s="167"/>
      <c r="J177" s="84"/>
      <c r="K177" s="84"/>
      <c r="L177" s="84"/>
      <c r="M177" s="41"/>
      <c r="N177" s="84" t="s">
        <v>125</v>
      </c>
      <c r="O177" s="84" t="s">
        <v>126</v>
      </c>
      <c r="P177" s="119"/>
      <c r="Q177" s="24"/>
      <c r="R177" s="24"/>
      <c r="S177" s="25"/>
      <c r="T177" s="6"/>
      <c r="U177" s="7"/>
      <c r="V177" s="7"/>
      <c r="W177" s="7"/>
      <c r="X177" s="7"/>
      <c r="Y177" s="7"/>
      <c r="Z177" s="7"/>
      <c r="AA177" s="7"/>
      <c r="AB177" s="7"/>
      <c r="AC177" s="7"/>
      <c r="AD177" s="7"/>
      <c r="AE177" s="7"/>
      <c r="AF177" s="150" t="n">
        <f aca="false">AF176+1</f>
        <v>21</v>
      </c>
      <c r="AG177" s="150" t="n">
        <f aca="false">$AG$156+AF177*($AG$256-$AG$156)/$AF$256</f>
        <v>2.1</v>
      </c>
      <c r="AH177" s="151" t="n">
        <f aca="false">AG177*VACnom</f>
        <v>25.2</v>
      </c>
      <c r="AI177" s="152" t="n">
        <f aca="false">IF(VACnom&lt;Vbat, (Vbat-VACnom)/Vbat, Vbat/VACnom)</f>
        <v>0.0476190476190476</v>
      </c>
      <c r="AJ177" s="152" t="n">
        <f aca="false">IF(VACnom&lt;Vbat, AG177/(1-AI177), AG177*AI177)</f>
        <v>2.205</v>
      </c>
      <c r="AK177" s="152" t="n">
        <f aca="false">Ipkpk_VACnom</f>
        <v>0.285714285714285</v>
      </c>
      <c r="AL177" s="152" t="n">
        <f aca="false">SQRT(AJ177^2+AK177^2/12)</f>
        <v>2.20654202794518</v>
      </c>
      <c r="AM177" s="153"/>
      <c r="AN177" s="152" t="n">
        <f aca="false">MAX(0,Table7[[#This Row],[I_L]]-0.5*Table7[[#This Row],[I_L pkpk]])</f>
        <v>2.06214285714286</v>
      </c>
      <c r="AO177" s="152" t="n">
        <f aca="false">Table7[[#This Row],[I_L]]+0.5*Table7[[#This Row],[I_L pkpk]]</f>
        <v>2.34785714285714</v>
      </c>
      <c r="AP177" s="152" t="e">
        <f aca="false">IF(VACnom&gt;Vbat, (VGS_S-(TI_MOSFET_S_VTH_H_BU+Table7[[#This Row],[I_L]]/TI_MOSFET_S_gFS_H_BU))/3.4, (VGS_S-(TI_MOSFET_S_VTH_L_BO+Table7[[#This Row],[I_L]]/TI_MOSFET_S_gFS_L_BO))/3.4 )</f>
        <v>#REF!</v>
      </c>
      <c r="AQ177" s="152" t="e">
        <f aca="false">IF(VACnom&gt;Vbat, ((TI_MOSFET_S_VTH_H_BU+Table7[[#This Row],[I_L]]/TI_MOSFET_S_gFS_H_BU))/1, ((TI_MOSFET_S_VTH_L_BO+Table7[[#This Row],[I_L]]/TI_MOSFET_S_gFS_L_BO))/1 )</f>
        <v>#REF!</v>
      </c>
      <c r="AR177" s="152" t="e">
        <f aca="false">IF(VACnom&gt;Vbat, (TI_MOSFET_S_QGD_H_BU+TI_MOSFET_S_QGS_H_BU)*10^-9/Table7[[#This Row],[Ion (A)]], (TI_MOSFET_S_QGD_L_BO+TI_MOSFET_S_QGS_L_BO)*10^-9/Table7[[#This Row],[Ion (A)]])/10^-9</f>
        <v>#REF!</v>
      </c>
      <c r="AS177" s="152" t="e">
        <f aca="false">IF(VACnom&gt;Vbat, (TI_MOSFET_S_QGD_H_BU+TI_MOSFET_S_QGS_H_BU)*10^-9/Table7[[#This Row],[Ioff (A)]], (TI_MOSFET_S_QGD_L_BO+TI_MOSFET_S_QGS_L_BO)*10^-9/Table7[[#This Row],[Ioff (A)]])/10^-9</f>
        <v>#REF!</v>
      </c>
      <c r="AT177" s="152" t="e">
        <f aca="false">0.5*VACnom*Table7[[#This Row],[Ivalley (A)]]*Table7[[#This Row],[ton (ns)]]*10^-9*Fsw*10^3+0.5*VACnom*Table7[[#This Row],[Ipeak (A)]]*Table7[[#This Row],[toff (ns)]]*10^-9*Fsw*10^3/10^-3</f>
        <v>#REF!</v>
      </c>
      <c r="AU177" s="152" t="e">
        <f aca="false">IF(VACnom&gt;Vbat, 0.5*VACnom*TI_MOSFET_S_QOSS_H_BU*10^-9*Fsw*10^3,0.5*VACnom*TI_MOSFET_S_QOSS_L_BO*10^-9*Fsw*10^3)/10^-3</f>
        <v>#REF!</v>
      </c>
      <c r="AV177" s="152" t="e">
        <f aca="false">IF(VACnom&gt;Vbat, VACnom*TI_MOSFET_S_QG_H_BU*10^-9*Fsw*10^3,VACnom*TI_MOSFET_S_QG_H_BO*10^-9*Fsw*10^3)/10^-3</f>
        <v>#REF!</v>
      </c>
      <c r="AW177" s="152" t="e">
        <f aca="false">IF(VACnom&gt;Vbat, VACnom*TI_MOSFET_S_QRR_L_BU*10^-9*Fsw*10^3, VACnom*TI_MOSFET_S_QRR_H_BO*10^-9*Fsw*10^3)/10^-3</f>
        <v>#REF!</v>
      </c>
      <c r="AX177" s="152" t="e">
        <f aca="false">IF(VACnom&gt;Vbat, TI_MOSFET_S_VSD_L_BU*Table7[[#This Row],[Ivalley (A)]]*Fsw*10^3*40*10^-9+TI_MOSFET_S_VSD_L_BU*Table7[[#This Row],[Ipeak (A)]]*Fsw*10^3*30*10^-9, TI_MOSFET_S_VSD_H_BO*Table7[[#This Row],[Ivalley (A)]]*Fsw*10^3*40*10^-9+TI_MOSFET_S_VSD_H_BO*Table7[[#This Row],[Ipeak (A)]]*Fsw*10^3*30*10^-9)/10^-3</f>
        <v>#REF!</v>
      </c>
      <c r="AY177" s="152" t="e">
        <f aca="false">IF(VACnom&gt;Vbat, VACnom*TI_MOSFET_S_QG_L_BU*10^-9*Fsw*10^3, VACnom*TI_MOSFET_S_QG_L_BO*10^-9*Fsw*10^3)/10^-3</f>
        <v>#REF!</v>
      </c>
      <c r="AZ177" s="152" t="e">
        <f aca="false">IF(VACnom&lt;Vbat, Table7[[#This Row],[Duty Cycle]]*Table7[[#This Row],[I_L RMS]]^2*TI_MOSFET_S_RDSON_H_BU*10^-3, (1-Table7[[#This Row],[Duty Cycle]])*Table7[[#This Row],[I_L RMS]]^2*TI_MOSFET_S_RDSON_H_BO*10^-3)/10^-3</f>
        <v>#REF!</v>
      </c>
      <c r="BA177" s="152" t="e">
        <f aca="false">IF(VACnom&gt;Vbat, Table7[[#This Row],[PIV (mW)]]+Table7[[#This Row],[Pqoss (mW)]]+Table7[[#This Row],[Pgate_top (mW)]], Table7[[#This Row],[PRR (mW)]]+Table7[[#This Row],[Pdead (mW)]]+Table7[[#This Row],[Pgate_top (mW)]])</f>
        <v>#REF!</v>
      </c>
      <c r="BB177" s="152" t="e">
        <f aca="false">Table7[[#This Row],[Pcon_top (mW)]]+Table7[[#This Row],[Psw_top (mW)]]</f>
        <v>#REF!</v>
      </c>
      <c r="BC177" s="152" t="e">
        <f aca="false">IF(VACnom&gt;Vbat, (1-Table7[[#This Row],[Duty Cycle]])*Table7[[#This Row],[I_L RMS]]^2*TI_MOSFET_S_RDSON_L_BU*10^-3, Table7[[#This Row],[Duty Cycle]]*Table7[[#This Row],[I_L RMS]]^2*TI_MOSFET_S_RDSON_L_BO*10^-3)/10^-3</f>
        <v>#REF!</v>
      </c>
      <c r="BD177" s="152" t="e">
        <f aca="false">IF(VACnom&gt;Vbat, Table7[[#This Row],[PRR (mW)]]+Table7[[#This Row],[Pdead (mW)]]+Table7[[#This Row],[Pgate_bottom (mW)]], Table7[[#This Row],[PIV (mW)]]+Table7[[#This Row],[Pqoss (mW)]]+Table7[[#This Row],[Pgate_bottom (mW)]])</f>
        <v>#REF!</v>
      </c>
      <c r="BE177" s="154" t="e">
        <f aca="false">Table7[[#This Row],[Pcon_bottom (mW)]]+Table7[[#This Row],[Psw_bottom (mW)]]</f>
        <v>#REF!</v>
      </c>
      <c r="BF177" s="152" t="e">
        <f aca="false">Table7[[#This Row],[Pbottom (mW)]]+Table7[[#This Row],[Ptop (mW)]]</f>
        <v>#REF!</v>
      </c>
      <c r="BG177" s="155"/>
      <c r="BH177" s="152" t="n">
        <f aca="false">MAX(0,Table7[[#This Row],[I_L]]-0.5*Table7[[#This Row],[I_L pkpk]])</f>
        <v>2.06214285714286</v>
      </c>
      <c r="BI177" s="152" t="n">
        <f aca="false">Table7[[#This Row],[I_L]]+0.5*Table7[[#This Row],[I_L pkpk]]</f>
        <v>2.34785714285714</v>
      </c>
      <c r="BJ177" s="152" t="n">
        <f aca="false">IF(VACnom&gt;Vbat, (VGS_S-(C_MOSFET_S_VTH_H_BU+Table7[[#This Row],[I_L]]/C_MOSFET_S_gFS_H_BU))/3.4, (VGS_S-(C_MOSFET_S_VTH_L_BO+Table7[[#This Row],[I_L]]/C_MOSFET_S_gFS_L_BO))/3.4 )</f>
        <v>2.34861764705882</v>
      </c>
      <c r="BK177" s="152" t="n">
        <f aca="false">IF(VACnom&gt;Vbat, ((C_MOSFET_S_VTH_H_BU+Table7[[#This Row],[I_L]]/C_MOSFET_S_gFS_H_BU))/1, ((C_MOSFET_S_VTH_L_BO+Table7[[#This Row],[I_L]]/C_MOSFET_S_gFS_L_BO))/1 )</f>
        <v>2.0147</v>
      </c>
      <c r="BL177" s="152" t="n">
        <f aca="false">IF(VACnom&gt;Vbat, (C_MOSFET_S_QGD_H_BU+C_MOSFET_S_QGS_H_BU)*10^-9/Table7[[#This Row],[Ion (A) C]], (C_MOSFET_S_QGD_L_BO+C_MOSFET_S_QGS_L_BO)*10^-9/Table7[[#This Row],[Ion (A) C]])/10^-9</f>
        <v>2.76758543824277</v>
      </c>
      <c r="BM177" s="152" t="n">
        <f aca="false">IF(VACnom&gt;Vbat, (C_MOSFET_S_QGD_H_BU+C_MOSFET_S_QGS_H_BU)*10^-9/Table7[[#This Row],[Ioff (A) C]], (C_MOSFET_S_QGD_L_BO+C_MOSFET_S_QGS_L_BO)*10^-9/Table7[[#This Row],[Ioff (A) C]])/10^-9</f>
        <v>3.22628679207822</v>
      </c>
      <c r="BN177" s="152" t="n">
        <f aca="false">0.5*VACnom*Table7[[#This Row],[Ivalley (A) C]]*Table7[[#This Row],[ton (ns) C]]*10^-9*Fsw*10^3+0.5*VACnom*Table7[[#This Row],[Ipeak (A) C]]*Table7[[#This Row],[toff (ns) C]]*10^-9*Fsw*10^3/10^-3</f>
        <v>9.09668117547543</v>
      </c>
      <c r="BO177" s="152" t="n">
        <f aca="false">IF(VACnom&gt;Vbat, 0.5*VACnom*C_MOSFET_S_QOSS_H_BU*10^-9*Fsw*10^3,0.5*VACnom*C_MOSFET_S_QOSS_L_BO*10^-9*Fsw*10^3)/10^-3</f>
        <v>43.2</v>
      </c>
      <c r="BP177" s="152" t="e">
        <f aca="false">IF(VACnom&gt;Vbat, VACnom*C_MOSFET_S_QG_H_BU*10^-9*Fsw*10^3,VACnom*C_MOSFET_S_QG_H_BO*10^-9*Fsw*10^3)/10^-3</f>
        <v>#REF!</v>
      </c>
      <c r="BQ177" s="152" t="n">
        <f aca="false">IF(VACnom&gt;Vbat, VACnom*C_MOSFET_S_QRR_L_BU*10^-9*Fsw*10^3, VACnom*C_MOSFET_S_QRR_H_BO*10^-9*Fsw*10^3)/10^-3</f>
        <v>79.2</v>
      </c>
      <c r="BR177" s="152" t="n">
        <f aca="false">IF(VACnom&gt;Vbat, C_MOSFET_S_VSD_L_BU*Table7[[#This Row],[Ivalley (A) C]]*Fsw*10^3*40*10^-9+C_MOSFET_S_VSD_L_BU*Table7[[#This Row],[Ipeak (A) C]]*Fsw*10^3*30*10^-9, C_MOSFET_S_VSD_H_BO*Table7[[#This Row],[Ivalley (A) C]]*Fsw*10^3*40*10^-9+C_MOSFET_S_VSD_H_BO*Table7[[#This Row],[Ipeak (A) C]]*Fsw*10^3*30*10^-9)/10^-3</f>
        <v>24.4674285714286</v>
      </c>
      <c r="BS177" s="152" t="e">
        <f aca="false">IF(VACnom&gt;Vbat, VACnom*C_MOSFET_S_QG_L_BU*10^-9*Fsw*10^3, VACnom*C_MOSFET_S_QG_L_BO*10^-9*Fsw*10^3)/10^-3</f>
        <v>#REF!</v>
      </c>
      <c r="BT177" s="152" t="n">
        <f aca="false">IF(VACnom&lt;Vbat, Table7[[#This Row],[Duty Cycle]]*Table7[[#This Row],[I_L RMS]]^2*C_MOSFET_S_RDSON_H_BU*10^-3, (1-Table7[[#This Row],[Duty Cycle]])*Table7[[#This Row],[I_L RMS]]^2*C_MOSFET_S_RDSON_H_BO*10^-3)/10^-3</f>
        <v>1.32153895286686</v>
      </c>
      <c r="BU177" s="152" t="e">
        <f aca="false">IF(VACnom&gt;Vbat, Table7[[#This Row],[PIV (mW) C]]+Table7[[#This Row],[PQoss (mW) C]]+Table7[[#This Row],[Pgate_top (mW) C]], Table7[[#This Row],[PRR (mW) C]]+Table7[[#This Row],[Pdead (mW) C]]+Table7[[#This Row],[Pgate_top (mW) C]])</f>
        <v>#REF!</v>
      </c>
      <c r="BV177" s="152" t="e">
        <f aca="false">Table7[[#This Row],[Pcon_top (mW) C]]+Table7[[#This Row],[Psw_top (mW) C]]</f>
        <v>#REF!</v>
      </c>
      <c r="BW177" s="152" t="e">
        <f aca="false">IF(VACnom&gt;Vbat, (1-Table7[[#This Row],[Duty Cycle]])*Table7[[#This Row],[I_L RMS]]^2*C_MOSFET_S_RDSON_L_BU*10^-3, Table7[[#This Row],[Duty Cycle]]*Table7[[#This Row],[I_L RMS]]^2*C_MOSFET_S_RDSON_L_BO*10^-3)/10^-3</f>
        <v>#REF!</v>
      </c>
      <c r="BX177" s="152" t="e">
        <f aca="false">IF(VACnom&gt;Vbat, Table7[[#This Row],[PRR (mW) C]]+Table7[[#This Row],[Pdead (mW) C]]+Table7[[#This Row],[Pgate_bottom (mW) C]], Table7[[#This Row],[PIV (mW) C]]+Table7[[#This Row],[PQoss (mW) C]]+Table7[[#This Row],[Pgate_bottom (mW) C]])</f>
        <v>#REF!</v>
      </c>
      <c r="BY177" s="152" t="e">
        <f aca="false">Table7[[#This Row],[Pcon_bottom (mW) C]]+Table7[[#This Row],[Psw_bottom (mV) C]]</f>
        <v>#REF!</v>
      </c>
      <c r="BZ177" s="152" t="e">
        <f aca="false">Table7[[#This Row],[Pbottom (mW) C]]+Table7[[#This Row],[Ptop (mW) C]]</f>
        <v>#REF!</v>
      </c>
      <c r="CA177" s="156"/>
      <c r="CB177" s="151" t="n">
        <f aca="false">(RAC_SNS*10^-3*(Table7[[#This Row],[IOUT (A)]]*Vbat/VACnom)^2/10^-3)</f>
        <v>24.310125</v>
      </c>
      <c r="CC177" s="151" t="n">
        <f aca="false">(RBAT_SNS*10^-3*Table7[[#This Row],[IOUT (A)]]^2)/10^-3</f>
        <v>22.05</v>
      </c>
      <c r="CD177" s="151" t="n">
        <f aca="false">IF(VACnom&gt;Vbat,(L_DRC*10^-3*(Table7[[#This Row],[IOUT (A)]])^2/10^-3),(L_DRC*10^-3*(Table7[[#This Row],[IOUT (A)]]*Vbat/VACnom)^2/10^-3))</f>
        <v>58.3443</v>
      </c>
      <c r="CE177" s="157"/>
      <c r="CF177" s="152" t="n">
        <f aca="false">(Table7[[#This Row],[R_AC (mW)]]+Table7[[#This Row],[R_SR (mW)]]+Table7[[#This Row],[Inductor Loss (mW)]])/10^3</f>
        <v>0.104704425</v>
      </c>
      <c r="CG177" s="152" t="e">
        <f aca="false">Table7[[#This Row],[Total TI (mW)]]/10^3</f>
        <v>#REF!</v>
      </c>
      <c r="CH177" s="152" t="e">
        <f aca="false">Table7[[#This Row],[Total Sense Loss]]+Table7[[#This Row],[Total MOSFET Loss]]</f>
        <v>#REF!</v>
      </c>
      <c r="CI177" s="158" t="e">
        <f aca="false">IF(Table7[[#This Row],[POUT (W)]]=0,0,(Table7[[#This Row],[POUT (W)]])/(Table7[[#This Row],[POUT (W)]]+Table7[[#This Row],[Total Power Loss (W)]]))*100</f>
        <v>#REF!</v>
      </c>
      <c r="CJ177" s="159"/>
      <c r="CK177" s="152" t="n">
        <f aca="false">(Table7[[#This Row],[R_AC (mW)]]+Table7[[#This Row],[R_SR (mW)]]+Table7[[#This Row],[Inductor Loss (mW)]])/10^3</f>
        <v>0.104704425</v>
      </c>
      <c r="CL177" s="152" t="e">
        <f aca="false">Table7[[#This Row],[Total (mW) C]]/10^3</f>
        <v>#REF!</v>
      </c>
      <c r="CM177" s="152" t="e">
        <f aca="false">Table7[[#This Row],[Total Sense Loss C]]+Table7[[#This Row],[Total MOSFET Loss C]]</f>
        <v>#REF!</v>
      </c>
      <c r="CN177" s="158" t="e">
        <f aca="false">IF(Table7[[#This Row],[POUT (W)]]=0,0,(Table7[[#This Row],[POUT (W)]])/(Table7[[#This Row],[POUT (W)]]+Table7[[#This Row],[Total Power Loss (W) C]]))*100</f>
        <v>#REF!</v>
      </c>
      <c r="CO177" s="159"/>
      <c r="CP177" s="158" t="n">
        <f aca="false">IF(MOSFET_S=Custom_MOSFET,Table7[[#This Row],[Total Sense Loss C]],Table7[[#This Row],[Total Sense Loss]])</f>
        <v>0.104704425</v>
      </c>
      <c r="CQ177" s="158" t="e">
        <f aca="false">IF(MOSFET_S=Custom_MOSFET,Table7[[#This Row],[Total MOSFET Loss C]],Table7[[#This Row],[Total MOSFET Loss]])</f>
        <v>#REF!</v>
      </c>
      <c r="CR177" s="158" t="e">
        <f aca="false">IF(MOSFET_S=Custom_MOSFET,Table7[[#This Row],[Efficiency C]],Table7[[#This Row],[Efficiency]])</f>
        <v>#REF!</v>
      </c>
      <c r="CS177" s="159"/>
      <c r="CT177" s="158" t="n">
        <f aca="false">IF(MOSFET_S=Compare_MOSFET, Table7[[#This Row],[Total Sense Loss C]], -100)</f>
        <v>-100</v>
      </c>
      <c r="CU177" s="158" t="n">
        <f aca="false">IF(MOSFET_S=Compare_MOSFET, Table7[[#This Row],[Total MOSFET Loss C]], -100)</f>
        <v>-100</v>
      </c>
      <c r="CV177" s="158" t="n">
        <f aca="false">IF(MOSFET_S=Compare_MOSFET, Table7[[#This Row],[Efficiency C]], -100)</f>
        <v>-100</v>
      </c>
      <c r="CW177" s="159"/>
      <c r="CX177" s="158" t="e">
        <f aca="false">IF(Save_Sel=CLR_Save,  Table7[[#This Row],[Total Sense Loss P1]], Table7[[#This Row],[Total Sense Loss P1 Saved]])</f>
        <v>#VALUE!</v>
      </c>
      <c r="CY177" s="158" t="e">
        <f aca="false">IF(Save_Sel=CLR_Save,  Table7[[#This Row],[Total MOSFET Loss P1]], Table7[[#This Row],[Total MOSFET Loss P1 Saved]] )</f>
        <v>#VALUE!</v>
      </c>
      <c r="CZ177" s="158" t="e">
        <f aca="false">IF(Save_Sel=CLR_Save, Table7[[#This Row],[Efficiency P1]], Table7[[#This Row],[Efficiency P1 Saved]])</f>
        <v>#VALUE!</v>
      </c>
      <c r="DA177" s="159"/>
      <c r="DB177" s="158" t="e">
        <f aca="false">IF(Save_Sel=CLR_Save,  Table7[[#This Row],[Total Sense Loss P2]], Table7[[#This Row],[Total Sense Loss P2 Saved]])</f>
        <v>#VALUE!</v>
      </c>
      <c r="DC177" s="158" t="e">
        <f aca="false">IF(Save_Sel=CLR_Save,  Table7[[#This Row],[Total MOSFET Loss P2]], Table7[[#This Row],[Total MOSFET Loss P2 Saved]] )</f>
        <v>#VALUE!</v>
      </c>
      <c r="DD177" s="158" t="e">
        <f aca="false">IF(Save_Sel=CLR_Save, Table7[[#This Row],[Efficiency P2]], Table7[[#This Row],[Efficiency P2 Saved]])</f>
        <v>#VALUE!</v>
      </c>
      <c r="DE177" s="159"/>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row>
    <row r="178" customFormat="false" ht="16.4" hidden="false" customHeight="false" outlineLevel="0" collapsed="false">
      <c r="A178" s="100" t="n">
        <v>1</v>
      </c>
      <c r="B178" s="84"/>
      <c r="C178" s="84"/>
      <c r="D178" s="28" t="s">
        <v>135</v>
      </c>
      <c r="E178" s="168" t="e">
        <f aca="false">IF( VGS_S=Vgs_4P5,TI_RDS_4P5_H_BO, IF(VGS_S=Vgs_10, TI_RDS_10_H_BO, IF( AND(VGS_S=Vgs_C, ISNUMBER(TI_RDS_C_H_BO)), TI_RDS_C_H_BO, "ERROR" )))</f>
        <v>#REF!</v>
      </c>
      <c r="F178" s="168" t="e">
        <f aca="false">IF( VGS_S=Vgs_4P5,TI_RDS_4P5_L_BO, IF(VGS_S=Vgs_10, TI_RDS_10_L_BO, IF( AND(VGS_S=Vgs_C, ISNUMBER(TI_RDS_C_L_BO)), TI_RDS_C_L_BO, "ERROR" )))</f>
        <v>#REF!</v>
      </c>
      <c r="G178" s="119" t="s">
        <v>136</v>
      </c>
      <c r="H178" s="24"/>
      <c r="I178" s="100" t="n">
        <v>1</v>
      </c>
      <c r="J178" s="24"/>
      <c r="K178" s="84"/>
      <c r="L178" s="84"/>
      <c r="M178" s="28" t="s">
        <v>135</v>
      </c>
      <c r="N178" s="124" t="e">
        <f aca="false">IF(MOSFET_S=TI_MOSFET, $N135, IF(MOSFET_S=Custom_MOSFET,$E135, IF(MOSFET_S=Compare_MOSFET,$N135, 0) ))</f>
        <v>#REF!</v>
      </c>
      <c r="O178" s="124" t="e">
        <f aca="false">IF(MOSFET_S=TI_MOSFET, $O135, IF(MOSFET_S=Custom_MOSFET,$F135, IF(MOSFET_S=Compare_MOSFET,$O135, 0) ))</f>
        <v>#REF!</v>
      </c>
      <c r="P178" s="119" t="s">
        <v>136</v>
      </c>
      <c r="Q178" s="24"/>
      <c r="R178" s="24"/>
      <c r="S178" s="25"/>
      <c r="T178" s="6"/>
      <c r="U178" s="7"/>
      <c r="V178" s="7"/>
      <c r="W178" s="7"/>
      <c r="X178" s="7"/>
      <c r="Y178" s="7"/>
      <c r="Z178" s="7"/>
      <c r="AA178" s="7"/>
      <c r="AB178" s="7"/>
      <c r="AC178" s="7"/>
      <c r="AD178" s="7"/>
      <c r="AE178" s="7"/>
      <c r="AF178" s="150" t="n">
        <f aca="false">AF177+1</f>
        <v>22</v>
      </c>
      <c r="AG178" s="150" t="n">
        <f aca="false">$AG$156+AF178*($AG$256-$AG$156)/$AF$256</f>
        <v>2.2</v>
      </c>
      <c r="AH178" s="151" t="n">
        <f aca="false">AG178*VACnom</f>
        <v>26.4</v>
      </c>
      <c r="AI178" s="152" t="n">
        <f aca="false">IF(VACnom&lt;Vbat, (Vbat-VACnom)/Vbat, Vbat/VACnom)</f>
        <v>0.0476190476190476</v>
      </c>
      <c r="AJ178" s="152" t="n">
        <f aca="false">IF(VACnom&lt;Vbat, AG178/(1-AI178), AG178*AI178)</f>
        <v>2.31</v>
      </c>
      <c r="AK178" s="152" t="n">
        <f aca="false">Ipkpk_VACnom</f>
        <v>0.285714285714285</v>
      </c>
      <c r="AL178" s="152" t="n">
        <f aca="false">SQRT(AJ178^2+AK178^2/12)</f>
        <v>2.31147198146299</v>
      </c>
      <c r="AM178" s="153"/>
      <c r="AN178" s="152" t="n">
        <f aca="false">MAX(0,Table7[[#This Row],[I_L]]-0.5*Table7[[#This Row],[I_L pkpk]])</f>
        <v>2.16714285714286</v>
      </c>
      <c r="AO178" s="152" t="n">
        <f aca="false">Table7[[#This Row],[I_L]]+0.5*Table7[[#This Row],[I_L pkpk]]</f>
        <v>2.45285714285714</v>
      </c>
      <c r="AP178" s="152" t="e">
        <f aca="false">IF(VACnom&gt;Vbat, (VGS_S-(TI_MOSFET_S_VTH_H_BU+Table7[[#This Row],[I_L]]/TI_MOSFET_S_gFS_H_BU))/3.4, (VGS_S-(TI_MOSFET_S_VTH_L_BO+Table7[[#This Row],[I_L]]/TI_MOSFET_S_gFS_L_BO))/3.4 )</f>
        <v>#REF!</v>
      </c>
      <c r="AQ178" s="152" t="e">
        <f aca="false">IF(VACnom&gt;Vbat, ((TI_MOSFET_S_VTH_H_BU+Table7[[#This Row],[I_L]]/TI_MOSFET_S_gFS_H_BU))/1, ((TI_MOSFET_S_VTH_L_BO+Table7[[#This Row],[I_L]]/TI_MOSFET_S_gFS_L_BO))/1 )</f>
        <v>#REF!</v>
      </c>
      <c r="AR178" s="152" t="e">
        <f aca="false">IF(VACnom&gt;Vbat, (TI_MOSFET_S_QGD_H_BU+TI_MOSFET_S_QGS_H_BU)*10^-9/Table7[[#This Row],[Ion (A)]], (TI_MOSFET_S_QGD_L_BO+TI_MOSFET_S_QGS_L_BO)*10^-9/Table7[[#This Row],[Ion (A)]])/10^-9</f>
        <v>#REF!</v>
      </c>
      <c r="AS178" s="152" t="e">
        <f aca="false">IF(VACnom&gt;Vbat, (TI_MOSFET_S_QGD_H_BU+TI_MOSFET_S_QGS_H_BU)*10^-9/Table7[[#This Row],[Ioff (A)]], (TI_MOSFET_S_QGD_L_BO+TI_MOSFET_S_QGS_L_BO)*10^-9/Table7[[#This Row],[Ioff (A)]])/10^-9</f>
        <v>#REF!</v>
      </c>
      <c r="AT178" s="152" t="e">
        <f aca="false">0.5*VACnom*Table7[[#This Row],[Ivalley (A)]]*Table7[[#This Row],[ton (ns)]]*10^-9*Fsw*10^3+0.5*VACnom*Table7[[#This Row],[Ipeak (A)]]*Table7[[#This Row],[toff (ns)]]*10^-9*Fsw*10^3/10^-3</f>
        <v>#REF!</v>
      </c>
      <c r="AU178" s="152" t="e">
        <f aca="false">IF(VACnom&gt;Vbat, 0.5*VACnom*TI_MOSFET_S_QOSS_H_BU*10^-9*Fsw*10^3,0.5*VACnom*TI_MOSFET_S_QOSS_L_BO*10^-9*Fsw*10^3)/10^-3</f>
        <v>#REF!</v>
      </c>
      <c r="AV178" s="152" t="e">
        <f aca="false">IF(VACnom&gt;Vbat, VACnom*TI_MOSFET_S_QG_H_BU*10^-9*Fsw*10^3,VACnom*TI_MOSFET_S_QG_H_BO*10^-9*Fsw*10^3)/10^-3</f>
        <v>#REF!</v>
      </c>
      <c r="AW178" s="152" t="e">
        <f aca="false">IF(VACnom&gt;Vbat, VACnom*TI_MOSFET_S_QRR_L_BU*10^-9*Fsw*10^3, VACnom*TI_MOSFET_S_QRR_H_BO*10^-9*Fsw*10^3)/10^-3</f>
        <v>#REF!</v>
      </c>
      <c r="AX178" s="152" t="e">
        <f aca="false">IF(VACnom&gt;Vbat, TI_MOSFET_S_VSD_L_BU*Table7[[#This Row],[Ivalley (A)]]*Fsw*10^3*40*10^-9+TI_MOSFET_S_VSD_L_BU*Table7[[#This Row],[Ipeak (A)]]*Fsw*10^3*30*10^-9, TI_MOSFET_S_VSD_H_BO*Table7[[#This Row],[Ivalley (A)]]*Fsw*10^3*40*10^-9+TI_MOSFET_S_VSD_H_BO*Table7[[#This Row],[Ipeak (A)]]*Fsw*10^3*30*10^-9)/10^-3</f>
        <v>#REF!</v>
      </c>
      <c r="AY178" s="152" t="e">
        <f aca="false">IF(VACnom&gt;Vbat, VACnom*TI_MOSFET_S_QG_L_BU*10^-9*Fsw*10^3, VACnom*TI_MOSFET_S_QG_L_BO*10^-9*Fsw*10^3)/10^-3</f>
        <v>#REF!</v>
      </c>
      <c r="AZ178" s="152" t="e">
        <f aca="false">IF(VACnom&lt;Vbat, Table7[[#This Row],[Duty Cycle]]*Table7[[#This Row],[I_L RMS]]^2*TI_MOSFET_S_RDSON_H_BU*10^-3, (1-Table7[[#This Row],[Duty Cycle]])*Table7[[#This Row],[I_L RMS]]^2*TI_MOSFET_S_RDSON_H_BO*10^-3)/10^-3</f>
        <v>#REF!</v>
      </c>
      <c r="BA178" s="152" t="e">
        <f aca="false">IF(VACnom&gt;Vbat, Table7[[#This Row],[PIV (mW)]]+Table7[[#This Row],[Pqoss (mW)]]+Table7[[#This Row],[Pgate_top (mW)]], Table7[[#This Row],[PRR (mW)]]+Table7[[#This Row],[Pdead (mW)]]+Table7[[#This Row],[Pgate_top (mW)]])</f>
        <v>#REF!</v>
      </c>
      <c r="BB178" s="152" t="e">
        <f aca="false">Table7[[#This Row],[Pcon_top (mW)]]+Table7[[#This Row],[Psw_top (mW)]]</f>
        <v>#REF!</v>
      </c>
      <c r="BC178" s="152" t="e">
        <f aca="false">IF(VACnom&gt;Vbat, (1-Table7[[#This Row],[Duty Cycle]])*Table7[[#This Row],[I_L RMS]]^2*TI_MOSFET_S_RDSON_L_BU*10^-3, Table7[[#This Row],[Duty Cycle]]*Table7[[#This Row],[I_L RMS]]^2*TI_MOSFET_S_RDSON_L_BO*10^-3)/10^-3</f>
        <v>#REF!</v>
      </c>
      <c r="BD178" s="152" t="e">
        <f aca="false">IF(VACnom&gt;Vbat, Table7[[#This Row],[PRR (mW)]]+Table7[[#This Row],[Pdead (mW)]]+Table7[[#This Row],[Pgate_bottom (mW)]], Table7[[#This Row],[PIV (mW)]]+Table7[[#This Row],[Pqoss (mW)]]+Table7[[#This Row],[Pgate_bottom (mW)]])</f>
        <v>#REF!</v>
      </c>
      <c r="BE178" s="154" t="e">
        <f aca="false">Table7[[#This Row],[Pcon_bottom (mW)]]+Table7[[#This Row],[Psw_bottom (mW)]]</f>
        <v>#REF!</v>
      </c>
      <c r="BF178" s="152" t="e">
        <f aca="false">Table7[[#This Row],[Pbottom (mW)]]+Table7[[#This Row],[Ptop (mW)]]</f>
        <v>#REF!</v>
      </c>
      <c r="BG178" s="155"/>
      <c r="BH178" s="152" t="n">
        <f aca="false">MAX(0,Table7[[#This Row],[I_L]]-0.5*Table7[[#This Row],[I_L pkpk]])</f>
        <v>2.16714285714286</v>
      </c>
      <c r="BI178" s="152" t="n">
        <f aca="false">Table7[[#This Row],[I_L]]+0.5*Table7[[#This Row],[I_L pkpk]]</f>
        <v>2.45285714285714</v>
      </c>
      <c r="BJ178" s="152" t="n">
        <f aca="false">IF(VACnom&gt;Vbat, (VGS_S-(C_MOSFET_S_VTH_H_BU+Table7[[#This Row],[I_L]]/C_MOSFET_S_gFS_H_BU))/3.4, (VGS_S-(C_MOSFET_S_VTH_L_BO+Table7[[#This Row],[I_L]]/C_MOSFET_S_gFS_L_BO))/3.4 )</f>
        <v>2.34841176470588</v>
      </c>
      <c r="BK178" s="152" t="n">
        <f aca="false">IF(VACnom&gt;Vbat, ((C_MOSFET_S_VTH_H_BU+Table7[[#This Row],[I_L]]/C_MOSFET_S_gFS_H_BU))/1, ((C_MOSFET_S_VTH_L_BO+Table7[[#This Row],[I_L]]/C_MOSFET_S_gFS_L_BO))/1 )</f>
        <v>2.0154</v>
      </c>
      <c r="BL178" s="152" t="n">
        <f aca="false">IF(VACnom&gt;Vbat, (C_MOSFET_S_QGD_H_BU+C_MOSFET_S_QGS_H_BU)*10^-9/Table7[[#This Row],[Ion (A) C]], (C_MOSFET_S_QGD_L_BO+C_MOSFET_S_QGS_L_BO)*10^-9/Table7[[#This Row],[Ion (A) C]])/10^-9</f>
        <v>2.76782806903289</v>
      </c>
      <c r="BM178" s="152" t="n">
        <f aca="false">IF(VACnom&gt;Vbat, (C_MOSFET_S_QGD_H_BU+C_MOSFET_S_QGS_H_BU)*10^-9/Table7[[#This Row],[Ioff (A) C]], (C_MOSFET_S_QGD_L_BO+C_MOSFET_S_QGS_L_BO)*10^-9/Table7[[#This Row],[Ioff (A) C]])/10^-9</f>
        <v>3.22516622010519</v>
      </c>
      <c r="BN178" s="152" t="n">
        <f aca="false">0.5*VACnom*Table7[[#This Row],[Ivalley (A) C]]*Table7[[#This Row],[ton (ns) C]]*10^-9*Fsw*10^3+0.5*VACnom*Table7[[#This Row],[Ipeak (A) C]]*Table7[[#This Row],[toff (ns) C]]*10^-9*Fsw*10^3/10^-3</f>
        <v>9.50024433445943</v>
      </c>
      <c r="BO178" s="152" t="n">
        <f aca="false">IF(VACnom&gt;Vbat, 0.5*VACnom*C_MOSFET_S_QOSS_H_BU*10^-9*Fsw*10^3,0.5*VACnom*C_MOSFET_S_QOSS_L_BO*10^-9*Fsw*10^3)/10^-3</f>
        <v>43.2</v>
      </c>
      <c r="BP178" s="152" t="e">
        <f aca="false">IF(VACnom&gt;Vbat, VACnom*C_MOSFET_S_QG_H_BU*10^-9*Fsw*10^3,VACnom*C_MOSFET_S_QG_H_BO*10^-9*Fsw*10^3)/10^-3</f>
        <v>#REF!</v>
      </c>
      <c r="BQ178" s="152" t="n">
        <f aca="false">IF(VACnom&gt;Vbat, VACnom*C_MOSFET_S_QRR_L_BU*10^-9*Fsw*10^3, VACnom*C_MOSFET_S_QRR_H_BO*10^-9*Fsw*10^3)/10^-3</f>
        <v>79.2</v>
      </c>
      <c r="BR178" s="152" t="n">
        <f aca="false">IF(VACnom&gt;Vbat, C_MOSFET_S_VSD_L_BU*Table7[[#This Row],[Ivalley (A) C]]*Fsw*10^3*40*10^-9+C_MOSFET_S_VSD_L_BU*Table7[[#This Row],[Ipeak (A) C]]*Fsw*10^3*30*10^-9, C_MOSFET_S_VSD_H_BO*Table7[[#This Row],[Ivalley (A) C]]*Fsw*10^3*40*10^-9+C_MOSFET_S_VSD_H_BO*Table7[[#This Row],[Ipeak (A) C]]*Fsw*10^3*30*10^-9)/10^-3</f>
        <v>25.6434285714286</v>
      </c>
      <c r="BS178" s="152" t="e">
        <f aca="false">IF(VACnom&gt;Vbat, VACnom*C_MOSFET_S_QG_L_BU*10^-9*Fsw*10^3, VACnom*C_MOSFET_S_QG_L_BO*10^-9*Fsw*10^3)/10^-3</f>
        <v>#REF!</v>
      </c>
      <c r="BT178" s="152" t="n">
        <f aca="false">IF(VACnom&lt;Vbat, Table7[[#This Row],[Duty Cycle]]*Table7[[#This Row],[I_L RMS]]^2*C_MOSFET_S_RDSON_H_BU*10^-3, (1-Table7[[#This Row],[Duty Cycle]])*Table7[[#This Row],[I_L RMS]]^2*C_MOSFET_S_RDSON_H_BO*10^-3)/10^-3</f>
        <v>1.45021645286686</v>
      </c>
      <c r="BU178" s="152" t="e">
        <f aca="false">IF(VACnom&gt;Vbat, Table7[[#This Row],[PIV (mW) C]]+Table7[[#This Row],[PQoss (mW) C]]+Table7[[#This Row],[Pgate_top (mW) C]], Table7[[#This Row],[PRR (mW) C]]+Table7[[#This Row],[Pdead (mW) C]]+Table7[[#This Row],[Pgate_top (mW) C]])</f>
        <v>#REF!</v>
      </c>
      <c r="BV178" s="152" t="e">
        <f aca="false">Table7[[#This Row],[Pcon_top (mW) C]]+Table7[[#This Row],[Psw_top (mW) C]]</f>
        <v>#REF!</v>
      </c>
      <c r="BW178" s="152" t="e">
        <f aca="false">IF(VACnom&gt;Vbat, (1-Table7[[#This Row],[Duty Cycle]])*Table7[[#This Row],[I_L RMS]]^2*C_MOSFET_S_RDSON_L_BU*10^-3, Table7[[#This Row],[Duty Cycle]]*Table7[[#This Row],[I_L RMS]]^2*C_MOSFET_S_RDSON_L_BO*10^-3)/10^-3</f>
        <v>#REF!</v>
      </c>
      <c r="BX178" s="152" t="e">
        <f aca="false">IF(VACnom&gt;Vbat, Table7[[#This Row],[PRR (mW) C]]+Table7[[#This Row],[Pdead (mW) C]]+Table7[[#This Row],[Pgate_bottom (mW) C]], Table7[[#This Row],[PIV (mW) C]]+Table7[[#This Row],[PQoss (mW) C]]+Table7[[#This Row],[Pgate_bottom (mW) C]])</f>
        <v>#REF!</v>
      </c>
      <c r="BY178" s="152" t="e">
        <f aca="false">Table7[[#This Row],[Pcon_bottom (mW) C]]+Table7[[#This Row],[Psw_bottom (mV) C]]</f>
        <v>#REF!</v>
      </c>
      <c r="BZ178" s="152" t="e">
        <f aca="false">Table7[[#This Row],[Pbottom (mW) C]]+Table7[[#This Row],[Ptop (mW) C]]</f>
        <v>#REF!</v>
      </c>
      <c r="CA178" s="156"/>
      <c r="CB178" s="151" t="n">
        <f aca="false">(RAC_SNS*10^-3*(Table7[[#This Row],[IOUT (A)]]*Vbat/VACnom)^2/10^-3)</f>
        <v>26.6805</v>
      </c>
      <c r="CC178" s="151" t="n">
        <f aca="false">(RBAT_SNS*10^-3*Table7[[#This Row],[IOUT (A)]]^2)/10^-3</f>
        <v>24.2</v>
      </c>
      <c r="CD178" s="151" t="n">
        <f aca="false">IF(VACnom&gt;Vbat,(L_DRC*10^-3*(Table7[[#This Row],[IOUT (A)]])^2/10^-3),(L_DRC*10^-3*(Table7[[#This Row],[IOUT (A)]]*Vbat/VACnom)^2/10^-3))</f>
        <v>64.0332</v>
      </c>
      <c r="CE178" s="157"/>
      <c r="CF178" s="152" t="n">
        <f aca="false">(Table7[[#This Row],[R_AC (mW)]]+Table7[[#This Row],[R_SR (mW)]]+Table7[[#This Row],[Inductor Loss (mW)]])/10^3</f>
        <v>0.1149137</v>
      </c>
      <c r="CG178" s="152" t="e">
        <f aca="false">Table7[[#This Row],[Total TI (mW)]]/10^3</f>
        <v>#REF!</v>
      </c>
      <c r="CH178" s="152" t="e">
        <f aca="false">Table7[[#This Row],[Total Sense Loss]]+Table7[[#This Row],[Total MOSFET Loss]]</f>
        <v>#REF!</v>
      </c>
      <c r="CI178" s="158" t="e">
        <f aca="false">IF(Table7[[#This Row],[POUT (W)]]=0,0,(Table7[[#This Row],[POUT (W)]])/(Table7[[#This Row],[POUT (W)]]+Table7[[#This Row],[Total Power Loss (W)]]))*100</f>
        <v>#REF!</v>
      </c>
      <c r="CJ178" s="159"/>
      <c r="CK178" s="152" t="n">
        <f aca="false">(Table7[[#This Row],[R_AC (mW)]]+Table7[[#This Row],[R_SR (mW)]]+Table7[[#This Row],[Inductor Loss (mW)]])/10^3</f>
        <v>0.1149137</v>
      </c>
      <c r="CL178" s="152" t="e">
        <f aca="false">Table7[[#This Row],[Total (mW) C]]/10^3</f>
        <v>#REF!</v>
      </c>
      <c r="CM178" s="152" t="e">
        <f aca="false">Table7[[#This Row],[Total Sense Loss C]]+Table7[[#This Row],[Total MOSFET Loss C]]</f>
        <v>#REF!</v>
      </c>
      <c r="CN178" s="158" t="e">
        <f aca="false">IF(Table7[[#This Row],[POUT (W)]]=0,0,(Table7[[#This Row],[POUT (W)]])/(Table7[[#This Row],[POUT (W)]]+Table7[[#This Row],[Total Power Loss (W) C]]))*100</f>
        <v>#REF!</v>
      </c>
      <c r="CO178" s="159"/>
      <c r="CP178" s="158" t="n">
        <f aca="false">IF(MOSFET_S=Custom_MOSFET,Table7[[#This Row],[Total Sense Loss C]],Table7[[#This Row],[Total Sense Loss]])</f>
        <v>0.1149137</v>
      </c>
      <c r="CQ178" s="158" t="e">
        <f aca="false">IF(MOSFET_S=Custom_MOSFET,Table7[[#This Row],[Total MOSFET Loss C]],Table7[[#This Row],[Total MOSFET Loss]])</f>
        <v>#REF!</v>
      </c>
      <c r="CR178" s="158" t="e">
        <f aca="false">IF(MOSFET_S=Custom_MOSFET,Table7[[#This Row],[Efficiency C]],Table7[[#This Row],[Efficiency]])</f>
        <v>#REF!</v>
      </c>
      <c r="CS178" s="159"/>
      <c r="CT178" s="158" t="n">
        <f aca="false">IF(MOSFET_S=Compare_MOSFET, Table7[[#This Row],[Total Sense Loss C]], -100)</f>
        <v>-100</v>
      </c>
      <c r="CU178" s="158" t="n">
        <f aca="false">IF(MOSFET_S=Compare_MOSFET, Table7[[#This Row],[Total MOSFET Loss C]], -100)</f>
        <v>-100</v>
      </c>
      <c r="CV178" s="158" t="n">
        <f aca="false">IF(MOSFET_S=Compare_MOSFET, Table7[[#This Row],[Efficiency C]], -100)</f>
        <v>-100</v>
      </c>
      <c r="CW178" s="159"/>
      <c r="CX178" s="158" t="e">
        <f aca="false">IF(Save_Sel=CLR_Save,  Table7[[#This Row],[Total Sense Loss P1]], Table7[[#This Row],[Total Sense Loss P1 Saved]])</f>
        <v>#VALUE!</v>
      </c>
      <c r="CY178" s="158" t="e">
        <f aca="false">IF(Save_Sel=CLR_Save,  Table7[[#This Row],[Total MOSFET Loss P1]], Table7[[#This Row],[Total MOSFET Loss P1 Saved]] )</f>
        <v>#VALUE!</v>
      </c>
      <c r="CZ178" s="158" t="e">
        <f aca="false">IF(Save_Sel=CLR_Save, Table7[[#This Row],[Efficiency P1]], Table7[[#This Row],[Efficiency P1 Saved]])</f>
        <v>#VALUE!</v>
      </c>
      <c r="DA178" s="159"/>
      <c r="DB178" s="158" t="e">
        <f aca="false">IF(Save_Sel=CLR_Save,  Table7[[#This Row],[Total Sense Loss P2]], Table7[[#This Row],[Total Sense Loss P2 Saved]])</f>
        <v>#VALUE!</v>
      </c>
      <c r="DC178" s="158" t="e">
        <f aca="false">IF(Save_Sel=CLR_Save,  Table7[[#This Row],[Total MOSFET Loss P2]], Table7[[#This Row],[Total MOSFET Loss P2 Saved]] )</f>
        <v>#VALUE!</v>
      </c>
      <c r="DD178" s="158" t="e">
        <f aca="false">IF(Save_Sel=CLR_Save, Table7[[#This Row],[Efficiency P2]], Table7[[#This Row],[Efficiency P2 Saved]])</f>
        <v>#VALUE!</v>
      </c>
      <c r="DE178" s="159"/>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row>
    <row r="179" customFormat="false" ht="16.4" hidden="false" customHeight="false" outlineLevel="0" collapsed="false">
      <c r="A179" s="100" t="n">
        <v>4</v>
      </c>
      <c r="B179" s="84"/>
      <c r="C179" s="84"/>
      <c r="D179" s="28" t="s">
        <v>139</v>
      </c>
      <c r="E179" s="168" t="e">
        <f aca="false">IF( VGS_S=Vgs_4P5,TI_QG_4P5_H_BO, IF(VGS_S=Vgs_10, TI_QG_10_H_BO, IF( AND(VGS_S=Vgs_C, ISNUMBER(TI_QG_C_H_BO)), TI_QG_C_H_BO, "ERROR" )))</f>
        <v>#REF!</v>
      </c>
      <c r="F179" s="168" t="e">
        <f aca="false">IF( VGS_S=Vgs_4P5,TI_QG_4P5_L_BO, IF(VGS_S=Vgs_10, TI_QG_10_L_BO, IF( AND(VGS_S=Vgs_C, ISNUMBER(TI_QG_C_L_BO)), TI_QG_C_L_BO, "ERROR" )))</f>
        <v>#REF!</v>
      </c>
      <c r="G179" s="119" t="s">
        <v>140</v>
      </c>
      <c r="H179" s="24"/>
      <c r="I179" s="100" t="n">
        <v>4</v>
      </c>
      <c r="J179" s="24"/>
      <c r="K179" s="84"/>
      <c r="L179" s="84"/>
      <c r="M179" s="28" t="s">
        <v>139</v>
      </c>
      <c r="N179" s="124" t="e">
        <f aca="false">IF(MOSFET_S=TI_MOSFET, $N138, IF(MOSFET_S=Custom_MOSFET,$E138, IF(MOSFET_S=Compare_MOSFET,$N138, 0) ))</f>
        <v>#REF!</v>
      </c>
      <c r="O179" s="124" t="e">
        <f aca="false">IF(MOSFET_S=TI_MOSFET, $O138, IF(MOSFET_S=Custom_MOSFET,$F138, IF(MOSFET_S=Compare_MOSFET,$O138, 0) ))</f>
        <v>#REF!</v>
      </c>
      <c r="P179" s="119" t="s">
        <v>140</v>
      </c>
      <c r="Q179" s="24"/>
      <c r="R179" s="24"/>
      <c r="S179" s="25"/>
      <c r="T179" s="6"/>
      <c r="U179" s="7"/>
      <c r="V179" s="7"/>
      <c r="W179" s="7"/>
      <c r="X179" s="7"/>
      <c r="Y179" s="7"/>
      <c r="Z179" s="7"/>
      <c r="AA179" s="7"/>
      <c r="AB179" s="7"/>
      <c r="AC179" s="7"/>
      <c r="AD179" s="7"/>
      <c r="AE179" s="7"/>
      <c r="AF179" s="150" t="n">
        <f aca="false">AF178+1</f>
        <v>23</v>
      </c>
      <c r="AG179" s="150" t="n">
        <f aca="false">$AG$156+AF179*($AG$256-$AG$156)/$AF$256</f>
        <v>2.3</v>
      </c>
      <c r="AH179" s="151" t="n">
        <f aca="false">AG179*VACnom</f>
        <v>27.6</v>
      </c>
      <c r="AI179" s="152" t="n">
        <f aca="false">IF(VACnom&lt;Vbat, (Vbat-VACnom)/Vbat, Vbat/VACnom)</f>
        <v>0.0476190476190476</v>
      </c>
      <c r="AJ179" s="152" t="n">
        <f aca="false">IF(VACnom&lt;Vbat, AG179/(1-AI179), AG179*AI179)</f>
        <v>2.415</v>
      </c>
      <c r="AK179" s="152" t="n">
        <f aca="false">Ipkpk_VACnom</f>
        <v>0.285714285714285</v>
      </c>
      <c r="AL179" s="152" t="n">
        <f aca="false">SQRT(AJ179^2+AK179^2/12)</f>
        <v>2.41640802040724</v>
      </c>
      <c r="AM179" s="153"/>
      <c r="AN179" s="152" t="n">
        <f aca="false">MAX(0,Table7[[#This Row],[I_L]]-0.5*Table7[[#This Row],[I_L pkpk]])</f>
        <v>2.27214285714286</v>
      </c>
      <c r="AO179" s="152" t="n">
        <f aca="false">Table7[[#This Row],[I_L]]+0.5*Table7[[#This Row],[I_L pkpk]]</f>
        <v>2.55785714285714</v>
      </c>
      <c r="AP179" s="152" t="e">
        <f aca="false">IF(VACnom&gt;Vbat, (VGS_S-(TI_MOSFET_S_VTH_H_BU+Table7[[#This Row],[I_L]]/TI_MOSFET_S_gFS_H_BU))/3.4, (VGS_S-(TI_MOSFET_S_VTH_L_BO+Table7[[#This Row],[I_L]]/TI_MOSFET_S_gFS_L_BO))/3.4 )</f>
        <v>#REF!</v>
      </c>
      <c r="AQ179" s="152" t="e">
        <f aca="false">IF(VACnom&gt;Vbat, ((TI_MOSFET_S_VTH_H_BU+Table7[[#This Row],[I_L]]/TI_MOSFET_S_gFS_H_BU))/1, ((TI_MOSFET_S_VTH_L_BO+Table7[[#This Row],[I_L]]/TI_MOSFET_S_gFS_L_BO))/1 )</f>
        <v>#REF!</v>
      </c>
      <c r="AR179" s="152" t="e">
        <f aca="false">IF(VACnom&gt;Vbat, (TI_MOSFET_S_QGD_H_BU+TI_MOSFET_S_QGS_H_BU)*10^-9/Table7[[#This Row],[Ion (A)]], (TI_MOSFET_S_QGD_L_BO+TI_MOSFET_S_QGS_L_BO)*10^-9/Table7[[#This Row],[Ion (A)]])/10^-9</f>
        <v>#REF!</v>
      </c>
      <c r="AS179" s="152" t="e">
        <f aca="false">IF(VACnom&gt;Vbat, (TI_MOSFET_S_QGD_H_BU+TI_MOSFET_S_QGS_H_BU)*10^-9/Table7[[#This Row],[Ioff (A)]], (TI_MOSFET_S_QGD_L_BO+TI_MOSFET_S_QGS_L_BO)*10^-9/Table7[[#This Row],[Ioff (A)]])/10^-9</f>
        <v>#REF!</v>
      </c>
      <c r="AT179" s="152" t="e">
        <f aca="false">0.5*VACnom*Table7[[#This Row],[Ivalley (A)]]*Table7[[#This Row],[ton (ns)]]*10^-9*Fsw*10^3+0.5*VACnom*Table7[[#This Row],[Ipeak (A)]]*Table7[[#This Row],[toff (ns)]]*10^-9*Fsw*10^3/10^-3</f>
        <v>#REF!</v>
      </c>
      <c r="AU179" s="152" t="e">
        <f aca="false">IF(VACnom&gt;Vbat, 0.5*VACnom*TI_MOSFET_S_QOSS_H_BU*10^-9*Fsw*10^3,0.5*VACnom*TI_MOSFET_S_QOSS_L_BO*10^-9*Fsw*10^3)/10^-3</f>
        <v>#REF!</v>
      </c>
      <c r="AV179" s="152" t="e">
        <f aca="false">IF(VACnom&gt;Vbat, VACnom*TI_MOSFET_S_QG_H_BU*10^-9*Fsw*10^3,VACnom*TI_MOSFET_S_QG_H_BO*10^-9*Fsw*10^3)/10^-3</f>
        <v>#REF!</v>
      </c>
      <c r="AW179" s="152" t="e">
        <f aca="false">IF(VACnom&gt;Vbat, VACnom*TI_MOSFET_S_QRR_L_BU*10^-9*Fsw*10^3, VACnom*TI_MOSFET_S_QRR_H_BO*10^-9*Fsw*10^3)/10^-3</f>
        <v>#REF!</v>
      </c>
      <c r="AX179" s="152" t="e">
        <f aca="false">IF(VACnom&gt;Vbat, TI_MOSFET_S_VSD_L_BU*Table7[[#This Row],[Ivalley (A)]]*Fsw*10^3*40*10^-9+TI_MOSFET_S_VSD_L_BU*Table7[[#This Row],[Ipeak (A)]]*Fsw*10^3*30*10^-9, TI_MOSFET_S_VSD_H_BO*Table7[[#This Row],[Ivalley (A)]]*Fsw*10^3*40*10^-9+TI_MOSFET_S_VSD_H_BO*Table7[[#This Row],[Ipeak (A)]]*Fsw*10^3*30*10^-9)/10^-3</f>
        <v>#REF!</v>
      </c>
      <c r="AY179" s="152" t="e">
        <f aca="false">IF(VACnom&gt;Vbat, VACnom*TI_MOSFET_S_QG_L_BU*10^-9*Fsw*10^3, VACnom*TI_MOSFET_S_QG_L_BO*10^-9*Fsw*10^3)/10^-3</f>
        <v>#REF!</v>
      </c>
      <c r="AZ179" s="152" t="e">
        <f aca="false">IF(VACnom&lt;Vbat, Table7[[#This Row],[Duty Cycle]]*Table7[[#This Row],[I_L RMS]]^2*TI_MOSFET_S_RDSON_H_BU*10^-3, (1-Table7[[#This Row],[Duty Cycle]])*Table7[[#This Row],[I_L RMS]]^2*TI_MOSFET_S_RDSON_H_BO*10^-3)/10^-3</f>
        <v>#REF!</v>
      </c>
      <c r="BA179" s="152" t="e">
        <f aca="false">IF(VACnom&gt;Vbat, Table7[[#This Row],[PIV (mW)]]+Table7[[#This Row],[Pqoss (mW)]]+Table7[[#This Row],[Pgate_top (mW)]], Table7[[#This Row],[PRR (mW)]]+Table7[[#This Row],[Pdead (mW)]]+Table7[[#This Row],[Pgate_top (mW)]])</f>
        <v>#REF!</v>
      </c>
      <c r="BB179" s="152" t="e">
        <f aca="false">Table7[[#This Row],[Pcon_top (mW)]]+Table7[[#This Row],[Psw_top (mW)]]</f>
        <v>#REF!</v>
      </c>
      <c r="BC179" s="152" t="e">
        <f aca="false">IF(VACnom&gt;Vbat, (1-Table7[[#This Row],[Duty Cycle]])*Table7[[#This Row],[I_L RMS]]^2*TI_MOSFET_S_RDSON_L_BU*10^-3, Table7[[#This Row],[Duty Cycle]]*Table7[[#This Row],[I_L RMS]]^2*TI_MOSFET_S_RDSON_L_BO*10^-3)/10^-3</f>
        <v>#REF!</v>
      </c>
      <c r="BD179" s="152" t="e">
        <f aca="false">IF(VACnom&gt;Vbat, Table7[[#This Row],[PRR (mW)]]+Table7[[#This Row],[Pdead (mW)]]+Table7[[#This Row],[Pgate_bottom (mW)]], Table7[[#This Row],[PIV (mW)]]+Table7[[#This Row],[Pqoss (mW)]]+Table7[[#This Row],[Pgate_bottom (mW)]])</f>
        <v>#REF!</v>
      </c>
      <c r="BE179" s="154" t="e">
        <f aca="false">Table7[[#This Row],[Pcon_bottom (mW)]]+Table7[[#This Row],[Psw_bottom (mW)]]</f>
        <v>#REF!</v>
      </c>
      <c r="BF179" s="152" t="e">
        <f aca="false">Table7[[#This Row],[Pbottom (mW)]]+Table7[[#This Row],[Ptop (mW)]]</f>
        <v>#REF!</v>
      </c>
      <c r="BG179" s="155"/>
      <c r="BH179" s="152" t="n">
        <f aca="false">MAX(0,Table7[[#This Row],[I_L]]-0.5*Table7[[#This Row],[I_L pkpk]])</f>
        <v>2.27214285714286</v>
      </c>
      <c r="BI179" s="152" t="n">
        <f aca="false">Table7[[#This Row],[I_L]]+0.5*Table7[[#This Row],[I_L pkpk]]</f>
        <v>2.55785714285714</v>
      </c>
      <c r="BJ179" s="152" t="n">
        <f aca="false">IF(VACnom&gt;Vbat, (VGS_S-(C_MOSFET_S_VTH_H_BU+Table7[[#This Row],[I_L]]/C_MOSFET_S_gFS_H_BU))/3.4, (VGS_S-(C_MOSFET_S_VTH_L_BO+Table7[[#This Row],[I_L]]/C_MOSFET_S_gFS_L_BO))/3.4 )</f>
        <v>2.34820588235294</v>
      </c>
      <c r="BK179" s="152" t="n">
        <f aca="false">IF(VACnom&gt;Vbat, ((C_MOSFET_S_VTH_H_BU+Table7[[#This Row],[I_L]]/C_MOSFET_S_gFS_H_BU))/1, ((C_MOSFET_S_VTH_L_BO+Table7[[#This Row],[I_L]]/C_MOSFET_S_gFS_L_BO))/1 )</f>
        <v>2.0161</v>
      </c>
      <c r="BL179" s="152" t="n">
        <f aca="false">IF(VACnom&gt;Vbat, (C_MOSFET_S_QGD_H_BU+C_MOSFET_S_QGS_H_BU)*10^-9/Table7[[#This Row],[Ion (A) C]], (C_MOSFET_S_QGD_L_BO+C_MOSFET_S_QGS_L_BO)*10^-9/Table7[[#This Row],[Ion (A) C]])/10^-9</f>
        <v>2.76807074236902</v>
      </c>
      <c r="BM179" s="152" t="n">
        <f aca="false">IF(VACnom&gt;Vbat, (C_MOSFET_S_QGD_H_BU+C_MOSFET_S_QGS_H_BU)*10^-9/Table7[[#This Row],[Ioff (A) C]], (C_MOSFET_S_QGD_L_BO+C_MOSFET_S_QGS_L_BO)*10^-9/Table7[[#This Row],[Ioff (A) C]])/10^-9</f>
        <v>3.22404642626854</v>
      </c>
      <c r="BN179" s="152" t="n">
        <f aca="false">0.5*VACnom*Table7[[#This Row],[Ivalley (A) C]]*Table7[[#This Row],[ton (ns) C]]*10^-9*Fsw*10^3+0.5*VACnom*Table7[[#This Row],[Ipeak (A) C]]*Table7[[#This Row],[toff (ns) C]]*10^-9*Fsw*10^3/10^-3</f>
        <v>9.90352755899924</v>
      </c>
      <c r="BO179" s="152" t="n">
        <f aca="false">IF(VACnom&gt;Vbat, 0.5*VACnom*C_MOSFET_S_QOSS_H_BU*10^-9*Fsw*10^3,0.5*VACnom*C_MOSFET_S_QOSS_L_BO*10^-9*Fsw*10^3)/10^-3</f>
        <v>43.2</v>
      </c>
      <c r="BP179" s="152" t="e">
        <f aca="false">IF(VACnom&gt;Vbat, VACnom*C_MOSFET_S_QG_H_BU*10^-9*Fsw*10^3,VACnom*C_MOSFET_S_QG_H_BO*10^-9*Fsw*10^3)/10^-3</f>
        <v>#REF!</v>
      </c>
      <c r="BQ179" s="152" t="n">
        <f aca="false">IF(VACnom&gt;Vbat, VACnom*C_MOSFET_S_QRR_L_BU*10^-9*Fsw*10^3, VACnom*C_MOSFET_S_QRR_H_BO*10^-9*Fsw*10^3)/10^-3</f>
        <v>79.2</v>
      </c>
      <c r="BR179" s="152" t="n">
        <f aca="false">IF(VACnom&gt;Vbat, C_MOSFET_S_VSD_L_BU*Table7[[#This Row],[Ivalley (A) C]]*Fsw*10^3*40*10^-9+C_MOSFET_S_VSD_L_BU*Table7[[#This Row],[Ipeak (A) C]]*Fsw*10^3*30*10^-9, C_MOSFET_S_VSD_H_BO*Table7[[#This Row],[Ivalley (A) C]]*Fsw*10^3*40*10^-9+C_MOSFET_S_VSD_H_BO*Table7[[#This Row],[Ipeak (A) C]]*Fsw*10^3*30*10^-9)/10^-3</f>
        <v>26.8194285714286</v>
      </c>
      <c r="BS179" s="152" t="e">
        <f aca="false">IF(VACnom&gt;Vbat, VACnom*C_MOSFET_S_QG_L_BU*10^-9*Fsw*10^3, VACnom*C_MOSFET_S_QG_L_BO*10^-9*Fsw*10^3)/10^-3</f>
        <v>#REF!</v>
      </c>
      <c r="BT179" s="152" t="n">
        <f aca="false">IF(VACnom&lt;Vbat, Table7[[#This Row],[Duty Cycle]]*Table7[[#This Row],[I_L RMS]]^2*C_MOSFET_S_RDSON_H_BU*10^-3, (1-Table7[[#This Row],[Duty Cycle]])*Table7[[#This Row],[I_L RMS]]^2*C_MOSFET_S_RDSON_H_BO*10^-3)/10^-3</f>
        <v>1.58487895286686</v>
      </c>
      <c r="BU179" s="152" t="e">
        <f aca="false">IF(VACnom&gt;Vbat, Table7[[#This Row],[PIV (mW) C]]+Table7[[#This Row],[PQoss (mW) C]]+Table7[[#This Row],[Pgate_top (mW) C]], Table7[[#This Row],[PRR (mW) C]]+Table7[[#This Row],[Pdead (mW) C]]+Table7[[#This Row],[Pgate_top (mW) C]])</f>
        <v>#REF!</v>
      </c>
      <c r="BV179" s="152" t="e">
        <f aca="false">Table7[[#This Row],[Pcon_top (mW) C]]+Table7[[#This Row],[Psw_top (mW) C]]</f>
        <v>#REF!</v>
      </c>
      <c r="BW179" s="152" t="e">
        <f aca="false">IF(VACnom&gt;Vbat, (1-Table7[[#This Row],[Duty Cycle]])*Table7[[#This Row],[I_L RMS]]^2*C_MOSFET_S_RDSON_L_BU*10^-3, Table7[[#This Row],[Duty Cycle]]*Table7[[#This Row],[I_L RMS]]^2*C_MOSFET_S_RDSON_L_BO*10^-3)/10^-3</f>
        <v>#REF!</v>
      </c>
      <c r="BX179" s="152" t="e">
        <f aca="false">IF(VACnom&gt;Vbat, Table7[[#This Row],[PRR (mW) C]]+Table7[[#This Row],[Pdead (mW) C]]+Table7[[#This Row],[Pgate_bottom (mW) C]], Table7[[#This Row],[PIV (mW) C]]+Table7[[#This Row],[PQoss (mW) C]]+Table7[[#This Row],[Pgate_bottom (mW) C]])</f>
        <v>#REF!</v>
      </c>
      <c r="BY179" s="152" t="e">
        <f aca="false">Table7[[#This Row],[Pcon_bottom (mW) C]]+Table7[[#This Row],[Psw_bottom (mV) C]]</f>
        <v>#REF!</v>
      </c>
      <c r="BZ179" s="152" t="e">
        <f aca="false">Table7[[#This Row],[Pbottom (mW) C]]+Table7[[#This Row],[Ptop (mW) C]]</f>
        <v>#REF!</v>
      </c>
      <c r="CA179" s="156"/>
      <c r="CB179" s="151" t="n">
        <f aca="false">(RAC_SNS*10^-3*(Table7[[#This Row],[IOUT (A)]]*Vbat/VACnom)^2/10^-3)</f>
        <v>29.161125</v>
      </c>
      <c r="CC179" s="151" t="n">
        <f aca="false">(RBAT_SNS*10^-3*Table7[[#This Row],[IOUT (A)]]^2)/10^-3</f>
        <v>26.45</v>
      </c>
      <c r="CD179" s="151" t="n">
        <f aca="false">IF(VACnom&gt;Vbat,(L_DRC*10^-3*(Table7[[#This Row],[IOUT (A)]])^2/10^-3),(L_DRC*10^-3*(Table7[[#This Row],[IOUT (A)]]*Vbat/VACnom)^2/10^-3))</f>
        <v>69.9867</v>
      </c>
      <c r="CE179" s="157"/>
      <c r="CF179" s="152" t="n">
        <f aca="false">(Table7[[#This Row],[R_AC (mW)]]+Table7[[#This Row],[R_SR (mW)]]+Table7[[#This Row],[Inductor Loss (mW)]])/10^3</f>
        <v>0.125597825</v>
      </c>
      <c r="CG179" s="152" t="e">
        <f aca="false">Table7[[#This Row],[Total TI (mW)]]/10^3</f>
        <v>#REF!</v>
      </c>
      <c r="CH179" s="152" t="e">
        <f aca="false">Table7[[#This Row],[Total Sense Loss]]+Table7[[#This Row],[Total MOSFET Loss]]</f>
        <v>#REF!</v>
      </c>
      <c r="CI179" s="158" t="e">
        <f aca="false">IF(Table7[[#This Row],[POUT (W)]]=0,0,(Table7[[#This Row],[POUT (W)]])/(Table7[[#This Row],[POUT (W)]]+Table7[[#This Row],[Total Power Loss (W)]]))*100</f>
        <v>#REF!</v>
      </c>
      <c r="CJ179" s="159"/>
      <c r="CK179" s="152" t="n">
        <f aca="false">(Table7[[#This Row],[R_AC (mW)]]+Table7[[#This Row],[R_SR (mW)]]+Table7[[#This Row],[Inductor Loss (mW)]])/10^3</f>
        <v>0.125597825</v>
      </c>
      <c r="CL179" s="152" t="e">
        <f aca="false">Table7[[#This Row],[Total (mW) C]]/10^3</f>
        <v>#REF!</v>
      </c>
      <c r="CM179" s="152" t="e">
        <f aca="false">Table7[[#This Row],[Total Sense Loss C]]+Table7[[#This Row],[Total MOSFET Loss C]]</f>
        <v>#REF!</v>
      </c>
      <c r="CN179" s="158" t="e">
        <f aca="false">IF(Table7[[#This Row],[POUT (W)]]=0,0,(Table7[[#This Row],[POUT (W)]])/(Table7[[#This Row],[POUT (W)]]+Table7[[#This Row],[Total Power Loss (W) C]]))*100</f>
        <v>#REF!</v>
      </c>
      <c r="CO179" s="159"/>
      <c r="CP179" s="158" t="n">
        <f aca="false">IF(MOSFET_S=Custom_MOSFET,Table7[[#This Row],[Total Sense Loss C]],Table7[[#This Row],[Total Sense Loss]])</f>
        <v>0.125597825</v>
      </c>
      <c r="CQ179" s="158" t="e">
        <f aca="false">IF(MOSFET_S=Custom_MOSFET,Table7[[#This Row],[Total MOSFET Loss C]],Table7[[#This Row],[Total MOSFET Loss]])</f>
        <v>#REF!</v>
      </c>
      <c r="CR179" s="158" t="e">
        <f aca="false">IF(MOSFET_S=Custom_MOSFET,Table7[[#This Row],[Efficiency C]],Table7[[#This Row],[Efficiency]])</f>
        <v>#REF!</v>
      </c>
      <c r="CS179" s="159"/>
      <c r="CT179" s="158" t="n">
        <f aca="false">IF(MOSFET_S=Compare_MOSFET, Table7[[#This Row],[Total Sense Loss C]], -100)</f>
        <v>-100</v>
      </c>
      <c r="CU179" s="158" t="n">
        <f aca="false">IF(MOSFET_S=Compare_MOSFET, Table7[[#This Row],[Total MOSFET Loss C]], -100)</f>
        <v>-100</v>
      </c>
      <c r="CV179" s="158" t="n">
        <f aca="false">IF(MOSFET_S=Compare_MOSFET, Table7[[#This Row],[Efficiency C]], -100)</f>
        <v>-100</v>
      </c>
      <c r="CW179" s="159"/>
      <c r="CX179" s="158" t="e">
        <f aca="false">IF(Save_Sel=CLR_Save,  Table7[[#This Row],[Total Sense Loss P1]], Table7[[#This Row],[Total Sense Loss P1 Saved]])</f>
        <v>#VALUE!</v>
      </c>
      <c r="CY179" s="158" t="e">
        <f aca="false">IF(Save_Sel=CLR_Save,  Table7[[#This Row],[Total MOSFET Loss P1]], Table7[[#This Row],[Total MOSFET Loss P1 Saved]] )</f>
        <v>#VALUE!</v>
      </c>
      <c r="CZ179" s="158" t="e">
        <f aca="false">IF(Save_Sel=CLR_Save, Table7[[#This Row],[Efficiency P1]], Table7[[#This Row],[Efficiency P1 Saved]])</f>
        <v>#VALUE!</v>
      </c>
      <c r="DA179" s="159"/>
      <c r="DB179" s="158" t="e">
        <f aca="false">IF(Save_Sel=CLR_Save,  Table7[[#This Row],[Total Sense Loss P2]], Table7[[#This Row],[Total Sense Loss P2 Saved]])</f>
        <v>#VALUE!</v>
      </c>
      <c r="DC179" s="158" t="e">
        <f aca="false">IF(Save_Sel=CLR_Save,  Table7[[#This Row],[Total MOSFET Loss P2]], Table7[[#This Row],[Total MOSFET Loss P2 Saved]] )</f>
        <v>#VALUE!</v>
      </c>
      <c r="DD179" s="158" t="e">
        <f aca="false">IF(Save_Sel=CLR_Save, Table7[[#This Row],[Efficiency P2]], Table7[[#This Row],[Efficiency P2 Saved]])</f>
        <v>#VALUE!</v>
      </c>
      <c r="DE179" s="159"/>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row>
    <row r="180" customFormat="false" ht="16.4" hidden="false" customHeight="false" outlineLevel="0" collapsed="false">
      <c r="A180" s="100" t="n">
        <v>7</v>
      </c>
      <c r="B180" s="84"/>
      <c r="C180" s="84"/>
      <c r="D180" s="28" t="s">
        <v>143</v>
      </c>
      <c r="E180" s="124" t="e">
        <f aca="false">$N141</f>
        <v>#REF!</v>
      </c>
      <c r="F180" s="124" t="e">
        <f aca="false">$O141</f>
        <v>#REF!</v>
      </c>
      <c r="G180" s="119" t="s">
        <v>140</v>
      </c>
      <c r="H180" s="24"/>
      <c r="I180" s="100" t="n">
        <v>7</v>
      </c>
      <c r="J180" s="24"/>
      <c r="K180" s="84"/>
      <c r="L180" s="84"/>
      <c r="M180" s="28" t="s">
        <v>143</v>
      </c>
      <c r="N180" s="124" t="n">
        <f aca="false">$E141</f>
        <v>2.5</v>
      </c>
      <c r="O180" s="124" t="n">
        <f aca="false">$F141</f>
        <v>2.5</v>
      </c>
      <c r="P180" s="119" t="s">
        <v>140</v>
      </c>
      <c r="Q180" s="24"/>
      <c r="R180" s="24"/>
      <c r="S180" s="25"/>
      <c r="T180" s="6"/>
      <c r="U180" s="7"/>
      <c r="V180" s="7"/>
      <c r="W180" s="7"/>
      <c r="X180" s="7"/>
      <c r="Y180" s="7"/>
      <c r="Z180" s="7"/>
      <c r="AA180" s="7"/>
      <c r="AB180" s="7"/>
      <c r="AC180" s="7"/>
      <c r="AD180" s="7"/>
      <c r="AE180" s="7"/>
      <c r="AF180" s="150" t="n">
        <f aca="false">AF179+1</f>
        <v>24</v>
      </c>
      <c r="AG180" s="150" t="n">
        <f aca="false">$AG$156+AF180*($AG$256-$AG$156)/$AF$256</f>
        <v>2.4</v>
      </c>
      <c r="AH180" s="151" t="n">
        <f aca="false">AG180*VACnom</f>
        <v>28.8</v>
      </c>
      <c r="AI180" s="152" t="n">
        <f aca="false">IF(VACnom&lt;Vbat, (Vbat-VACnom)/Vbat, Vbat/VACnom)</f>
        <v>0.0476190476190476</v>
      </c>
      <c r="AJ180" s="152" t="n">
        <f aca="false">IF(VACnom&lt;Vbat, AG180/(1-AI180), AG180*AI180)</f>
        <v>2.52</v>
      </c>
      <c r="AK180" s="152" t="n">
        <f aca="false">Ipkpk_VACnom</f>
        <v>0.285714285714285</v>
      </c>
      <c r="AL180" s="152" t="n">
        <f aca="false">SQRT(AJ180^2+AK180^2/12)</f>
        <v>2.52134938496997</v>
      </c>
      <c r="AM180" s="153"/>
      <c r="AN180" s="152" t="n">
        <f aca="false">MAX(0,Table7[[#This Row],[I_L]]-0.5*Table7[[#This Row],[I_L pkpk]])</f>
        <v>2.37714285714286</v>
      </c>
      <c r="AO180" s="152" t="n">
        <f aca="false">Table7[[#This Row],[I_L]]+0.5*Table7[[#This Row],[I_L pkpk]]</f>
        <v>2.66285714285714</v>
      </c>
      <c r="AP180" s="152" t="e">
        <f aca="false">IF(VACnom&gt;Vbat, (VGS_S-(TI_MOSFET_S_VTH_H_BU+Table7[[#This Row],[I_L]]/TI_MOSFET_S_gFS_H_BU))/3.4, (VGS_S-(TI_MOSFET_S_VTH_L_BO+Table7[[#This Row],[I_L]]/TI_MOSFET_S_gFS_L_BO))/3.4 )</f>
        <v>#REF!</v>
      </c>
      <c r="AQ180" s="152" t="e">
        <f aca="false">IF(VACnom&gt;Vbat, ((TI_MOSFET_S_VTH_H_BU+Table7[[#This Row],[I_L]]/TI_MOSFET_S_gFS_H_BU))/1, ((TI_MOSFET_S_VTH_L_BO+Table7[[#This Row],[I_L]]/TI_MOSFET_S_gFS_L_BO))/1 )</f>
        <v>#REF!</v>
      </c>
      <c r="AR180" s="152" t="e">
        <f aca="false">IF(VACnom&gt;Vbat, (TI_MOSFET_S_QGD_H_BU+TI_MOSFET_S_QGS_H_BU)*10^-9/Table7[[#This Row],[Ion (A)]], (TI_MOSFET_S_QGD_L_BO+TI_MOSFET_S_QGS_L_BO)*10^-9/Table7[[#This Row],[Ion (A)]])/10^-9</f>
        <v>#REF!</v>
      </c>
      <c r="AS180" s="152" t="e">
        <f aca="false">IF(VACnom&gt;Vbat, (TI_MOSFET_S_QGD_H_BU+TI_MOSFET_S_QGS_H_BU)*10^-9/Table7[[#This Row],[Ioff (A)]], (TI_MOSFET_S_QGD_L_BO+TI_MOSFET_S_QGS_L_BO)*10^-9/Table7[[#This Row],[Ioff (A)]])/10^-9</f>
        <v>#REF!</v>
      </c>
      <c r="AT180" s="152" t="e">
        <f aca="false">0.5*VACnom*Table7[[#This Row],[Ivalley (A)]]*Table7[[#This Row],[ton (ns)]]*10^-9*Fsw*10^3+0.5*VACnom*Table7[[#This Row],[Ipeak (A)]]*Table7[[#This Row],[toff (ns)]]*10^-9*Fsw*10^3/10^-3</f>
        <v>#REF!</v>
      </c>
      <c r="AU180" s="152" t="e">
        <f aca="false">IF(VACnom&gt;Vbat, 0.5*VACnom*TI_MOSFET_S_QOSS_H_BU*10^-9*Fsw*10^3,0.5*VACnom*TI_MOSFET_S_QOSS_L_BO*10^-9*Fsw*10^3)/10^-3</f>
        <v>#REF!</v>
      </c>
      <c r="AV180" s="152" t="e">
        <f aca="false">IF(VACnom&gt;Vbat, VACnom*TI_MOSFET_S_QG_H_BU*10^-9*Fsw*10^3,VACnom*TI_MOSFET_S_QG_H_BO*10^-9*Fsw*10^3)/10^-3</f>
        <v>#REF!</v>
      </c>
      <c r="AW180" s="152" t="e">
        <f aca="false">IF(VACnom&gt;Vbat, VACnom*TI_MOSFET_S_QRR_L_BU*10^-9*Fsw*10^3, VACnom*TI_MOSFET_S_QRR_H_BO*10^-9*Fsw*10^3)/10^-3</f>
        <v>#REF!</v>
      </c>
      <c r="AX180" s="152" t="e">
        <f aca="false">IF(VACnom&gt;Vbat, TI_MOSFET_S_VSD_L_BU*Table7[[#This Row],[Ivalley (A)]]*Fsw*10^3*40*10^-9+TI_MOSFET_S_VSD_L_BU*Table7[[#This Row],[Ipeak (A)]]*Fsw*10^3*30*10^-9, TI_MOSFET_S_VSD_H_BO*Table7[[#This Row],[Ivalley (A)]]*Fsw*10^3*40*10^-9+TI_MOSFET_S_VSD_H_BO*Table7[[#This Row],[Ipeak (A)]]*Fsw*10^3*30*10^-9)/10^-3</f>
        <v>#REF!</v>
      </c>
      <c r="AY180" s="152" t="e">
        <f aca="false">IF(VACnom&gt;Vbat, VACnom*TI_MOSFET_S_QG_L_BU*10^-9*Fsw*10^3, VACnom*TI_MOSFET_S_QG_L_BO*10^-9*Fsw*10^3)/10^-3</f>
        <v>#REF!</v>
      </c>
      <c r="AZ180" s="152" t="e">
        <f aca="false">IF(VACnom&lt;Vbat, Table7[[#This Row],[Duty Cycle]]*Table7[[#This Row],[I_L RMS]]^2*TI_MOSFET_S_RDSON_H_BU*10^-3, (1-Table7[[#This Row],[Duty Cycle]])*Table7[[#This Row],[I_L RMS]]^2*TI_MOSFET_S_RDSON_H_BO*10^-3)/10^-3</f>
        <v>#REF!</v>
      </c>
      <c r="BA180" s="152" t="e">
        <f aca="false">IF(VACnom&gt;Vbat, Table7[[#This Row],[PIV (mW)]]+Table7[[#This Row],[Pqoss (mW)]]+Table7[[#This Row],[Pgate_top (mW)]], Table7[[#This Row],[PRR (mW)]]+Table7[[#This Row],[Pdead (mW)]]+Table7[[#This Row],[Pgate_top (mW)]])</f>
        <v>#REF!</v>
      </c>
      <c r="BB180" s="152" t="e">
        <f aca="false">Table7[[#This Row],[Pcon_top (mW)]]+Table7[[#This Row],[Psw_top (mW)]]</f>
        <v>#REF!</v>
      </c>
      <c r="BC180" s="152" t="e">
        <f aca="false">IF(VACnom&gt;Vbat, (1-Table7[[#This Row],[Duty Cycle]])*Table7[[#This Row],[I_L RMS]]^2*TI_MOSFET_S_RDSON_L_BU*10^-3, Table7[[#This Row],[Duty Cycle]]*Table7[[#This Row],[I_L RMS]]^2*TI_MOSFET_S_RDSON_L_BO*10^-3)/10^-3</f>
        <v>#REF!</v>
      </c>
      <c r="BD180" s="152" t="e">
        <f aca="false">IF(VACnom&gt;Vbat, Table7[[#This Row],[PRR (mW)]]+Table7[[#This Row],[Pdead (mW)]]+Table7[[#This Row],[Pgate_bottom (mW)]], Table7[[#This Row],[PIV (mW)]]+Table7[[#This Row],[Pqoss (mW)]]+Table7[[#This Row],[Pgate_bottom (mW)]])</f>
        <v>#REF!</v>
      </c>
      <c r="BE180" s="154" t="e">
        <f aca="false">Table7[[#This Row],[Pcon_bottom (mW)]]+Table7[[#This Row],[Psw_bottom (mW)]]</f>
        <v>#REF!</v>
      </c>
      <c r="BF180" s="152" t="e">
        <f aca="false">Table7[[#This Row],[Pbottom (mW)]]+Table7[[#This Row],[Ptop (mW)]]</f>
        <v>#REF!</v>
      </c>
      <c r="BG180" s="155"/>
      <c r="BH180" s="152" t="n">
        <f aca="false">MAX(0,Table7[[#This Row],[I_L]]-0.5*Table7[[#This Row],[I_L pkpk]])</f>
        <v>2.37714285714286</v>
      </c>
      <c r="BI180" s="152" t="n">
        <f aca="false">Table7[[#This Row],[I_L]]+0.5*Table7[[#This Row],[I_L pkpk]]</f>
        <v>2.66285714285714</v>
      </c>
      <c r="BJ180" s="152" t="n">
        <f aca="false">IF(VACnom&gt;Vbat, (VGS_S-(C_MOSFET_S_VTH_H_BU+Table7[[#This Row],[I_L]]/C_MOSFET_S_gFS_H_BU))/3.4, (VGS_S-(C_MOSFET_S_VTH_L_BO+Table7[[#This Row],[I_L]]/C_MOSFET_S_gFS_L_BO))/3.4 )</f>
        <v>2.348</v>
      </c>
      <c r="BK180" s="152" t="n">
        <f aca="false">IF(VACnom&gt;Vbat, ((C_MOSFET_S_VTH_H_BU+Table7[[#This Row],[I_L]]/C_MOSFET_S_gFS_H_BU))/1, ((C_MOSFET_S_VTH_L_BO+Table7[[#This Row],[I_L]]/C_MOSFET_S_gFS_L_BO))/1 )</f>
        <v>2.0168</v>
      </c>
      <c r="BL180" s="152" t="n">
        <f aca="false">IF(VACnom&gt;Vbat, (C_MOSFET_S_QGD_H_BU+C_MOSFET_S_QGS_H_BU)*10^-9/Table7[[#This Row],[Ion (A) C]], (C_MOSFET_S_QGD_L_BO+C_MOSFET_S_QGS_L_BO)*10^-9/Table7[[#This Row],[Ion (A) C]])/10^-9</f>
        <v>2.76831345826235</v>
      </c>
      <c r="BM180" s="152" t="n">
        <f aca="false">IF(VACnom&gt;Vbat, (C_MOSFET_S_QGD_H_BU+C_MOSFET_S_QGS_H_BU)*10^-9/Table7[[#This Row],[Ioff (A) C]], (C_MOSFET_S_QGD_L_BO+C_MOSFET_S_QGS_L_BO)*10^-9/Table7[[#This Row],[Ioff (A) C]])/10^-9</f>
        <v>3.22292740975803</v>
      </c>
      <c r="BN180" s="152" t="n">
        <f aca="false">0.5*VACnom*Table7[[#This Row],[Ivalley (A) C]]*Table7[[#This Row],[ton (ns) C]]*10^-9*Fsw*10^3+0.5*VACnom*Table7[[#This Row],[Ipeak (A) C]]*Table7[[#This Row],[toff (ns) C]]*10^-9*Fsw*10^3/10^-3</f>
        <v>10.3065311406575</v>
      </c>
      <c r="BO180" s="152" t="n">
        <f aca="false">IF(VACnom&gt;Vbat, 0.5*VACnom*C_MOSFET_S_QOSS_H_BU*10^-9*Fsw*10^3,0.5*VACnom*C_MOSFET_S_QOSS_L_BO*10^-9*Fsw*10^3)/10^-3</f>
        <v>43.2</v>
      </c>
      <c r="BP180" s="152" t="e">
        <f aca="false">IF(VACnom&gt;Vbat, VACnom*C_MOSFET_S_QG_H_BU*10^-9*Fsw*10^3,VACnom*C_MOSFET_S_QG_H_BO*10^-9*Fsw*10^3)/10^-3</f>
        <v>#REF!</v>
      </c>
      <c r="BQ180" s="152" t="n">
        <f aca="false">IF(VACnom&gt;Vbat, VACnom*C_MOSFET_S_QRR_L_BU*10^-9*Fsw*10^3, VACnom*C_MOSFET_S_QRR_H_BO*10^-9*Fsw*10^3)/10^-3</f>
        <v>79.2</v>
      </c>
      <c r="BR180" s="152" t="n">
        <f aca="false">IF(VACnom&gt;Vbat, C_MOSFET_S_VSD_L_BU*Table7[[#This Row],[Ivalley (A) C]]*Fsw*10^3*40*10^-9+C_MOSFET_S_VSD_L_BU*Table7[[#This Row],[Ipeak (A) C]]*Fsw*10^3*30*10^-9, C_MOSFET_S_VSD_H_BO*Table7[[#This Row],[Ivalley (A) C]]*Fsw*10^3*40*10^-9+C_MOSFET_S_VSD_H_BO*Table7[[#This Row],[Ipeak (A) C]]*Fsw*10^3*30*10^-9)/10^-3</f>
        <v>27.9954285714286</v>
      </c>
      <c r="BS180" s="152" t="e">
        <f aca="false">IF(VACnom&gt;Vbat, VACnom*C_MOSFET_S_QG_L_BU*10^-9*Fsw*10^3, VACnom*C_MOSFET_S_QG_L_BO*10^-9*Fsw*10^3)/10^-3</f>
        <v>#REF!</v>
      </c>
      <c r="BT180" s="152" t="n">
        <f aca="false">IF(VACnom&lt;Vbat, Table7[[#This Row],[Duty Cycle]]*Table7[[#This Row],[I_L RMS]]^2*C_MOSFET_S_RDSON_H_BU*10^-3, (1-Table7[[#This Row],[Duty Cycle]])*Table7[[#This Row],[I_L RMS]]^2*C_MOSFET_S_RDSON_H_BO*10^-3)/10^-3</f>
        <v>1.72552645286686</v>
      </c>
      <c r="BU180" s="152" t="e">
        <f aca="false">IF(VACnom&gt;Vbat, Table7[[#This Row],[PIV (mW) C]]+Table7[[#This Row],[PQoss (mW) C]]+Table7[[#This Row],[Pgate_top (mW) C]], Table7[[#This Row],[PRR (mW) C]]+Table7[[#This Row],[Pdead (mW) C]]+Table7[[#This Row],[Pgate_top (mW) C]])</f>
        <v>#REF!</v>
      </c>
      <c r="BV180" s="152" t="e">
        <f aca="false">Table7[[#This Row],[Pcon_top (mW) C]]+Table7[[#This Row],[Psw_top (mW) C]]</f>
        <v>#REF!</v>
      </c>
      <c r="BW180" s="152" t="e">
        <f aca="false">IF(VACnom&gt;Vbat, (1-Table7[[#This Row],[Duty Cycle]])*Table7[[#This Row],[I_L RMS]]^2*C_MOSFET_S_RDSON_L_BU*10^-3, Table7[[#This Row],[Duty Cycle]]*Table7[[#This Row],[I_L RMS]]^2*C_MOSFET_S_RDSON_L_BO*10^-3)/10^-3</f>
        <v>#REF!</v>
      </c>
      <c r="BX180" s="152" t="e">
        <f aca="false">IF(VACnom&gt;Vbat, Table7[[#This Row],[PRR (mW) C]]+Table7[[#This Row],[Pdead (mW) C]]+Table7[[#This Row],[Pgate_bottom (mW) C]], Table7[[#This Row],[PIV (mW) C]]+Table7[[#This Row],[PQoss (mW) C]]+Table7[[#This Row],[Pgate_bottom (mW) C]])</f>
        <v>#REF!</v>
      </c>
      <c r="BY180" s="152" t="e">
        <f aca="false">Table7[[#This Row],[Pcon_bottom (mW) C]]+Table7[[#This Row],[Psw_bottom (mV) C]]</f>
        <v>#REF!</v>
      </c>
      <c r="BZ180" s="152" t="e">
        <f aca="false">Table7[[#This Row],[Pbottom (mW) C]]+Table7[[#This Row],[Ptop (mW) C]]</f>
        <v>#REF!</v>
      </c>
      <c r="CA180" s="156"/>
      <c r="CB180" s="151" t="n">
        <f aca="false">(RAC_SNS*10^-3*(Table7[[#This Row],[IOUT (A)]]*Vbat/VACnom)^2/10^-3)</f>
        <v>31.752</v>
      </c>
      <c r="CC180" s="151" t="n">
        <f aca="false">(RBAT_SNS*10^-3*Table7[[#This Row],[IOUT (A)]]^2)/10^-3</f>
        <v>28.8</v>
      </c>
      <c r="CD180" s="151" t="n">
        <f aca="false">IF(VACnom&gt;Vbat,(L_DRC*10^-3*(Table7[[#This Row],[IOUT (A)]])^2/10^-3),(L_DRC*10^-3*(Table7[[#This Row],[IOUT (A)]]*Vbat/VACnom)^2/10^-3))</f>
        <v>76.2048</v>
      </c>
      <c r="CE180" s="157"/>
      <c r="CF180" s="152" t="n">
        <f aca="false">(Table7[[#This Row],[R_AC (mW)]]+Table7[[#This Row],[R_SR (mW)]]+Table7[[#This Row],[Inductor Loss (mW)]])/10^3</f>
        <v>0.1367568</v>
      </c>
      <c r="CG180" s="152" t="e">
        <f aca="false">Table7[[#This Row],[Total TI (mW)]]/10^3</f>
        <v>#REF!</v>
      </c>
      <c r="CH180" s="152" t="e">
        <f aca="false">Table7[[#This Row],[Total Sense Loss]]+Table7[[#This Row],[Total MOSFET Loss]]</f>
        <v>#REF!</v>
      </c>
      <c r="CI180" s="158" t="e">
        <f aca="false">IF(Table7[[#This Row],[POUT (W)]]=0,0,(Table7[[#This Row],[POUT (W)]])/(Table7[[#This Row],[POUT (W)]]+Table7[[#This Row],[Total Power Loss (W)]]))*100</f>
        <v>#REF!</v>
      </c>
      <c r="CJ180" s="159"/>
      <c r="CK180" s="152" t="n">
        <f aca="false">(Table7[[#This Row],[R_AC (mW)]]+Table7[[#This Row],[R_SR (mW)]]+Table7[[#This Row],[Inductor Loss (mW)]])/10^3</f>
        <v>0.1367568</v>
      </c>
      <c r="CL180" s="152" t="e">
        <f aca="false">Table7[[#This Row],[Total (mW) C]]/10^3</f>
        <v>#REF!</v>
      </c>
      <c r="CM180" s="152" t="e">
        <f aca="false">Table7[[#This Row],[Total Sense Loss C]]+Table7[[#This Row],[Total MOSFET Loss C]]</f>
        <v>#REF!</v>
      </c>
      <c r="CN180" s="158" t="e">
        <f aca="false">IF(Table7[[#This Row],[POUT (W)]]=0,0,(Table7[[#This Row],[POUT (W)]])/(Table7[[#This Row],[POUT (W)]]+Table7[[#This Row],[Total Power Loss (W) C]]))*100</f>
        <v>#REF!</v>
      </c>
      <c r="CO180" s="159"/>
      <c r="CP180" s="158" t="n">
        <f aca="false">IF(MOSFET_S=Custom_MOSFET,Table7[[#This Row],[Total Sense Loss C]],Table7[[#This Row],[Total Sense Loss]])</f>
        <v>0.1367568</v>
      </c>
      <c r="CQ180" s="158" t="e">
        <f aca="false">IF(MOSFET_S=Custom_MOSFET,Table7[[#This Row],[Total MOSFET Loss C]],Table7[[#This Row],[Total MOSFET Loss]])</f>
        <v>#REF!</v>
      </c>
      <c r="CR180" s="158" t="e">
        <f aca="false">IF(MOSFET_S=Custom_MOSFET,Table7[[#This Row],[Efficiency C]],Table7[[#This Row],[Efficiency]])</f>
        <v>#REF!</v>
      </c>
      <c r="CS180" s="159"/>
      <c r="CT180" s="158" t="n">
        <f aca="false">IF(MOSFET_S=Compare_MOSFET, Table7[[#This Row],[Total Sense Loss C]], -100)</f>
        <v>-100</v>
      </c>
      <c r="CU180" s="158" t="n">
        <f aca="false">IF(MOSFET_S=Compare_MOSFET, Table7[[#This Row],[Total MOSFET Loss C]], -100)</f>
        <v>-100</v>
      </c>
      <c r="CV180" s="158" t="n">
        <f aca="false">IF(MOSFET_S=Compare_MOSFET, Table7[[#This Row],[Efficiency C]], -100)</f>
        <v>-100</v>
      </c>
      <c r="CW180" s="159"/>
      <c r="CX180" s="158" t="e">
        <f aca="false">IF(Save_Sel=CLR_Save,  Table7[[#This Row],[Total Sense Loss P1]], Table7[[#This Row],[Total Sense Loss P1 Saved]])</f>
        <v>#VALUE!</v>
      </c>
      <c r="CY180" s="158" t="e">
        <f aca="false">IF(Save_Sel=CLR_Save,  Table7[[#This Row],[Total MOSFET Loss P1]], Table7[[#This Row],[Total MOSFET Loss P1 Saved]] )</f>
        <v>#VALUE!</v>
      </c>
      <c r="CZ180" s="158" t="e">
        <f aca="false">IF(Save_Sel=CLR_Save, Table7[[#This Row],[Efficiency P1]], Table7[[#This Row],[Efficiency P1 Saved]])</f>
        <v>#VALUE!</v>
      </c>
      <c r="DA180" s="159"/>
      <c r="DB180" s="158" t="e">
        <f aca="false">IF(Save_Sel=CLR_Save,  Table7[[#This Row],[Total Sense Loss P2]], Table7[[#This Row],[Total Sense Loss P2 Saved]])</f>
        <v>#VALUE!</v>
      </c>
      <c r="DC180" s="158" t="e">
        <f aca="false">IF(Save_Sel=CLR_Save,  Table7[[#This Row],[Total MOSFET Loss P2]], Table7[[#This Row],[Total MOSFET Loss P2 Saved]] )</f>
        <v>#VALUE!</v>
      </c>
      <c r="DD180" s="158" t="e">
        <f aca="false">IF(Save_Sel=CLR_Save, Table7[[#This Row],[Efficiency P2]], Table7[[#This Row],[Efficiency P2 Saved]])</f>
        <v>#VALUE!</v>
      </c>
      <c r="DE180" s="159"/>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row>
    <row r="181" customFormat="false" ht="16.4" hidden="false" customHeight="false" outlineLevel="0" collapsed="false">
      <c r="A181" s="100" t="n">
        <v>8</v>
      </c>
      <c r="B181" s="84"/>
      <c r="C181" s="84"/>
      <c r="D181" s="28" t="s">
        <v>144</v>
      </c>
      <c r="E181" s="124" t="e">
        <f aca="false">$N142</f>
        <v>#REF!</v>
      </c>
      <c r="F181" s="124" t="e">
        <f aca="false">$O142</f>
        <v>#REF!</v>
      </c>
      <c r="G181" s="119" t="s">
        <v>140</v>
      </c>
      <c r="H181" s="24"/>
      <c r="I181" s="100" t="n">
        <v>8</v>
      </c>
      <c r="J181" s="24"/>
      <c r="K181" s="84"/>
      <c r="L181" s="84"/>
      <c r="M181" s="28" t="s">
        <v>144</v>
      </c>
      <c r="N181" s="124" t="n">
        <f aca="false">$E142</f>
        <v>4</v>
      </c>
      <c r="O181" s="124" t="n">
        <f aca="false">$F142</f>
        <v>4</v>
      </c>
      <c r="P181" s="119" t="s">
        <v>140</v>
      </c>
      <c r="Q181" s="24"/>
      <c r="R181" s="24"/>
      <c r="S181" s="25"/>
      <c r="T181" s="6"/>
      <c r="U181" s="7"/>
      <c r="V181" s="7"/>
      <c r="W181" s="7"/>
      <c r="X181" s="7"/>
      <c r="Y181" s="7"/>
      <c r="Z181" s="7"/>
      <c r="AA181" s="7"/>
      <c r="AB181" s="7"/>
      <c r="AC181" s="7"/>
      <c r="AD181" s="7"/>
      <c r="AE181" s="7"/>
      <c r="AF181" s="150" t="n">
        <f aca="false">AF180+1</f>
        <v>25</v>
      </c>
      <c r="AG181" s="150" t="n">
        <f aca="false">$AG$156+AF181*($AG$256-$AG$156)/$AF$256</f>
        <v>2.5</v>
      </c>
      <c r="AH181" s="151" t="n">
        <f aca="false">AG181*VACnom</f>
        <v>30</v>
      </c>
      <c r="AI181" s="152" t="n">
        <f aca="false">IF(VACnom&lt;Vbat, (Vbat-VACnom)/Vbat, Vbat/VACnom)</f>
        <v>0.0476190476190476</v>
      </c>
      <c r="AJ181" s="152" t="n">
        <f aca="false">IF(VACnom&lt;Vbat, AG181/(1-AI181), AG181*AI181)</f>
        <v>2.625</v>
      </c>
      <c r="AK181" s="152" t="n">
        <f aca="false">Ipkpk_VACnom</f>
        <v>0.285714285714285</v>
      </c>
      <c r="AL181" s="152" t="n">
        <f aca="false">SQRT(AJ181^2+AK181^2/12)</f>
        <v>2.62629543674897</v>
      </c>
      <c r="AM181" s="153"/>
      <c r="AN181" s="152" t="n">
        <f aca="false">MAX(0,Table7[[#This Row],[I_L]]-0.5*Table7[[#This Row],[I_L pkpk]])</f>
        <v>2.48214285714286</v>
      </c>
      <c r="AO181" s="152" t="n">
        <f aca="false">Table7[[#This Row],[I_L]]+0.5*Table7[[#This Row],[I_L pkpk]]</f>
        <v>2.76785714285714</v>
      </c>
      <c r="AP181" s="152" t="e">
        <f aca="false">IF(VACnom&gt;Vbat, (VGS_S-(TI_MOSFET_S_VTH_H_BU+Table7[[#This Row],[I_L]]/TI_MOSFET_S_gFS_H_BU))/3.4, (VGS_S-(TI_MOSFET_S_VTH_L_BO+Table7[[#This Row],[I_L]]/TI_MOSFET_S_gFS_L_BO))/3.4 )</f>
        <v>#REF!</v>
      </c>
      <c r="AQ181" s="152" t="e">
        <f aca="false">IF(VACnom&gt;Vbat, ((TI_MOSFET_S_VTH_H_BU+Table7[[#This Row],[I_L]]/TI_MOSFET_S_gFS_H_BU))/1, ((TI_MOSFET_S_VTH_L_BO+Table7[[#This Row],[I_L]]/TI_MOSFET_S_gFS_L_BO))/1 )</f>
        <v>#REF!</v>
      </c>
      <c r="AR181" s="152" t="e">
        <f aca="false">IF(VACnom&gt;Vbat, (TI_MOSFET_S_QGD_H_BU+TI_MOSFET_S_QGS_H_BU)*10^-9/Table7[[#This Row],[Ion (A)]], (TI_MOSFET_S_QGD_L_BO+TI_MOSFET_S_QGS_L_BO)*10^-9/Table7[[#This Row],[Ion (A)]])/10^-9</f>
        <v>#REF!</v>
      </c>
      <c r="AS181" s="152" t="e">
        <f aca="false">IF(VACnom&gt;Vbat, (TI_MOSFET_S_QGD_H_BU+TI_MOSFET_S_QGS_H_BU)*10^-9/Table7[[#This Row],[Ioff (A)]], (TI_MOSFET_S_QGD_L_BO+TI_MOSFET_S_QGS_L_BO)*10^-9/Table7[[#This Row],[Ioff (A)]])/10^-9</f>
        <v>#REF!</v>
      </c>
      <c r="AT181" s="152" t="e">
        <f aca="false">0.5*VACnom*Table7[[#This Row],[Ivalley (A)]]*Table7[[#This Row],[ton (ns)]]*10^-9*Fsw*10^3+0.5*VACnom*Table7[[#This Row],[Ipeak (A)]]*Table7[[#This Row],[toff (ns)]]*10^-9*Fsw*10^3/10^-3</f>
        <v>#REF!</v>
      </c>
      <c r="AU181" s="152" t="e">
        <f aca="false">IF(VACnom&gt;Vbat, 0.5*VACnom*TI_MOSFET_S_QOSS_H_BU*10^-9*Fsw*10^3,0.5*VACnom*TI_MOSFET_S_QOSS_L_BO*10^-9*Fsw*10^3)/10^-3</f>
        <v>#REF!</v>
      </c>
      <c r="AV181" s="152" t="e">
        <f aca="false">IF(VACnom&gt;Vbat, VACnom*TI_MOSFET_S_QG_H_BU*10^-9*Fsw*10^3,VACnom*TI_MOSFET_S_QG_H_BO*10^-9*Fsw*10^3)/10^-3</f>
        <v>#REF!</v>
      </c>
      <c r="AW181" s="152" t="e">
        <f aca="false">IF(VACnom&gt;Vbat, VACnom*TI_MOSFET_S_QRR_L_BU*10^-9*Fsw*10^3, VACnom*TI_MOSFET_S_QRR_H_BO*10^-9*Fsw*10^3)/10^-3</f>
        <v>#REF!</v>
      </c>
      <c r="AX181" s="152" t="e">
        <f aca="false">IF(VACnom&gt;Vbat, TI_MOSFET_S_VSD_L_BU*Table7[[#This Row],[Ivalley (A)]]*Fsw*10^3*40*10^-9+TI_MOSFET_S_VSD_L_BU*Table7[[#This Row],[Ipeak (A)]]*Fsw*10^3*30*10^-9, TI_MOSFET_S_VSD_H_BO*Table7[[#This Row],[Ivalley (A)]]*Fsw*10^3*40*10^-9+TI_MOSFET_S_VSD_H_BO*Table7[[#This Row],[Ipeak (A)]]*Fsw*10^3*30*10^-9)/10^-3</f>
        <v>#REF!</v>
      </c>
      <c r="AY181" s="152" t="e">
        <f aca="false">IF(VACnom&gt;Vbat, VACnom*TI_MOSFET_S_QG_L_BU*10^-9*Fsw*10^3, VACnom*TI_MOSFET_S_QG_L_BO*10^-9*Fsw*10^3)/10^-3</f>
        <v>#REF!</v>
      </c>
      <c r="AZ181" s="152" t="e">
        <f aca="false">IF(VACnom&lt;Vbat, Table7[[#This Row],[Duty Cycle]]*Table7[[#This Row],[I_L RMS]]^2*TI_MOSFET_S_RDSON_H_BU*10^-3, (1-Table7[[#This Row],[Duty Cycle]])*Table7[[#This Row],[I_L RMS]]^2*TI_MOSFET_S_RDSON_H_BO*10^-3)/10^-3</f>
        <v>#REF!</v>
      </c>
      <c r="BA181" s="152" t="e">
        <f aca="false">IF(VACnom&gt;Vbat, Table7[[#This Row],[PIV (mW)]]+Table7[[#This Row],[Pqoss (mW)]]+Table7[[#This Row],[Pgate_top (mW)]], Table7[[#This Row],[PRR (mW)]]+Table7[[#This Row],[Pdead (mW)]]+Table7[[#This Row],[Pgate_top (mW)]])</f>
        <v>#REF!</v>
      </c>
      <c r="BB181" s="152" t="e">
        <f aca="false">Table7[[#This Row],[Pcon_top (mW)]]+Table7[[#This Row],[Psw_top (mW)]]</f>
        <v>#REF!</v>
      </c>
      <c r="BC181" s="152" t="e">
        <f aca="false">IF(VACnom&gt;Vbat, (1-Table7[[#This Row],[Duty Cycle]])*Table7[[#This Row],[I_L RMS]]^2*TI_MOSFET_S_RDSON_L_BU*10^-3, Table7[[#This Row],[Duty Cycle]]*Table7[[#This Row],[I_L RMS]]^2*TI_MOSFET_S_RDSON_L_BO*10^-3)/10^-3</f>
        <v>#REF!</v>
      </c>
      <c r="BD181" s="152" t="e">
        <f aca="false">IF(VACnom&gt;Vbat, Table7[[#This Row],[PRR (mW)]]+Table7[[#This Row],[Pdead (mW)]]+Table7[[#This Row],[Pgate_bottom (mW)]], Table7[[#This Row],[PIV (mW)]]+Table7[[#This Row],[Pqoss (mW)]]+Table7[[#This Row],[Pgate_bottom (mW)]])</f>
        <v>#REF!</v>
      </c>
      <c r="BE181" s="154" t="e">
        <f aca="false">Table7[[#This Row],[Pcon_bottom (mW)]]+Table7[[#This Row],[Psw_bottom (mW)]]</f>
        <v>#REF!</v>
      </c>
      <c r="BF181" s="152" t="e">
        <f aca="false">Table7[[#This Row],[Pbottom (mW)]]+Table7[[#This Row],[Ptop (mW)]]</f>
        <v>#REF!</v>
      </c>
      <c r="BG181" s="155"/>
      <c r="BH181" s="152" t="n">
        <f aca="false">MAX(0,Table7[[#This Row],[I_L]]-0.5*Table7[[#This Row],[I_L pkpk]])</f>
        <v>2.48214285714286</v>
      </c>
      <c r="BI181" s="152" t="n">
        <f aca="false">Table7[[#This Row],[I_L]]+0.5*Table7[[#This Row],[I_L pkpk]]</f>
        <v>2.76785714285714</v>
      </c>
      <c r="BJ181" s="152" t="n">
        <f aca="false">IF(VACnom&gt;Vbat, (VGS_S-(C_MOSFET_S_VTH_H_BU+Table7[[#This Row],[I_L]]/C_MOSFET_S_gFS_H_BU))/3.4, (VGS_S-(C_MOSFET_S_VTH_L_BO+Table7[[#This Row],[I_L]]/C_MOSFET_S_gFS_L_BO))/3.4 )</f>
        <v>2.34779411764706</v>
      </c>
      <c r="BK181" s="152" t="n">
        <f aca="false">IF(VACnom&gt;Vbat, ((C_MOSFET_S_VTH_H_BU+Table7[[#This Row],[I_L]]/C_MOSFET_S_gFS_H_BU))/1, ((C_MOSFET_S_VTH_L_BO+Table7[[#This Row],[I_L]]/C_MOSFET_S_gFS_L_BO))/1 )</f>
        <v>2.0175</v>
      </c>
      <c r="BL181" s="152" t="n">
        <f aca="false">IF(VACnom&gt;Vbat, (C_MOSFET_S_QGD_H_BU+C_MOSFET_S_QGS_H_BU)*10^-9/Table7[[#This Row],[Ion (A) C]], (C_MOSFET_S_QGD_L_BO+C_MOSFET_S_QGS_L_BO)*10^-9/Table7[[#This Row],[Ion (A) C]])/10^-9</f>
        <v>2.76855621672408</v>
      </c>
      <c r="BM181" s="152" t="n">
        <f aca="false">IF(VACnom&gt;Vbat, (C_MOSFET_S_QGD_H_BU+C_MOSFET_S_QGS_H_BU)*10^-9/Table7[[#This Row],[Ioff (A) C]], (C_MOSFET_S_QGD_L_BO+C_MOSFET_S_QGS_L_BO)*10^-9/Table7[[#This Row],[Ioff (A) C]])/10^-9</f>
        <v>3.22180916976456</v>
      </c>
      <c r="BN181" s="152" t="n">
        <f aca="false">0.5*VACnom*Table7[[#This Row],[Ivalley (A) C]]*Table7[[#This Row],[ton (ns) C]]*10^-9*Fsw*10^3+0.5*VACnom*Table7[[#This Row],[Ipeak (A) C]]*Table7[[#This Row],[toff (ns) C]]*10^-9*Fsw*10^3/10^-3</f>
        <v>10.7092553705921</v>
      </c>
      <c r="BO181" s="152" t="n">
        <f aca="false">IF(VACnom&gt;Vbat, 0.5*VACnom*C_MOSFET_S_QOSS_H_BU*10^-9*Fsw*10^3,0.5*VACnom*C_MOSFET_S_QOSS_L_BO*10^-9*Fsw*10^3)/10^-3</f>
        <v>43.2</v>
      </c>
      <c r="BP181" s="152" t="e">
        <f aca="false">IF(VACnom&gt;Vbat, VACnom*C_MOSFET_S_QG_H_BU*10^-9*Fsw*10^3,VACnom*C_MOSFET_S_QG_H_BO*10^-9*Fsw*10^3)/10^-3</f>
        <v>#REF!</v>
      </c>
      <c r="BQ181" s="152" t="n">
        <f aca="false">IF(VACnom&gt;Vbat, VACnom*C_MOSFET_S_QRR_L_BU*10^-9*Fsw*10^3, VACnom*C_MOSFET_S_QRR_H_BO*10^-9*Fsw*10^3)/10^-3</f>
        <v>79.2</v>
      </c>
      <c r="BR181" s="152" t="n">
        <f aca="false">IF(VACnom&gt;Vbat, C_MOSFET_S_VSD_L_BU*Table7[[#This Row],[Ivalley (A) C]]*Fsw*10^3*40*10^-9+C_MOSFET_S_VSD_L_BU*Table7[[#This Row],[Ipeak (A) C]]*Fsw*10^3*30*10^-9, C_MOSFET_S_VSD_H_BO*Table7[[#This Row],[Ivalley (A) C]]*Fsw*10^3*40*10^-9+C_MOSFET_S_VSD_H_BO*Table7[[#This Row],[Ipeak (A) C]]*Fsw*10^3*30*10^-9)/10^-3</f>
        <v>29.1714285714286</v>
      </c>
      <c r="BS181" s="152" t="e">
        <f aca="false">IF(VACnom&gt;Vbat, VACnom*C_MOSFET_S_QG_L_BU*10^-9*Fsw*10^3, VACnom*C_MOSFET_S_QG_L_BO*10^-9*Fsw*10^3)/10^-3</f>
        <v>#REF!</v>
      </c>
      <c r="BT181" s="152" t="n">
        <f aca="false">IF(VACnom&lt;Vbat, Table7[[#This Row],[Duty Cycle]]*Table7[[#This Row],[I_L RMS]]^2*C_MOSFET_S_RDSON_H_BU*10^-3, (1-Table7[[#This Row],[Duty Cycle]])*Table7[[#This Row],[I_L RMS]]^2*C_MOSFET_S_RDSON_H_BO*10^-3)/10^-3</f>
        <v>1.87215895286686</v>
      </c>
      <c r="BU181" s="152" t="e">
        <f aca="false">IF(VACnom&gt;Vbat, Table7[[#This Row],[PIV (mW) C]]+Table7[[#This Row],[PQoss (mW) C]]+Table7[[#This Row],[Pgate_top (mW) C]], Table7[[#This Row],[PRR (mW) C]]+Table7[[#This Row],[Pdead (mW) C]]+Table7[[#This Row],[Pgate_top (mW) C]])</f>
        <v>#REF!</v>
      </c>
      <c r="BV181" s="152" t="e">
        <f aca="false">Table7[[#This Row],[Pcon_top (mW) C]]+Table7[[#This Row],[Psw_top (mW) C]]</f>
        <v>#REF!</v>
      </c>
      <c r="BW181" s="152" t="e">
        <f aca="false">IF(VACnom&gt;Vbat, (1-Table7[[#This Row],[Duty Cycle]])*Table7[[#This Row],[I_L RMS]]^2*C_MOSFET_S_RDSON_L_BU*10^-3, Table7[[#This Row],[Duty Cycle]]*Table7[[#This Row],[I_L RMS]]^2*C_MOSFET_S_RDSON_L_BO*10^-3)/10^-3</f>
        <v>#REF!</v>
      </c>
      <c r="BX181" s="152" t="e">
        <f aca="false">IF(VACnom&gt;Vbat, Table7[[#This Row],[PRR (mW) C]]+Table7[[#This Row],[Pdead (mW) C]]+Table7[[#This Row],[Pgate_bottom (mW) C]], Table7[[#This Row],[PIV (mW) C]]+Table7[[#This Row],[PQoss (mW) C]]+Table7[[#This Row],[Pgate_bottom (mW) C]])</f>
        <v>#REF!</v>
      </c>
      <c r="BY181" s="152" t="e">
        <f aca="false">Table7[[#This Row],[Pcon_bottom (mW) C]]+Table7[[#This Row],[Psw_bottom (mV) C]]</f>
        <v>#REF!</v>
      </c>
      <c r="BZ181" s="152" t="e">
        <f aca="false">Table7[[#This Row],[Pbottom (mW) C]]+Table7[[#This Row],[Ptop (mW) C]]</f>
        <v>#REF!</v>
      </c>
      <c r="CA181" s="156"/>
      <c r="CB181" s="151" t="n">
        <f aca="false">(RAC_SNS*10^-3*(Table7[[#This Row],[IOUT (A)]]*Vbat/VACnom)^2/10^-3)</f>
        <v>34.453125</v>
      </c>
      <c r="CC181" s="151" t="n">
        <f aca="false">(RBAT_SNS*10^-3*Table7[[#This Row],[IOUT (A)]]^2)/10^-3</f>
        <v>31.25</v>
      </c>
      <c r="CD181" s="151" t="n">
        <f aca="false">IF(VACnom&gt;Vbat,(L_DRC*10^-3*(Table7[[#This Row],[IOUT (A)]])^2/10^-3),(L_DRC*10^-3*(Table7[[#This Row],[IOUT (A)]]*Vbat/VACnom)^2/10^-3))</f>
        <v>82.6875</v>
      </c>
      <c r="CE181" s="157"/>
      <c r="CF181" s="152" t="n">
        <f aca="false">(Table7[[#This Row],[R_AC (mW)]]+Table7[[#This Row],[R_SR (mW)]]+Table7[[#This Row],[Inductor Loss (mW)]])/10^3</f>
        <v>0.148390625</v>
      </c>
      <c r="CG181" s="152" t="e">
        <f aca="false">Table7[[#This Row],[Total TI (mW)]]/10^3</f>
        <v>#REF!</v>
      </c>
      <c r="CH181" s="152" t="e">
        <f aca="false">Table7[[#This Row],[Total Sense Loss]]+Table7[[#This Row],[Total MOSFET Loss]]</f>
        <v>#REF!</v>
      </c>
      <c r="CI181" s="158" t="e">
        <f aca="false">IF(Table7[[#This Row],[POUT (W)]]=0,0,(Table7[[#This Row],[POUT (W)]])/(Table7[[#This Row],[POUT (W)]]+Table7[[#This Row],[Total Power Loss (W)]]))*100</f>
        <v>#REF!</v>
      </c>
      <c r="CJ181" s="159"/>
      <c r="CK181" s="152" t="n">
        <f aca="false">(Table7[[#This Row],[R_AC (mW)]]+Table7[[#This Row],[R_SR (mW)]]+Table7[[#This Row],[Inductor Loss (mW)]])/10^3</f>
        <v>0.148390625</v>
      </c>
      <c r="CL181" s="152" t="e">
        <f aca="false">Table7[[#This Row],[Total (mW) C]]/10^3</f>
        <v>#REF!</v>
      </c>
      <c r="CM181" s="152" t="e">
        <f aca="false">Table7[[#This Row],[Total Sense Loss C]]+Table7[[#This Row],[Total MOSFET Loss C]]</f>
        <v>#REF!</v>
      </c>
      <c r="CN181" s="158" t="e">
        <f aca="false">IF(Table7[[#This Row],[POUT (W)]]=0,0,(Table7[[#This Row],[POUT (W)]])/(Table7[[#This Row],[POUT (W)]]+Table7[[#This Row],[Total Power Loss (W) C]]))*100</f>
        <v>#REF!</v>
      </c>
      <c r="CO181" s="159"/>
      <c r="CP181" s="158" t="n">
        <f aca="false">IF(MOSFET_S=Custom_MOSFET,Table7[[#This Row],[Total Sense Loss C]],Table7[[#This Row],[Total Sense Loss]])</f>
        <v>0.148390625</v>
      </c>
      <c r="CQ181" s="158" t="e">
        <f aca="false">IF(MOSFET_S=Custom_MOSFET,Table7[[#This Row],[Total MOSFET Loss C]],Table7[[#This Row],[Total MOSFET Loss]])</f>
        <v>#REF!</v>
      </c>
      <c r="CR181" s="158" t="e">
        <f aca="false">IF(MOSFET_S=Custom_MOSFET,Table7[[#This Row],[Efficiency C]],Table7[[#This Row],[Efficiency]])</f>
        <v>#REF!</v>
      </c>
      <c r="CS181" s="159"/>
      <c r="CT181" s="158" t="n">
        <f aca="false">IF(MOSFET_S=Compare_MOSFET, Table7[[#This Row],[Total Sense Loss C]], -100)</f>
        <v>-100</v>
      </c>
      <c r="CU181" s="158" t="n">
        <f aca="false">IF(MOSFET_S=Compare_MOSFET, Table7[[#This Row],[Total MOSFET Loss C]], -100)</f>
        <v>-100</v>
      </c>
      <c r="CV181" s="158" t="n">
        <f aca="false">IF(MOSFET_S=Compare_MOSFET, Table7[[#This Row],[Efficiency C]], -100)</f>
        <v>-100</v>
      </c>
      <c r="CW181" s="159"/>
      <c r="CX181" s="158" t="e">
        <f aca="false">IF(Save_Sel=CLR_Save,  Table7[[#This Row],[Total Sense Loss P1]], Table7[[#This Row],[Total Sense Loss P1 Saved]])</f>
        <v>#VALUE!</v>
      </c>
      <c r="CY181" s="158" t="e">
        <f aca="false">IF(Save_Sel=CLR_Save,  Table7[[#This Row],[Total MOSFET Loss P1]], Table7[[#This Row],[Total MOSFET Loss P1 Saved]] )</f>
        <v>#VALUE!</v>
      </c>
      <c r="CZ181" s="158" t="e">
        <f aca="false">IF(Save_Sel=CLR_Save, Table7[[#This Row],[Efficiency P1]], Table7[[#This Row],[Efficiency P1 Saved]])</f>
        <v>#VALUE!</v>
      </c>
      <c r="DA181" s="159"/>
      <c r="DB181" s="158" t="e">
        <f aca="false">IF(Save_Sel=CLR_Save,  Table7[[#This Row],[Total Sense Loss P2]], Table7[[#This Row],[Total Sense Loss P2 Saved]])</f>
        <v>#VALUE!</v>
      </c>
      <c r="DC181" s="158" t="e">
        <f aca="false">IF(Save_Sel=CLR_Save,  Table7[[#This Row],[Total MOSFET Loss P2]], Table7[[#This Row],[Total MOSFET Loss P2 Saved]] )</f>
        <v>#VALUE!</v>
      </c>
      <c r="DD181" s="158" t="e">
        <f aca="false">IF(Save_Sel=CLR_Save, Table7[[#This Row],[Efficiency P2]], Table7[[#This Row],[Efficiency P2 Saved]])</f>
        <v>#VALUE!</v>
      </c>
      <c r="DE181" s="159"/>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row>
    <row r="182" customFormat="false" ht="16.4" hidden="false" customHeight="false" outlineLevel="0" collapsed="false">
      <c r="A182" s="100" t="n">
        <v>9</v>
      </c>
      <c r="B182" s="84"/>
      <c r="C182" s="84"/>
      <c r="D182" s="28" t="s">
        <v>146</v>
      </c>
      <c r="E182" s="124" t="e">
        <f aca="false">$N143</f>
        <v>#REF!</v>
      </c>
      <c r="F182" s="124" t="e">
        <f aca="false">$O143</f>
        <v>#REF!</v>
      </c>
      <c r="G182" s="119" t="s">
        <v>140</v>
      </c>
      <c r="H182" s="24"/>
      <c r="I182" s="100" t="n">
        <v>9</v>
      </c>
      <c r="J182" s="24"/>
      <c r="K182" s="84"/>
      <c r="L182" s="84"/>
      <c r="M182" s="28" t="s">
        <v>146</v>
      </c>
      <c r="N182" s="124" t="n">
        <f aca="false">$E143</f>
        <v>36</v>
      </c>
      <c r="O182" s="124" t="n">
        <f aca="false">$F143</f>
        <v>36</v>
      </c>
      <c r="P182" s="119" t="s">
        <v>140</v>
      </c>
      <c r="Q182" s="24"/>
      <c r="R182" s="24"/>
      <c r="S182" s="25"/>
      <c r="T182" s="6"/>
      <c r="U182" s="7"/>
      <c r="V182" s="7"/>
      <c r="W182" s="7"/>
      <c r="X182" s="7"/>
      <c r="Y182" s="7"/>
      <c r="Z182" s="7"/>
      <c r="AA182" s="7"/>
      <c r="AB182" s="7"/>
      <c r="AC182" s="7"/>
      <c r="AD182" s="7"/>
      <c r="AE182" s="7"/>
      <c r="AF182" s="150" t="n">
        <f aca="false">AF181+1</f>
        <v>26</v>
      </c>
      <c r="AG182" s="150" t="n">
        <f aca="false">$AG$156+AF182*($AG$256-$AG$156)/$AF$256</f>
        <v>2.6</v>
      </c>
      <c r="AH182" s="151" t="n">
        <f aca="false">AG182*VACnom</f>
        <v>31.2</v>
      </c>
      <c r="AI182" s="152" t="n">
        <f aca="false">IF(VACnom&lt;Vbat, (Vbat-VACnom)/Vbat, Vbat/VACnom)</f>
        <v>0.0476190476190476</v>
      </c>
      <c r="AJ182" s="152" t="n">
        <f aca="false">IF(VACnom&lt;Vbat, AG182/(1-AI182), AG182*AI182)</f>
        <v>2.73</v>
      </c>
      <c r="AK182" s="152" t="n">
        <f aca="false">Ipkpk_VACnom</f>
        <v>0.285714285714285</v>
      </c>
      <c r="AL182" s="152" t="n">
        <f aca="false">SQRT(AJ182^2+AK182^2/12)</f>
        <v>2.73124563543604</v>
      </c>
      <c r="AM182" s="153"/>
      <c r="AN182" s="152" t="n">
        <f aca="false">MAX(0,Table7[[#This Row],[I_L]]-0.5*Table7[[#This Row],[I_L pkpk]])</f>
        <v>2.58714285714286</v>
      </c>
      <c r="AO182" s="152" t="n">
        <f aca="false">Table7[[#This Row],[I_L]]+0.5*Table7[[#This Row],[I_L pkpk]]</f>
        <v>2.87285714285714</v>
      </c>
      <c r="AP182" s="152" t="e">
        <f aca="false">IF(VACnom&gt;Vbat, (VGS_S-(TI_MOSFET_S_VTH_H_BU+Table7[[#This Row],[I_L]]/TI_MOSFET_S_gFS_H_BU))/3.4, (VGS_S-(TI_MOSFET_S_VTH_L_BO+Table7[[#This Row],[I_L]]/TI_MOSFET_S_gFS_L_BO))/3.4 )</f>
        <v>#REF!</v>
      </c>
      <c r="AQ182" s="152" t="e">
        <f aca="false">IF(VACnom&gt;Vbat, ((TI_MOSFET_S_VTH_H_BU+Table7[[#This Row],[I_L]]/TI_MOSFET_S_gFS_H_BU))/1, ((TI_MOSFET_S_VTH_L_BO+Table7[[#This Row],[I_L]]/TI_MOSFET_S_gFS_L_BO))/1 )</f>
        <v>#REF!</v>
      </c>
      <c r="AR182" s="152" t="e">
        <f aca="false">IF(VACnom&gt;Vbat, (TI_MOSFET_S_QGD_H_BU+TI_MOSFET_S_QGS_H_BU)*10^-9/Table7[[#This Row],[Ion (A)]], (TI_MOSFET_S_QGD_L_BO+TI_MOSFET_S_QGS_L_BO)*10^-9/Table7[[#This Row],[Ion (A)]])/10^-9</f>
        <v>#REF!</v>
      </c>
      <c r="AS182" s="152" t="e">
        <f aca="false">IF(VACnom&gt;Vbat, (TI_MOSFET_S_QGD_H_BU+TI_MOSFET_S_QGS_H_BU)*10^-9/Table7[[#This Row],[Ioff (A)]], (TI_MOSFET_S_QGD_L_BO+TI_MOSFET_S_QGS_L_BO)*10^-9/Table7[[#This Row],[Ioff (A)]])/10^-9</f>
        <v>#REF!</v>
      </c>
      <c r="AT182" s="152" t="e">
        <f aca="false">0.5*VACnom*Table7[[#This Row],[Ivalley (A)]]*Table7[[#This Row],[ton (ns)]]*10^-9*Fsw*10^3+0.5*VACnom*Table7[[#This Row],[Ipeak (A)]]*Table7[[#This Row],[toff (ns)]]*10^-9*Fsw*10^3/10^-3</f>
        <v>#REF!</v>
      </c>
      <c r="AU182" s="152" t="e">
        <f aca="false">IF(VACnom&gt;Vbat, 0.5*VACnom*TI_MOSFET_S_QOSS_H_BU*10^-9*Fsw*10^3,0.5*VACnom*TI_MOSFET_S_QOSS_L_BO*10^-9*Fsw*10^3)/10^-3</f>
        <v>#REF!</v>
      </c>
      <c r="AV182" s="152" t="e">
        <f aca="false">IF(VACnom&gt;Vbat, VACnom*TI_MOSFET_S_QG_H_BU*10^-9*Fsw*10^3,VACnom*TI_MOSFET_S_QG_H_BO*10^-9*Fsw*10^3)/10^-3</f>
        <v>#REF!</v>
      </c>
      <c r="AW182" s="152" t="e">
        <f aca="false">IF(VACnom&gt;Vbat, VACnom*TI_MOSFET_S_QRR_L_BU*10^-9*Fsw*10^3, VACnom*TI_MOSFET_S_QRR_H_BO*10^-9*Fsw*10^3)/10^-3</f>
        <v>#REF!</v>
      </c>
      <c r="AX182" s="152" t="e">
        <f aca="false">IF(VACnom&gt;Vbat, TI_MOSFET_S_VSD_L_BU*Table7[[#This Row],[Ivalley (A)]]*Fsw*10^3*40*10^-9+TI_MOSFET_S_VSD_L_BU*Table7[[#This Row],[Ipeak (A)]]*Fsw*10^3*30*10^-9, TI_MOSFET_S_VSD_H_BO*Table7[[#This Row],[Ivalley (A)]]*Fsw*10^3*40*10^-9+TI_MOSFET_S_VSD_H_BO*Table7[[#This Row],[Ipeak (A)]]*Fsw*10^3*30*10^-9)/10^-3</f>
        <v>#REF!</v>
      </c>
      <c r="AY182" s="152" t="e">
        <f aca="false">IF(VACnom&gt;Vbat, VACnom*TI_MOSFET_S_QG_L_BU*10^-9*Fsw*10^3, VACnom*TI_MOSFET_S_QG_L_BO*10^-9*Fsw*10^3)/10^-3</f>
        <v>#REF!</v>
      </c>
      <c r="AZ182" s="152" t="e">
        <f aca="false">IF(VACnom&lt;Vbat, Table7[[#This Row],[Duty Cycle]]*Table7[[#This Row],[I_L RMS]]^2*TI_MOSFET_S_RDSON_H_BU*10^-3, (1-Table7[[#This Row],[Duty Cycle]])*Table7[[#This Row],[I_L RMS]]^2*TI_MOSFET_S_RDSON_H_BO*10^-3)/10^-3</f>
        <v>#REF!</v>
      </c>
      <c r="BA182" s="152" t="e">
        <f aca="false">IF(VACnom&gt;Vbat, Table7[[#This Row],[PIV (mW)]]+Table7[[#This Row],[Pqoss (mW)]]+Table7[[#This Row],[Pgate_top (mW)]], Table7[[#This Row],[PRR (mW)]]+Table7[[#This Row],[Pdead (mW)]]+Table7[[#This Row],[Pgate_top (mW)]])</f>
        <v>#REF!</v>
      </c>
      <c r="BB182" s="152" t="e">
        <f aca="false">Table7[[#This Row],[Pcon_top (mW)]]+Table7[[#This Row],[Psw_top (mW)]]</f>
        <v>#REF!</v>
      </c>
      <c r="BC182" s="152" t="e">
        <f aca="false">IF(VACnom&gt;Vbat, (1-Table7[[#This Row],[Duty Cycle]])*Table7[[#This Row],[I_L RMS]]^2*TI_MOSFET_S_RDSON_L_BU*10^-3, Table7[[#This Row],[Duty Cycle]]*Table7[[#This Row],[I_L RMS]]^2*TI_MOSFET_S_RDSON_L_BO*10^-3)/10^-3</f>
        <v>#REF!</v>
      </c>
      <c r="BD182" s="152" t="e">
        <f aca="false">IF(VACnom&gt;Vbat, Table7[[#This Row],[PRR (mW)]]+Table7[[#This Row],[Pdead (mW)]]+Table7[[#This Row],[Pgate_bottom (mW)]], Table7[[#This Row],[PIV (mW)]]+Table7[[#This Row],[Pqoss (mW)]]+Table7[[#This Row],[Pgate_bottom (mW)]])</f>
        <v>#REF!</v>
      </c>
      <c r="BE182" s="154" t="e">
        <f aca="false">Table7[[#This Row],[Pcon_bottom (mW)]]+Table7[[#This Row],[Psw_bottom (mW)]]</f>
        <v>#REF!</v>
      </c>
      <c r="BF182" s="152" t="e">
        <f aca="false">Table7[[#This Row],[Pbottom (mW)]]+Table7[[#This Row],[Ptop (mW)]]</f>
        <v>#REF!</v>
      </c>
      <c r="BG182" s="155"/>
      <c r="BH182" s="152" t="n">
        <f aca="false">MAX(0,Table7[[#This Row],[I_L]]-0.5*Table7[[#This Row],[I_L pkpk]])</f>
        <v>2.58714285714286</v>
      </c>
      <c r="BI182" s="152" t="n">
        <f aca="false">Table7[[#This Row],[I_L]]+0.5*Table7[[#This Row],[I_L pkpk]]</f>
        <v>2.87285714285714</v>
      </c>
      <c r="BJ182" s="152" t="n">
        <f aca="false">IF(VACnom&gt;Vbat, (VGS_S-(C_MOSFET_S_VTH_H_BU+Table7[[#This Row],[I_L]]/C_MOSFET_S_gFS_H_BU))/3.4, (VGS_S-(C_MOSFET_S_VTH_L_BO+Table7[[#This Row],[I_L]]/C_MOSFET_S_gFS_L_BO))/3.4 )</f>
        <v>2.34758823529412</v>
      </c>
      <c r="BK182" s="152" t="n">
        <f aca="false">IF(VACnom&gt;Vbat, ((C_MOSFET_S_VTH_H_BU+Table7[[#This Row],[I_L]]/C_MOSFET_S_gFS_H_BU))/1, ((C_MOSFET_S_VTH_L_BO+Table7[[#This Row],[I_L]]/C_MOSFET_S_gFS_L_BO))/1 )</f>
        <v>2.0182</v>
      </c>
      <c r="BL182" s="152" t="n">
        <f aca="false">IF(VACnom&gt;Vbat, (C_MOSFET_S_QGD_H_BU+C_MOSFET_S_QGS_H_BU)*10^-9/Table7[[#This Row],[Ion (A) C]], (C_MOSFET_S_QGD_L_BO+C_MOSFET_S_QGS_L_BO)*10^-9/Table7[[#This Row],[Ion (A) C]])/10^-9</f>
        <v>2.76879901776542</v>
      </c>
      <c r="BM182" s="152" t="n">
        <f aca="false">IF(VACnom&gt;Vbat, (C_MOSFET_S_QGD_H_BU+C_MOSFET_S_QGS_H_BU)*10^-9/Table7[[#This Row],[Ioff (A) C]], (C_MOSFET_S_QGD_L_BO+C_MOSFET_S_QGS_L_BO)*10^-9/Table7[[#This Row],[Ioff (A) C]])/10^-9</f>
        <v>3.22069170548013</v>
      </c>
      <c r="BN182" s="152" t="n">
        <f aca="false">0.5*VACnom*Table7[[#This Row],[Ivalley (A) C]]*Table7[[#This Row],[ton (ns) C]]*10^-9*Fsw*10^3+0.5*VACnom*Table7[[#This Row],[Ipeak (A) C]]*Table7[[#This Row],[toff (ns) C]]*10^-9*Fsw*10^3/10^-3</f>
        <v>11.1117005395572</v>
      </c>
      <c r="BO182" s="152" t="n">
        <f aca="false">IF(VACnom&gt;Vbat, 0.5*VACnom*C_MOSFET_S_QOSS_H_BU*10^-9*Fsw*10^3,0.5*VACnom*C_MOSFET_S_QOSS_L_BO*10^-9*Fsw*10^3)/10^-3</f>
        <v>43.2</v>
      </c>
      <c r="BP182" s="152" t="e">
        <f aca="false">IF(VACnom&gt;Vbat, VACnom*C_MOSFET_S_QG_H_BU*10^-9*Fsw*10^3,VACnom*C_MOSFET_S_QG_H_BO*10^-9*Fsw*10^3)/10^-3</f>
        <v>#REF!</v>
      </c>
      <c r="BQ182" s="152" t="n">
        <f aca="false">IF(VACnom&gt;Vbat, VACnom*C_MOSFET_S_QRR_L_BU*10^-9*Fsw*10^3, VACnom*C_MOSFET_S_QRR_H_BO*10^-9*Fsw*10^3)/10^-3</f>
        <v>79.2</v>
      </c>
      <c r="BR182" s="152" t="n">
        <f aca="false">IF(VACnom&gt;Vbat, C_MOSFET_S_VSD_L_BU*Table7[[#This Row],[Ivalley (A) C]]*Fsw*10^3*40*10^-9+C_MOSFET_S_VSD_L_BU*Table7[[#This Row],[Ipeak (A) C]]*Fsw*10^3*30*10^-9, C_MOSFET_S_VSD_H_BO*Table7[[#This Row],[Ivalley (A) C]]*Fsw*10^3*40*10^-9+C_MOSFET_S_VSD_H_BO*Table7[[#This Row],[Ipeak (A) C]]*Fsw*10^3*30*10^-9)/10^-3</f>
        <v>30.3474285714286</v>
      </c>
      <c r="BS182" s="152" t="e">
        <f aca="false">IF(VACnom&gt;Vbat, VACnom*C_MOSFET_S_QG_L_BU*10^-9*Fsw*10^3, VACnom*C_MOSFET_S_QG_L_BO*10^-9*Fsw*10^3)/10^-3</f>
        <v>#REF!</v>
      </c>
      <c r="BT182" s="152" t="n">
        <f aca="false">IF(VACnom&lt;Vbat, Table7[[#This Row],[Duty Cycle]]*Table7[[#This Row],[I_L RMS]]^2*C_MOSFET_S_RDSON_H_BU*10^-3, (1-Table7[[#This Row],[Duty Cycle]])*Table7[[#This Row],[I_L RMS]]^2*C_MOSFET_S_RDSON_H_BO*10^-3)/10^-3</f>
        <v>2.02477645286686</v>
      </c>
      <c r="BU182" s="152" t="e">
        <f aca="false">IF(VACnom&gt;Vbat, Table7[[#This Row],[PIV (mW) C]]+Table7[[#This Row],[PQoss (mW) C]]+Table7[[#This Row],[Pgate_top (mW) C]], Table7[[#This Row],[PRR (mW) C]]+Table7[[#This Row],[Pdead (mW) C]]+Table7[[#This Row],[Pgate_top (mW) C]])</f>
        <v>#REF!</v>
      </c>
      <c r="BV182" s="152" t="e">
        <f aca="false">Table7[[#This Row],[Pcon_top (mW) C]]+Table7[[#This Row],[Psw_top (mW) C]]</f>
        <v>#REF!</v>
      </c>
      <c r="BW182" s="152" t="e">
        <f aca="false">IF(VACnom&gt;Vbat, (1-Table7[[#This Row],[Duty Cycle]])*Table7[[#This Row],[I_L RMS]]^2*C_MOSFET_S_RDSON_L_BU*10^-3, Table7[[#This Row],[Duty Cycle]]*Table7[[#This Row],[I_L RMS]]^2*C_MOSFET_S_RDSON_L_BO*10^-3)/10^-3</f>
        <v>#REF!</v>
      </c>
      <c r="BX182" s="152" t="e">
        <f aca="false">IF(VACnom&gt;Vbat, Table7[[#This Row],[PRR (mW) C]]+Table7[[#This Row],[Pdead (mW) C]]+Table7[[#This Row],[Pgate_bottom (mW) C]], Table7[[#This Row],[PIV (mW) C]]+Table7[[#This Row],[PQoss (mW) C]]+Table7[[#This Row],[Pgate_bottom (mW) C]])</f>
        <v>#REF!</v>
      </c>
      <c r="BY182" s="152" t="e">
        <f aca="false">Table7[[#This Row],[Pcon_bottom (mW) C]]+Table7[[#This Row],[Psw_bottom (mV) C]]</f>
        <v>#REF!</v>
      </c>
      <c r="BZ182" s="152" t="e">
        <f aca="false">Table7[[#This Row],[Pbottom (mW) C]]+Table7[[#This Row],[Ptop (mW) C]]</f>
        <v>#REF!</v>
      </c>
      <c r="CA182" s="156"/>
      <c r="CB182" s="151" t="n">
        <f aca="false">(RAC_SNS*10^-3*(Table7[[#This Row],[IOUT (A)]]*Vbat/VACnom)^2/10^-3)</f>
        <v>37.2645</v>
      </c>
      <c r="CC182" s="151" t="n">
        <f aca="false">(RBAT_SNS*10^-3*Table7[[#This Row],[IOUT (A)]]^2)/10^-3</f>
        <v>33.8</v>
      </c>
      <c r="CD182" s="151" t="n">
        <f aca="false">IF(VACnom&gt;Vbat,(L_DRC*10^-3*(Table7[[#This Row],[IOUT (A)]])^2/10^-3),(L_DRC*10^-3*(Table7[[#This Row],[IOUT (A)]]*Vbat/VACnom)^2/10^-3))</f>
        <v>89.4348</v>
      </c>
      <c r="CE182" s="157"/>
      <c r="CF182" s="152" t="n">
        <f aca="false">(Table7[[#This Row],[R_AC (mW)]]+Table7[[#This Row],[R_SR (mW)]]+Table7[[#This Row],[Inductor Loss (mW)]])/10^3</f>
        <v>0.1604993</v>
      </c>
      <c r="CG182" s="152" t="e">
        <f aca="false">Table7[[#This Row],[Total TI (mW)]]/10^3</f>
        <v>#REF!</v>
      </c>
      <c r="CH182" s="152" t="e">
        <f aca="false">Table7[[#This Row],[Total Sense Loss]]+Table7[[#This Row],[Total MOSFET Loss]]</f>
        <v>#REF!</v>
      </c>
      <c r="CI182" s="158" t="e">
        <f aca="false">IF(Table7[[#This Row],[POUT (W)]]=0,0,(Table7[[#This Row],[POUT (W)]])/(Table7[[#This Row],[POUT (W)]]+Table7[[#This Row],[Total Power Loss (W)]]))*100</f>
        <v>#REF!</v>
      </c>
      <c r="CJ182" s="159"/>
      <c r="CK182" s="152" t="n">
        <f aca="false">(Table7[[#This Row],[R_AC (mW)]]+Table7[[#This Row],[R_SR (mW)]]+Table7[[#This Row],[Inductor Loss (mW)]])/10^3</f>
        <v>0.1604993</v>
      </c>
      <c r="CL182" s="152" t="e">
        <f aca="false">Table7[[#This Row],[Total (mW) C]]/10^3</f>
        <v>#REF!</v>
      </c>
      <c r="CM182" s="152" t="e">
        <f aca="false">Table7[[#This Row],[Total Sense Loss C]]+Table7[[#This Row],[Total MOSFET Loss C]]</f>
        <v>#REF!</v>
      </c>
      <c r="CN182" s="158" t="e">
        <f aca="false">IF(Table7[[#This Row],[POUT (W)]]=0,0,(Table7[[#This Row],[POUT (W)]])/(Table7[[#This Row],[POUT (W)]]+Table7[[#This Row],[Total Power Loss (W) C]]))*100</f>
        <v>#REF!</v>
      </c>
      <c r="CO182" s="159"/>
      <c r="CP182" s="158" t="n">
        <f aca="false">IF(MOSFET_S=Custom_MOSFET,Table7[[#This Row],[Total Sense Loss C]],Table7[[#This Row],[Total Sense Loss]])</f>
        <v>0.1604993</v>
      </c>
      <c r="CQ182" s="158" t="e">
        <f aca="false">IF(MOSFET_S=Custom_MOSFET,Table7[[#This Row],[Total MOSFET Loss C]],Table7[[#This Row],[Total MOSFET Loss]])</f>
        <v>#REF!</v>
      </c>
      <c r="CR182" s="158" t="e">
        <f aca="false">IF(MOSFET_S=Custom_MOSFET,Table7[[#This Row],[Efficiency C]],Table7[[#This Row],[Efficiency]])</f>
        <v>#REF!</v>
      </c>
      <c r="CS182" s="159"/>
      <c r="CT182" s="158" t="n">
        <f aca="false">IF(MOSFET_S=Compare_MOSFET, Table7[[#This Row],[Total Sense Loss C]], -100)</f>
        <v>-100</v>
      </c>
      <c r="CU182" s="158" t="n">
        <f aca="false">IF(MOSFET_S=Compare_MOSFET, Table7[[#This Row],[Total MOSFET Loss C]], -100)</f>
        <v>-100</v>
      </c>
      <c r="CV182" s="158" t="n">
        <f aca="false">IF(MOSFET_S=Compare_MOSFET, Table7[[#This Row],[Efficiency C]], -100)</f>
        <v>-100</v>
      </c>
      <c r="CW182" s="159"/>
      <c r="CX182" s="158" t="e">
        <f aca="false">IF(Save_Sel=CLR_Save,  Table7[[#This Row],[Total Sense Loss P1]], Table7[[#This Row],[Total Sense Loss P1 Saved]])</f>
        <v>#VALUE!</v>
      </c>
      <c r="CY182" s="158" t="e">
        <f aca="false">IF(Save_Sel=CLR_Save,  Table7[[#This Row],[Total MOSFET Loss P1]], Table7[[#This Row],[Total MOSFET Loss P1 Saved]] )</f>
        <v>#VALUE!</v>
      </c>
      <c r="CZ182" s="158" t="e">
        <f aca="false">IF(Save_Sel=CLR_Save, Table7[[#This Row],[Efficiency P1]], Table7[[#This Row],[Efficiency P1 Saved]])</f>
        <v>#VALUE!</v>
      </c>
      <c r="DA182" s="159"/>
      <c r="DB182" s="158" t="e">
        <f aca="false">IF(Save_Sel=CLR_Save,  Table7[[#This Row],[Total Sense Loss P2]], Table7[[#This Row],[Total Sense Loss P2 Saved]])</f>
        <v>#VALUE!</v>
      </c>
      <c r="DC182" s="158" t="e">
        <f aca="false">IF(Save_Sel=CLR_Save,  Table7[[#This Row],[Total MOSFET Loss P2]], Table7[[#This Row],[Total MOSFET Loss P2 Saved]] )</f>
        <v>#VALUE!</v>
      </c>
      <c r="DD182" s="158" t="e">
        <f aca="false">IF(Save_Sel=CLR_Save, Table7[[#This Row],[Efficiency P2]], Table7[[#This Row],[Efficiency P2 Saved]])</f>
        <v>#VALUE!</v>
      </c>
      <c r="DE182" s="159"/>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row>
    <row r="183" customFormat="false" ht="16.4" hidden="false" customHeight="false" outlineLevel="0" collapsed="false">
      <c r="A183" s="100" t="n">
        <v>10</v>
      </c>
      <c r="B183" s="84"/>
      <c r="C183" s="84"/>
      <c r="D183" s="28" t="s">
        <v>147</v>
      </c>
      <c r="E183" s="124" t="e">
        <f aca="false">$N144</f>
        <v>#REF!</v>
      </c>
      <c r="F183" s="124" t="e">
        <f aca="false">$O144</f>
        <v>#REF!</v>
      </c>
      <c r="G183" s="128" t="s">
        <v>148</v>
      </c>
      <c r="H183" s="24"/>
      <c r="I183" s="100" t="n">
        <v>10</v>
      </c>
      <c r="J183" s="24"/>
      <c r="K183" s="84"/>
      <c r="L183" s="84"/>
      <c r="M183" s="28" t="s">
        <v>147</v>
      </c>
      <c r="N183" s="124" t="n">
        <f aca="false">$E144</f>
        <v>1.5</v>
      </c>
      <c r="O183" s="124" t="n">
        <f aca="false">$F144</f>
        <v>1.5</v>
      </c>
      <c r="P183" s="128" t="s">
        <v>148</v>
      </c>
      <c r="Q183" s="24"/>
      <c r="R183" s="24"/>
      <c r="S183" s="25"/>
      <c r="T183" s="6"/>
      <c r="U183" s="7"/>
      <c r="V183" s="7"/>
      <c r="W183" s="7"/>
      <c r="X183" s="7"/>
      <c r="Y183" s="7"/>
      <c r="Z183" s="7"/>
      <c r="AA183" s="7"/>
      <c r="AB183" s="7"/>
      <c r="AC183" s="7"/>
      <c r="AD183" s="7"/>
      <c r="AE183" s="7"/>
      <c r="AF183" s="150" t="n">
        <f aca="false">AF182+1</f>
        <v>27</v>
      </c>
      <c r="AG183" s="150" t="n">
        <f aca="false">$AG$156+AF183*($AG$256-$AG$156)/$AF$256</f>
        <v>2.7</v>
      </c>
      <c r="AH183" s="151" t="n">
        <f aca="false">AG183*VACnom</f>
        <v>32.4</v>
      </c>
      <c r="AI183" s="152" t="n">
        <f aca="false">IF(VACnom&lt;Vbat, (Vbat-VACnom)/Vbat, Vbat/VACnom)</f>
        <v>0.0476190476190476</v>
      </c>
      <c r="AJ183" s="152" t="n">
        <f aca="false">IF(VACnom&lt;Vbat, AG183/(1-AI183), AG183*AI183)</f>
        <v>2.835</v>
      </c>
      <c r="AK183" s="152" t="n">
        <f aca="false">Ipkpk_VACnom</f>
        <v>0.285714285714285</v>
      </c>
      <c r="AL183" s="152" t="n">
        <f aca="false">SQRT(AJ183^2+AK183^2/12)</f>
        <v>2.836199520677</v>
      </c>
      <c r="AM183" s="153"/>
      <c r="AN183" s="152" t="n">
        <f aca="false">MAX(0,Table7[[#This Row],[I_L]]-0.5*Table7[[#This Row],[I_L pkpk]])</f>
        <v>2.69214285714286</v>
      </c>
      <c r="AO183" s="152" t="n">
        <f aca="false">Table7[[#This Row],[I_L]]+0.5*Table7[[#This Row],[I_L pkpk]]</f>
        <v>2.97785714285714</v>
      </c>
      <c r="AP183" s="152" t="e">
        <f aca="false">IF(VACnom&gt;Vbat, (VGS_S-(TI_MOSFET_S_VTH_H_BU+Table7[[#This Row],[I_L]]/TI_MOSFET_S_gFS_H_BU))/3.4, (VGS_S-(TI_MOSFET_S_VTH_L_BO+Table7[[#This Row],[I_L]]/TI_MOSFET_S_gFS_L_BO))/3.4 )</f>
        <v>#REF!</v>
      </c>
      <c r="AQ183" s="152" t="e">
        <f aca="false">IF(VACnom&gt;Vbat, ((TI_MOSFET_S_VTH_H_BU+Table7[[#This Row],[I_L]]/TI_MOSFET_S_gFS_H_BU))/1, ((TI_MOSFET_S_VTH_L_BO+Table7[[#This Row],[I_L]]/TI_MOSFET_S_gFS_L_BO))/1 )</f>
        <v>#REF!</v>
      </c>
      <c r="AR183" s="152" t="e">
        <f aca="false">IF(VACnom&gt;Vbat, (TI_MOSFET_S_QGD_H_BU+TI_MOSFET_S_QGS_H_BU)*10^-9/Table7[[#This Row],[Ion (A)]], (TI_MOSFET_S_QGD_L_BO+TI_MOSFET_S_QGS_L_BO)*10^-9/Table7[[#This Row],[Ion (A)]])/10^-9</f>
        <v>#REF!</v>
      </c>
      <c r="AS183" s="152" t="e">
        <f aca="false">IF(VACnom&gt;Vbat, (TI_MOSFET_S_QGD_H_BU+TI_MOSFET_S_QGS_H_BU)*10^-9/Table7[[#This Row],[Ioff (A)]], (TI_MOSFET_S_QGD_L_BO+TI_MOSFET_S_QGS_L_BO)*10^-9/Table7[[#This Row],[Ioff (A)]])/10^-9</f>
        <v>#REF!</v>
      </c>
      <c r="AT183" s="152" t="e">
        <f aca="false">0.5*VACnom*Table7[[#This Row],[Ivalley (A)]]*Table7[[#This Row],[ton (ns)]]*10^-9*Fsw*10^3+0.5*VACnom*Table7[[#This Row],[Ipeak (A)]]*Table7[[#This Row],[toff (ns)]]*10^-9*Fsw*10^3/10^-3</f>
        <v>#REF!</v>
      </c>
      <c r="AU183" s="152" t="e">
        <f aca="false">IF(VACnom&gt;Vbat, 0.5*VACnom*TI_MOSFET_S_QOSS_H_BU*10^-9*Fsw*10^3,0.5*VACnom*TI_MOSFET_S_QOSS_L_BO*10^-9*Fsw*10^3)/10^-3</f>
        <v>#REF!</v>
      </c>
      <c r="AV183" s="152" t="e">
        <f aca="false">IF(VACnom&gt;Vbat, VACnom*TI_MOSFET_S_QG_H_BU*10^-9*Fsw*10^3,VACnom*TI_MOSFET_S_QG_H_BO*10^-9*Fsw*10^3)/10^-3</f>
        <v>#REF!</v>
      </c>
      <c r="AW183" s="152" t="e">
        <f aca="false">IF(VACnom&gt;Vbat, VACnom*TI_MOSFET_S_QRR_L_BU*10^-9*Fsw*10^3, VACnom*TI_MOSFET_S_QRR_H_BO*10^-9*Fsw*10^3)/10^-3</f>
        <v>#REF!</v>
      </c>
      <c r="AX183" s="152" t="e">
        <f aca="false">IF(VACnom&gt;Vbat, TI_MOSFET_S_VSD_L_BU*Table7[[#This Row],[Ivalley (A)]]*Fsw*10^3*40*10^-9+TI_MOSFET_S_VSD_L_BU*Table7[[#This Row],[Ipeak (A)]]*Fsw*10^3*30*10^-9, TI_MOSFET_S_VSD_H_BO*Table7[[#This Row],[Ivalley (A)]]*Fsw*10^3*40*10^-9+TI_MOSFET_S_VSD_H_BO*Table7[[#This Row],[Ipeak (A)]]*Fsw*10^3*30*10^-9)/10^-3</f>
        <v>#REF!</v>
      </c>
      <c r="AY183" s="152" t="e">
        <f aca="false">IF(VACnom&gt;Vbat, VACnom*TI_MOSFET_S_QG_L_BU*10^-9*Fsw*10^3, VACnom*TI_MOSFET_S_QG_L_BO*10^-9*Fsw*10^3)/10^-3</f>
        <v>#REF!</v>
      </c>
      <c r="AZ183" s="152" t="e">
        <f aca="false">IF(VACnom&lt;Vbat, Table7[[#This Row],[Duty Cycle]]*Table7[[#This Row],[I_L RMS]]^2*TI_MOSFET_S_RDSON_H_BU*10^-3, (1-Table7[[#This Row],[Duty Cycle]])*Table7[[#This Row],[I_L RMS]]^2*TI_MOSFET_S_RDSON_H_BO*10^-3)/10^-3</f>
        <v>#REF!</v>
      </c>
      <c r="BA183" s="152" t="e">
        <f aca="false">IF(VACnom&gt;Vbat, Table7[[#This Row],[PIV (mW)]]+Table7[[#This Row],[Pqoss (mW)]]+Table7[[#This Row],[Pgate_top (mW)]], Table7[[#This Row],[PRR (mW)]]+Table7[[#This Row],[Pdead (mW)]]+Table7[[#This Row],[Pgate_top (mW)]])</f>
        <v>#REF!</v>
      </c>
      <c r="BB183" s="152" t="e">
        <f aca="false">Table7[[#This Row],[Pcon_top (mW)]]+Table7[[#This Row],[Psw_top (mW)]]</f>
        <v>#REF!</v>
      </c>
      <c r="BC183" s="152" t="e">
        <f aca="false">IF(VACnom&gt;Vbat, (1-Table7[[#This Row],[Duty Cycle]])*Table7[[#This Row],[I_L RMS]]^2*TI_MOSFET_S_RDSON_L_BU*10^-3, Table7[[#This Row],[Duty Cycle]]*Table7[[#This Row],[I_L RMS]]^2*TI_MOSFET_S_RDSON_L_BO*10^-3)/10^-3</f>
        <v>#REF!</v>
      </c>
      <c r="BD183" s="152" t="e">
        <f aca="false">IF(VACnom&gt;Vbat, Table7[[#This Row],[PRR (mW)]]+Table7[[#This Row],[Pdead (mW)]]+Table7[[#This Row],[Pgate_bottom (mW)]], Table7[[#This Row],[PIV (mW)]]+Table7[[#This Row],[Pqoss (mW)]]+Table7[[#This Row],[Pgate_bottom (mW)]])</f>
        <v>#REF!</v>
      </c>
      <c r="BE183" s="154" t="e">
        <f aca="false">Table7[[#This Row],[Pcon_bottom (mW)]]+Table7[[#This Row],[Psw_bottom (mW)]]</f>
        <v>#REF!</v>
      </c>
      <c r="BF183" s="152" t="e">
        <f aca="false">Table7[[#This Row],[Pbottom (mW)]]+Table7[[#This Row],[Ptop (mW)]]</f>
        <v>#REF!</v>
      </c>
      <c r="BG183" s="155"/>
      <c r="BH183" s="152" t="n">
        <f aca="false">MAX(0,Table7[[#This Row],[I_L]]-0.5*Table7[[#This Row],[I_L pkpk]])</f>
        <v>2.69214285714286</v>
      </c>
      <c r="BI183" s="152" t="n">
        <f aca="false">Table7[[#This Row],[I_L]]+0.5*Table7[[#This Row],[I_L pkpk]]</f>
        <v>2.97785714285714</v>
      </c>
      <c r="BJ183" s="152" t="n">
        <f aca="false">IF(VACnom&gt;Vbat, (VGS_S-(C_MOSFET_S_VTH_H_BU+Table7[[#This Row],[I_L]]/C_MOSFET_S_gFS_H_BU))/3.4, (VGS_S-(C_MOSFET_S_VTH_L_BO+Table7[[#This Row],[I_L]]/C_MOSFET_S_gFS_L_BO))/3.4 )</f>
        <v>2.34738235294118</v>
      </c>
      <c r="BK183" s="152" t="n">
        <f aca="false">IF(VACnom&gt;Vbat, ((C_MOSFET_S_VTH_H_BU+Table7[[#This Row],[I_L]]/C_MOSFET_S_gFS_H_BU))/1, ((C_MOSFET_S_VTH_L_BO+Table7[[#This Row],[I_L]]/C_MOSFET_S_gFS_L_BO))/1 )</f>
        <v>2.0189</v>
      </c>
      <c r="BL183" s="152" t="n">
        <f aca="false">IF(VACnom&gt;Vbat, (C_MOSFET_S_QGD_H_BU+C_MOSFET_S_QGS_H_BU)*10^-9/Table7[[#This Row],[Ion (A) C]], (C_MOSFET_S_QGD_L_BO+C_MOSFET_S_QGS_L_BO)*10^-9/Table7[[#This Row],[Ion (A) C]])/10^-9</f>
        <v>2.76904186139755</v>
      </c>
      <c r="BM183" s="152" t="n">
        <f aca="false">IF(VACnom&gt;Vbat, (C_MOSFET_S_QGD_H_BU+C_MOSFET_S_QGS_H_BU)*10^-9/Table7[[#This Row],[Ioff (A) C]], (C_MOSFET_S_QGD_L_BO+C_MOSFET_S_QGS_L_BO)*10^-9/Table7[[#This Row],[Ioff (A) C]])/10^-9</f>
        <v>3.21957501609788</v>
      </c>
      <c r="BN183" s="152" t="n">
        <f aca="false">0.5*VACnom*Table7[[#This Row],[Ivalley (A) C]]*Table7[[#This Row],[ton (ns) C]]*10^-9*Fsw*10^3+0.5*VACnom*Table7[[#This Row],[Ipeak (A) C]]*Table7[[#This Row],[toff (ns) C]]*10^-9*Fsw*10^3/10^-3</f>
        <v>11.5138669379037</v>
      </c>
      <c r="BO183" s="152" t="n">
        <f aca="false">IF(VACnom&gt;Vbat, 0.5*VACnom*C_MOSFET_S_QOSS_H_BU*10^-9*Fsw*10^3,0.5*VACnom*C_MOSFET_S_QOSS_L_BO*10^-9*Fsw*10^3)/10^-3</f>
        <v>43.2</v>
      </c>
      <c r="BP183" s="152" t="e">
        <f aca="false">IF(VACnom&gt;Vbat, VACnom*C_MOSFET_S_QG_H_BU*10^-9*Fsw*10^3,VACnom*C_MOSFET_S_QG_H_BO*10^-9*Fsw*10^3)/10^-3</f>
        <v>#REF!</v>
      </c>
      <c r="BQ183" s="152" t="n">
        <f aca="false">IF(VACnom&gt;Vbat, VACnom*C_MOSFET_S_QRR_L_BU*10^-9*Fsw*10^3, VACnom*C_MOSFET_S_QRR_H_BO*10^-9*Fsw*10^3)/10^-3</f>
        <v>79.2</v>
      </c>
      <c r="BR183" s="152" t="n">
        <f aca="false">IF(VACnom&gt;Vbat, C_MOSFET_S_VSD_L_BU*Table7[[#This Row],[Ivalley (A) C]]*Fsw*10^3*40*10^-9+C_MOSFET_S_VSD_L_BU*Table7[[#This Row],[Ipeak (A) C]]*Fsw*10^3*30*10^-9, C_MOSFET_S_VSD_H_BO*Table7[[#This Row],[Ivalley (A) C]]*Fsw*10^3*40*10^-9+C_MOSFET_S_VSD_H_BO*Table7[[#This Row],[Ipeak (A) C]]*Fsw*10^3*30*10^-9)/10^-3</f>
        <v>31.5234285714286</v>
      </c>
      <c r="BS183" s="152" t="e">
        <f aca="false">IF(VACnom&gt;Vbat, VACnom*C_MOSFET_S_QG_L_BU*10^-9*Fsw*10^3, VACnom*C_MOSFET_S_QG_L_BO*10^-9*Fsw*10^3)/10^-3</f>
        <v>#REF!</v>
      </c>
      <c r="BT183" s="152" t="n">
        <f aca="false">IF(VACnom&lt;Vbat, Table7[[#This Row],[Duty Cycle]]*Table7[[#This Row],[I_L RMS]]^2*C_MOSFET_S_RDSON_H_BU*10^-3, (1-Table7[[#This Row],[Duty Cycle]])*Table7[[#This Row],[I_L RMS]]^2*C_MOSFET_S_RDSON_H_BO*10^-3)/10^-3</f>
        <v>2.18337895286686</v>
      </c>
      <c r="BU183" s="152" t="e">
        <f aca="false">IF(VACnom&gt;Vbat, Table7[[#This Row],[PIV (mW) C]]+Table7[[#This Row],[PQoss (mW) C]]+Table7[[#This Row],[Pgate_top (mW) C]], Table7[[#This Row],[PRR (mW) C]]+Table7[[#This Row],[Pdead (mW) C]]+Table7[[#This Row],[Pgate_top (mW) C]])</f>
        <v>#REF!</v>
      </c>
      <c r="BV183" s="152" t="e">
        <f aca="false">Table7[[#This Row],[Pcon_top (mW) C]]+Table7[[#This Row],[Psw_top (mW) C]]</f>
        <v>#REF!</v>
      </c>
      <c r="BW183" s="152" t="e">
        <f aca="false">IF(VACnom&gt;Vbat, (1-Table7[[#This Row],[Duty Cycle]])*Table7[[#This Row],[I_L RMS]]^2*C_MOSFET_S_RDSON_L_BU*10^-3, Table7[[#This Row],[Duty Cycle]]*Table7[[#This Row],[I_L RMS]]^2*C_MOSFET_S_RDSON_L_BO*10^-3)/10^-3</f>
        <v>#REF!</v>
      </c>
      <c r="BX183" s="152" t="e">
        <f aca="false">IF(VACnom&gt;Vbat, Table7[[#This Row],[PRR (mW) C]]+Table7[[#This Row],[Pdead (mW) C]]+Table7[[#This Row],[Pgate_bottom (mW) C]], Table7[[#This Row],[PIV (mW) C]]+Table7[[#This Row],[PQoss (mW) C]]+Table7[[#This Row],[Pgate_bottom (mW) C]])</f>
        <v>#REF!</v>
      </c>
      <c r="BY183" s="152" t="e">
        <f aca="false">Table7[[#This Row],[Pcon_bottom (mW) C]]+Table7[[#This Row],[Psw_bottom (mV) C]]</f>
        <v>#REF!</v>
      </c>
      <c r="BZ183" s="152" t="e">
        <f aca="false">Table7[[#This Row],[Pbottom (mW) C]]+Table7[[#This Row],[Ptop (mW) C]]</f>
        <v>#REF!</v>
      </c>
      <c r="CA183" s="156"/>
      <c r="CB183" s="151" t="n">
        <f aca="false">(RAC_SNS*10^-3*(Table7[[#This Row],[IOUT (A)]]*Vbat/VACnom)^2/10^-3)</f>
        <v>40.186125</v>
      </c>
      <c r="CC183" s="151" t="n">
        <f aca="false">(RBAT_SNS*10^-3*Table7[[#This Row],[IOUT (A)]]^2)/10^-3</f>
        <v>36.45</v>
      </c>
      <c r="CD183" s="151" t="n">
        <f aca="false">IF(VACnom&gt;Vbat,(L_DRC*10^-3*(Table7[[#This Row],[IOUT (A)]])^2/10^-3),(L_DRC*10^-3*(Table7[[#This Row],[IOUT (A)]]*Vbat/VACnom)^2/10^-3))</f>
        <v>96.4467</v>
      </c>
      <c r="CE183" s="157"/>
      <c r="CF183" s="152" t="n">
        <f aca="false">(Table7[[#This Row],[R_AC (mW)]]+Table7[[#This Row],[R_SR (mW)]]+Table7[[#This Row],[Inductor Loss (mW)]])/10^3</f>
        <v>0.173082825</v>
      </c>
      <c r="CG183" s="152" t="e">
        <f aca="false">Table7[[#This Row],[Total TI (mW)]]/10^3</f>
        <v>#REF!</v>
      </c>
      <c r="CH183" s="152" t="e">
        <f aca="false">Table7[[#This Row],[Total Sense Loss]]+Table7[[#This Row],[Total MOSFET Loss]]</f>
        <v>#REF!</v>
      </c>
      <c r="CI183" s="158" t="e">
        <f aca="false">IF(Table7[[#This Row],[POUT (W)]]=0,0,(Table7[[#This Row],[POUT (W)]])/(Table7[[#This Row],[POUT (W)]]+Table7[[#This Row],[Total Power Loss (W)]]))*100</f>
        <v>#REF!</v>
      </c>
      <c r="CJ183" s="159"/>
      <c r="CK183" s="152" t="n">
        <f aca="false">(Table7[[#This Row],[R_AC (mW)]]+Table7[[#This Row],[R_SR (mW)]]+Table7[[#This Row],[Inductor Loss (mW)]])/10^3</f>
        <v>0.173082825</v>
      </c>
      <c r="CL183" s="152" t="e">
        <f aca="false">Table7[[#This Row],[Total (mW) C]]/10^3</f>
        <v>#REF!</v>
      </c>
      <c r="CM183" s="152" t="e">
        <f aca="false">Table7[[#This Row],[Total Sense Loss C]]+Table7[[#This Row],[Total MOSFET Loss C]]</f>
        <v>#REF!</v>
      </c>
      <c r="CN183" s="158" t="e">
        <f aca="false">IF(Table7[[#This Row],[POUT (W)]]=0,0,(Table7[[#This Row],[POUT (W)]])/(Table7[[#This Row],[POUT (W)]]+Table7[[#This Row],[Total Power Loss (W) C]]))*100</f>
        <v>#REF!</v>
      </c>
      <c r="CO183" s="159"/>
      <c r="CP183" s="158" t="n">
        <f aca="false">IF(MOSFET_S=Custom_MOSFET,Table7[[#This Row],[Total Sense Loss C]],Table7[[#This Row],[Total Sense Loss]])</f>
        <v>0.173082825</v>
      </c>
      <c r="CQ183" s="158" t="e">
        <f aca="false">IF(MOSFET_S=Custom_MOSFET,Table7[[#This Row],[Total MOSFET Loss C]],Table7[[#This Row],[Total MOSFET Loss]])</f>
        <v>#REF!</v>
      </c>
      <c r="CR183" s="158" t="e">
        <f aca="false">IF(MOSFET_S=Custom_MOSFET,Table7[[#This Row],[Efficiency C]],Table7[[#This Row],[Efficiency]])</f>
        <v>#REF!</v>
      </c>
      <c r="CS183" s="159"/>
      <c r="CT183" s="158" t="n">
        <f aca="false">IF(MOSFET_S=Compare_MOSFET, Table7[[#This Row],[Total Sense Loss C]], -100)</f>
        <v>-100</v>
      </c>
      <c r="CU183" s="158" t="n">
        <f aca="false">IF(MOSFET_S=Compare_MOSFET, Table7[[#This Row],[Total MOSFET Loss C]], -100)</f>
        <v>-100</v>
      </c>
      <c r="CV183" s="158" t="n">
        <f aca="false">IF(MOSFET_S=Compare_MOSFET, Table7[[#This Row],[Efficiency C]], -100)</f>
        <v>-100</v>
      </c>
      <c r="CW183" s="159"/>
      <c r="CX183" s="158" t="e">
        <f aca="false">IF(Save_Sel=CLR_Save,  Table7[[#This Row],[Total Sense Loss P1]], Table7[[#This Row],[Total Sense Loss P1 Saved]])</f>
        <v>#VALUE!</v>
      </c>
      <c r="CY183" s="158" t="e">
        <f aca="false">IF(Save_Sel=CLR_Save,  Table7[[#This Row],[Total MOSFET Loss P1]], Table7[[#This Row],[Total MOSFET Loss P1 Saved]] )</f>
        <v>#VALUE!</v>
      </c>
      <c r="CZ183" s="158" t="e">
        <f aca="false">IF(Save_Sel=CLR_Save, Table7[[#This Row],[Efficiency P1]], Table7[[#This Row],[Efficiency P1 Saved]])</f>
        <v>#VALUE!</v>
      </c>
      <c r="DA183" s="159"/>
      <c r="DB183" s="158" t="e">
        <f aca="false">IF(Save_Sel=CLR_Save,  Table7[[#This Row],[Total Sense Loss P2]], Table7[[#This Row],[Total Sense Loss P2 Saved]])</f>
        <v>#VALUE!</v>
      </c>
      <c r="DC183" s="158" t="e">
        <f aca="false">IF(Save_Sel=CLR_Save,  Table7[[#This Row],[Total MOSFET Loss P2]], Table7[[#This Row],[Total MOSFET Loss P2 Saved]] )</f>
        <v>#VALUE!</v>
      </c>
      <c r="DD183" s="158" t="e">
        <f aca="false">IF(Save_Sel=CLR_Save, Table7[[#This Row],[Efficiency P2]], Table7[[#This Row],[Efficiency P2 Saved]])</f>
        <v>#VALUE!</v>
      </c>
      <c r="DE183" s="159"/>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row>
    <row r="184" customFormat="false" ht="16.4" hidden="false" customHeight="false" outlineLevel="0" collapsed="false">
      <c r="A184" s="100" t="n">
        <v>11</v>
      </c>
      <c r="B184" s="84"/>
      <c r="C184" s="84"/>
      <c r="D184" s="28" t="s">
        <v>149</v>
      </c>
      <c r="E184" s="124" t="e">
        <f aca="false">$N145</f>
        <v>#REF!</v>
      </c>
      <c r="F184" s="124" t="e">
        <f aca="false">$O145</f>
        <v>#REF!</v>
      </c>
      <c r="G184" s="119" t="s">
        <v>150</v>
      </c>
      <c r="H184" s="24"/>
      <c r="I184" s="100" t="n">
        <v>11</v>
      </c>
      <c r="J184" s="24"/>
      <c r="K184" s="84"/>
      <c r="L184" s="84"/>
      <c r="M184" s="28" t="s">
        <v>149</v>
      </c>
      <c r="N184" s="124" t="n">
        <f aca="false">$E145</f>
        <v>150</v>
      </c>
      <c r="O184" s="124" t="n">
        <f aca="false">$F145</f>
        <v>150</v>
      </c>
      <c r="P184" s="119" t="s">
        <v>150</v>
      </c>
      <c r="Q184" s="24"/>
      <c r="R184" s="24"/>
      <c r="S184" s="25"/>
      <c r="T184" s="6"/>
      <c r="U184" s="7"/>
      <c r="V184" s="7"/>
      <c r="W184" s="7"/>
      <c r="X184" s="7"/>
      <c r="Y184" s="7"/>
      <c r="Z184" s="7"/>
      <c r="AA184" s="7"/>
      <c r="AB184" s="7"/>
      <c r="AC184" s="7"/>
      <c r="AD184" s="7"/>
      <c r="AE184" s="7"/>
      <c r="AF184" s="150" t="n">
        <f aca="false">AF183+1</f>
        <v>28</v>
      </c>
      <c r="AG184" s="150" t="n">
        <f aca="false">$AG$156+AF184*($AG$256-$AG$156)/$AF$256</f>
        <v>2.8</v>
      </c>
      <c r="AH184" s="151" t="n">
        <f aca="false">AG184*VACnom</f>
        <v>33.6</v>
      </c>
      <c r="AI184" s="152" t="n">
        <f aca="false">IF(VACnom&lt;Vbat, (Vbat-VACnom)/Vbat, Vbat/VACnom)</f>
        <v>0.0476190476190476</v>
      </c>
      <c r="AJ184" s="152" t="n">
        <f aca="false">IF(VACnom&lt;Vbat, AG184/(1-AI184), AG184*AI184)</f>
        <v>2.94</v>
      </c>
      <c r="AK184" s="152" t="n">
        <f aca="false">Ipkpk_VACnom</f>
        <v>0.285714285714285</v>
      </c>
      <c r="AL184" s="152" t="n">
        <f aca="false">SQRT(AJ184^2+AK184^2/12)</f>
        <v>2.94115669781269</v>
      </c>
      <c r="AM184" s="153"/>
      <c r="AN184" s="152" t="n">
        <f aca="false">MAX(0,Table7[[#This Row],[I_L]]-0.5*Table7[[#This Row],[I_L pkpk]])</f>
        <v>2.79714285714286</v>
      </c>
      <c r="AO184" s="152" t="n">
        <f aca="false">Table7[[#This Row],[I_L]]+0.5*Table7[[#This Row],[I_L pkpk]]</f>
        <v>3.08285714285714</v>
      </c>
      <c r="AP184" s="152" t="e">
        <f aca="false">IF(VACnom&gt;Vbat, (VGS_S-(TI_MOSFET_S_VTH_H_BU+Table7[[#This Row],[I_L]]/TI_MOSFET_S_gFS_H_BU))/3.4, (VGS_S-(TI_MOSFET_S_VTH_L_BO+Table7[[#This Row],[I_L]]/TI_MOSFET_S_gFS_L_BO))/3.4 )</f>
        <v>#REF!</v>
      </c>
      <c r="AQ184" s="152" t="e">
        <f aca="false">IF(VACnom&gt;Vbat, ((TI_MOSFET_S_VTH_H_BU+Table7[[#This Row],[I_L]]/TI_MOSFET_S_gFS_H_BU))/1, ((TI_MOSFET_S_VTH_L_BO+Table7[[#This Row],[I_L]]/TI_MOSFET_S_gFS_L_BO))/1 )</f>
        <v>#REF!</v>
      </c>
      <c r="AR184" s="152" t="e">
        <f aca="false">IF(VACnom&gt;Vbat, (TI_MOSFET_S_QGD_H_BU+TI_MOSFET_S_QGS_H_BU)*10^-9/Table7[[#This Row],[Ion (A)]], (TI_MOSFET_S_QGD_L_BO+TI_MOSFET_S_QGS_L_BO)*10^-9/Table7[[#This Row],[Ion (A)]])/10^-9</f>
        <v>#REF!</v>
      </c>
      <c r="AS184" s="152" t="e">
        <f aca="false">IF(VACnom&gt;Vbat, (TI_MOSFET_S_QGD_H_BU+TI_MOSFET_S_QGS_H_BU)*10^-9/Table7[[#This Row],[Ioff (A)]], (TI_MOSFET_S_QGD_L_BO+TI_MOSFET_S_QGS_L_BO)*10^-9/Table7[[#This Row],[Ioff (A)]])/10^-9</f>
        <v>#REF!</v>
      </c>
      <c r="AT184" s="152" t="e">
        <f aca="false">0.5*VACnom*Table7[[#This Row],[Ivalley (A)]]*Table7[[#This Row],[ton (ns)]]*10^-9*Fsw*10^3+0.5*VACnom*Table7[[#This Row],[Ipeak (A)]]*Table7[[#This Row],[toff (ns)]]*10^-9*Fsw*10^3/10^-3</f>
        <v>#REF!</v>
      </c>
      <c r="AU184" s="152" t="e">
        <f aca="false">IF(VACnom&gt;Vbat, 0.5*VACnom*TI_MOSFET_S_QOSS_H_BU*10^-9*Fsw*10^3,0.5*VACnom*TI_MOSFET_S_QOSS_L_BO*10^-9*Fsw*10^3)/10^-3</f>
        <v>#REF!</v>
      </c>
      <c r="AV184" s="152" t="e">
        <f aca="false">IF(VACnom&gt;Vbat, VACnom*TI_MOSFET_S_QG_H_BU*10^-9*Fsw*10^3,VACnom*TI_MOSFET_S_QG_H_BO*10^-9*Fsw*10^3)/10^-3</f>
        <v>#REF!</v>
      </c>
      <c r="AW184" s="152" t="e">
        <f aca="false">IF(VACnom&gt;Vbat, VACnom*TI_MOSFET_S_QRR_L_BU*10^-9*Fsw*10^3, VACnom*TI_MOSFET_S_QRR_H_BO*10^-9*Fsw*10^3)/10^-3</f>
        <v>#REF!</v>
      </c>
      <c r="AX184" s="152" t="e">
        <f aca="false">IF(VACnom&gt;Vbat, TI_MOSFET_S_VSD_L_BU*Table7[[#This Row],[Ivalley (A)]]*Fsw*10^3*40*10^-9+TI_MOSFET_S_VSD_L_BU*Table7[[#This Row],[Ipeak (A)]]*Fsw*10^3*30*10^-9, TI_MOSFET_S_VSD_H_BO*Table7[[#This Row],[Ivalley (A)]]*Fsw*10^3*40*10^-9+TI_MOSFET_S_VSD_H_BO*Table7[[#This Row],[Ipeak (A)]]*Fsw*10^3*30*10^-9)/10^-3</f>
        <v>#REF!</v>
      </c>
      <c r="AY184" s="152" t="e">
        <f aca="false">IF(VACnom&gt;Vbat, VACnom*TI_MOSFET_S_QG_L_BU*10^-9*Fsw*10^3, VACnom*TI_MOSFET_S_QG_L_BO*10^-9*Fsw*10^3)/10^-3</f>
        <v>#REF!</v>
      </c>
      <c r="AZ184" s="152" t="e">
        <f aca="false">IF(VACnom&lt;Vbat, Table7[[#This Row],[Duty Cycle]]*Table7[[#This Row],[I_L RMS]]^2*TI_MOSFET_S_RDSON_H_BU*10^-3, (1-Table7[[#This Row],[Duty Cycle]])*Table7[[#This Row],[I_L RMS]]^2*TI_MOSFET_S_RDSON_H_BO*10^-3)/10^-3</f>
        <v>#REF!</v>
      </c>
      <c r="BA184" s="152" t="e">
        <f aca="false">IF(VACnom&gt;Vbat, Table7[[#This Row],[PIV (mW)]]+Table7[[#This Row],[Pqoss (mW)]]+Table7[[#This Row],[Pgate_top (mW)]], Table7[[#This Row],[PRR (mW)]]+Table7[[#This Row],[Pdead (mW)]]+Table7[[#This Row],[Pgate_top (mW)]])</f>
        <v>#REF!</v>
      </c>
      <c r="BB184" s="152" t="e">
        <f aca="false">Table7[[#This Row],[Pcon_top (mW)]]+Table7[[#This Row],[Psw_top (mW)]]</f>
        <v>#REF!</v>
      </c>
      <c r="BC184" s="152" t="e">
        <f aca="false">IF(VACnom&gt;Vbat, (1-Table7[[#This Row],[Duty Cycle]])*Table7[[#This Row],[I_L RMS]]^2*TI_MOSFET_S_RDSON_L_BU*10^-3, Table7[[#This Row],[Duty Cycle]]*Table7[[#This Row],[I_L RMS]]^2*TI_MOSFET_S_RDSON_L_BO*10^-3)/10^-3</f>
        <v>#REF!</v>
      </c>
      <c r="BD184" s="152" t="e">
        <f aca="false">IF(VACnom&gt;Vbat, Table7[[#This Row],[PRR (mW)]]+Table7[[#This Row],[Pdead (mW)]]+Table7[[#This Row],[Pgate_bottom (mW)]], Table7[[#This Row],[PIV (mW)]]+Table7[[#This Row],[Pqoss (mW)]]+Table7[[#This Row],[Pgate_bottom (mW)]])</f>
        <v>#REF!</v>
      </c>
      <c r="BE184" s="154" t="e">
        <f aca="false">Table7[[#This Row],[Pcon_bottom (mW)]]+Table7[[#This Row],[Psw_bottom (mW)]]</f>
        <v>#REF!</v>
      </c>
      <c r="BF184" s="152" t="e">
        <f aca="false">Table7[[#This Row],[Pbottom (mW)]]+Table7[[#This Row],[Ptop (mW)]]</f>
        <v>#REF!</v>
      </c>
      <c r="BG184" s="155"/>
      <c r="BH184" s="152" t="n">
        <f aca="false">MAX(0,Table7[[#This Row],[I_L]]-0.5*Table7[[#This Row],[I_L pkpk]])</f>
        <v>2.79714285714286</v>
      </c>
      <c r="BI184" s="152" t="n">
        <f aca="false">Table7[[#This Row],[I_L]]+0.5*Table7[[#This Row],[I_L pkpk]]</f>
        <v>3.08285714285714</v>
      </c>
      <c r="BJ184" s="152" t="n">
        <f aca="false">IF(VACnom&gt;Vbat, (VGS_S-(C_MOSFET_S_VTH_H_BU+Table7[[#This Row],[I_L]]/C_MOSFET_S_gFS_H_BU))/3.4, (VGS_S-(C_MOSFET_S_VTH_L_BO+Table7[[#This Row],[I_L]]/C_MOSFET_S_gFS_L_BO))/3.4 )</f>
        <v>2.34717647058824</v>
      </c>
      <c r="BK184" s="152" t="n">
        <f aca="false">IF(VACnom&gt;Vbat, ((C_MOSFET_S_VTH_H_BU+Table7[[#This Row],[I_L]]/C_MOSFET_S_gFS_H_BU))/1, ((C_MOSFET_S_VTH_L_BO+Table7[[#This Row],[I_L]]/C_MOSFET_S_gFS_L_BO))/1 )</f>
        <v>2.0196</v>
      </c>
      <c r="BL184" s="152" t="n">
        <f aca="false">IF(VACnom&gt;Vbat, (C_MOSFET_S_QGD_H_BU+C_MOSFET_S_QGS_H_BU)*10^-9/Table7[[#This Row],[Ion (A) C]], (C_MOSFET_S_QGD_L_BO+C_MOSFET_S_QGS_L_BO)*10^-9/Table7[[#This Row],[Ion (A) C]])/10^-9</f>
        <v>2.7692847476317</v>
      </c>
      <c r="BM184" s="152" t="n">
        <f aca="false">IF(VACnom&gt;Vbat, (C_MOSFET_S_QGD_H_BU+C_MOSFET_S_QGS_H_BU)*10^-9/Table7[[#This Row],[Ioff (A) C]], (C_MOSFET_S_QGD_L_BO+C_MOSFET_S_QGS_L_BO)*10^-9/Table7[[#This Row],[Ioff (A) C]])/10^-9</f>
        <v>3.21845910081204</v>
      </c>
      <c r="BN184" s="152" t="n">
        <f aca="false">0.5*VACnom*Table7[[#This Row],[Ivalley (A) C]]*Table7[[#This Row],[ton (ns) C]]*10^-9*Fsw*10^3+0.5*VACnom*Table7[[#This Row],[Ipeak (A) C]]*Table7[[#This Row],[toff (ns) C]]*10^-9*Fsw*10^3/10^-3</f>
        <v>11.9157548555799</v>
      </c>
      <c r="BO184" s="152" t="n">
        <f aca="false">IF(VACnom&gt;Vbat, 0.5*VACnom*C_MOSFET_S_QOSS_H_BU*10^-9*Fsw*10^3,0.5*VACnom*C_MOSFET_S_QOSS_L_BO*10^-9*Fsw*10^3)/10^-3</f>
        <v>43.2</v>
      </c>
      <c r="BP184" s="152" t="e">
        <f aca="false">IF(VACnom&gt;Vbat, VACnom*C_MOSFET_S_QG_H_BU*10^-9*Fsw*10^3,VACnom*C_MOSFET_S_QG_H_BO*10^-9*Fsw*10^3)/10^-3</f>
        <v>#REF!</v>
      </c>
      <c r="BQ184" s="152" t="n">
        <f aca="false">IF(VACnom&gt;Vbat, VACnom*C_MOSFET_S_QRR_L_BU*10^-9*Fsw*10^3, VACnom*C_MOSFET_S_QRR_H_BO*10^-9*Fsw*10^3)/10^-3</f>
        <v>79.2</v>
      </c>
      <c r="BR184" s="152" t="n">
        <f aca="false">IF(VACnom&gt;Vbat, C_MOSFET_S_VSD_L_BU*Table7[[#This Row],[Ivalley (A) C]]*Fsw*10^3*40*10^-9+C_MOSFET_S_VSD_L_BU*Table7[[#This Row],[Ipeak (A) C]]*Fsw*10^3*30*10^-9, C_MOSFET_S_VSD_H_BO*Table7[[#This Row],[Ivalley (A) C]]*Fsw*10^3*40*10^-9+C_MOSFET_S_VSD_H_BO*Table7[[#This Row],[Ipeak (A) C]]*Fsw*10^3*30*10^-9)/10^-3</f>
        <v>32.6994285714286</v>
      </c>
      <c r="BS184" s="152" t="e">
        <f aca="false">IF(VACnom&gt;Vbat, VACnom*C_MOSFET_S_QG_L_BU*10^-9*Fsw*10^3, VACnom*C_MOSFET_S_QG_L_BO*10^-9*Fsw*10^3)/10^-3</f>
        <v>#REF!</v>
      </c>
      <c r="BT184" s="152" t="n">
        <f aca="false">IF(VACnom&lt;Vbat, Table7[[#This Row],[Duty Cycle]]*Table7[[#This Row],[I_L RMS]]^2*C_MOSFET_S_RDSON_H_BU*10^-3, (1-Table7[[#This Row],[Duty Cycle]])*Table7[[#This Row],[I_L RMS]]^2*C_MOSFET_S_RDSON_H_BO*10^-3)/10^-3</f>
        <v>2.34796645286686</v>
      </c>
      <c r="BU184" s="152" t="e">
        <f aca="false">IF(VACnom&gt;Vbat, Table7[[#This Row],[PIV (mW) C]]+Table7[[#This Row],[PQoss (mW) C]]+Table7[[#This Row],[Pgate_top (mW) C]], Table7[[#This Row],[PRR (mW) C]]+Table7[[#This Row],[Pdead (mW) C]]+Table7[[#This Row],[Pgate_top (mW) C]])</f>
        <v>#REF!</v>
      </c>
      <c r="BV184" s="152" t="e">
        <f aca="false">Table7[[#This Row],[Pcon_top (mW) C]]+Table7[[#This Row],[Psw_top (mW) C]]</f>
        <v>#REF!</v>
      </c>
      <c r="BW184" s="152" t="e">
        <f aca="false">IF(VACnom&gt;Vbat, (1-Table7[[#This Row],[Duty Cycle]])*Table7[[#This Row],[I_L RMS]]^2*C_MOSFET_S_RDSON_L_BU*10^-3, Table7[[#This Row],[Duty Cycle]]*Table7[[#This Row],[I_L RMS]]^2*C_MOSFET_S_RDSON_L_BO*10^-3)/10^-3</f>
        <v>#REF!</v>
      </c>
      <c r="BX184" s="152" t="e">
        <f aca="false">IF(VACnom&gt;Vbat, Table7[[#This Row],[PRR (mW) C]]+Table7[[#This Row],[Pdead (mW) C]]+Table7[[#This Row],[Pgate_bottom (mW) C]], Table7[[#This Row],[PIV (mW) C]]+Table7[[#This Row],[PQoss (mW) C]]+Table7[[#This Row],[Pgate_bottom (mW) C]])</f>
        <v>#REF!</v>
      </c>
      <c r="BY184" s="152" t="e">
        <f aca="false">Table7[[#This Row],[Pcon_bottom (mW) C]]+Table7[[#This Row],[Psw_bottom (mV) C]]</f>
        <v>#REF!</v>
      </c>
      <c r="BZ184" s="152" t="e">
        <f aca="false">Table7[[#This Row],[Pbottom (mW) C]]+Table7[[#This Row],[Ptop (mW) C]]</f>
        <v>#REF!</v>
      </c>
      <c r="CA184" s="156"/>
      <c r="CB184" s="151" t="n">
        <f aca="false">(RAC_SNS*10^-3*(Table7[[#This Row],[IOUT (A)]]*Vbat/VACnom)^2/10^-3)</f>
        <v>43.218</v>
      </c>
      <c r="CC184" s="151" t="n">
        <f aca="false">(RBAT_SNS*10^-3*Table7[[#This Row],[IOUT (A)]]^2)/10^-3</f>
        <v>39.2</v>
      </c>
      <c r="CD184" s="151" t="n">
        <f aca="false">IF(VACnom&gt;Vbat,(L_DRC*10^-3*(Table7[[#This Row],[IOUT (A)]])^2/10^-3),(L_DRC*10^-3*(Table7[[#This Row],[IOUT (A)]]*Vbat/VACnom)^2/10^-3))</f>
        <v>103.7232</v>
      </c>
      <c r="CE184" s="157"/>
      <c r="CF184" s="152" t="n">
        <f aca="false">(Table7[[#This Row],[R_AC (mW)]]+Table7[[#This Row],[R_SR (mW)]]+Table7[[#This Row],[Inductor Loss (mW)]])/10^3</f>
        <v>0.1861412</v>
      </c>
      <c r="CG184" s="152" t="e">
        <f aca="false">Table7[[#This Row],[Total TI (mW)]]/10^3</f>
        <v>#REF!</v>
      </c>
      <c r="CH184" s="152" t="e">
        <f aca="false">Table7[[#This Row],[Total Sense Loss]]+Table7[[#This Row],[Total MOSFET Loss]]</f>
        <v>#REF!</v>
      </c>
      <c r="CI184" s="158" t="e">
        <f aca="false">IF(Table7[[#This Row],[POUT (W)]]=0,0,(Table7[[#This Row],[POUT (W)]])/(Table7[[#This Row],[POUT (W)]]+Table7[[#This Row],[Total Power Loss (W)]]))*100</f>
        <v>#REF!</v>
      </c>
      <c r="CJ184" s="159"/>
      <c r="CK184" s="152" t="n">
        <f aca="false">(Table7[[#This Row],[R_AC (mW)]]+Table7[[#This Row],[R_SR (mW)]]+Table7[[#This Row],[Inductor Loss (mW)]])/10^3</f>
        <v>0.1861412</v>
      </c>
      <c r="CL184" s="152" t="e">
        <f aca="false">Table7[[#This Row],[Total (mW) C]]/10^3</f>
        <v>#REF!</v>
      </c>
      <c r="CM184" s="152" t="e">
        <f aca="false">Table7[[#This Row],[Total Sense Loss C]]+Table7[[#This Row],[Total MOSFET Loss C]]</f>
        <v>#REF!</v>
      </c>
      <c r="CN184" s="158" t="e">
        <f aca="false">IF(Table7[[#This Row],[POUT (W)]]=0,0,(Table7[[#This Row],[POUT (W)]])/(Table7[[#This Row],[POUT (W)]]+Table7[[#This Row],[Total Power Loss (W) C]]))*100</f>
        <v>#REF!</v>
      </c>
      <c r="CO184" s="159"/>
      <c r="CP184" s="158" t="n">
        <f aca="false">IF(MOSFET_S=Custom_MOSFET,Table7[[#This Row],[Total Sense Loss C]],Table7[[#This Row],[Total Sense Loss]])</f>
        <v>0.1861412</v>
      </c>
      <c r="CQ184" s="158" t="e">
        <f aca="false">IF(MOSFET_S=Custom_MOSFET,Table7[[#This Row],[Total MOSFET Loss C]],Table7[[#This Row],[Total MOSFET Loss]])</f>
        <v>#REF!</v>
      </c>
      <c r="CR184" s="158" t="e">
        <f aca="false">IF(MOSFET_S=Custom_MOSFET,Table7[[#This Row],[Efficiency C]],Table7[[#This Row],[Efficiency]])</f>
        <v>#REF!</v>
      </c>
      <c r="CS184" s="159"/>
      <c r="CT184" s="158" t="n">
        <f aca="false">IF(MOSFET_S=Compare_MOSFET, Table7[[#This Row],[Total Sense Loss C]], -100)</f>
        <v>-100</v>
      </c>
      <c r="CU184" s="158" t="n">
        <f aca="false">IF(MOSFET_S=Compare_MOSFET, Table7[[#This Row],[Total MOSFET Loss C]], -100)</f>
        <v>-100</v>
      </c>
      <c r="CV184" s="158" t="n">
        <f aca="false">IF(MOSFET_S=Compare_MOSFET, Table7[[#This Row],[Efficiency C]], -100)</f>
        <v>-100</v>
      </c>
      <c r="CW184" s="159"/>
      <c r="CX184" s="158" t="e">
        <f aca="false">IF(Save_Sel=CLR_Save,  Table7[[#This Row],[Total Sense Loss P1]], Table7[[#This Row],[Total Sense Loss P1 Saved]])</f>
        <v>#VALUE!</v>
      </c>
      <c r="CY184" s="158" t="e">
        <f aca="false">IF(Save_Sel=CLR_Save,  Table7[[#This Row],[Total MOSFET Loss P1]], Table7[[#This Row],[Total MOSFET Loss P1 Saved]] )</f>
        <v>#VALUE!</v>
      </c>
      <c r="CZ184" s="158" t="e">
        <f aca="false">IF(Save_Sel=CLR_Save, Table7[[#This Row],[Efficiency P1]], Table7[[#This Row],[Efficiency P1 Saved]])</f>
        <v>#VALUE!</v>
      </c>
      <c r="DA184" s="159"/>
      <c r="DB184" s="158" t="e">
        <f aca="false">IF(Save_Sel=CLR_Save,  Table7[[#This Row],[Total Sense Loss P2]], Table7[[#This Row],[Total Sense Loss P2 Saved]])</f>
        <v>#VALUE!</v>
      </c>
      <c r="DC184" s="158" t="e">
        <f aca="false">IF(Save_Sel=CLR_Save,  Table7[[#This Row],[Total MOSFET Loss P2]], Table7[[#This Row],[Total MOSFET Loss P2 Saved]] )</f>
        <v>#VALUE!</v>
      </c>
      <c r="DD184" s="158" t="e">
        <f aca="false">IF(Save_Sel=CLR_Save, Table7[[#This Row],[Efficiency P2]], Table7[[#This Row],[Efficiency P2 Saved]])</f>
        <v>#VALUE!</v>
      </c>
      <c r="DE184" s="159"/>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row>
    <row r="185" customFormat="false" ht="16.4" hidden="false" customHeight="false" outlineLevel="0" collapsed="false">
      <c r="A185" s="100" t="n">
        <v>12</v>
      </c>
      <c r="B185" s="84"/>
      <c r="C185" s="84"/>
      <c r="D185" s="28" t="s">
        <v>151</v>
      </c>
      <c r="E185" s="124" t="e">
        <f aca="false">$N146</f>
        <v>#REF!</v>
      </c>
      <c r="F185" s="124" t="e">
        <f aca="false">$O146</f>
        <v>#REF!</v>
      </c>
      <c r="G185" s="119" t="s">
        <v>7</v>
      </c>
      <c r="H185" s="24"/>
      <c r="I185" s="100" t="n">
        <v>12</v>
      </c>
      <c r="J185" s="24"/>
      <c r="K185" s="84"/>
      <c r="L185" s="84"/>
      <c r="M185" s="28" t="s">
        <v>151</v>
      </c>
      <c r="N185" s="124" t="n">
        <f aca="false">$E146</f>
        <v>2</v>
      </c>
      <c r="O185" s="124" t="n">
        <f aca="false">$F146</f>
        <v>2</v>
      </c>
      <c r="P185" s="119" t="s">
        <v>7</v>
      </c>
      <c r="Q185" s="24"/>
      <c r="R185" s="24"/>
      <c r="S185" s="25"/>
      <c r="T185" s="6"/>
      <c r="U185" s="7"/>
      <c r="V185" s="7"/>
      <c r="W185" s="7"/>
      <c r="X185" s="7"/>
      <c r="Y185" s="7"/>
      <c r="Z185" s="7"/>
      <c r="AA185" s="7"/>
      <c r="AB185" s="7"/>
      <c r="AC185" s="7"/>
      <c r="AD185" s="7"/>
      <c r="AE185" s="7"/>
      <c r="AF185" s="150" t="n">
        <f aca="false">AF184+1</f>
        <v>29</v>
      </c>
      <c r="AG185" s="150" t="n">
        <f aca="false">$AG$156+AF185*($AG$256-$AG$156)/$AF$256</f>
        <v>2.9</v>
      </c>
      <c r="AH185" s="151" t="n">
        <f aca="false">AG185*VACnom</f>
        <v>34.8</v>
      </c>
      <c r="AI185" s="152" t="n">
        <f aca="false">IF(VACnom&lt;Vbat, (Vbat-VACnom)/Vbat, Vbat/VACnom)</f>
        <v>0.0476190476190476</v>
      </c>
      <c r="AJ185" s="152" t="n">
        <f aca="false">IF(VACnom&lt;Vbat, AG185/(1-AI185), AG185*AI185)</f>
        <v>3.045</v>
      </c>
      <c r="AK185" s="152" t="n">
        <f aca="false">Ipkpk_VACnom</f>
        <v>0.285714285714285</v>
      </c>
      <c r="AL185" s="152" t="n">
        <f aca="false">SQRT(AJ185^2+AK185^2/12)</f>
        <v>3.04611682656599</v>
      </c>
      <c r="AM185" s="153"/>
      <c r="AN185" s="152" t="n">
        <f aca="false">MAX(0,Table7[[#This Row],[I_L]]-0.5*Table7[[#This Row],[I_L pkpk]])</f>
        <v>2.90214285714286</v>
      </c>
      <c r="AO185" s="152" t="n">
        <f aca="false">Table7[[#This Row],[I_L]]+0.5*Table7[[#This Row],[I_L pkpk]]</f>
        <v>3.18785714285714</v>
      </c>
      <c r="AP185" s="152" t="e">
        <f aca="false">IF(VACnom&gt;Vbat, (VGS_S-(TI_MOSFET_S_VTH_H_BU+Table7[[#This Row],[I_L]]/TI_MOSFET_S_gFS_H_BU))/3.4, (VGS_S-(TI_MOSFET_S_VTH_L_BO+Table7[[#This Row],[I_L]]/TI_MOSFET_S_gFS_L_BO))/3.4 )</f>
        <v>#REF!</v>
      </c>
      <c r="AQ185" s="152" t="e">
        <f aca="false">IF(VACnom&gt;Vbat, ((TI_MOSFET_S_VTH_H_BU+Table7[[#This Row],[I_L]]/TI_MOSFET_S_gFS_H_BU))/1, ((TI_MOSFET_S_VTH_L_BO+Table7[[#This Row],[I_L]]/TI_MOSFET_S_gFS_L_BO))/1 )</f>
        <v>#REF!</v>
      </c>
      <c r="AR185" s="152" t="e">
        <f aca="false">IF(VACnom&gt;Vbat, (TI_MOSFET_S_QGD_H_BU+TI_MOSFET_S_QGS_H_BU)*10^-9/Table7[[#This Row],[Ion (A)]], (TI_MOSFET_S_QGD_L_BO+TI_MOSFET_S_QGS_L_BO)*10^-9/Table7[[#This Row],[Ion (A)]])/10^-9</f>
        <v>#REF!</v>
      </c>
      <c r="AS185" s="152" t="e">
        <f aca="false">IF(VACnom&gt;Vbat, (TI_MOSFET_S_QGD_H_BU+TI_MOSFET_S_QGS_H_BU)*10^-9/Table7[[#This Row],[Ioff (A)]], (TI_MOSFET_S_QGD_L_BO+TI_MOSFET_S_QGS_L_BO)*10^-9/Table7[[#This Row],[Ioff (A)]])/10^-9</f>
        <v>#REF!</v>
      </c>
      <c r="AT185" s="152" t="e">
        <f aca="false">0.5*VACnom*Table7[[#This Row],[Ivalley (A)]]*Table7[[#This Row],[ton (ns)]]*10^-9*Fsw*10^3+0.5*VACnom*Table7[[#This Row],[Ipeak (A)]]*Table7[[#This Row],[toff (ns)]]*10^-9*Fsw*10^3/10^-3</f>
        <v>#REF!</v>
      </c>
      <c r="AU185" s="152" t="e">
        <f aca="false">IF(VACnom&gt;Vbat, 0.5*VACnom*TI_MOSFET_S_QOSS_H_BU*10^-9*Fsw*10^3,0.5*VACnom*TI_MOSFET_S_QOSS_L_BO*10^-9*Fsw*10^3)/10^-3</f>
        <v>#REF!</v>
      </c>
      <c r="AV185" s="152" t="e">
        <f aca="false">IF(VACnom&gt;Vbat, VACnom*TI_MOSFET_S_QG_H_BU*10^-9*Fsw*10^3,VACnom*TI_MOSFET_S_QG_H_BO*10^-9*Fsw*10^3)/10^-3</f>
        <v>#REF!</v>
      </c>
      <c r="AW185" s="152" t="e">
        <f aca="false">IF(VACnom&gt;Vbat, VACnom*TI_MOSFET_S_QRR_L_BU*10^-9*Fsw*10^3, VACnom*TI_MOSFET_S_QRR_H_BO*10^-9*Fsw*10^3)/10^-3</f>
        <v>#REF!</v>
      </c>
      <c r="AX185" s="152" t="e">
        <f aca="false">IF(VACnom&gt;Vbat, TI_MOSFET_S_VSD_L_BU*Table7[[#This Row],[Ivalley (A)]]*Fsw*10^3*40*10^-9+TI_MOSFET_S_VSD_L_BU*Table7[[#This Row],[Ipeak (A)]]*Fsw*10^3*30*10^-9, TI_MOSFET_S_VSD_H_BO*Table7[[#This Row],[Ivalley (A)]]*Fsw*10^3*40*10^-9+TI_MOSFET_S_VSD_H_BO*Table7[[#This Row],[Ipeak (A)]]*Fsw*10^3*30*10^-9)/10^-3</f>
        <v>#REF!</v>
      </c>
      <c r="AY185" s="152" t="e">
        <f aca="false">IF(VACnom&gt;Vbat, VACnom*TI_MOSFET_S_QG_L_BU*10^-9*Fsw*10^3, VACnom*TI_MOSFET_S_QG_L_BO*10^-9*Fsw*10^3)/10^-3</f>
        <v>#REF!</v>
      </c>
      <c r="AZ185" s="152" t="e">
        <f aca="false">IF(VACnom&lt;Vbat, Table7[[#This Row],[Duty Cycle]]*Table7[[#This Row],[I_L RMS]]^2*TI_MOSFET_S_RDSON_H_BU*10^-3, (1-Table7[[#This Row],[Duty Cycle]])*Table7[[#This Row],[I_L RMS]]^2*TI_MOSFET_S_RDSON_H_BO*10^-3)/10^-3</f>
        <v>#REF!</v>
      </c>
      <c r="BA185" s="152" t="e">
        <f aca="false">IF(VACnom&gt;Vbat, Table7[[#This Row],[PIV (mW)]]+Table7[[#This Row],[Pqoss (mW)]]+Table7[[#This Row],[Pgate_top (mW)]], Table7[[#This Row],[PRR (mW)]]+Table7[[#This Row],[Pdead (mW)]]+Table7[[#This Row],[Pgate_top (mW)]])</f>
        <v>#REF!</v>
      </c>
      <c r="BB185" s="152" t="e">
        <f aca="false">Table7[[#This Row],[Pcon_top (mW)]]+Table7[[#This Row],[Psw_top (mW)]]</f>
        <v>#REF!</v>
      </c>
      <c r="BC185" s="152" t="e">
        <f aca="false">IF(VACnom&gt;Vbat, (1-Table7[[#This Row],[Duty Cycle]])*Table7[[#This Row],[I_L RMS]]^2*TI_MOSFET_S_RDSON_L_BU*10^-3, Table7[[#This Row],[Duty Cycle]]*Table7[[#This Row],[I_L RMS]]^2*TI_MOSFET_S_RDSON_L_BO*10^-3)/10^-3</f>
        <v>#REF!</v>
      </c>
      <c r="BD185" s="152" t="e">
        <f aca="false">IF(VACnom&gt;Vbat, Table7[[#This Row],[PRR (mW)]]+Table7[[#This Row],[Pdead (mW)]]+Table7[[#This Row],[Pgate_bottom (mW)]], Table7[[#This Row],[PIV (mW)]]+Table7[[#This Row],[Pqoss (mW)]]+Table7[[#This Row],[Pgate_bottom (mW)]])</f>
        <v>#REF!</v>
      </c>
      <c r="BE185" s="154" t="e">
        <f aca="false">Table7[[#This Row],[Pcon_bottom (mW)]]+Table7[[#This Row],[Psw_bottom (mW)]]</f>
        <v>#REF!</v>
      </c>
      <c r="BF185" s="152" t="e">
        <f aca="false">Table7[[#This Row],[Pbottom (mW)]]+Table7[[#This Row],[Ptop (mW)]]</f>
        <v>#REF!</v>
      </c>
      <c r="BG185" s="155"/>
      <c r="BH185" s="152" t="n">
        <f aca="false">MAX(0,Table7[[#This Row],[I_L]]-0.5*Table7[[#This Row],[I_L pkpk]])</f>
        <v>2.90214285714286</v>
      </c>
      <c r="BI185" s="152" t="n">
        <f aca="false">Table7[[#This Row],[I_L]]+0.5*Table7[[#This Row],[I_L pkpk]]</f>
        <v>3.18785714285714</v>
      </c>
      <c r="BJ185" s="152" t="n">
        <f aca="false">IF(VACnom&gt;Vbat, (VGS_S-(C_MOSFET_S_VTH_H_BU+Table7[[#This Row],[I_L]]/C_MOSFET_S_gFS_H_BU))/3.4, (VGS_S-(C_MOSFET_S_VTH_L_BO+Table7[[#This Row],[I_L]]/C_MOSFET_S_gFS_L_BO))/3.4 )</f>
        <v>2.34697058823529</v>
      </c>
      <c r="BK185" s="152" t="n">
        <f aca="false">IF(VACnom&gt;Vbat, ((C_MOSFET_S_VTH_H_BU+Table7[[#This Row],[I_L]]/C_MOSFET_S_gFS_H_BU))/1, ((C_MOSFET_S_VTH_L_BO+Table7[[#This Row],[I_L]]/C_MOSFET_S_gFS_L_BO))/1 )</f>
        <v>2.0203</v>
      </c>
      <c r="BL185" s="152" t="n">
        <f aca="false">IF(VACnom&gt;Vbat, (C_MOSFET_S_QGD_H_BU+C_MOSFET_S_QGS_H_BU)*10^-9/Table7[[#This Row],[Ion (A) C]], (C_MOSFET_S_QGD_L_BO+C_MOSFET_S_QGS_L_BO)*10^-9/Table7[[#This Row],[Ion (A) C]])/10^-9</f>
        <v>2.76952767647907</v>
      </c>
      <c r="BM185" s="152" t="n">
        <f aca="false">IF(VACnom&gt;Vbat, (C_MOSFET_S_QGD_H_BU+C_MOSFET_S_QGS_H_BU)*10^-9/Table7[[#This Row],[Ioff (A) C]], (C_MOSFET_S_QGD_L_BO+C_MOSFET_S_QGS_L_BO)*10^-9/Table7[[#This Row],[Ioff (A) C]])/10^-9</f>
        <v>3.217343958818</v>
      </c>
      <c r="BN185" s="152" t="n">
        <f aca="false">0.5*VACnom*Table7[[#This Row],[Ivalley (A) C]]*Table7[[#This Row],[ton (ns) C]]*10^-9*Fsw*10^3+0.5*VACnom*Table7[[#This Row],[Ipeak (A) C]]*Table7[[#This Row],[toff (ns) C]]*10^-9*Fsw*10^3/10^-3</f>
        <v>12.3173645821322</v>
      </c>
      <c r="BO185" s="152" t="n">
        <f aca="false">IF(VACnom&gt;Vbat, 0.5*VACnom*C_MOSFET_S_QOSS_H_BU*10^-9*Fsw*10^3,0.5*VACnom*C_MOSFET_S_QOSS_L_BO*10^-9*Fsw*10^3)/10^-3</f>
        <v>43.2</v>
      </c>
      <c r="BP185" s="152" t="e">
        <f aca="false">IF(VACnom&gt;Vbat, VACnom*C_MOSFET_S_QG_H_BU*10^-9*Fsw*10^3,VACnom*C_MOSFET_S_QG_H_BO*10^-9*Fsw*10^3)/10^-3</f>
        <v>#REF!</v>
      </c>
      <c r="BQ185" s="152" t="n">
        <f aca="false">IF(VACnom&gt;Vbat, VACnom*C_MOSFET_S_QRR_L_BU*10^-9*Fsw*10^3, VACnom*C_MOSFET_S_QRR_H_BO*10^-9*Fsw*10^3)/10^-3</f>
        <v>79.2</v>
      </c>
      <c r="BR185" s="152" t="n">
        <f aca="false">IF(VACnom&gt;Vbat, C_MOSFET_S_VSD_L_BU*Table7[[#This Row],[Ivalley (A) C]]*Fsw*10^3*40*10^-9+C_MOSFET_S_VSD_L_BU*Table7[[#This Row],[Ipeak (A) C]]*Fsw*10^3*30*10^-9, C_MOSFET_S_VSD_H_BO*Table7[[#This Row],[Ivalley (A) C]]*Fsw*10^3*40*10^-9+C_MOSFET_S_VSD_H_BO*Table7[[#This Row],[Ipeak (A) C]]*Fsw*10^3*30*10^-9)/10^-3</f>
        <v>33.8754285714286</v>
      </c>
      <c r="BS185" s="152" t="e">
        <f aca="false">IF(VACnom&gt;Vbat, VACnom*C_MOSFET_S_QG_L_BU*10^-9*Fsw*10^3, VACnom*C_MOSFET_S_QG_L_BO*10^-9*Fsw*10^3)/10^-3</f>
        <v>#REF!</v>
      </c>
      <c r="BT185" s="152" t="n">
        <f aca="false">IF(VACnom&lt;Vbat, Table7[[#This Row],[Duty Cycle]]*Table7[[#This Row],[I_L RMS]]^2*C_MOSFET_S_RDSON_H_BU*10^-3, (1-Table7[[#This Row],[Duty Cycle]])*Table7[[#This Row],[I_L RMS]]^2*C_MOSFET_S_RDSON_H_BO*10^-3)/10^-3</f>
        <v>2.51853895286686</v>
      </c>
      <c r="BU185" s="152" t="e">
        <f aca="false">IF(VACnom&gt;Vbat, Table7[[#This Row],[PIV (mW) C]]+Table7[[#This Row],[PQoss (mW) C]]+Table7[[#This Row],[Pgate_top (mW) C]], Table7[[#This Row],[PRR (mW) C]]+Table7[[#This Row],[Pdead (mW) C]]+Table7[[#This Row],[Pgate_top (mW) C]])</f>
        <v>#REF!</v>
      </c>
      <c r="BV185" s="152" t="e">
        <f aca="false">Table7[[#This Row],[Pcon_top (mW) C]]+Table7[[#This Row],[Psw_top (mW) C]]</f>
        <v>#REF!</v>
      </c>
      <c r="BW185" s="152" t="e">
        <f aca="false">IF(VACnom&gt;Vbat, (1-Table7[[#This Row],[Duty Cycle]])*Table7[[#This Row],[I_L RMS]]^2*C_MOSFET_S_RDSON_L_BU*10^-3, Table7[[#This Row],[Duty Cycle]]*Table7[[#This Row],[I_L RMS]]^2*C_MOSFET_S_RDSON_L_BO*10^-3)/10^-3</f>
        <v>#REF!</v>
      </c>
      <c r="BX185" s="152" t="e">
        <f aca="false">IF(VACnom&gt;Vbat, Table7[[#This Row],[PRR (mW) C]]+Table7[[#This Row],[Pdead (mW) C]]+Table7[[#This Row],[Pgate_bottom (mW) C]], Table7[[#This Row],[PIV (mW) C]]+Table7[[#This Row],[PQoss (mW) C]]+Table7[[#This Row],[Pgate_bottom (mW) C]])</f>
        <v>#REF!</v>
      </c>
      <c r="BY185" s="152" t="e">
        <f aca="false">Table7[[#This Row],[Pcon_bottom (mW) C]]+Table7[[#This Row],[Psw_bottom (mV) C]]</f>
        <v>#REF!</v>
      </c>
      <c r="BZ185" s="152" t="e">
        <f aca="false">Table7[[#This Row],[Pbottom (mW) C]]+Table7[[#This Row],[Ptop (mW) C]]</f>
        <v>#REF!</v>
      </c>
      <c r="CA185" s="156"/>
      <c r="CB185" s="151" t="n">
        <f aca="false">(RAC_SNS*10^-3*(Table7[[#This Row],[IOUT (A)]]*Vbat/VACnom)^2/10^-3)</f>
        <v>46.360125</v>
      </c>
      <c r="CC185" s="151" t="n">
        <f aca="false">(RBAT_SNS*10^-3*Table7[[#This Row],[IOUT (A)]]^2)/10^-3</f>
        <v>42.05</v>
      </c>
      <c r="CD185" s="151" t="n">
        <f aca="false">IF(VACnom&gt;Vbat,(L_DRC*10^-3*(Table7[[#This Row],[IOUT (A)]])^2/10^-3),(L_DRC*10^-3*(Table7[[#This Row],[IOUT (A)]]*Vbat/VACnom)^2/10^-3))</f>
        <v>111.2643</v>
      </c>
      <c r="CE185" s="157"/>
      <c r="CF185" s="152" t="n">
        <f aca="false">(Table7[[#This Row],[R_AC (mW)]]+Table7[[#This Row],[R_SR (mW)]]+Table7[[#This Row],[Inductor Loss (mW)]])/10^3</f>
        <v>0.199674425</v>
      </c>
      <c r="CG185" s="152" t="e">
        <f aca="false">Table7[[#This Row],[Total TI (mW)]]/10^3</f>
        <v>#REF!</v>
      </c>
      <c r="CH185" s="152" t="e">
        <f aca="false">Table7[[#This Row],[Total Sense Loss]]+Table7[[#This Row],[Total MOSFET Loss]]</f>
        <v>#REF!</v>
      </c>
      <c r="CI185" s="158" t="e">
        <f aca="false">IF(Table7[[#This Row],[POUT (W)]]=0,0,(Table7[[#This Row],[POUT (W)]])/(Table7[[#This Row],[POUT (W)]]+Table7[[#This Row],[Total Power Loss (W)]]))*100</f>
        <v>#REF!</v>
      </c>
      <c r="CJ185" s="159"/>
      <c r="CK185" s="152" t="n">
        <f aca="false">(Table7[[#This Row],[R_AC (mW)]]+Table7[[#This Row],[R_SR (mW)]]+Table7[[#This Row],[Inductor Loss (mW)]])/10^3</f>
        <v>0.199674425</v>
      </c>
      <c r="CL185" s="152" t="e">
        <f aca="false">Table7[[#This Row],[Total (mW) C]]/10^3</f>
        <v>#REF!</v>
      </c>
      <c r="CM185" s="152" t="e">
        <f aca="false">Table7[[#This Row],[Total Sense Loss C]]+Table7[[#This Row],[Total MOSFET Loss C]]</f>
        <v>#REF!</v>
      </c>
      <c r="CN185" s="158" t="e">
        <f aca="false">IF(Table7[[#This Row],[POUT (W)]]=0,0,(Table7[[#This Row],[POUT (W)]])/(Table7[[#This Row],[POUT (W)]]+Table7[[#This Row],[Total Power Loss (W) C]]))*100</f>
        <v>#REF!</v>
      </c>
      <c r="CO185" s="159"/>
      <c r="CP185" s="158" t="n">
        <f aca="false">IF(MOSFET_S=Custom_MOSFET,Table7[[#This Row],[Total Sense Loss C]],Table7[[#This Row],[Total Sense Loss]])</f>
        <v>0.199674425</v>
      </c>
      <c r="CQ185" s="158" t="e">
        <f aca="false">IF(MOSFET_S=Custom_MOSFET,Table7[[#This Row],[Total MOSFET Loss C]],Table7[[#This Row],[Total MOSFET Loss]])</f>
        <v>#REF!</v>
      </c>
      <c r="CR185" s="158" t="e">
        <f aca="false">IF(MOSFET_S=Custom_MOSFET,Table7[[#This Row],[Efficiency C]],Table7[[#This Row],[Efficiency]])</f>
        <v>#REF!</v>
      </c>
      <c r="CS185" s="159"/>
      <c r="CT185" s="158" t="n">
        <f aca="false">IF(MOSFET_S=Compare_MOSFET, Table7[[#This Row],[Total Sense Loss C]], -100)</f>
        <v>-100</v>
      </c>
      <c r="CU185" s="158" t="n">
        <f aca="false">IF(MOSFET_S=Compare_MOSFET, Table7[[#This Row],[Total MOSFET Loss C]], -100)</f>
        <v>-100</v>
      </c>
      <c r="CV185" s="158" t="n">
        <f aca="false">IF(MOSFET_S=Compare_MOSFET, Table7[[#This Row],[Efficiency C]], -100)</f>
        <v>-100</v>
      </c>
      <c r="CW185" s="159"/>
      <c r="CX185" s="158" t="e">
        <f aca="false">IF(Save_Sel=CLR_Save,  Table7[[#This Row],[Total Sense Loss P1]], Table7[[#This Row],[Total Sense Loss P1 Saved]])</f>
        <v>#VALUE!</v>
      </c>
      <c r="CY185" s="158" t="e">
        <f aca="false">IF(Save_Sel=CLR_Save,  Table7[[#This Row],[Total MOSFET Loss P1]], Table7[[#This Row],[Total MOSFET Loss P1 Saved]] )</f>
        <v>#VALUE!</v>
      </c>
      <c r="CZ185" s="158" t="e">
        <f aca="false">IF(Save_Sel=CLR_Save, Table7[[#This Row],[Efficiency P1]], Table7[[#This Row],[Efficiency P1 Saved]])</f>
        <v>#VALUE!</v>
      </c>
      <c r="DA185" s="159"/>
      <c r="DB185" s="158" t="e">
        <f aca="false">IF(Save_Sel=CLR_Save,  Table7[[#This Row],[Total Sense Loss P2]], Table7[[#This Row],[Total Sense Loss P2 Saved]])</f>
        <v>#VALUE!</v>
      </c>
      <c r="DC185" s="158" t="e">
        <f aca="false">IF(Save_Sel=CLR_Save,  Table7[[#This Row],[Total MOSFET Loss P2]], Table7[[#This Row],[Total MOSFET Loss P2 Saved]] )</f>
        <v>#VALUE!</v>
      </c>
      <c r="DD185" s="158" t="e">
        <f aca="false">IF(Save_Sel=CLR_Save, Table7[[#This Row],[Efficiency P2]], Table7[[#This Row],[Efficiency P2 Saved]])</f>
        <v>#VALUE!</v>
      </c>
      <c r="DE185" s="159"/>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row>
    <row r="186" customFormat="false" ht="16.4" hidden="false" customHeight="false" outlineLevel="0" collapsed="false">
      <c r="A186" s="100" t="n">
        <v>13</v>
      </c>
      <c r="B186" s="84"/>
      <c r="C186" s="84"/>
      <c r="D186" s="28" t="s">
        <v>157</v>
      </c>
      <c r="E186" s="124" t="e">
        <f aca="false">$N147</f>
        <v>#REF!</v>
      </c>
      <c r="F186" s="124" t="e">
        <f aca="false">$O147</f>
        <v>#REF!</v>
      </c>
      <c r="G186" s="119" t="s">
        <v>7</v>
      </c>
      <c r="H186" s="24"/>
      <c r="I186" s="100" t="n">
        <v>13</v>
      </c>
      <c r="J186" s="24"/>
      <c r="K186" s="84"/>
      <c r="L186" s="84"/>
      <c r="M186" s="28" t="s">
        <v>157</v>
      </c>
      <c r="N186" s="124" t="n">
        <f aca="false">$E147</f>
        <v>0.8</v>
      </c>
      <c r="O186" s="124" t="n">
        <f aca="false">$F147</f>
        <v>0.8</v>
      </c>
      <c r="P186" s="119" t="s">
        <v>7</v>
      </c>
      <c r="Q186" s="24"/>
      <c r="R186" s="24"/>
      <c r="S186" s="25"/>
      <c r="T186" s="6"/>
      <c r="U186" s="7"/>
      <c r="V186" s="7"/>
      <c r="W186" s="7"/>
      <c r="X186" s="7"/>
      <c r="Y186" s="7"/>
      <c r="Z186" s="7"/>
      <c r="AA186" s="7"/>
      <c r="AB186" s="7"/>
      <c r="AC186" s="7"/>
      <c r="AD186" s="7"/>
      <c r="AE186" s="7"/>
      <c r="AF186" s="150" t="n">
        <f aca="false">AF185+1</f>
        <v>30</v>
      </c>
      <c r="AG186" s="150" t="n">
        <f aca="false">$AG$156+AF186*($AG$256-$AG$156)/$AF$256</f>
        <v>3</v>
      </c>
      <c r="AH186" s="151" t="n">
        <f aca="false">AG186*VACnom</f>
        <v>36</v>
      </c>
      <c r="AI186" s="152" t="n">
        <f aca="false">IF(VACnom&lt;Vbat, (Vbat-VACnom)/Vbat, Vbat/VACnom)</f>
        <v>0.0476190476190476</v>
      </c>
      <c r="AJ186" s="152" t="n">
        <f aca="false">IF(VACnom&lt;Vbat, AG186/(1-AI186), AG186*AI186)</f>
        <v>3.15</v>
      </c>
      <c r="AK186" s="152" t="n">
        <f aca="false">Ipkpk_VACnom</f>
        <v>0.285714285714285</v>
      </c>
      <c r="AL186" s="152" t="n">
        <f aca="false">SQRT(AJ186^2+AK186^2/12)</f>
        <v>3.15107961198832</v>
      </c>
      <c r="AM186" s="153"/>
      <c r="AN186" s="152" t="n">
        <f aca="false">MAX(0,Table7[[#This Row],[I_L]]-0.5*Table7[[#This Row],[I_L pkpk]])</f>
        <v>3.00714285714286</v>
      </c>
      <c r="AO186" s="152" t="n">
        <f aca="false">Table7[[#This Row],[I_L]]+0.5*Table7[[#This Row],[I_L pkpk]]</f>
        <v>3.29285714285714</v>
      </c>
      <c r="AP186" s="152" t="e">
        <f aca="false">IF(VACnom&gt;Vbat, (VGS_S-(TI_MOSFET_S_VTH_H_BU+Table7[[#This Row],[I_L]]/TI_MOSFET_S_gFS_H_BU))/3.4, (VGS_S-(TI_MOSFET_S_VTH_L_BO+Table7[[#This Row],[I_L]]/TI_MOSFET_S_gFS_L_BO))/3.4 )</f>
        <v>#REF!</v>
      </c>
      <c r="AQ186" s="152" t="e">
        <f aca="false">IF(VACnom&gt;Vbat, ((TI_MOSFET_S_VTH_H_BU+Table7[[#This Row],[I_L]]/TI_MOSFET_S_gFS_H_BU))/1, ((TI_MOSFET_S_VTH_L_BO+Table7[[#This Row],[I_L]]/TI_MOSFET_S_gFS_L_BO))/1 )</f>
        <v>#REF!</v>
      </c>
      <c r="AR186" s="152" t="e">
        <f aca="false">IF(VACnom&gt;Vbat, (TI_MOSFET_S_QGD_H_BU+TI_MOSFET_S_QGS_H_BU)*10^-9/Table7[[#This Row],[Ion (A)]], (TI_MOSFET_S_QGD_L_BO+TI_MOSFET_S_QGS_L_BO)*10^-9/Table7[[#This Row],[Ion (A)]])/10^-9</f>
        <v>#REF!</v>
      </c>
      <c r="AS186" s="152" t="e">
        <f aca="false">IF(VACnom&gt;Vbat, (TI_MOSFET_S_QGD_H_BU+TI_MOSFET_S_QGS_H_BU)*10^-9/Table7[[#This Row],[Ioff (A)]], (TI_MOSFET_S_QGD_L_BO+TI_MOSFET_S_QGS_L_BO)*10^-9/Table7[[#This Row],[Ioff (A)]])/10^-9</f>
        <v>#REF!</v>
      </c>
      <c r="AT186" s="152" t="e">
        <f aca="false">0.5*VACnom*Table7[[#This Row],[Ivalley (A)]]*Table7[[#This Row],[ton (ns)]]*10^-9*Fsw*10^3+0.5*VACnom*Table7[[#This Row],[Ipeak (A)]]*Table7[[#This Row],[toff (ns)]]*10^-9*Fsw*10^3/10^-3</f>
        <v>#REF!</v>
      </c>
      <c r="AU186" s="152" t="e">
        <f aca="false">IF(VACnom&gt;Vbat, 0.5*VACnom*TI_MOSFET_S_QOSS_H_BU*10^-9*Fsw*10^3,0.5*VACnom*TI_MOSFET_S_QOSS_L_BO*10^-9*Fsw*10^3)/10^-3</f>
        <v>#REF!</v>
      </c>
      <c r="AV186" s="152" t="e">
        <f aca="false">IF(VACnom&gt;Vbat, VACnom*TI_MOSFET_S_QG_H_BU*10^-9*Fsw*10^3,VACnom*TI_MOSFET_S_QG_H_BO*10^-9*Fsw*10^3)/10^-3</f>
        <v>#REF!</v>
      </c>
      <c r="AW186" s="152" t="e">
        <f aca="false">IF(VACnom&gt;Vbat, VACnom*TI_MOSFET_S_QRR_L_BU*10^-9*Fsw*10^3, VACnom*TI_MOSFET_S_QRR_H_BO*10^-9*Fsw*10^3)/10^-3</f>
        <v>#REF!</v>
      </c>
      <c r="AX186" s="152" t="e">
        <f aca="false">IF(VACnom&gt;Vbat, TI_MOSFET_S_VSD_L_BU*Table7[[#This Row],[Ivalley (A)]]*Fsw*10^3*40*10^-9+TI_MOSFET_S_VSD_L_BU*Table7[[#This Row],[Ipeak (A)]]*Fsw*10^3*30*10^-9, TI_MOSFET_S_VSD_H_BO*Table7[[#This Row],[Ivalley (A)]]*Fsw*10^3*40*10^-9+TI_MOSFET_S_VSD_H_BO*Table7[[#This Row],[Ipeak (A)]]*Fsw*10^3*30*10^-9)/10^-3</f>
        <v>#REF!</v>
      </c>
      <c r="AY186" s="152" t="e">
        <f aca="false">IF(VACnom&gt;Vbat, VACnom*TI_MOSFET_S_QG_L_BU*10^-9*Fsw*10^3, VACnom*TI_MOSFET_S_QG_L_BO*10^-9*Fsw*10^3)/10^-3</f>
        <v>#REF!</v>
      </c>
      <c r="AZ186" s="152" t="e">
        <f aca="false">IF(VACnom&lt;Vbat, Table7[[#This Row],[Duty Cycle]]*Table7[[#This Row],[I_L RMS]]^2*TI_MOSFET_S_RDSON_H_BU*10^-3, (1-Table7[[#This Row],[Duty Cycle]])*Table7[[#This Row],[I_L RMS]]^2*TI_MOSFET_S_RDSON_H_BO*10^-3)/10^-3</f>
        <v>#REF!</v>
      </c>
      <c r="BA186" s="152" t="e">
        <f aca="false">IF(VACnom&gt;Vbat, Table7[[#This Row],[PIV (mW)]]+Table7[[#This Row],[Pqoss (mW)]]+Table7[[#This Row],[Pgate_top (mW)]], Table7[[#This Row],[PRR (mW)]]+Table7[[#This Row],[Pdead (mW)]]+Table7[[#This Row],[Pgate_top (mW)]])</f>
        <v>#REF!</v>
      </c>
      <c r="BB186" s="152" t="e">
        <f aca="false">Table7[[#This Row],[Pcon_top (mW)]]+Table7[[#This Row],[Psw_top (mW)]]</f>
        <v>#REF!</v>
      </c>
      <c r="BC186" s="152" t="e">
        <f aca="false">IF(VACnom&gt;Vbat, (1-Table7[[#This Row],[Duty Cycle]])*Table7[[#This Row],[I_L RMS]]^2*TI_MOSFET_S_RDSON_L_BU*10^-3, Table7[[#This Row],[Duty Cycle]]*Table7[[#This Row],[I_L RMS]]^2*TI_MOSFET_S_RDSON_L_BO*10^-3)/10^-3</f>
        <v>#REF!</v>
      </c>
      <c r="BD186" s="152" t="e">
        <f aca="false">IF(VACnom&gt;Vbat, Table7[[#This Row],[PRR (mW)]]+Table7[[#This Row],[Pdead (mW)]]+Table7[[#This Row],[Pgate_bottom (mW)]], Table7[[#This Row],[PIV (mW)]]+Table7[[#This Row],[Pqoss (mW)]]+Table7[[#This Row],[Pgate_bottom (mW)]])</f>
        <v>#REF!</v>
      </c>
      <c r="BE186" s="154" t="e">
        <f aca="false">Table7[[#This Row],[Pcon_bottom (mW)]]+Table7[[#This Row],[Psw_bottom (mW)]]</f>
        <v>#REF!</v>
      </c>
      <c r="BF186" s="152" t="e">
        <f aca="false">Table7[[#This Row],[Pbottom (mW)]]+Table7[[#This Row],[Ptop (mW)]]</f>
        <v>#REF!</v>
      </c>
      <c r="BG186" s="155"/>
      <c r="BH186" s="152" t="n">
        <f aca="false">MAX(0,Table7[[#This Row],[I_L]]-0.5*Table7[[#This Row],[I_L pkpk]])</f>
        <v>3.00714285714286</v>
      </c>
      <c r="BI186" s="152" t="n">
        <f aca="false">Table7[[#This Row],[I_L]]+0.5*Table7[[#This Row],[I_L pkpk]]</f>
        <v>3.29285714285714</v>
      </c>
      <c r="BJ186" s="152" t="n">
        <f aca="false">IF(VACnom&gt;Vbat, (VGS_S-(C_MOSFET_S_VTH_H_BU+Table7[[#This Row],[I_L]]/C_MOSFET_S_gFS_H_BU))/3.4, (VGS_S-(C_MOSFET_S_VTH_L_BO+Table7[[#This Row],[I_L]]/C_MOSFET_S_gFS_L_BO))/3.4 )</f>
        <v>2.34676470588235</v>
      </c>
      <c r="BK186" s="152" t="n">
        <f aca="false">IF(VACnom&gt;Vbat, ((C_MOSFET_S_VTH_H_BU+Table7[[#This Row],[I_L]]/C_MOSFET_S_gFS_H_BU))/1, ((C_MOSFET_S_VTH_L_BO+Table7[[#This Row],[I_L]]/C_MOSFET_S_gFS_L_BO))/1 )</f>
        <v>2.021</v>
      </c>
      <c r="BL186" s="152" t="n">
        <f aca="false">IF(VACnom&gt;Vbat, (C_MOSFET_S_QGD_H_BU+C_MOSFET_S_QGS_H_BU)*10^-9/Table7[[#This Row],[Ion (A) C]], (C_MOSFET_S_QGD_L_BO+C_MOSFET_S_QGS_L_BO)*10^-9/Table7[[#This Row],[Ion (A) C]])/10^-9</f>
        <v>2.76977064795087</v>
      </c>
      <c r="BM186" s="152" t="n">
        <f aca="false">IF(VACnom&gt;Vbat, (C_MOSFET_S_QGD_H_BU+C_MOSFET_S_QGS_H_BU)*10^-9/Table7[[#This Row],[Ioff (A) C]], (C_MOSFET_S_QGD_L_BO+C_MOSFET_S_QGS_L_BO)*10^-9/Table7[[#This Row],[Ioff (A) C]])/10^-9</f>
        <v>3.21622958931222</v>
      </c>
      <c r="BN186" s="152" t="n">
        <f aca="false">0.5*VACnom*Table7[[#This Row],[Ivalley (A) C]]*Table7[[#This Row],[ton (ns) C]]*10^-9*Fsw*10^3+0.5*VACnom*Table7[[#This Row],[Ipeak (A) C]]*Table7[[#This Row],[toff (ns) C]]*10^-9*Fsw*10^3/10^-3</f>
        <v>12.7186964067062</v>
      </c>
      <c r="BO186" s="152" t="n">
        <f aca="false">IF(VACnom&gt;Vbat, 0.5*VACnom*C_MOSFET_S_QOSS_H_BU*10^-9*Fsw*10^3,0.5*VACnom*C_MOSFET_S_QOSS_L_BO*10^-9*Fsw*10^3)/10^-3</f>
        <v>43.2</v>
      </c>
      <c r="BP186" s="152" t="e">
        <f aca="false">IF(VACnom&gt;Vbat, VACnom*C_MOSFET_S_QG_H_BU*10^-9*Fsw*10^3,VACnom*C_MOSFET_S_QG_H_BO*10^-9*Fsw*10^3)/10^-3</f>
        <v>#REF!</v>
      </c>
      <c r="BQ186" s="152" t="n">
        <f aca="false">IF(VACnom&gt;Vbat, VACnom*C_MOSFET_S_QRR_L_BU*10^-9*Fsw*10^3, VACnom*C_MOSFET_S_QRR_H_BO*10^-9*Fsw*10^3)/10^-3</f>
        <v>79.2</v>
      </c>
      <c r="BR186" s="152" t="n">
        <f aca="false">IF(VACnom&gt;Vbat, C_MOSFET_S_VSD_L_BU*Table7[[#This Row],[Ivalley (A) C]]*Fsw*10^3*40*10^-9+C_MOSFET_S_VSD_L_BU*Table7[[#This Row],[Ipeak (A) C]]*Fsw*10^3*30*10^-9, C_MOSFET_S_VSD_H_BO*Table7[[#This Row],[Ivalley (A) C]]*Fsw*10^3*40*10^-9+C_MOSFET_S_VSD_H_BO*Table7[[#This Row],[Ipeak (A) C]]*Fsw*10^3*30*10^-9)/10^-3</f>
        <v>35.0514285714286</v>
      </c>
      <c r="BS186" s="152" t="e">
        <f aca="false">IF(VACnom&gt;Vbat, VACnom*C_MOSFET_S_QG_L_BU*10^-9*Fsw*10^3, VACnom*C_MOSFET_S_QG_L_BO*10^-9*Fsw*10^3)/10^-3</f>
        <v>#REF!</v>
      </c>
      <c r="BT186" s="152" t="n">
        <f aca="false">IF(VACnom&lt;Vbat, Table7[[#This Row],[Duty Cycle]]*Table7[[#This Row],[I_L RMS]]^2*C_MOSFET_S_RDSON_H_BU*10^-3, (1-Table7[[#This Row],[Duty Cycle]])*Table7[[#This Row],[I_L RMS]]^2*C_MOSFET_S_RDSON_H_BO*10^-3)/10^-3</f>
        <v>2.69509645286686</v>
      </c>
      <c r="BU186" s="152" t="e">
        <f aca="false">IF(VACnom&gt;Vbat, Table7[[#This Row],[PIV (mW) C]]+Table7[[#This Row],[PQoss (mW) C]]+Table7[[#This Row],[Pgate_top (mW) C]], Table7[[#This Row],[PRR (mW) C]]+Table7[[#This Row],[Pdead (mW) C]]+Table7[[#This Row],[Pgate_top (mW) C]])</f>
        <v>#REF!</v>
      </c>
      <c r="BV186" s="152" t="e">
        <f aca="false">Table7[[#This Row],[Pcon_top (mW) C]]+Table7[[#This Row],[Psw_top (mW) C]]</f>
        <v>#REF!</v>
      </c>
      <c r="BW186" s="152" t="e">
        <f aca="false">IF(VACnom&gt;Vbat, (1-Table7[[#This Row],[Duty Cycle]])*Table7[[#This Row],[I_L RMS]]^2*C_MOSFET_S_RDSON_L_BU*10^-3, Table7[[#This Row],[Duty Cycle]]*Table7[[#This Row],[I_L RMS]]^2*C_MOSFET_S_RDSON_L_BO*10^-3)/10^-3</f>
        <v>#REF!</v>
      </c>
      <c r="BX186" s="152" t="e">
        <f aca="false">IF(VACnom&gt;Vbat, Table7[[#This Row],[PRR (mW) C]]+Table7[[#This Row],[Pdead (mW) C]]+Table7[[#This Row],[Pgate_bottom (mW) C]], Table7[[#This Row],[PIV (mW) C]]+Table7[[#This Row],[PQoss (mW) C]]+Table7[[#This Row],[Pgate_bottom (mW) C]])</f>
        <v>#REF!</v>
      </c>
      <c r="BY186" s="152" t="e">
        <f aca="false">Table7[[#This Row],[Pcon_bottom (mW) C]]+Table7[[#This Row],[Psw_bottom (mV) C]]</f>
        <v>#REF!</v>
      </c>
      <c r="BZ186" s="152" t="e">
        <f aca="false">Table7[[#This Row],[Pbottom (mW) C]]+Table7[[#This Row],[Ptop (mW) C]]</f>
        <v>#REF!</v>
      </c>
      <c r="CA186" s="156"/>
      <c r="CB186" s="151" t="n">
        <f aca="false">(RAC_SNS*10^-3*(Table7[[#This Row],[IOUT (A)]]*Vbat/VACnom)^2/10^-3)</f>
        <v>49.6125</v>
      </c>
      <c r="CC186" s="151" t="n">
        <f aca="false">(RBAT_SNS*10^-3*Table7[[#This Row],[IOUT (A)]]^2)/10^-3</f>
        <v>45</v>
      </c>
      <c r="CD186" s="151" t="n">
        <f aca="false">IF(VACnom&gt;Vbat,(L_DRC*10^-3*(Table7[[#This Row],[IOUT (A)]])^2/10^-3),(L_DRC*10^-3*(Table7[[#This Row],[IOUT (A)]]*Vbat/VACnom)^2/10^-3))</f>
        <v>119.07</v>
      </c>
      <c r="CE186" s="157"/>
      <c r="CF186" s="152" t="n">
        <f aca="false">(Table7[[#This Row],[R_AC (mW)]]+Table7[[#This Row],[R_SR (mW)]]+Table7[[#This Row],[Inductor Loss (mW)]])/10^3</f>
        <v>0.2136825</v>
      </c>
      <c r="CG186" s="152" t="e">
        <f aca="false">Table7[[#This Row],[Total TI (mW)]]/10^3</f>
        <v>#REF!</v>
      </c>
      <c r="CH186" s="152" t="e">
        <f aca="false">Table7[[#This Row],[Total Sense Loss]]+Table7[[#This Row],[Total MOSFET Loss]]</f>
        <v>#REF!</v>
      </c>
      <c r="CI186" s="158" t="e">
        <f aca="false">IF(Table7[[#This Row],[POUT (W)]]=0,0,(Table7[[#This Row],[POUT (W)]])/(Table7[[#This Row],[POUT (W)]]+Table7[[#This Row],[Total Power Loss (W)]]))*100</f>
        <v>#REF!</v>
      </c>
      <c r="CJ186" s="159"/>
      <c r="CK186" s="152" t="n">
        <f aca="false">(Table7[[#This Row],[R_AC (mW)]]+Table7[[#This Row],[R_SR (mW)]]+Table7[[#This Row],[Inductor Loss (mW)]])/10^3</f>
        <v>0.2136825</v>
      </c>
      <c r="CL186" s="152" t="e">
        <f aca="false">Table7[[#This Row],[Total (mW) C]]/10^3</f>
        <v>#REF!</v>
      </c>
      <c r="CM186" s="152" t="e">
        <f aca="false">Table7[[#This Row],[Total Sense Loss C]]+Table7[[#This Row],[Total MOSFET Loss C]]</f>
        <v>#REF!</v>
      </c>
      <c r="CN186" s="158" t="e">
        <f aca="false">IF(Table7[[#This Row],[POUT (W)]]=0,0,(Table7[[#This Row],[POUT (W)]])/(Table7[[#This Row],[POUT (W)]]+Table7[[#This Row],[Total Power Loss (W) C]]))*100</f>
        <v>#REF!</v>
      </c>
      <c r="CO186" s="159"/>
      <c r="CP186" s="158" t="n">
        <f aca="false">IF(MOSFET_S=Custom_MOSFET,Table7[[#This Row],[Total Sense Loss C]],Table7[[#This Row],[Total Sense Loss]])</f>
        <v>0.2136825</v>
      </c>
      <c r="CQ186" s="158" t="e">
        <f aca="false">IF(MOSFET_S=Custom_MOSFET,Table7[[#This Row],[Total MOSFET Loss C]],Table7[[#This Row],[Total MOSFET Loss]])</f>
        <v>#REF!</v>
      </c>
      <c r="CR186" s="158" t="e">
        <f aca="false">IF(MOSFET_S=Custom_MOSFET,Table7[[#This Row],[Efficiency C]],Table7[[#This Row],[Efficiency]])</f>
        <v>#REF!</v>
      </c>
      <c r="CS186" s="159"/>
      <c r="CT186" s="158" t="n">
        <f aca="false">IF(MOSFET_S=Compare_MOSFET, Table7[[#This Row],[Total Sense Loss C]], -100)</f>
        <v>-100</v>
      </c>
      <c r="CU186" s="158" t="n">
        <f aca="false">IF(MOSFET_S=Compare_MOSFET, Table7[[#This Row],[Total MOSFET Loss C]], -100)</f>
        <v>-100</v>
      </c>
      <c r="CV186" s="158" t="n">
        <f aca="false">IF(MOSFET_S=Compare_MOSFET, Table7[[#This Row],[Efficiency C]], -100)</f>
        <v>-100</v>
      </c>
      <c r="CW186" s="159"/>
      <c r="CX186" s="158" t="e">
        <f aca="false">IF(Save_Sel=CLR_Save,  Table7[[#This Row],[Total Sense Loss P1]], Table7[[#This Row],[Total Sense Loss P1 Saved]])</f>
        <v>#VALUE!</v>
      </c>
      <c r="CY186" s="158" t="e">
        <f aca="false">IF(Save_Sel=CLR_Save,  Table7[[#This Row],[Total MOSFET Loss P1]], Table7[[#This Row],[Total MOSFET Loss P1 Saved]] )</f>
        <v>#VALUE!</v>
      </c>
      <c r="CZ186" s="158" t="e">
        <f aca="false">IF(Save_Sel=CLR_Save, Table7[[#This Row],[Efficiency P1]], Table7[[#This Row],[Efficiency P1 Saved]])</f>
        <v>#VALUE!</v>
      </c>
      <c r="DA186" s="159"/>
      <c r="DB186" s="158" t="e">
        <f aca="false">IF(Save_Sel=CLR_Save,  Table7[[#This Row],[Total Sense Loss P2]], Table7[[#This Row],[Total Sense Loss P2 Saved]])</f>
        <v>#VALUE!</v>
      </c>
      <c r="DC186" s="158" t="e">
        <f aca="false">IF(Save_Sel=CLR_Save,  Table7[[#This Row],[Total MOSFET Loss P2]], Table7[[#This Row],[Total MOSFET Loss P2 Saved]] )</f>
        <v>#VALUE!</v>
      </c>
      <c r="DD186" s="158" t="e">
        <f aca="false">IF(Save_Sel=CLR_Save, Table7[[#This Row],[Efficiency P2]], Table7[[#This Row],[Efficiency P2 Saved]])</f>
        <v>#VALUE!</v>
      </c>
      <c r="DE186" s="159"/>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row>
    <row r="187" customFormat="false" ht="16.4" hidden="false" customHeight="false" outlineLevel="0" collapsed="false">
      <c r="A187" s="100" t="n">
        <v>14</v>
      </c>
      <c r="B187" s="84"/>
      <c r="C187" s="84"/>
      <c r="D187" s="28" t="s">
        <v>158</v>
      </c>
      <c r="E187" s="124" t="e">
        <f aca="false">$N148</f>
        <v>#REF!</v>
      </c>
      <c r="F187" s="84"/>
      <c r="G187" s="119" t="s">
        <v>140</v>
      </c>
      <c r="H187" s="24"/>
      <c r="I187" s="100" t="n">
        <v>14</v>
      </c>
      <c r="J187" s="24"/>
      <c r="K187" s="84"/>
      <c r="L187" s="84"/>
      <c r="M187" s="28" t="s">
        <v>158</v>
      </c>
      <c r="N187" s="124" t="n">
        <f aca="false">$E148</f>
        <v>33</v>
      </c>
      <c r="O187" s="84"/>
      <c r="P187" s="119" t="s">
        <v>140</v>
      </c>
      <c r="Q187" s="24"/>
      <c r="R187" s="24"/>
      <c r="S187" s="25"/>
      <c r="T187" s="6"/>
      <c r="U187" s="7"/>
      <c r="V187" s="7"/>
      <c r="W187" s="7"/>
      <c r="X187" s="7"/>
      <c r="Y187" s="7"/>
      <c r="Z187" s="7"/>
      <c r="AA187" s="7"/>
      <c r="AB187" s="7"/>
      <c r="AC187" s="7"/>
      <c r="AD187" s="7"/>
      <c r="AE187" s="7"/>
      <c r="AF187" s="150" t="n">
        <f aca="false">AF186+1</f>
        <v>31</v>
      </c>
      <c r="AG187" s="150" t="n">
        <f aca="false">$AG$156+AF187*($AG$256-$AG$156)/$AF$256</f>
        <v>3.1</v>
      </c>
      <c r="AH187" s="151" t="n">
        <f aca="false">AG187*VACnom</f>
        <v>37.2</v>
      </c>
      <c r="AI187" s="152" t="n">
        <f aca="false">IF(VACnom&lt;Vbat, (Vbat-VACnom)/Vbat, Vbat/VACnom)</f>
        <v>0.0476190476190476</v>
      </c>
      <c r="AJ187" s="152" t="n">
        <f aca="false">IF(VACnom&lt;Vbat, AG187/(1-AI187), AG187*AI187)</f>
        <v>3.255</v>
      </c>
      <c r="AK187" s="152" t="n">
        <f aca="false">Ipkpk_VACnom</f>
        <v>0.285714285714285</v>
      </c>
      <c r="AL187" s="152" t="n">
        <f aca="false">SQRT(AJ187^2+AK187^2/12)</f>
        <v>3.25604479715627</v>
      </c>
      <c r="AM187" s="153"/>
      <c r="AN187" s="152" t="n">
        <f aca="false">MAX(0,Table7[[#This Row],[I_L]]-0.5*Table7[[#This Row],[I_L pkpk]])</f>
        <v>3.11214285714286</v>
      </c>
      <c r="AO187" s="152" t="n">
        <f aca="false">Table7[[#This Row],[I_L]]+0.5*Table7[[#This Row],[I_L pkpk]]</f>
        <v>3.39785714285714</v>
      </c>
      <c r="AP187" s="152" t="e">
        <f aca="false">IF(VACnom&gt;Vbat, (VGS_S-(TI_MOSFET_S_VTH_H_BU+Table7[[#This Row],[I_L]]/TI_MOSFET_S_gFS_H_BU))/3.4, (VGS_S-(TI_MOSFET_S_VTH_L_BO+Table7[[#This Row],[I_L]]/TI_MOSFET_S_gFS_L_BO))/3.4 )</f>
        <v>#REF!</v>
      </c>
      <c r="AQ187" s="152" t="e">
        <f aca="false">IF(VACnom&gt;Vbat, ((TI_MOSFET_S_VTH_H_BU+Table7[[#This Row],[I_L]]/TI_MOSFET_S_gFS_H_BU))/1, ((TI_MOSFET_S_VTH_L_BO+Table7[[#This Row],[I_L]]/TI_MOSFET_S_gFS_L_BO))/1 )</f>
        <v>#REF!</v>
      </c>
      <c r="AR187" s="152" t="e">
        <f aca="false">IF(VACnom&gt;Vbat, (TI_MOSFET_S_QGD_H_BU+TI_MOSFET_S_QGS_H_BU)*10^-9/Table7[[#This Row],[Ion (A)]], (TI_MOSFET_S_QGD_L_BO+TI_MOSFET_S_QGS_L_BO)*10^-9/Table7[[#This Row],[Ion (A)]])/10^-9</f>
        <v>#REF!</v>
      </c>
      <c r="AS187" s="152" t="e">
        <f aca="false">IF(VACnom&gt;Vbat, (TI_MOSFET_S_QGD_H_BU+TI_MOSFET_S_QGS_H_BU)*10^-9/Table7[[#This Row],[Ioff (A)]], (TI_MOSFET_S_QGD_L_BO+TI_MOSFET_S_QGS_L_BO)*10^-9/Table7[[#This Row],[Ioff (A)]])/10^-9</f>
        <v>#REF!</v>
      </c>
      <c r="AT187" s="152" t="e">
        <f aca="false">0.5*VACnom*Table7[[#This Row],[Ivalley (A)]]*Table7[[#This Row],[ton (ns)]]*10^-9*Fsw*10^3+0.5*VACnom*Table7[[#This Row],[Ipeak (A)]]*Table7[[#This Row],[toff (ns)]]*10^-9*Fsw*10^3/10^-3</f>
        <v>#REF!</v>
      </c>
      <c r="AU187" s="152" t="e">
        <f aca="false">IF(VACnom&gt;Vbat, 0.5*VACnom*TI_MOSFET_S_QOSS_H_BU*10^-9*Fsw*10^3,0.5*VACnom*TI_MOSFET_S_QOSS_L_BO*10^-9*Fsw*10^3)/10^-3</f>
        <v>#REF!</v>
      </c>
      <c r="AV187" s="152" t="e">
        <f aca="false">IF(VACnom&gt;Vbat, VACnom*TI_MOSFET_S_QG_H_BU*10^-9*Fsw*10^3,VACnom*TI_MOSFET_S_QG_H_BO*10^-9*Fsw*10^3)/10^-3</f>
        <v>#REF!</v>
      </c>
      <c r="AW187" s="152" t="e">
        <f aca="false">IF(VACnom&gt;Vbat, VACnom*TI_MOSFET_S_QRR_L_BU*10^-9*Fsw*10^3, VACnom*TI_MOSFET_S_QRR_H_BO*10^-9*Fsw*10^3)/10^-3</f>
        <v>#REF!</v>
      </c>
      <c r="AX187" s="152" t="e">
        <f aca="false">IF(VACnom&gt;Vbat, TI_MOSFET_S_VSD_L_BU*Table7[[#This Row],[Ivalley (A)]]*Fsw*10^3*40*10^-9+TI_MOSFET_S_VSD_L_BU*Table7[[#This Row],[Ipeak (A)]]*Fsw*10^3*30*10^-9, TI_MOSFET_S_VSD_H_BO*Table7[[#This Row],[Ivalley (A)]]*Fsw*10^3*40*10^-9+TI_MOSFET_S_VSD_H_BO*Table7[[#This Row],[Ipeak (A)]]*Fsw*10^3*30*10^-9)/10^-3</f>
        <v>#REF!</v>
      </c>
      <c r="AY187" s="152" t="e">
        <f aca="false">IF(VACnom&gt;Vbat, VACnom*TI_MOSFET_S_QG_L_BU*10^-9*Fsw*10^3, VACnom*TI_MOSFET_S_QG_L_BO*10^-9*Fsw*10^3)/10^-3</f>
        <v>#REF!</v>
      </c>
      <c r="AZ187" s="152" t="e">
        <f aca="false">IF(VACnom&lt;Vbat, Table7[[#This Row],[Duty Cycle]]*Table7[[#This Row],[I_L RMS]]^2*TI_MOSFET_S_RDSON_H_BU*10^-3, (1-Table7[[#This Row],[Duty Cycle]])*Table7[[#This Row],[I_L RMS]]^2*TI_MOSFET_S_RDSON_H_BO*10^-3)/10^-3</f>
        <v>#REF!</v>
      </c>
      <c r="BA187" s="152" t="e">
        <f aca="false">IF(VACnom&gt;Vbat, Table7[[#This Row],[PIV (mW)]]+Table7[[#This Row],[Pqoss (mW)]]+Table7[[#This Row],[Pgate_top (mW)]], Table7[[#This Row],[PRR (mW)]]+Table7[[#This Row],[Pdead (mW)]]+Table7[[#This Row],[Pgate_top (mW)]])</f>
        <v>#REF!</v>
      </c>
      <c r="BB187" s="152" t="e">
        <f aca="false">Table7[[#This Row],[Pcon_top (mW)]]+Table7[[#This Row],[Psw_top (mW)]]</f>
        <v>#REF!</v>
      </c>
      <c r="BC187" s="152" t="e">
        <f aca="false">IF(VACnom&gt;Vbat, (1-Table7[[#This Row],[Duty Cycle]])*Table7[[#This Row],[I_L RMS]]^2*TI_MOSFET_S_RDSON_L_BU*10^-3, Table7[[#This Row],[Duty Cycle]]*Table7[[#This Row],[I_L RMS]]^2*TI_MOSFET_S_RDSON_L_BO*10^-3)/10^-3</f>
        <v>#REF!</v>
      </c>
      <c r="BD187" s="152" t="e">
        <f aca="false">IF(VACnom&gt;Vbat, Table7[[#This Row],[PRR (mW)]]+Table7[[#This Row],[Pdead (mW)]]+Table7[[#This Row],[Pgate_bottom (mW)]], Table7[[#This Row],[PIV (mW)]]+Table7[[#This Row],[Pqoss (mW)]]+Table7[[#This Row],[Pgate_bottom (mW)]])</f>
        <v>#REF!</v>
      </c>
      <c r="BE187" s="154" t="e">
        <f aca="false">Table7[[#This Row],[Pcon_bottom (mW)]]+Table7[[#This Row],[Psw_bottom (mW)]]</f>
        <v>#REF!</v>
      </c>
      <c r="BF187" s="152" t="e">
        <f aca="false">Table7[[#This Row],[Pbottom (mW)]]+Table7[[#This Row],[Ptop (mW)]]</f>
        <v>#REF!</v>
      </c>
      <c r="BG187" s="155"/>
      <c r="BH187" s="152" t="n">
        <f aca="false">MAX(0,Table7[[#This Row],[I_L]]-0.5*Table7[[#This Row],[I_L pkpk]])</f>
        <v>3.11214285714286</v>
      </c>
      <c r="BI187" s="152" t="n">
        <f aca="false">Table7[[#This Row],[I_L]]+0.5*Table7[[#This Row],[I_L pkpk]]</f>
        <v>3.39785714285714</v>
      </c>
      <c r="BJ187" s="152" t="n">
        <f aca="false">IF(VACnom&gt;Vbat, (VGS_S-(C_MOSFET_S_VTH_H_BU+Table7[[#This Row],[I_L]]/C_MOSFET_S_gFS_H_BU))/3.4, (VGS_S-(C_MOSFET_S_VTH_L_BO+Table7[[#This Row],[I_L]]/C_MOSFET_S_gFS_L_BO))/3.4 )</f>
        <v>2.34655882352941</v>
      </c>
      <c r="BK187" s="152" t="n">
        <f aca="false">IF(VACnom&gt;Vbat, ((C_MOSFET_S_VTH_H_BU+Table7[[#This Row],[I_L]]/C_MOSFET_S_gFS_H_BU))/1, ((C_MOSFET_S_VTH_L_BO+Table7[[#This Row],[I_L]]/C_MOSFET_S_gFS_L_BO))/1 )</f>
        <v>2.0217</v>
      </c>
      <c r="BL187" s="152" t="n">
        <f aca="false">IF(VACnom&gt;Vbat, (C_MOSFET_S_QGD_H_BU+C_MOSFET_S_QGS_H_BU)*10^-9/Table7[[#This Row],[Ion (A) C]], (C_MOSFET_S_QGD_L_BO+C_MOSFET_S_QGS_L_BO)*10^-9/Table7[[#This Row],[Ion (A) C]])/10^-9</f>
        <v>2.77001366205833</v>
      </c>
      <c r="BM187" s="152" t="n">
        <f aca="false">IF(VACnom&gt;Vbat, (C_MOSFET_S_QGD_H_BU+C_MOSFET_S_QGS_H_BU)*10^-9/Table7[[#This Row],[Ioff (A) C]], (C_MOSFET_S_QGD_L_BO+C_MOSFET_S_QGS_L_BO)*10^-9/Table7[[#This Row],[Ioff (A) C]])/10^-9</f>
        <v>3.21511599149231</v>
      </c>
      <c r="BN187" s="152" t="n">
        <f aca="false">0.5*VACnom*Table7[[#This Row],[Ivalley (A) C]]*Table7[[#This Row],[ton (ns) C]]*10^-9*Fsw*10^3+0.5*VACnom*Table7[[#This Row],[Ipeak (A) C]]*Table7[[#This Row],[toff (ns) C]]*10^-9*Fsw*10^3/10^-3</f>
        <v>13.1197506180467</v>
      </c>
      <c r="BO187" s="152" t="n">
        <f aca="false">IF(VACnom&gt;Vbat, 0.5*VACnom*C_MOSFET_S_QOSS_H_BU*10^-9*Fsw*10^3,0.5*VACnom*C_MOSFET_S_QOSS_L_BO*10^-9*Fsw*10^3)/10^-3</f>
        <v>43.2</v>
      </c>
      <c r="BP187" s="152" t="e">
        <f aca="false">IF(VACnom&gt;Vbat, VACnom*C_MOSFET_S_QG_H_BU*10^-9*Fsw*10^3,VACnom*C_MOSFET_S_QG_H_BO*10^-9*Fsw*10^3)/10^-3</f>
        <v>#REF!</v>
      </c>
      <c r="BQ187" s="152" t="n">
        <f aca="false">IF(VACnom&gt;Vbat, VACnom*C_MOSFET_S_QRR_L_BU*10^-9*Fsw*10^3, VACnom*C_MOSFET_S_QRR_H_BO*10^-9*Fsw*10^3)/10^-3</f>
        <v>79.2</v>
      </c>
      <c r="BR187" s="152" t="n">
        <f aca="false">IF(VACnom&gt;Vbat, C_MOSFET_S_VSD_L_BU*Table7[[#This Row],[Ivalley (A) C]]*Fsw*10^3*40*10^-9+C_MOSFET_S_VSD_L_BU*Table7[[#This Row],[Ipeak (A) C]]*Fsw*10^3*30*10^-9, C_MOSFET_S_VSD_H_BO*Table7[[#This Row],[Ivalley (A) C]]*Fsw*10^3*40*10^-9+C_MOSFET_S_VSD_H_BO*Table7[[#This Row],[Ipeak (A) C]]*Fsw*10^3*30*10^-9)/10^-3</f>
        <v>36.2274285714286</v>
      </c>
      <c r="BS187" s="152" t="e">
        <f aca="false">IF(VACnom&gt;Vbat, VACnom*C_MOSFET_S_QG_L_BU*10^-9*Fsw*10^3, VACnom*C_MOSFET_S_QG_L_BO*10^-9*Fsw*10^3)/10^-3</f>
        <v>#REF!</v>
      </c>
      <c r="BT187" s="152" t="n">
        <f aca="false">IF(VACnom&lt;Vbat, Table7[[#This Row],[Duty Cycle]]*Table7[[#This Row],[I_L RMS]]^2*C_MOSFET_S_RDSON_H_BU*10^-3, (1-Table7[[#This Row],[Duty Cycle]])*Table7[[#This Row],[I_L RMS]]^2*C_MOSFET_S_RDSON_H_BO*10^-3)/10^-3</f>
        <v>2.87763895286686</v>
      </c>
      <c r="BU187" s="152" t="e">
        <f aca="false">IF(VACnom&gt;Vbat, Table7[[#This Row],[PIV (mW) C]]+Table7[[#This Row],[PQoss (mW) C]]+Table7[[#This Row],[Pgate_top (mW) C]], Table7[[#This Row],[PRR (mW) C]]+Table7[[#This Row],[Pdead (mW) C]]+Table7[[#This Row],[Pgate_top (mW) C]])</f>
        <v>#REF!</v>
      </c>
      <c r="BV187" s="152" t="e">
        <f aca="false">Table7[[#This Row],[Pcon_top (mW) C]]+Table7[[#This Row],[Psw_top (mW) C]]</f>
        <v>#REF!</v>
      </c>
      <c r="BW187" s="152" t="e">
        <f aca="false">IF(VACnom&gt;Vbat, (1-Table7[[#This Row],[Duty Cycle]])*Table7[[#This Row],[I_L RMS]]^2*C_MOSFET_S_RDSON_L_BU*10^-3, Table7[[#This Row],[Duty Cycle]]*Table7[[#This Row],[I_L RMS]]^2*C_MOSFET_S_RDSON_L_BO*10^-3)/10^-3</f>
        <v>#REF!</v>
      </c>
      <c r="BX187" s="152" t="e">
        <f aca="false">IF(VACnom&gt;Vbat, Table7[[#This Row],[PRR (mW) C]]+Table7[[#This Row],[Pdead (mW) C]]+Table7[[#This Row],[Pgate_bottom (mW) C]], Table7[[#This Row],[PIV (mW) C]]+Table7[[#This Row],[PQoss (mW) C]]+Table7[[#This Row],[Pgate_bottom (mW) C]])</f>
        <v>#REF!</v>
      </c>
      <c r="BY187" s="152" t="e">
        <f aca="false">Table7[[#This Row],[Pcon_bottom (mW) C]]+Table7[[#This Row],[Psw_bottom (mV) C]]</f>
        <v>#REF!</v>
      </c>
      <c r="BZ187" s="152" t="e">
        <f aca="false">Table7[[#This Row],[Pbottom (mW) C]]+Table7[[#This Row],[Ptop (mW) C]]</f>
        <v>#REF!</v>
      </c>
      <c r="CA187" s="156"/>
      <c r="CB187" s="151" t="n">
        <f aca="false">(RAC_SNS*10^-3*(Table7[[#This Row],[IOUT (A)]]*Vbat/VACnom)^2/10^-3)</f>
        <v>52.975125</v>
      </c>
      <c r="CC187" s="151" t="n">
        <f aca="false">(RBAT_SNS*10^-3*Table7[[#This Row],[IOUT (A)]]^2)/10^-3</f>
        <v>48.05</v>
      </c>
      <c r="CD187" s="151" t="n">
        <f aca="false">IF(VACnom&gt;Vbat,(L_DRC*10^-3*(Table7[[#This Row],[IOUT (A)]])^2/10^-3),(L_DRC*10^-3*(Table7[[#This Row],[IOUT (A)]]*Vbat/VACnom)^2/10^-3))</f>
        <v>127.1403</v>
      </c>
      <c r="CE187" s="157"/>
      <c r="CF187" s="152" t="n">
        <f aca="false">(Table7[[#This Row],[R_AC (mW)]]+Table7[[#This Row],[R_SR (mW)]]+Table7[[#This Row],[Inductor Loss (mW)]])/10^3</f>
        <v>0.228165425</v>
      </c>
      <c r="CG187" s="152" t="e">
        <f aca="false">Table7[[#This Row],[Total TI (mW)]]/10^3</f>
        <v>#REF!</v>
      </c>
      <c r="CH187" s="152" t="e">
        <f aca="false">Table7[[#This Row],[Total Sense Loss]]+Table7[[#This Row],[Total MOSFET Loss]]</f>
        <v>#REF!</v>
      </c>
      <c r="CI187" s="158" t="e">
        <f aca="false">IF(Table7[[#This Row],[POUT (W)]]=0,0,(Table7[[#This Row],[POUT (W)]])/(Table7[[#This Row],[POUT (W)]]+Table7[[#This Row],[Total Power Loss (W)]]))*100</f>
        <v>#REF!</v>
      </c>
      <c r="CJ187" s="159"/>
      <c r="CK187" s="152" t="n">
        <f aca="false">(Table7[[#This Row],[R_AC (mW)]]+Table7[[#This Row],[R_SR (mW)]]+Table7[[#This Row],[Inductor Loss (mW)]])/10^3</f>
        <v>0.228165425</v>
      </c>
      <c r="CL187" s="152" t="e">
        <f aca="false">Table7[[#This Row],[Total (mW) C]]/10^3</f>
        <v>#REF!</v>
      </c>
      <c r="CM187" s="152" t="e">
        <f aca="false">Table7[[#This Row],[Total Sense Loss C]]+Table7[[#This Row],[Total MOSFET Loss C]]</f>
        <v>#REF!</v>
      </c>
      <c r="CN187" s="158" t="e">
        <f aca="false">IF(Table7[[#This Row],[POUT (W)]]=0,0,(Table7[[#This Row],[POUT (W)]])/(Table7[[#This Row],[POUT (W)]]+Table7[[#This Row],[Total Power Loss (W) C]]))*100</f>
        <v>#REF!</v>
      </c>
      <c r="CO187" s="159"/>
      <c r="CP187" s="158" t="n">
        <f aca="false">IF(MOSFET_S=Custom_MOSFET,Table7[[#This Row],[Total Sense Loss C]],Table7[[#This Row],[Total Sense Loss]])</f>
        <v>0.228165425</v>
      </c>
      <c r="CQ187" s="158" t="e">
        <f aca="false">IF(MOSFET_S=Custom_MOSFET,Table7[[#This Row],[Total MOSFET Loss C]],Table7[[#This Row],[Total MOSFET Loss]])</f>
        <v>#REF!</v>
      </c>
      <c r="CR187" s="158" t="e">
        <f aca="false">IF(MOSFET_S=Custom_MOSFET,Table7[[#This Row],[Efficiency C]],Table7[[#This Row],[Efficiency]])</f>
        <v>#REF!</v>
      </c>
      <c r="CS187" s="159"/>
      <c r="CT187" s="158" t="n">
        <f aca="false">IF(MOSFET_S=Compare_MOSFET, Table7[[#This Row],[Total Sense Loss C]], -100)</f>
        <v>-100</v>
      </c>
      <c r="CU187" s="158" t="n">
        <f aca="false">IF(MOSFET_S=Compare_MOSFET, Table7[[#This Row],[Total MOSFET Loss C]], -100)</f>
        <v>-100</v>
      </c>
      <c r="CV187" s="158" t="n">
        <f aca="false">IF(MOSFET_S=Compare_MOSFET, Table7[[#This Row],[Efficiency C]], -100)</f>
        <v>-100</v>
      </c>
      <c r="CW187" s="159"/>
      <c r="CX187" s="158" t="e">
        <f aca="false">IF(Save_Sel=CLR_Save,  Table7[[#This Row],[Total Sense Loss P1]], Table7[[#This Row],[Total Sense Loss P1 Saved]])</f>
        <v>#VALUE!</v>
      </c>
      <c r="CY187" s="158" t="e">
        <f aca="false">IF(Save_Sel=CLR_Save,  Table7[[#This Row],[Total MOSFET Loss P1]], Table7[[#This Row],[Total MOSFET Loss P1 Saved]] )</f>
        <v>#VALUE!</v>
      </c>
      <c r="CZ187" s="158" t="e">
        <f aca="false">IF(Save_Sel=CLR_Save, Table7[[#This Row],[Efficiency P1]], Table7[[#This Row],[Efficiency P1 Saved]])</f>
        <v>#VALUE!</v>
      </c>
      <c r="DA187" s="159"/>
      <c r="DB187" s="158" t="e">
        <f aca="false">IF(Save_Sel=CLR_Save,  Table7[[#This Row],[Total Sense Loss P2]], Table7[[#This Row],[Total Sense Loss P2 Saved]])</f>
        <v>#VALUE!</v>
      </c>
      <c r="DC187" s="158" t="e">
        <f aca="false">IF(Save_Sel=CLR_Save,  Table7[[#This Row],[Total MOSFET Loss P2]], Table7[[#This Row],[Total MOSFET Loss P2 Saved]] )</f>
        <v>#VALUE!</v>
      </c>
      <c r="DD187" s="158" t="e">
        <f aca="false">IF(Save_Sel=CLR_Save, Table7[[#This Row],[Efficiency P2]], Table7[[#This Row],[Efficiency P2 Saved]])</f>
        <v>#VALUE!</v>
      </c>
      <c r="DE187" s="159"/>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row>
    <row r="188" customFormat="false" ht="16.4" hidden="false" customHeight="false" outlineLevel="0" collapsed="false">
      <c r="A188" s="96" t="n">
        <v>15</v>
      </c>
      <c r="B188" s="97"/>
      <c r="C188" s="97"/>
      <c r="D188" s="35" t="s">
        <v>154</v>
      </c>
      <c r="E188" s="132" t="e">
        <f aca="false">$N149</f>
        <v>#REF!</v>
      </c>
      <c r="F188" s="132" t="e">
        <f aca="false">$O149</f>
        <v>#REF!</v>
      </c>
      <c r="G188" s="130" t="s">
        <v>155</v>
      </c>
      <c r="H188" s="24"/>
      <c r="I188" s="96" t="n">
        <v>15</v>
      </c>
      <c r="J188" s="131"/>
      <c r="K188" s="97"/>
      <c r="L188" s="97"/>
      <c r="M188" s="35" t="s">
        <v>154</v>
      </c>
      <c r="N188" s="132" t="n">
        <f aca="false">$E149</f>
        <v>50</v>
      </c>
      <c r="O188" s="132" t="n">
        <f aca="false">$F149</f>
        <v>50</v>
      </c>
      <c r="P188" s="130" t="s">
        <v>155</v>
      </c>
      <c r="Q188" s="24"/>
      <c r="R188" s="24"/>
      <c r="S188" s="25"/>
      <c r="T188" s="6"/>
      <c r="U188" s="7"/>
      <c r="V188" s="7"/>
      <c r="W188" s="7"/>
      <c r="X188" s="7"/>
      <c r="Y188" s="7"/>
      <c r="Z188" s="7"/>
      <c r="AA188" s="7"/>
      <c r="AB188" s="7"/>
      <c r="AC188" s="7"/>
      <c r="AD188" s="7"/>
      <c r="AE188" s="7"/>
      <c r="AF188" s="150" t="n">
        <f aca="false">AF187+1</f>
        <v>32</v>
      </c>
      <c r="AG188" s="150" t="n">
        <f aca="false">$AG$156+AF188*($AG$256-$AG$156)/$AF$256</f>
        <v>3.2</v>
      </c>
      <c r="AH188" s="151" t="n">
        <f aca="false">AG188*VACnom</f>
        <v>38.4</v>
      </c>
      <c r="AI188" s="152" t="n">
        <f aca="false">IF(VACnom&lt;Vbat, (Vbat-VACnom)/Vbat, Vbat/VACnom)</f>
        <v>0.0476190476190476</v>
      </c>
      <c r="AJ188" s="152" t="n">
        <f aca="false">IF(VACnom&lt;Vbat, AG188/(1-AI188), AG188*AI188)</f>
        <v>3.36</v>
      </c>
      <c r="AK188" s="152" t="n">
        <f aca="false">Ipkpk_VACnom</f>
        <v>0.285714285714285</v>
      </c>
      <c r="AL188" s="152" t="n">
        <f aca="false">SQRT(AJ188^2+AK188^2/12)</f>
        <v>3.36101215723604</v>
      </c>
      <c r="AM188" s="153"/>
      <c r="AN188" s="152" t="n">
        <f aca="false">MAX(0,Table7[[#This Row],[I_L]]-0.5*Table7[[#This Row],[I_L pkpk]])</f>
        <v>3.21714285714286</v>
      </c>
      <c r="AO188" s="152" t="n">
        <f aca="false">Table7[[#This Row],[I_L]]+0.5*Table7[[#This Row],[I_L pkpk]]</f>
        <v>3.50285714285714</v>
      </c>
      <c r="AP188" s="152" t="e">
        <f aca="false">IF(VACnom&gt;Vbat, (VGS_S-(TI_MOSFET_S_VTH_H_BU+Table7[[#This Row],[I_L]]/TI_MOSFET_S_gFS_H_BU))/3.4, (VGS_S-(TI_MOSFET_S_VTH_L_BO+Table7[[#This Row],[I_L]]/TI_MOSFET_S_gFS_L_BO))/3.4 )</f>
        <v>#REF!</v>
      </c>
      <c r="AQ188" s="152" t="e">
        <f aca="false">IF(VACnom&gt;Vbat, ((TI_MOSFET_S_VTH_H_BU+Table7[[#This Row],[I_L]]/TI_MOSFET_S_gFS_H_BU))/1, ((TI_MOSFET_S_VTH_L_BO+Table7[[#This Row],[I_L]]/TI_MOSFET_S_gFS_L_BO))/1 )</f>
        <v>#REF!</v>
      </c>
      <c r="AR188" s="152" t="e">
        <f aca="false">IF(VACnom&gt;Vbat, (TI_MOSFET_S_QGD_H_BU+TI_MOSFET_S_QGS_H_BU)*10^-9/Table7[[#This Row],[Ion (A)]], (TI_MOSFET_S_QGD_L_BO+TI_MOSFET_S_QGS_L_BO)*10^-9/Table7[[#This Row],[Ion (A)]])/10^-9</f>
        <v>#REF!</v>
      </c>
      <c r="AS188" s="152" t="e">
        <f aca="false">IF(VACnom&gt;Vbat, (TI_MOSFET_S_QGD_H_BU+TI_MOSFET_S_QGS_H_BU)*10^-9/Table7[[#This Row],[Ioff (A)]], (TI_MOSFET_S_QGD_L_BO+TI_MOSFET_S_QGS_L_BO)*10^-9/Table7[[#This Row],[Ioff (A)]])/10^-9</f>
        <v>#REF!</v>
      </c>
      <c r="AT188" s="152" t="e">
        <f aca="false">0.5*VACnom*Table7[[#This Row],[Ivalley (A)]]*Table7[[#This Row],[ton (ns)]]*10^-9*Fsw*10^3+0.5*VACnom*Table7[[#This Row],[Ipeak (A)]]*Table7[[#This Row],[toff (ns)]]*10^-9*Fsw*10^3/10^-3</f>
        <v>#REF!</v>
      </c>
      <c r="AU188" s="152" t="e">
        <f aca="false">IF(VACnom&gt;Vbat, 0.5*VACnom*TI_MOSFET_S_QOSS_H_BU*10^-9*Fsw*10^3,0.5*VACnom*TI_MOSFET_S_QOSS_L_BO*10^-9*Fsw*10^3)/10^-3</f>
        <v>#REF!</v>
      </c>
      <c r="AV188" s="152" t="e">
        <f aca="false">IF(VACnom&gt;Vbat, VACnom*TI_MOSFET_S_QG_H_BU*10^-9*Fsw*10^3,VACnom*TI_MOSFET_S_QG_H_BO*10^-9*Fsw*10^3)/10^-3</f>
        <v>#REF!</v>
      </c>
      <c r="AW188" s="152" t="e">
        <f aca="false">IF(VACnom&gt;Vbat, VACnom*TI_MOSFET_S_QRR_L_BU*10^-9*Fsw*10^3, VACnom*TI_MOSFET_S_QRR_H_BO*10^-9*Fsw*10^3)/10^-3</f>
        <v>#REF!</v>
      </c>
      <c r="AX188" s="152" t="e">
        <f aca="false">IF(VACnom&gt;Vbat, TI_MOSFET_S_VSD_L_BU*Table7[[#This Row],[Ivalley (A)]]*Fsw*10^3*40*10^-9+TI_MOSFET_S_VSD_L_BU*Table7[[#This Row],[Ipeak (A)]]*Fsw*10^3*30*10^-9, TI_MOSFET_S_VSD_H_BO*Table7[[#This Row],[Ivalley (A)]]*Fsw*10^3*40*10^-9+TI_MOSFET_S_VSD_H_BO*Table7[[#This Row],[Ipeak (A)]]*Fsw*10^3*30*10^-9)/10^-3</f>
        <v>#REF!</v>
      </c>
      <c r="AY188" s="152" t="e">
        <f aca="false">IF(VACnom&gt;Vbat, VACnom*TI_MOSFET_S_QG_L_BU*10^-9*Fsw*10^3, VACnom*TI_MOSFET_S_QG_L_BO*10^-9*Fsw*10^3)/10^-3</f>
        <v>#REF!</v>
      </c>
      <c r="AZ188" s="152" t="e">
        <f aca="false">IF(VACnom&lt;Vbat, Table7[[#This Row],[Duty Cycle]]*Table7[[#This Row],[I_L RMS]]^2*TI_MOSFET_S_RDSON_H_BU*10^-3, (1-Table7[[#This Row],[Duty Cycle]])*Table7[[#This Row],[I_L RMS]]^2*TI_MOSFET_S_RDSON_H_BO*10^-3)/10^-3</f>
        <v>#REF!</v>
      </c>
      <c r="BA188" s="152" t="e">
        <f aca="false">IF(VACnom&gt;Vbat, Table7[[#This Row],[PIV (mW)]]+Table7[[#This Row],[Pqoss (mW)]]+Table7[[#This Row],[Pgate_top (mW)]], Table7[[#This Row],[PRR (mW)]]+Table7[[#This Row],[Pdead (mW)]]+Table7[[#This Row],[Pgate_top (mW)]])</f>
        <v>#REF!</v>
      </c>
      <c r="BB188" s="152" t="e">
        <f aca="false">Table7[[#This Row],[Pcon_top (mW)]]+Table7[[#This Row],[Psw_top (mW)]]</f>
        <v>#REF!</v>
      </c>
      <c r="BC188" s="152" t="e">
        <f aca="false">IF(VACnom&gt;Vbat, (1-Table7[[#This Row],[Duty Cycle]])*Table7[[#This Row],[I_L RMS]]^2*TI_MOSFET_S_RDSON_L_BU*10^-3, Table7[[#This Row],[Duty Cycle]]*Table7[[#This Row],[I_L RMS]]^2*TI_MOSFET_S_RDSON_L_BO*10^-3)/10^-3</f>
        <v>#REF!</v>
      </c>
      <c r="BD188" s="152" t="e">
        <f aca="false">IF(VACnom&gt;Vbat, Table7[[#This Row],[PRR (mW)]]+Table7[[#This Row],[Pdead (mW)]]+Table7[[#This Row],[Pgate_bottom (mW)]], Table7[[#This Row],[PIV (mW)]]+Table7[[#This Row],[Pqoss (mW)]]+Table7[[#This Row],[Pgate_bottom (mW)]])</f>
        <v>#REF!</v>
      </c>
      <c r="BE188" s="154" t="e">
        <f aca="false">Table7[[#This Row],[Pcon_bottom (mW)]]+Table7[[#This Row],[Psw_bottom (mW)]]</f>
        <v>#REF!</v>
      </c>
      <c r="BF188" s="152" t="e">
        <f aca="false">Table7[[#This Row],[Pbottom (mW)]]+Table7[[#This Row],[Ptop (mW)]]</f>
        <v>#REF!</v>
      </c>
      <c r="BG188" s="155"/>
      <c r="BH188" s="152" t="n">
        <f aca="false">MAX(0,Table7[[#This Row],[I_L]]-0.5*Table7[[#This Row],[I_L pkpk]])</f>
        <v>3.21714285714286</v>
      </c>
      <c r="BI188" s="152" t="n">
        <f aca="false">Table7[[#This Row],[I_L]]+0.5*Table7[[#This Row],[I_L pkpk]]</f>
        <v>3.50285714285714</v>
      </c>
      <c r="BJ188" s="152" t="n">
        <f aca="false">IF(VACnom&gt;Vbat, (VGS_S-(C_MOSFET_S_VTH_H_BU+Table7[[#This Row],[I_L]]/C_MOSFET_S_gFS_H_BU))/3.4, (VGS_S-(C_MOSFET_S_VTH_L_BO+Table7[[#This Row],[I_L]]/C_MOSFET_S_gFS_L_BO))/3.4 )</f>
        <v>2.34635294117647</v>
      </c>
      <c r="BK188" s="152" t="n">
        <f aca="false">IF(VACnom&gt;Vbat, ((C_MOSFET_S_VTH_H_BU+Table7[[#This Row],[I_L]]/C_MOSFET_S_gFS_H_BU))/1, ((C_MOSFET_S_VTH_L_BO+Table7[[#This Row],[I_L]]/C_MOSFET_S_gFS_L_BO))/1 )</f>
        <v>2.0224</v>
      </c>
      <c r="BL188" s="152" t="n">
        <f aca="false">IF(VACnom&gt;Vbat, (C_MOSFET_S_QGD_H_BU+C_MOSFET_S_QGS_H_BU)*10^-9/Table7[[#This Row],[Ion (A) C]], (C_MOSFET_S_QGD_L_BO+C_MOSFET_S_QGS_L_BO)*10^-9/Table7[[#This Row],[Ion (A) C]])/10^-9</f>
        <v>2.77025671881268</v>
      </c>
      <c r="BM188" s="152" t="n">
        <f aca="false">IF(VACnom&gt;Vbat, (C_MOSFET_S_QGD_H_BU+C_MOSFET_S_QGS_H_BU)*10^-9/Table7[[#This Row],[Ioff (A) C]], (C_MOSFET_S_QGD_L_BO+C_MOSFET_S_QGS_L_BO)*10^-9/Table7[[#This Row],[Ioff (A) C]])/10^-9</f>
        <v>3.21400316455696</v>
      </c>
      <c r="BN188" s="152" t="n">
        <f aca="false">0.5*VACnom*Table7[[#This Row],[Ivalley (A) C]]*Table7[[#This Row],[ton (ns) C]]*10^-9*Fsw*10^3+0.5*VACnom*Table7[[#This Row],[Ipeak (A) C]]*Table7[[#This Row],[toff (ns) C]]*10^-9*Fsw*10^3/10^-3</f>
        <v>13.520527504499</v>
      </c>
      <c r="BO188" s="152" t="n">
        <f aca="false">IF(VACnom&gt;Vbat, 0.5*VACnom*C_MOSFET_S_QOSS_H_BU*10^-9*Fsw*10^3,0.5*VACnom*C_MOSFET_S_QOSS_L_BO*10^-9*Fsw*10^3)/10^-3</f>
        <v>43.2</v>
      </c>
      <c r="BP188" s="152" t="e">
        <f aca="false">IF(VACnom&gt;Vbat, VACnom*C_MOSFET_S_QG_H_BU*10^-9*Fsw*10^3,VACnom*C_MOSFET_S_QG_H_BO*10^-9*Fsw*10^3)/10^-3</f>
        <v>#REF!</v>
      </c>
      <c r="BQ188" s="152" t="n">
        <f aca="false">IF(VACnom&gt;Vbat, VACnom*C_MOSFET_S_QRR_L_BU*10^-9*Fsw*10^3, VACnom*C_MOSFET_S_QRR_H_BO*10^-9*Fsw*10^3)/10^-3</f>
        <v>79.2</v>
      </c>
      <c r="BR188" s="152" t="n">
        <f aca="false">IF(VACnom&gt;Vbat, C_MOSFET_S_VSD_L_BU*Table7[[#This Row],[Ivalley (A) C]]*Fsw*10^3*40*10^-9+C_MOSFET_S_VSD_L_BU*Table7[[#This Row],[Ipeak (A) C]]*Fsw*10^3*30*10^-9, C_MOSFET_S_VSD_H_BO*Table7[[#This Row],[Ivalley (A) C]]*Fsw*10^3*40*10^-9+C_MOSFET_S_VSD_H_BO*Table7[[#This Row],[Ipeak (A) C]]*Fsw*10^3*30*10^-9)/10^-3</f>
        <v>37.4034285714286</v>
      </c>
      <c r="BS188" s="152" t="e">
        <f aca="false">IF(VACnom&gt;Vbat, VACnom*C_MOSFET_S_QG_L_BU*10^-9*Fsw*10^3, VACnom*C_MOSFET_S_QG_L_BO*10^-9*Fsw*10^3)/10^-3</f>
        <v>#REF!</v>
      </c>
      <c r="BT188" s="152" t="n">
        <f aca="false">IF(VACnom&lt;Vbat, Table7[[#This Row],[Duty Cycle]]*Table7[[#This Row],[I_L RMS]]^2*C_MOSFET_S_RDSON_H_BU*10^-3, (1-Table7[[#This Row],[Duty Cycle]])*Table7[[#This Row],[I_L RMS]]^2*C_MOSFET_S_RDSON_H_BO*10^-3)/10^-3</f>
        <v>3.06616645286686</v>
      </c>
      <c r="BU188" s="152" t="e">
        <f aca="false">IF(VACnom&gt;Vbat, Table7[[#This Row],[PIV (mW) C]]+Table7[[#This Row],[PQoss (mW) C]]+Table7[[#This Row],[Pgate_top (mW) C]], Table7[[#This Row],[PRR (mW) C]]+Table7[[#This Row],[Pdead (mW) C]]+Table7[[#This Row],[Pgate_top (mW) C]])</f>
        <v>#REF!</v>
      </c>
      <c r="BV188" s="152" t="e">
        <f aca="false">Table7[[#This Row],[Pcon_top (mW) C]]+Table7[[#This Row],[Psw_top (mW) C]]</f>
        <v>#REF!</v>
      </c>
      <c r="BW188" s="152" t="e">
        <f aca="false">IF(VACnom&gt;Vbat, (1-Table7[[#This Row],[Duty Cycle]])*Table7[[#This Row],[I_L RMS]]^2*C_MOSFET_S_RDSON_L_BU*10^-3, Table7[[#This Row],[Duty Cycle]]*Table7[[#This Row],[I_L RMS]]^2*C_MOSFET_S_RDSON_L_BO*10^-3)/10^-3</f>
        <v>#REF!</v>
      </c>
      <c r="BX188" s="152" t="e">
        <f aca="false">IF(VACnom&gt;Vbat, Table7[[#This Row],[PRR (mW) C]]+Table7[[#This Row],[Pdead (mW) C]]+Table7[[#This Row],[Pgate_bottom (mW) C]], Table7[[#This Row],[PIV (mW) C]]+Table7[[#This Row],[PQoss (mW) C]]+Table7[[#This Row],[Pgate_bottom (mW) C]])</f>
        <v>#REF!</v>
      </c>
      <c r="BY188" s="152" t="e">
        <f aca="false">Table7[[#This Row],[Pcon_bottom (mW) C]]+Table7[[#This Row],[Psw_bottom (mV) C]]</f>
        <v>#REF!</v>
      </c>
      <c r="BZ188" s="152" t="e">
        <f aca="false">Table7[[#This Row],[Pbottom (mW) C]]+Table7[[#This Row],[Ptop (mW) C]]</f>
        <v>#REF!</v>
      </c>
      <c r="CA188" s="156"/>
      <c r="CB188" s="151" t="n">
        <f aca="false">(RAC_SNS*10^-3*(Table7[[#This Row],[IOUT (A)]]*Vbat/VACnom)^2/10^-3)</f>
        <v>56.448</v>
      </c>
      <c r="CC188" s="151" t="n">
        <f aca="false">(RBAT_SNS*10^-3*Table7[[#This Row],[IOUT (A)]]^2)/10^-3</f>
        <v>51.2</v>
      </c>
      <c r="CD188" s="151" t="n">
        <f aca="false">IF(VACnom&gt;Vbat,(L_DRC*10^-3*(Table7[[#This Row],[IOUT (A)]])^2/10^-3),(L_DRC*10^-3*(Table7[[#This Row],[IOUT (A)]]*Vbat/VACnom)^2/10^-3))</f>
        <v>135.4752</v>
      </c>
      <c r="CE188" s="157"/>
      <c r="CF188" s="152" t="n">
        <f aca="false">(Table7[[#This Row],[R_AC (mW)]]+Table7[[#This Row],[R_SR (mW)]]+Table7[[#This Row],[Inductor Loss (mW)]])/10^3</f>
        <v>0.2431232</v>
      </c>
      <c r="CG188" s="152" t="e">
        <f aca="false">Table7[[#This Row],[Total TI (mW)]]/10^3</f>
        <v>#REF!</v>
      </c>
      <c r="CH188" s="152" t="e">
        <f aca="false">Table7[[#This Row],[Total Sense Loss]]+Table7[[#This Row],[Total MOSFET Loss]]</f>
        <v>#REF!</v>
      </c>
      <c r="CI188" s="158" t="e">
        <f aca="false">IF(Table7[[#This Row],[POUT (W)]]=0,0,(Table7[[#This Row],[POUT (W)]])/(Table7[[#This Row],[POUT (W)]]+Table7[[#This Row],[Total Power Loss (W)]]))*100</f>
        <v>#REF!</v>
      </c>
      <c r="CJ188" s="159"/>
      <c r="CK188" s="152" t="n">
        <f aca="false">(Table7[[#This Row],[R_AC (mW)]]+Table7[[#This Row],[R_SR (mW)]]+Table7[[#This Row],[Inductor Loss (mW)]])/10^3</f>
        <v>0.2431232</v>
      </c>
      <c r="CL188" s="152" t="e">
        <f aca="false">Table7[[#This Row],[Total (mW) C]]/10^3</f>
        <v>#REF!</v>
      </c>
      <c r="CM188" s="152" t="e">
        <f aca="false">Table7[[#This Row],[Total Sense Loss C]]+Table7[[#This Row],[Total MOSFET Loss C]]</f>
        <v>#REF!</v>
      </c>
      <c r="CN188" s="158" t="e">
        <f aca="false">IF(Table7[[#This Row],[POUT (W)]]=0,0,(Table7[[#This Row],[POUT (W)]])/(Table7[[#This Row],[POUT (W)]]+Table7[[#This Row],[Total Power Loss (W) C]]))*100</f>
        <v>#REF!</v>
      </c>
      <c r="CO188" s="159"/>
      <c r="CP188" s="158" t="n">
        <f aca="false">IF(MOSFET_S=Custom_MOSFET,Table7[[#This Row],[Total Sense Loss C]],Table7[[#This Row],[Total Sense Loss]])</f>
        <v>0.2431232</v>
      </c>
      <c r="CQ188" s="158" t="e">
        <f aca="false">IF(MOSFET_S=Custom_MOSFET,Table7[[#This Row],[Total MOSFET Loss C]],Table7[[#This Row],[Total MOSFET Loss]])</f>
        <v>#REF!</v>
      </c>
      <c r="CR188" s="158" t="e">
        <f aca="false">IF(MOSFET_S=Custom_MOSFET,Table7[[#This Row],[Efficiency C]],Table7[[#This Row],[Efficiency]])</f>
        <v>#REF!</v>
      </c>
      <c r="CS188" s="159"/>
      <c r="CT188" s="158" t="n">
        <f aca="false">IF(MOSFET_S=Compare_MOSFET, Table7[[#This Row],[Total Sense Loss C]], -100)</f>
        <v>-100</v>
      </c>
      <c r="CU188" s="158" t="n">
        <f aca="false">IF(MOSFET_S=Compare_MOSFET, Table7[[#This Row],[Total MOSFET Loss C]], -100)</f>
        <v>-100</v>
      </c>
      <c r="CV188" s="158" t="n">
        <f aca="false">IF(MOSFET_S=Compare_MOSFET, Table7[[#This Row],[Efficiency C]], -100)</f>
        <v>-100</v>
      </c>
      <c r="CW188" s="159"/>
      <c r="CX188" s="158" t="e">
        <f aca="false">IF(Save_Sel=CLR_Save,  Table7[[#This Row],[Total Sense Loss P1]], Table7[[#This Row],[Total Sense Loss P1 Saved]])</f>
        <v>#VALUE!</v>
      </c>
      <c r="CY188" s="158" t="e">
        <f aca="false">IF(Save_Sel=CLR_Save,  Table7[[#This Row],[Total MOSFET Loss P1]], Table7[[#This Row],[Total MOSFET Loss P1 Saved]] )</f>
        <v>#VALUE!</v>
      </c>
      <c r="CZ188" s="158" t="e">
        <f aca="false">IF(Save_Sel=CLR_Save, Table7[[#This Row],[Efficiency P1]], Table7[[#This Row],[Efficiency P1 Saved]])</f>
        <v>#VALUE!</v>
      </c>
      <c r="DA188" s="159"/>
      <c r="DB188" s="158" t="e">
        <f aca="false">IF(Save_Sel=CLR_Save,  Table7[[#This Row],[Total Sense Loss P2]], Table7[[#This Row],[Total Sense Loss P2 Saved]])</f>
        <v>#VALUE!</v>
      </c>
      <c r="DC188" s="158" t="e">
        <f aca="false">IF(Save_Sel=CLR_Save,  Table7[[#This Row],[Total MOSFET Loss P2]], Table7[[#This Row],[Total MOSFET Loss P2 Saved]] )</f>
        <v>#VALUE!</v>
      </c>
      <c r="DD188" s="158" t="e">
        <f aca="false">IF(Save_Sel=CLR_Save, Table7[[#This Row],[Efficiency P2]], Table7[[#This Row],[Efficiency P2 Saved]])</f>
        <v>#VALUE!</v>
      </c>
      <c r="DE188" s="159"/>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row>
    <row r="189" customFormat="false" ht="16.4" hidden="false" customHeight="false" outlineLevel="0" collapsed="false">
      <c r="A189" s="171"/>
      <c r="C189" s="84"/>
      <c r="D189" s="41"/>
      <c r="E189" s="84"/>
      <c r="F189" s="84"/>
      <c r="G189" s="84"/>
      <c r="H189" s="24"/>
      <c r="I189" s="24"/>
      <c r="J189" s="24"/>
      <c r="K189" s="24"/>
      <c r="L189" s="24"/>
      <c r="M189" s="24"/>
      <c r="N189" s="24"/>
      <c r="O189" s="24"/>
      <c r="P189" s="24"/>
      <c r="Q189" s="24"/>
      <c r="R189" s="24"/>
      <c r="S189" s="25"/>
      <c r="T189" s="6"/>
      <c r="U189" s="7"/>
      <c r="V189" s="7"/>
      <c r="W189" s="7"/>
      <c r="X189" s="7"/>
      <c r="Y189" s="7"/>
      <c r="Z189" s="7"/>
      <c r="AA189" s="7"/>
      <c r="AB189" s="7"/>
      <c r="AC189" s="7"/>
      <c r="AD189" s="7"/>
      <c r="AE189" s="7"/>
      <c r="AF189" s="150" t="n">
        <f aca="false">AF188+1</f>
        <v>33</v>
      </c>
      <c r="AG189" s="150" t="n">
        <f aca="false">$AG$156+AF189*($AG$256-$AG$156)/$AF$256</f>
        <v>3.3</v>
      </c>
      <c r="AH189" s="151" t="n">
        <f aca="false">AG189*VACnom</f>
        <v>39.6</v>
      </c>
      <c r="AI189" s="152" t="n">
        <f aca="false">IF(VACnom&lt;Vbat, (Vbat-VACnom)/Vbat, Vbat/VACnom)</f>
        <v>0.0476190476190476</v>
      </c>
      <c r="AJ189" s="152" t="n">
        <f aca="false">IF(VACnom&lt;Vbat, AG189/(1-AI189), AG189*AI189)</f>
        <v>3.465</v>
      </c>
      <c r="AK189" s="152" t="n">
        <f aca="false">Ipkpk_VACnom</f>
        <v>0.285714285714285</v>
      </c>
      <c r="AL189" s="152" t="n">
        <f aca="false">SQRT(AJ189^2+AK189^2/12)</f>
        <v>3.46598149462579</v>
      </c>
      <c r="AM189" s="153"/>
      <c r="AN189" s="152" t="n">
        <f aca="false">MAX(0,Table7[[#This Row],[I_L]]-0.5*Table7[[#This Row],[I_L pkpk]])</f>
        <v>3.32214285714286</v>
      </c>
      <c r="AO189" s="152" t="n">
        <f aca="false">Table7[[#This Row],[I_L]]+0.5*Table7[[#This Row],[I_L pkpk]]</f>
        <v>3.60785714285714</v>
      </c>
      <c r="AP189" s="152" t="e">
        <f aca="false">IF(VACnom&gt;Vbat, (VGS_S-(TI_MOSFET_S_VTH_H_BU+Table7[[#This Row],[I_L]]/TI_MOSFET_S_gFS_H_BU))/3.4, (VGS_S-(TI_MOSFET_S_VTH_L_BO+Table7[[#This Row],[I_L]]/TI_MOSFET_S_gFS_L_BO))/3.4 )</f>
        <v>#REF!</v>
      </c>
      <c r="AQ189" s="152" t="e">
        <f aca="false">IF(VACnom&gt;Vbat, ((TI_MOSFET_S_VTH_H_BU+Table7[[#This Row],[I_L]]/TI_MOSFET_S_gFS_H_BU))/1, ((TI_MOSFET_S_VTH_L_BO+Table7[[#This Row],[I_L]]/TI_MOSFET_S_gFS_L_BO))/1 )</f>
        <v>#REF!</v>
      </c>
      <c r="AR189" s="152" t="e">
        <f aca="false">IF(VACnom&gt;Vbat, (TI_MOSFET_S_QGD_H_BU+TI_MOSFET_S_QGS_H_BU)*10^-9/Table7[[#This Row],[Ion (A)]], (TI_MOSFET_S_QGD_L_BO+TI_MOSFET_S_QGS_L_BO)*10^-9/Table7[[#This Row],[Ion (A)]])/10^-9</f>
        <v>#REF!</v>
      </c>
      <c r="AS189" s="152" t="e">
        <f aca="false">IF(VACnom&gt;Vbat, (TI_MOSFET_S_QGD_H_BU+TI_MOSFET_S_QGS_H_BU)*10^-9/Table7[[#This Row],[Ioff (A)]], (TI_MOSFET_S_QGD_L_BO+TI_MOSFET_S_QGS_L_BO)*10^-9/Table7[[#This Row],[Ioff (A)]])/10^-9</f>
        <v>#REF!</v>
      </c>
      <c r="AT189" s="152" t="e">
        <f aca="false">0.5*VACnom*Table7[[#This Row],[Ivalley (A)]]*Table7[[#This Row],[ton (ns)]]*10^-9*Fsw*10^3+0.5*VACnom*Table7[[#This Row],[Ipeak (A)]]*Table7[[#This Row],[toff (ns)]]*10^-9*Fsw*10^3/10^-3</f>
        <v>#REF!</v>
      </c>
      <c r="AU189" s="152" t="e">
        <f aca="false">IF(VACnom&gt;Vbat, 0.5*VACnom*TI_MOSFET_S_QOSS_H_BU*10^-9*Fsw*10^3,0.5*VACnom*TI_MOSFET_S_QOSS_L_BO*10^-9*Fsw*10^3)/10^-3</f>
        <v>#REF!</v>
      </c>
      <c r="AV189" s="152" t="e">
        <f aca="false">IF(VACnom&gt;Vbat, VACnom*TI_MOSFET_S_QG_H_BU*10^-9*Fsw*10^3,VACnom*TI_MOSFET_S_QG_H_BO*10^-9*Fsw*10^3)/10^-3</f>
        <v>#REF!</v>
      </c>
      <c r="AW189" s="152" t="e">
        <f aca="false">IF(VACnom&gt;Vbat, VACnom*TI_MOSFET_S_QRR_L_BU*10^-9*Fsw*10^3, VACnom*TI_MOSFET_S_QRR_H_BO*10^-9*Fsw*10^3)/10^-3</f>
        <v>#REF!</v>
      </c>
      <c r="AX189" s="152" t="e">
        <f aca="false">IF(VACnom&gt;Vbat, TI_MOSFET_S_VSD_L_BU*Table7[[#This Row],[Ivalley (A)]]*Fsw*10^3*40*10^-9+TI_MOSFET_S_VSD_L_BU*Table7[[#This Row],[Ipeak (A)]]*Fsw*10^3*30*10^-9, TI_MOSFET_S_VSD_H_BO*Table7[[#This Row],[Ivalley (A)]]*Fsw*10^3*40*10^-9+TI_MOSFET_S_VSD_H_BO*Table7[[#This Row],[Ipeak (A)]]*Fsw*10^3*30*10^-9)/10^-3</f>
        <v>#REF!</v>
      </c>
      <c r="AY189" s="152" t="e">
        <f aca="false">IF(VACnom&gt;Vbat, VACnom*TI_MOSFET_S_QG_L_BU*10^-9*Fsw*10^3, VACnom*TI_MOSFET_S_QG_L_BO*10^-9*Fsw*10^3)/10^-3</f>
        <v>#REF!</v>
      </c>
      <c r="AZ189" s="152" t="e">
        <f aca="false">IF(VACnom&lt;Vbat, Table7[[#This Row],[Duty Cycle]]*Table7[[#This Row],[I_L RMS]]^2*TI_MOSFET_S_RDSON_H_BU*10^-3, (1-Table7[[#This Row],[Duty Cycle]])*Table7[[#This Row],[I_L RMS]]^2*TI_MOSFET_S_RDSON_H_BO*10^-3)/10^-3</f>
        <v>#REF!</v>
      </c>
      <c r="BA189" s="152" t="e">
        <f aca="false">IF(VACnom&gt;Vbat, Table7[[#This Row],[PIV (mW)]]+Table7[[#This Row],[Pqoss (mW)]]+Table7[[#This Row],[Pgate_top (mW)]], Table7[[#This Row],[PRR (mW)]]+Table7[[#This Row],[Pdead (mW)]]+Table7[[#This Row],[Pgate_top (mW)]])</f>
        <v>#REF!</v>
      </c>
      <c r="BB189" s="152" t="e">
        <f aca="false">Table7[[#This Row],[Pcon_top (mW)]]+Table7[[#This Row],[Psw_top (mW)]]</f>
        <v>#REF!</v>
      </c>
      <c r="BC189" s="152" t="e">
        <f aca="false">IF(VACnom&gt;Vbat, (1-Table7[[#This Row],[Duty Cycle]])*Table7[[#This Row],[I_L RMS]]^2*TI_MOSFET_S_RDSON_L_BU*10^-3, Table7[[#This Row],[Duty Cycle]]*Table7[[#This Row],[I_L RMS]]^2*TI_MOSFET_S_RDSON_L_BO*10^-3)/10^-3</f>
        <v>#REF!</v>
      </c>
      <c r="BD189" s="152" t="e">
        <f aca="false">IF(VACnom&gt;Vbat, Table7[[#This Row],[PRR (mW)]]+Table7[[#This Row],[Pdead (mW)]]+Table7[[#This Row],[Pgate_bottom (mW)]], Table7[[#This Row],[PIV (mW)]]+Table7[[#This Row],[Pqoss (mW)]]+Table7[[#This Row],[Pgate_bottom (mW)]])</f>
        <v>#REF!</v>
      </c>
      <c r="BE189" s="154" t="e">
        <f aca="false">Table7[[#This Row],[Pcon_bottom (mW)]]+Table7[[#This Row],[Psw_bottom (mW)]]</f>
        <v>#REF!</v>
      </c>
      <c r="BF189" s="152" t="e">
        <f aca="false">Table7[[#This Row],[Pbottom (mW)]]+Table7[[#This Row],[Ptop (mW)]]</f>
        <v>#REF!</v>
      </c>
      <c r="BG189" s="155"/>
      <c r="BH189" s="152" t="n">
        <f aca="false">MAX(0,Table7[[#This Row],[I_L]]-0.5*Table7[[#This Row],[I_L pkpk]])</f>
        <v>3.32214285714286</v>
      </c>
      <c r="BI189" s="152" t="n">
        <f aca="false">Table7[[#This Row],[I_L]]+0.5*Table7[[#This Row],[I_L pkpk]]</f>
        <v>3.60785714285714</v>
      </c>
      <c r="BJ189" s="152" t="n">
        <f aca="false">IF(VACnom&gt;Vbat, (VGS_S-(C_MOSFET_S_VTH_H_BU+Table7[[#This Row],[I_L]]/C_MOSFET_S_gFS_H_BU))/3.4, (VGS_S-(C_MOSFET_S_VTH_L_BO+Table7[[#This Row],[I_L]]/C_MOSFET_S_gFS_L_BO))/3.4 )</f>
        <v>2.34614705882353</v>
      </c>
      <c r="BK189" s="152" t="n">
        <f aca="false">IF(VACnom&gt;Vbat, ((C_MOSFET_S_VTH_H_BU+Table7[[#This Row],[I_L]]/C_MOSFET_S_gFS_H_BU))/1, ((C_MOSFET_S_VTH_L_BO+Table7[[#This Row],[I_L]]/C_MOSFET_S_gFS_L_BO))/1 )</f>
        <v>2.0231</v>
      </c>
      <c r="BL189" s="152" t="n">
        <f aca="false">IF(VACnom&gt;Vbat, (C_MOSFET_S_QGD_H_BU+C_MOSFET_S_QGS_H_BU)*10^-9/Table7[[#This Row],[Ion (A) C]], (C_MOSFET_S_QGD_L_BO+C_MOSFET_S_QGS_L_BO)*10^-9/Table7[[#This Row],[Ion (A) C]])/10^-9</f>
        <v>2.77049981822512</v>
      </c>
      <c r="BM189" s="152" t="n">
        <f aca="false">IF(VACnom&gt;Vbat, (C_MOSFET_S_QGD_H_BU+C_MOSFET_S_QGS_H_BU)*10^-9/Table7[[#This Row],[Ioff (A) C]], (C_MOSFET_S_QGD_L_BO+C_MOSFET_S_QGS_L_BO)*10^-9/Table7[[#This Row],[Ioff (A) C]])/10^-9</f>
        <v>3.212891107706</v>
      </c>
      <c r="BN189" s="152" t="n">
        <f aca="false">0.5*VACnom*Table7[[#This Row],[Ivalley (A) C]]*Table7[[#This Row],[ton (ns) C]]*10^-9*Fsw*10^3+0.5*VACnom*Table7[[#This Row],[Ipeak (A) C]]*Table7[[#This Row],[toff (ns) C]]*10^-9*Fsw*10^3/10^-3</f>
        <v>13.9210273540093</v>
      </c>
      <c r="BO189" s="152" t="n">
        <f aca="false">IF(VACnom&gt;Vbat, 0.5*VACnom*C_MOSFET_S_QOSS_H_BU*10^-9*Fsw*10^3,0.5*VACnom*C_MOSFET_S_QOSS_L_BO*10^-9*Fsw*10^3)/10^-3</f>
        <v>43.2</v>
      </c>
      <c r="BP189" s="152" t="e">
        <f aca="false">IF(VACnom&gt;Vbat, VACnom*C_MOSFET_S_QG_H_BU*10^-9*Fsw*10^3,VACnom*C_MOSFET_S_QG_H_BO*10^-9*Fsw*10^3)/10^-3</f>
        <v>#REF!</v>
      </c>
      <c r="BQ189" s="152" t="n">
        <f aca="false">IF(VACnom&gt;Vbat, VACnom*C_MOSFET_S_QRR_L_BU*10^-9*Fsw*10^3, VACnom*C_MOSFET_S_QRR_H_BO*10^-9*Fsw*10^3)/10^-3</f>
        <v>79.2</v>
      </c>
      <c r="BR189" s="152" t="n">
        <f aca="false">IF(VACnom&gt;Vbat, C_MOSFET_S_VSD_L_BU*Table7[[#This Row],[Ivalley (A) C]]*Fsw*10^3*40*10^-9+C_MOSFET_S_VSD_L_BU*Table7[[#This Row],[Ipeak (A) C]]*Fsw*10^3*30*10^-9, C_MOSFET_S_VSD_H_BO*Table7[[#This Row],[Ivalley (A) C]]*Fsw*10^3*40*10^-9+C_MOSFET_S_VSD_H_BO*Table7[[#This Row],[Ipeak (A) C]]*Fsw*10^3*30*10^-9)/10^-3</f>
        <v>38.5794285714286</v>
      </c>
      <c r="BS189" s="152" t="e">
        <f aca="false">IF(VACnom&gt;Vbat, VACnom*C_MOSFET_S_QG_L_BU*10^-9*Fsw*10^3, VACnom*C_MOSFET_S_QG_L_BO*10^-9*Fsw*10^3)/10^-3</f>
        <v>#REF!</v>
      </c>
      <c r="BT189" s="152" t="n">
        <f aca="false">IF(VACnom&lt;Vbat, Table7[[#This Row],[Duty Cycle]]*Table7[[#This Row],[I_L RMS]]^2*C_MOSFET_S_RDSON_H_BU*10^-3, (1-Table7[[#This Row],[Duty Cycle]])*Table7[[#This Row],[I_L RMS]]^2*C_MOSFET_S_RDSON_H_BO*10^-3)/10^-3</f>
        <v>3.26067895286686</v>
      </c>
      <c r="BU189" s="152" t="e">
        <f aca="false">IF(VACnom&gt;Vbat, Table7[[#This Row],[PIV (mW) C]]+Table7[[#This Row],[PQoss (mW) C]]+Table7[[#This Row],[Pgate_top (mW) C]], Table7[[#This Row],[PRR (mW) C]]+Table7[[#This Row],[Pdead (mW) C]]+Table7[[#This Row],[Pgate_top (mW) C]])</f>
        <v>#REF!</v>
      </c>
      <c r="BV189" s="152" t="e">
        <f aca="false">Table7[[#This Row],[Pcon_top (mW) C]]+Table7[[#This Row],[Psw_top (mW) C]]</f>
        <v>#REF!</v>
      </c>
      <c r="BW189" s="152" t="e">
        <f aca="false">IF(VACnom&gt;Vbat, (1-Table7[[#This Row],[Duty Cycle]])*Table7[[#This Row],[I_L RMS]]^2*C_MOSFET_S_RDSON_L_BU*10^-3, Table7[[#This Row],[Duty Cycle]]*Table7[[#This Row],[I_L RMS]]^2*C_MOSFET_S_RDSON_L_BO*10^-3)/10^-3</f>
        <v>#REF!</v>
      </c>
      <c r="BX189" s="152" t="e">
        <f aca="false">IF(VACnom&gt;Vbat, Table7[[#This Row],[PRR (mW) C]]+Table7[[#This Row],[Pdead (mW) C]]+Table7[[#This Row],[Pgate_bottom (mW) C]], Table7[[#This Row],[PIV (mW) C]]+Table7[[#This Row],[PQoss (mW) C]]+Table7[[#This Row],[Pgate_bottom (mW) C]])</f>
        <v>#REF!</v>
      </c>
      <c r="BY189" s="152" t="e">
        <f aca="false">Table7[[#This Row],[Pcon_bottom (mW) C]]+Table7[[#This Row],[Psw_bottom (mV) C]]</f>
        <v>#REF!</v>
      </c>
      <c r="BZ189" s="152" t="e">
        <f aca="false">Table7[[#This Row],[Pbottom (mW) C]]+Table7[[#This Row],[Ptop (mW) C]]</f>
        <v>#REF!</v>
      </c>
      <c r="CA189" s="156"/>
      <c r="CB189" s="151" t="n">
        <f aca="false">(RAC_SNS*10^-3*(Table7[[#This Row],[IOUT (A)]]*Vbat/VACnom)^2/10^-3)</f>
        <v>60.031125</v>
      </c>
      <c r="CC189" s="151" t="n">
        <f aca="false">(RBAT_SNS*10^-3*Table7[[#This Row],[IOUT (A)]]^2)/10^-3</f>
        <v>54.45</v>
      </c>
      <c r="CD189" s="151" t="n">
        <f aca="false">IF(VACnom&gt;Vbat,(L_DRC*10^-3*(Table7[[#This Row],[IOUT (A)]])^2/10^-3),(L_DRC*10^-3*(Table7[[#This Row],[IOUT (A)]]*Vbat/VACnom)^2/10^-3))</f>
        <v>144.0747</v>
      </c>
      <c r="CE189" s="157"/>
      <c r="CF189" s="152" t="n">
        <f aca="false">(Table7[[#This Row],[R_AC (mW)]]+Table7[[#This Row],[R_SR (mW)]]+Table7[[#This Row],[Inductor Loss (mW)]])/10^3</f>
        <v>0.258555825</v>
      </c>
      <c r="CG189" s="152" t="e">
        <f aca="false">Table7[[#This Row],[Total TI (mW)]]/10^3</f>
        <v>#REF!</v>
      </c>
      <c r="CH189" s="152" t="e">
        <f aca="false">Table7[[#This Row],[Total Sense Loss]]+Table7[[#This Row],[Total MOSFET Loss]]</f>
        <v>#REF!</v>
      </c>
      <c r="CI189" s="158" t="e">
        <f aca="false">IF(Table7[[#This Row],[POUT (W)]]=0,0,(Table7[[#This Row],[POUT (W)]])/(Table7[[#This Row],[POUT (W)]]+Table7[[#This Row],[Total Power Loss (W)]]))*100</f>
        <v>#REF!</v>
      </c>
      <c r="CJ189" s="159"/>
      <c r="CK189" s="152" t="n">
        <f aca="false">(Table7[[#This Row],[R_AC (mW)]]+Table7[[#This Row],[R_SR (mW)]]+Table7[[#This Row],[Inductor Loss (mW)]])/10^3</f>
        <v>0.258555825</v>
      </c>
      <c r="CL189" s="152" t="e">
        <f aca="false">Table7[[#This Row],[Total (mW) C]]/10^3</f>
        <v>#REF!</v>
      </c>
      <c r="CM189" s="152" t="e">
        <f aca="false">Table7[[#This Row],[Total Sense Loss C]]+Table7[[#This Row],[Total MOSFET Loss C]]</f>
        <v>#REF!</v>
      </c>
      <c r="CN189" s="158" t="e">
        <f aca="false">IF(Table7[[#This Row],[POUT (W)]]=0,0,(Table7[[#This Row],[POUT (W)]])/(Table7[[#This Row],[POUT (W)]]+Table7[[#This Row],[Total Power Loss (W) C]]))*100</f>
        <v>#REF!</v>
      </c>
      <c r="CO189" s="159"/>
      <c r="CP189" s="158" t="n">
        <f aca="false">IF(MOSFET_S=Custom_MOSFET,Table7[[#This Row],[Total Sense Loss C]],Table7[[#This Row],[Total Sense Loss]])</f>
        <v>0.258555825</v>
      </c>
      <c r="CQ189" s="158" t="e">
        <f aca="false">IF(MOSFET_S=Custom_MOSFET,Table7[[#This Row],[Total MOSFET Loss C]],Table7[[#This Row],[Total MOSFET Loss]])</f>
        <v>#REF!</v>
      </c>
      <c r="CR189" s="158" t="e">
        <f aca="false">IF(MOSFET_S=Custom_MOSFET,Table7[[#This Row],[Efficiency C]],Table7[[#This Row],[Efficiency]])</f>
        <v>#REF!</v>
      </c>
      <c r="CS189" s="159"/>
      <c r="CT189" s="158" t="n">
        <f aca="false">IF(MOSFET_S=Compare_MOSFET, Table7[[#This Row],[Total Sense Loss C]], -100)</f>
        <v>-100</v>
      </c>
      <c r="CU189" s="158" t="n">
        <f aca="false">IF(MOSFET_S=Compare_MOSFET, Table7[[#This Row],[Total MOSFET Loss C]], -100)</f>
        <v>-100</v>
      </c>
      <c r="CV189" s="158" t="n">
        <f aca="false">IF(MOSFET_S=Compare_MOSFET, Table7[[#This Row],[Efficiency C]], -100)</f>
        <v>-100</v>
      </c>
      <c r="CW189" s="159"/>
      <c r="CX189" s="158" t="e">
        <f aca="false">IF(Save_Sel=CLR_Save,  Table7[[#This Row],[Total Sense Loss P1]], Table7[[#This Row],[Total Sense Loss P1 Saved]])</f>
        <v>#VALUE!</v>
      </c>
      <c r="CY189" s="158" t="e">
        <f aca="false">IF(Save_Sel=CLR_Save,  Table7[[#This Row],[Total MOSFET Loss P1]], Table7[[#This Row],[Total MOSFET Loss P1 Saved]] )</f>
        <v>#VALUE!</v>
      </c>
      <c r="CZ189" s="158" t="e">
        <f aca="false">IF(Save_Sel=CLR_Save, Table7[[#This Row],[Efficiency P1]], Table7[[#This Row],[Efficiency P1 Saved]])</f>
        <v>#VALUE!</v>
      </c>
      <c r="DA189" s="159"/>
      <c r="DB189" s="158" t="e">
        <f aca="false">IF(Save_Sel=CLR_Save,  Table7[[#This Row],[Total Sense Loss P2]], Table7[[#This Row],[Total Sense Loss P2 Saved]])</f>
        <v>#VALUE!</v>
      </c>
      <c r="DC189" s="158" t="e">
        <f aca="false">IF(Save_Sel=CLR_Save,  Table7[[#This Row],[Total MOSFET Loss P2]], Table7[[#This Row],[Total MOSFET Loss P2 Saved]] )</f>
        <v>#VALUE!</v>
      </c>
      <c r="DD189" s="158" t="e">
        <f aca="false">IF(Save_Sel=CLR_Save, Table7[[#This Row],[Efficiency P2]], Table7[[#This Row],[Efficiency P2 Saved]])</f>
        <v>#VALUE!</v>
      </c>
      <c r="DE189" s="159"/>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row>
    <row r="190" customFormat="false" ht="16.4" hidden="false" customHeight="false" outlineLevel="0" collapsed="false">
      <c r="A190" s="77"/>
      <c r="B190" s="24"/>
      <c r="C190" s="84"/>
      <c r="D190" s="28"/>
      <c r="E190" s="172"/>
      <c r="F190" s="24"/>
      <c r="G190" s="24"/>
      <c r="H190" s="24"/>
      <c r="I190" s="24"/>
      <c r="J190" s="24"/>
      <c r="L190" s="24"/>
      <c r="M190" s="24"/>
      <c r="N190" s="24"/>
      <c r="O190" s="24"/>
      <c r="P190" s="24"/>
      <c r="Q190" s="24"/>
      <c r="R190" s="24"/>
      <c r="S190" s="25"/>
      <c r="T190" s="6"/>
      <c r="U190" s="7"/>
      <c r="V190" s="7"/>
      <c r="W190" s="7"/>
      <c r="X190" s="7"/>
      <c r="Y190" s="7"/>
      <c r="Z190" s="7"/>
      <c r="AA190" s="7"/>
      <c r="AB190" s="7"/>
      <c r="AC190" s="7"/>
      <c r="AD190" s="7"/>
      <c r="AE190" s="7"/>
      <c r="AF190" s="150" t="n">
        <f aca="false">AF189+1</f>
        <v>34</v>
      </c>
      <c r="AG190" s="150" t="n">
        <f aca="false">$AG$156+AF190*($AG$256-$AG$156)/$AF$256</f>
        <v>3.4</v>
      </c>
      <c r="AH190" s="151" t="n">
        <f aca="false">AG190*VACnom</f>
        <v>40.8</v>
      </c>
      <c r="AI190" s="152" t="n">
        <f aca="false">IF(VACnom&lt;Vbat, (Vbat-VACnom)/Vbat, Vbat/VACnom)</f>
        <v>0.0476190476190476</v>
      </c>
      <c r="AJ190" s="152" t="n">
        <f aca="false">IF(VACnom&lt;Vbat, AG190/(1-AI190), AG190*AI190)</f>
        <v>3.57</v>
      </c>
      <c r="AK190" s="152" t="n">
        <f aca="false">Ipkpk_VACnom</f>
        <v>0.285714285714285</v>
      </c>
      <c r="AL190" s="152" t="n">
        <f aca="false">SQRT(AJ190^2+AK190^2/12)</f>
        <v>3.57095263495449</v>
      </c>
      <c r="AM190" s="153"/>
      <c r="AN190" s="152" t="n">
        <f aca="false">MAX(0,Table7[[#This Row],[I_L]]-0.5*Table7[[#This Row],[I_L pkpk]])</f>
        <v>3.42714285714286</v>
      </c>
      <c r="AO190" s="152" t="n">
        <f aca="false">Table7[[#This Row],[I_L]]+0.5*Table7[[#This Row],[I_L pkpk]]</f>
        <v>3.71285714285714</v>
      </c>
      <c r="AP190" s="152" t="e">
        <f aca="false">IF(VACnom&gt;Vbat, (VGS_S-(TI_MOSFET_S_VTH_H_BU+Table7[[#This Row],[I_L]]/TI_MOSFET_S_gFS_H_BU))/3.4, (VGS_S-(TI_MOSFET_S_VTH_L_BO+Table7[[#This Row],[I_L]]/TI_MOSFET_S_gFS_L_BO))/3.4 )</f>
        <v>#REF!</v>
      </c>
      <c r="AQ190" s="152" t="e">
        <f aca="false">IF(VACnom&gt;Vbat, ((TI_MOSFET_S_VTH_H_BU+Table7[[#This Row],[I_L]]/TI_MOSFET_S_gFS_H_BU))/1, ((TI_MOSFET_S_VTH_L_BO+Table7[[#This Row],[I_L]]/TI_MOSFET_S_gFS_L_BO))/1 )</f>
        <v>#REF!</v>
      </c>
      <c r="AR190" s="152" t="e">
        <f aca="false">IF(VACnom&gt;Vbat, (TI_MOSFET_S_QGD_H_BU+TI_MOSFET_S_QGS_H_BU)*10^-9/Table7[[#This Row],[Ion (A)]], (TI_MOSFET_S_QGD_L_BO+TI_MOSFET_S_QGS_L_BO)*10^-9/Table7[[#This Row],[Ion (A)]])/10^-9</f>
        <v>#REF!</v>
      </c>
      <c r="AS190" s="152" t="e">
        <f aca="false">IF(VACnom&gt;Vbat, (TI_MOSFET_S_QGD_H_BU+TI_MOSFET_S_QGS_H_BU)*10^-9/Table7[[#This Row],[Ioff (A)]], (TI_MOSFET_S_QGD_L_BO+TI_MOSFET_S_QGS_L_BO)*10^-9/Table7[[#This Row],[Ioff (A)]])/10^-9</f>
        <v>#REF!</v>
      </c>
      <c r="AT190" s="152" t="e">
        <f aca="false">0.5*VACnom*Table7[[#This Row],[Ivalley (A)]]*Table7[[#This Row],[ton (ns)]]*10^-9*Fsw*10^3+0.5*VACnom*Table7[[#This Row],[Ipeak (A)]]*Table7[[#This Row],[toff (ns)]]*10^-9*Fsw*10^3/10^-3</f>
        <v>#REF!</v>
      </c>
      <c r="AU190" s="152" t="e">
        <f aca="false">IF(VACnom&gt;Vbat, 0.5*VACnom*TI_MOSFET_S_QOSS_H_BU*10^-9*Fsw*10^3,0.5*VACnom*TI_MOSFET_S_QOSS_L_BO*10^-9*Fsw*10^3)/10^-3</f>
        <v>#REF!</v>
      </c>
      <c r="AV190" s="152" t="e">
        <f aca="false">IF(VACnom&gt;Vbat, VACnom*TI_MOSFET_S_QG_H_BU*10^-9*Fsw*10^3,VACnom*TI_MOSFET_S_QG_H_BO*10^-9*Fsw*10^3)/10^-3</f>
        <v>#REF!</v>
      </c>
      <c r="AW190" s="152" t="e">
        <f aca="false">IF(VACnom&gt;Vbat, VACnom*TI_MOSFET_S_QRR_L_BU*10^-9*Fsw*10^3, VACnom*TI_MOSFET_S_QRR_H_BO*10^-9*Fsw*10^3)/10^-3</f>
        <v>#REF!</v>
      </c>
      <c r="AX190" s="152" t="e">
        <f aca="false">IF(VACnom&gt;Vbat, TI_MOSFET_S_VSD_L_BU*Table7[[#This Row],[Ivalley (A)]]*Fsw*10^3*40*10^-9+TI_MOSFET_S_VSD_L_BU*Table7[[#This Row],[Ipeak (A)]]*Fsw*10^3*30*10^-9, TI_MOSFET_S_VSD_H_BO*Table7[[#This Row],[Ivalley (A)]]*Fsw*10^3*40*10^-9+TI_MOSFET_S_VSD_H_BO*Table7[[#This Row],[Ipeak (A)]]*Fsw*10^3*30*10^-9)/10^-3</f>
        <v>#REF!</v>
      </c>
      <c r="AY190" s="152" t="e">
        <f aca="false">IF(VACnom&gt;Vbat, VACnom*TI_MOSFET_S_QG_L_BU*10^-9*Fsw*10^3, VACnom*TI_MOSFET_S_QG_L_BO*10^-9*Fsw*10^3)/10^-3</f>
        <v>#REF!</v>
      </c>
      <c r="AZ190" s="152" t="e">
        <f aca="false">IF(VACnom&lt;Vbat, Table7[[#This Row],[Duty Cycle]]*Table7[[#This Row],[I_L RMS]]^2*TI_MOSFET_S_RDSON_H_BU*10^-3, (1-Table7[[#This Row],[Duty Cycle]])*Table7[[#This Row],[I_L RMS]]^2*TI_MOSFET_S_RDSON_H_BO*10^-3)/10^-3</f>
        <v>#REF!</v>
      </c>
      <c r="BA190" s="152" t="e">
        <f aca="false">IF(VACnom&gt;Vbat, Table7[[#This Row],[PIV (mW)]]+Table7[[#This Row],[Pqoss (mW)]]+Table7[[#This Row],[Pgate_top (mW)]], Table7[[#This Row],[PRR (mW)]]+Table7[[#This Row],[Pdead (mW)]]+Table7[[#This Row],[Pgate_top (mW)]])</f>
        <v>#REF!</v>
      </c>
      <c r="BB190" s="152" t="e">
        <f aca="false">Table7[[#This Row],[Pcon_top (mW)]]+Table7[[#This Row],[Psw_top (mW)]]</f>
        <v>#REF!</v>
      </c>
      <c r="BC190" s="152" t="e">
        <f aca="false">IF(VACnom&gt;Vbat, (1-Table7[[#This Row],[Duty Cycle]])*Table7[[#This Row],[I_L RMS]]^2*TI_MOSFET_S_RDSON_L_BU*10^-3, Table7[[#This Row],[Duty Cycle]]*Table7[[#This Row],[I_L RMS]]^2*TI_MOSFET_S_RDSON_L_BO*10^-3)/10^-3</f>
        <v>#REF!</v>
      </c>
      <c r="BD190" s="152" t="e">
        <f aca="false">IF(VACnom&gt;Vbat, Table7[[#This Row],[PRR (mW)]]+Table7[[#This Row],[Pdead (mW)]]+Table7[[#This Row],[Pgate_bottom (mW)]], Table7[[#This Row],[PIV (mW)]]+Table7[[#This Row],[Pqoss (mW)]]+Table7[[#This Row],[Pgate_bottom (mW)]])</f>
        <v>#REF!</v>
      </c>
      <c r="BE190" s="154" t="e">
        <f aca="false">Table7[[#This Row],[Pcon_bottom (mW)]]+Table7[[#This Row],[Psw_bottom (mW)]]</f>
        <v>#REF!</v>
      </c>
      <c r="BF190" s="152" t="e">
        <f aca="false">Table7[[#This Row],[Pbottom (mW)]]+Table7[[#This Row],[Ptop (mW)]]</f>
        <v>#REF!</v>
      </c>
      <c r="BG190" s="155"/>
      <c r="BH190" s="152" t="n">
        <f aca="false">MAX(0,Table7[[#This Row],[I_L]]-0.5*Table7[[#This Row],[I_L pkpk]])</f>
        <v>3.42714285714286</v>
      </c>
      <c r="BI190" s="152" t="n">
        <f aca="false">Table7[[#This Row],[I_L]]+0.5*Table7[[#This Row],[I_L pkpk]]</f>
        <v>3.71285714285714</v>
      </c>
      <c r="BJ190" s="152" t="n">
        <f aca="false">IF(VACnom&gt;Vbat, (VGS_S-(C_MOSFET_S_VTH_H_BU+Table7[[#This Row],[I_L]]/C_MOSFET_S_gFS_H_BU))/3.4, (VGS_S-(C_MOSFET_S_VTH_L_BO+Table7[[#This Row],[I_L]]/C_MOSFET_S_gFS_L_BO))/3.4 )</f>
        <v>2.34594117647059</v>
      </c>
      <c r="BK190" s="152" t="n">
        <f aca="false">IF(VACnom&gt;Vbat, ((C_MOSFET_S_VTH_H_BU+Table7[[#This Row],[I_L]]/C_MOSFET_S_gFS_H_BU))/1, ((C_MOSFET_S_VTH_L_BO+Table7[[#This Row],[I_L]]/C_MOSFET_S_gFS_L_BO))/1 )</f>
        <v>2.0238</v>
      </c>
      <c r="BL190" s="152" t="n">
        <f aca="false">IF(VACnom&gt;Vbat, (C_MOSFET_S_QGD_H_BU+C_MOSFET_S_QGS_H_BU)*10^-9/Table7[[#This Row],[Ion (A) C]], (C_MOSFET_S_QGD_L_BO+C_MOSFET_S_QGS_L_BO)*10^-9/Table7[[#This Row],[Ion (A) C]])/10^-9</f>
        <v>2.77074296030691</v>
      </c>
      <c r="BM190" s="152" t="n">
        <f aca="false">IF(VACnom&gt;Vbat, (C_MOSFET_S_QGD_H_BU+C_MOSFET_S_QGS_H_BU)*10^-9/Table7[[#This Row],[Ioff (A) C]], (C_MOSFET_S_QGD_L_BO+C_MOSFET_S_QGS_L_BO)*10^-9/Table7[[#This Row],[Ioff (A) C]])/10^-9</f>
        <v>3.21177982014033</v>
      </c>
      <c r="BN190" s="152" t="n">
        <f aca="false">0.5*VACnom*Table7[[#This Row],[Ivalley (A) C]]*Table7[[#This Row],[ton (ns) C]]*10^-9*Fsw*10^3+0.5*VACnom*Table7[[#This Row],[Ipeak (A) C]]*Table7[[#This Row],[toff (ns) C]]*10^-9*Fsw*10^3/10^-3</f>
        <v>14.3212504541254</v>
      </c>
      <c r="BO190" s="152" t="n">
        <f aca="false">IF(VACnom&gt;Vbat, 0.5*VACnom*C_MOSFET_S_QOSS_H_BU*10^-9*Fsw*10^3,0.5*VACnom*C_MOSFET_S_QOSS_L_BO*10^-9*Fsw*10^3)/10^-3</f>
        <v>43.2</v>
      </c>
      <c r="BP190" s="152" t="e">
        <f aca="false">IF(VACnom&gt;Vbat, VACnom*C_MOSFET_S_QG_H_BU*10^-9*Fsw*10^3,VACnom*C_MOSFET_S_QG_H_BO*10^-9*Fsw*10^3)/10^-3</f>
        <v>#REF!</v>
      </c>
      <c r="BQ190" s="152" t="n">
        <f aca="false">IF(VACnom&gt;Vbat, VACnom*C_MOSFET_S_QRR_L_BU*10^-9*Fsw*10^3, VACnom*C_MOSFET_S_QRR_H_BO*10^-9*Fsw*10^3)/10^-3</f>
        <v>79.2</v>
      </c>
      <c r="BR190" s="152" t="n">
        <f aca="false">IF(VACnom&gt;Vbat, C_MOSFET_S_VSD_L_BU*Table7[[#This Row],[Ivalley (A) C]]*Fsw*10^3*40*10^-9+C_MOSFET_S_VSD_L_BU*Table7[[#This Row],[Ipeak (A) C]]*Fsw*10^3*30*10^-9, C_MOSFET_S_VSD_H_BO*Table7[[#This Row],[Ivalley (A) C]]*Fsw*10^3*40*10^-9+C_MOSFET_S_VSD_H_BO*Table7[[#This Row],[Ipeak (A) C]]*Fsw*10^3*30*10^-9)/10^-3</f>
        <v>39.7554285714286</v>
      </c>
      <c r="BS190" s="152" t="e">
        <f aca="false">IF(VACnom&gt;Vbat, VACnom*C_MOSFET_S_QG_L_BU*10^-9*Fsw*10^3, VACnom*C_MOSFET_S_QG_L_BO*10^-9*Fsw*10^3)/10^-3</f>
        <v>#REF!</v>
      </c>
      <c r="BT190" s="152" t="n">
        <f aca="false">IF(VACnom&lt;Vbat, Table7[[#This Row],[Duty Cycle]]*Table7[[#This Row],[I_L RMS]]^2*C_MOSFET_S_RDSON_H_BU*10^-3, (1-Table7[[#This Row],[Duty Cycle]])*Table7[[#This Row],[I_L RMS]]^2*C_MOSFET_S_RDSON_H_BO*10^-3)/10^-3</f>
        <v>3.46117645286686</v>
      </c>
      <c r="BU190" s="152" t="e">
        <f aca="false">IF(VACnom&gt;Vbat, Table7[[#This Row],[PIV (mW) C]]+Table7[[#This Row],[PQoss (mW) C]]+Table7[[#This Row],[Pgate_top (mW) C]], Table7[[#This Row],[PRR (mW) C]]+Table7[[#This Row],[Pdead (mW) C]]+Table7[[#This Row],[Pgate_top (mW) C]])</f>
        <v>#REF!</v>
      </c>
      <c r="BV190" s="152" t="e">
        <f aca="false">Table7[[#This Row],[Pcon_top (mW) C]]+Table7[[#This Row],[Psw_top (mW) C]]</f>
        <v>#REF!</v>
      </c>
      <c r="BW190" s="152" t="e">
        <f aca="false">IF(VACnom&gt;Vbat, (1-Table7[[#This Row],[Duty Cycle]])*Table7[[#This Row],[I_L RMS]]^2*C_MOSFET_S_RDSON_L_BU*10^-3, Table7[[#This Row],[Duty Cycle]]*Table7[[#This Row],[I_L RMS]]^2*C_MOSFET_S_RDSON_L_BO*10^-3)/10^-3</f>
        <v>#REF!</v>
      </c>
      <c r="BX190" s="152" t="e">
        <f aca="false">IF(VACnom&gt;Vbat, Table7[[#This Row],[PRR (mW) C]]+Table7[[#This Row],[Pdead (mW) C]]+Table7[[#This Row],[Pgate_bottom (mW) C]], Table7[[#This Row],[PIV (mW) C]]+Table7[[#This Row],[PQoss (mW) C]]+Table7[[#This Row],[Pgate_bottom (mW) C]])</f>
        <v>#REF!</v>
      </c>
      <c r="BY190" s="152" t="e">
        <f aca="false">Table7[[#This Row],[Pcon_bottom (mW) C]]+Table7[[#This Row],[Psw_bottom (mV) C]]</f>
        <v>#REF!</v>
      </c>
      <c r="BZ190" s="152" t="e">
        <f aca="false">Table7[[#This Row],[Pbottom (mW) C]]+Table7[[#This Row],[Ptop (mW) C]]</f>
        <v>#REF!</v>
      </c>
      <c r="CA190" s="156"/>
      <c r="CB190" s="151" t="n">
        <f aca="false">(RAC_SNS*10^-3*(Table7[[#This Row],[IOUT (A)]]*Vbat/VACnom)^2/10^-3)</f>
        <v>63.7245</v>
      </c>
      <c r="CC190" s="151" t="n">
        <f aca="false">(RBAT_SNS*10^-3*Table7[[#This Row],[IOUT (A)]]^2)/10^-3</f>
        <v>57.8</v>
      </c>
      <c r="CD190" s="151" t="n">
        <f aca="false">IF(VACnom&gt;Vbat,(L_DRC*10^-3*(Table7[[#This Row],[IOUT (A)]])^2/10^-3),(L_DRC*10^-3*(Table7[[#This Row],[IOUT (A)]]*Vbat/VACnom)^2/10^-3))</f>
        <v>152.9388</v>
      </c>
      <c r="CE190" s="157"/>
      <c r="CF190" s="152" t="n">
        <f aca="false">(Table7[[#This Row],[R_AC (mW)]]+Table7[[#This Row],[R_SR (mW)]]+Table7[[#This Row],[Inductor Loss (mW)]])/10^3</f>
        <v>0.2744633</v>
      </c>
      <c r="CG190" s="152" t="e">
        <f aca="false">Table7[[#This Row],[Total TI (mW)]]/10^3</f>
        <v>#REF!</v>
      </c>
      <c r="CH190" s="152" t="e">
        <f aca="false">Table7[[#This Row],[Total Sense Loss]]+Table7[[#This Row],[Total MOSFET Loss]]</f>
        <v>#REF!</v>
      </c>
      <c r="CI190" s="158" t="e">
        <f aca="false">IF(Table7[[#This Row],[POUT (W)]]=0,0,(Table7[[#This Row],[POUT (W)]])/(Table7[[#This Row],[POUT (W)]]+Table7[[#This Row],[Total Power Loss (W)]]))*100</f>
        <v>#REF!</v>
      </c>
      <c r="CJ190" s="159"/>
      <c r="CK190" s="152" t="n">
        <f aca="false">(Table7[[#This Row],[R_AC (mW)]]+Table7[[#This Row],[R_SR (mW)]]+Table7[[#This Row],[Inductor Loss (mW)]])/10^3</f>
        <v>0.2744633</v>
      </c>
      <c r="CL190" s="152" t="e">
        <f aca="false">Table7[[#This Row],[Total (mW) C]]/10^3</f>
        <v>#REF!</v>
      </c>
      <c r="CM190" s="152" t="e">
        <f aca="false">Table7[[#This Row],[Total Sense Loss C]]+Table7[[#This Row],[Total MOSFET Loss C]]</f>
        <v>#REF!</v>
      </c>
      <c r="CN190" s="158" t="e">
        <f aca="false">IF(Table7[[#This Row],[POUT (W)]]=0,0,(Table7[[#This Row],[POUT (W)]])/(Table7[[#This Row],[POUT (W)]]+Table7[[#This Row],[Total Power Loss (W) C]]))*100</f>
        <v>#REF!</v>
      </c>
      <c r="CO190" s="159"/>
      <c r="CP190" s="158" t="n">
        <f aca="false">IF(MOSFET_S=Custom_MOSFET,Table7[[#This Row],[Total Sense Loss C]],Table7[[#This Row],[Total Sense Loss]])</f>
        <v>0.2744633</v>
      </c>
      <c r="CQ190" s="158" t="e">
        <f aca="false">IF(MOSFET_S=Custom_MOSFET,Table7[[#This Row],[Total MOSFET Loss C]],Table7[[#This Row],[Total MOSFET Loss]])</f>
        <v>#REF!</v>
      </c>
      <c r="CR190" s="158" t="e">
        <f aca="false">IF(MOSFET_S=Custom_MOSFET,Table7[[#This Row],[Efficiency C]],Table7[[#This Row],[Efficiency]])</f>
        <v>#REF!</v>
      </c>
      <c r="CS190" s="159"/>
      <c r="CT190" s="158" t="n">
        <f aca="false">IF(MOSFET_S=Compare_MOSFET, Table7[[#This Row],[Total Sense Loss C]], -100)</f>
        <v>-100</v>
      </c>
      <c r="CU190" s="158" t="n">
        <f aca="false">IF(MOSFET_S=Compare_MOSFET, Table7[[#This Row],[Total MOSFET Loss C]], -100)</f>
        <v>-100</v>
      </c>
      <c r="CV190" s="158" t="n">
        <f aca="false">IF(MOSFET_S=Compare_MOSFET, Table7[[#This Row],[Efficiency C]], -100)</f>
        <v>-100</v>
      </c>
      <c r="CW190" s="159"/>
      <c r="CX190" s="158" t="e">
        <f aca="false">IF(Save_Sel=CLR_Save,  Table7[[#This Row],[Total Sense Loss P1]], Table7[[#This Row],[Total Sense Loss P1 Saved]])</f>
        <v>#VALUE!</v>
      </c>
      <c r="CY190" s="158" t="e">
        <f aca="false">IF(Save_Sel=CLR_Save,  Table7[[#This Row],[Total MOSFET Loss P1]], Table7[[#This Row],[Total MOSFET Loss P1 Saved]] )</f>
        <v>#VALUE!</v>
      </c>
      <c r="CZ190" s="158" t="e">
        <f aca="false">IF(Save_Sel=CLR_Save, Table7[[#This Row],[Efficiency P1]], Table7[[#This Row],[Efficiency P1 Saved]])</f>
        <v>#VALUE!</v>
      </c>
      <c r="DA190" s="159"/>
      <c r="DB190" s="158" t="e">
        <f aca="false">IF(Save_Sel=CLR_Save,  Table7[[#This Row],[Total Sense Loss P2]], Table7[[#This Row],[Total Sense Loss P2 Saved]])</f>
        <v>#VALUE!</v>
      </c>
      <c r="DC190" s="158" t="e">
        <f aca="false">IF(Save_Sel=CLR_Save,  Table7[[#This Row],[Total MOSFET Loss P2]], Table7[[#This Row],[Total MOSFET Loss P2 Saved]] )</f>
        <v>#VALUE!</v>
      </c>
      <c r="DD190" s="158" t="e">
        <f aca="false">IF(Save_Sel=CLR_Save, Table7[[#This Row],[Efficiency P2]], Table7[[#This Row],[Efficiency P2 Saved]])</f>
        <v>#VALUE!</v>
      </c>
      <c r="DE190" s="159"/>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row>
    <row r="191" customFormat="false" ht="16.4" hidden="false" customHeight="false" outlineLevel="0" collapsed="false">
      <c r="A191" s="28"/>
      <c r="B191" s="84"/>
      <c r="C191" s="84"/>
      <c r="D191" s="28"/>
      <c r="E191" s="168"/>
      <c r="F191" s="168"/>
      <c r="G191" s="84"/>
      <c r="H191" s="24"/>
      <c r="I191" s="24"/>
      <c r="J191" s="24"/>
      <c r="K191" s="24"/>
      <c r="L191" s="24"/>
      <c r="M191" s="24"/>
      <c r="N191" s="24"/>
      <c r="O191" s="24"/>
      <c r="P191" s="24"/>
      <c r="Q191" s="24"/>
      <c r="R191" s="24"/>
      <c r="S191" s="25"/>
      <c r="T191" s="6"/>
      <c r="U191" s="7"/>
      <c r="V191" s="7"/>
      <c r="W191" s="7"/>
      <c r="X191" s="7"/>
      <c r="Y191" s="7"/>
      <c r="Z191" s="7"/>
      <c r="AA191" s="7"/>
      <c r="AB191" s="7"/>
      <c r="AC191" s="7"/>
      <c r="AD191" s="7"/>
      <c r="AE191" s="7"/>
      <c r="AF191" s="150" t="n">
        <f aca="false">AF190+1</f>
        <v>35</v>
      </c>
      <c r="AG191" s="150" t="n">
        <f aca="false">$AG$156+AF191*($AG$256-$AG$156)/$AF$256</f>
        <v>3.5</v>
      </c>
      <c r="AH191" s="151" t="n">
        <f aca="false">AG191*VACnom</f>
        <v>42</v>
      </c>
      <c r="AI191" s="152" t="n">
        <f aca="false">IF(VACnom&lt;Vbat, (Vbat-VACnom)/Vbat, Vbat/VACnom)</f>
        <v>0.0476190476190476</v>
      </c>
      <c r="AJ191" s="152" t="n">
        <f aca="false">IF(VACnom&lt;Vbat, AG191/(1-AI191), AG191*AI191)</f>
        <v>3.675</v>
      </c>
      <c r="AK191" s="152" t="n">
        <f aca="false">Ipkpk_VACnom</f>
        <v>0.285714285714285</v>
      </c>
      <c r="AL191" s="152" t="n">
        <f aca="false">SQRT(AJ191^2+AK191^2/12)</f>
        <v>3.67592542376589</v>
      </c>
      <c r="AM191" s="153"/>
      <c r="AN191" s="152" t="n">
        <f aca="false">MAX(0,Table7[[#This Row],[I_L]]-0.5*Table7[[#This Row],[I_L pkpk]])</f>
        <v>3.53214285714286</v>
      </c>
      <c r="AO191" s="152" t="n">
        <f aca="false">Table7[[#This Row],[I_L]]+0.5*Table7[[#This Row],[I_L pkpk]]</f>
        <v>3.81785714285714</v>
      </c>
      <c r="AP191" s="152" t="e">
        <f aca="false">IF(VACnom&gt;Vbat, (VGS_S-(TI_MOSFET_S_VTH_H_BU+Table7[[#This Row],[I_L]]/TI_MOSFET_S_gFS_H_BU))/3.4, (VGS_S-(TI_MOSFET_S_VTH_L_BO+Table7[[#This Row],[I_L]]/TI_MOSFET_S_gFS_L_BO))/3.4 )</f>
        <v>#REF!</v>
      </c>
      <c r="AQ191" s="152" t="e">
        <f aca="false">IF(VACnom&gt;Vbat, ((TI_MOSFET_S_VTH_H_BU+Table7[[#This Row],[I_L]]/TI_MOSFET_S_gFS_H_BU))/1, ((TI_MOSFET_S_VTH_L_BO+Table7[[#This Row],[I_L]]/TI_MOSFET_S_gFS_L_BO))/1 )</f>
        <v>#REF!</v>
      </c>
      <c r="AR191" s="152" t="e">
        <f aca="false">IF(VACnom&gt;Vbat, (TI_MOSFET_S_QGD_H_BU+TI_MOSFET_S_QGS_H_BU)*10^-9/Table7[[#This Row],[Ion (A)]], (TI_MOSFET_S_QGD_L_BO+TI_MOSFET_S_QGS_L_BO)*10^-9/Table7[[#This Row],[Ion (A)]])/10^-9</f>
        <v>#REF!</v>
      </c>
      <c r="AS191" s="152" t="e">
        <f aca="false">IF(VACnom&gt;Vbat, (TI_MOSFET_S_QGD_H_BU+TI_MOSFET_S_QGS_H_BU)*10^-9/Table7[[#This Row],[Ioff (A)]], (TI_MOSFET_S_QGD_L_BO+TI_MOSFET_S_QGS_L_BO)*10^-9/Table7[[#This Row],[Ioff (A)]])/10^-9</f>
        <v>#REF!</v>
      </c>
      <c r="AT191" s="152" t="e">
        <f aca="false">0.5*VACnom*Table7[[#This Row],[Ivalley (A)]]*Table7[[#This Row],[ton (ns)]]*10^-9*Fsw*10^3+0.5*VACnom*Table7[[#This Row],[Ipeak (A)]]*Table7[[#This Row],[toff (ns)]]*10^-9*Fsw*10^3/10^-3</f>
        <v>#REF!</v>
      </c>
      <c r="AU191" s="152" t="e">
        <f aca="false">IF(VACnom&gt;Vbat, 0.5*VACnom*TI_MOSFET_S_QOSS_H_BU*10^-9*Fsw*10^3,0.5*VACnom*TI_MOSFET_S_QOSS_L_BO*10^-9*Fsw*10^3)/10^-3</f>
        <v>#REF!</v>
      </c>
      <c r="AV191" s="152" t="e">
        <f aca="false">IF(VACnom&gt;Vbat, VACnom*TI_MOSFET_S_QG_H_BU*10^-9*Fsw*10^3,VACnom*TI_MOSFET_S_QG_H_BO*10^-9*Fsw*10^3)/10^-3</f>
        <v>#REF!</v>
      </c>
      <c r="AW191" s="152" t="e">
        <f aca="false">IF(VACnom&gt;Vbat, VACnom*TI_MOSFET_S_QRR_L_BU*10^-9*Fsw*10^3, VACnom*TI_MOSFET_S_QRR_H_BO*10^-9*Fsw*10^3)/10^-3</f>
        <v>#REF!</v>
      </c>
      <c r="AX191" s="152" t="e">
        <f aca="false">IF(VACnom&gt;Vbat, TI_MOSFET_S_VSD_L_BU*Table7[[#This Row],[Ivalley (A)]]*Fsw*10^3*40*10^-9+TI_MOSFET_S_VSD_L_BU*Table7[[#This Row],[Ipeak (A)]]*Fsw*10^3*30*10^-9, TI_MOSFET_S_VSD_H_BO*Table7[[#This Row],[Ivalley (A)]]*Fsw*10^3*40*10^-9+TI_MOSFET_S_VSD_H_BO*Table7[[#This Row],[Ipeak (A)]]*Fsw*10^3*30*10^-9)/10^-3</f>
        <v>#REF!</v>
      </c>
      <c r="AY191" s="152" t="e">
        <f aca="false">IF(VACnom&gt;Vbat, VACnom*TI_MOSFET_S_QG_L_BU*10^-9*Fsw*10^3, VACnom*TI_MOSFET_S_QG_L_BO*10^-9*Fsw*10^3)/10^-3</f>
        <v>#REF!</v>
      </c>
      <c r="AZ191" s="152" t="e">
        <f aca="false">IF(VACnom&lt;Vbat, Table7[[#This Row],[Duty Cycle]]*Table7[[#This Row],[I_L RMS]]^2*TI_MOSFET_S_RDSON_H_BU*10^-3, (1-Table7[[#This Row],[Duty Cycle]])*Table7[[#This Row],[I_L RMS]]^2*TI_MOSFET_S_RDSON_H_BO*10^-3)/10^-3</f>
        <v>#REF!</v>
      </c>
      <c r="BA191" s="152" t="e">
        <f aca="false">IF(VACnom&gt;Vbat, Table7[[#This Row],[PIV (mW)]]+Table7[[#This Row],[Pqoss (mW)]]+Table7[[#This Row],[Pgate_top (mW)]], Table7[[#This Row],[PRR (mW)]]+Table7[[#This Row],[Pdead (mW)]]+Table7[[#This Row],[Pgate_top (mW)]])</f>
        <v>#REF!</v>
      </c>
      <c r="BB191" s="152" t="e">
        <f aca="false">Table7[[#This Row],[Pcon_top (mW)]]+Table7[[#This Row],[Psw_top (mW)]]</f>
        <v>#REF!</v>
      </c>
      <c r="BC191" s="152" t="e">
        <f aca="false">IF(VACnom&gt;Vbat, (1-Table7[[#This Row],[Duty Cycle]])*Table7[[#This Row],[I_L RMS]]^2*TI_MOSFET_S_RDSON_L_BU*10^-3, Table7[[#This Row],[Duty Cycle]]*Table7[[#This Row],[I_L RMS]]^2*TI_MOSFET_S_RDSON_L_BO*10^-3)/10^-3</f>
        <v>#REF!</v>
      </c>
      <c r="BD191" s="152" t="e">
        <f aca="false">IF(VACnom&gt;Vbat, Table7[[#This Row],[PRR (mW)]]+Table7[[#This Row],[Pdead (mW)]]+Table7[[#This Row],[Pgate_bottom (mW)]], Table7[[#This Row],[PIV (mW)]]+Table7[[#This Row],[Pqoss (mW)]]+Table7[[#This Row],[Pgate_bottom (mW)]])</f>
        <v>#REF!</v>
      </c>
      <c r="BE191" s="154" t="e">
        <f aca="false">Table7[[#This Row],[Pcon_bottom (mW)]]+Table7[[#This Row],[Psw_bottom (mW)]]</f>
        <v>#REF!</v>
      </c>
      <c r="BF191" s="152" t="e">
        <f aca="false">Table7[[#This Row],[Pbottom (mW)]]+Table7[[#This Row],[Ptop (mW)]]</f>
        <v>#REF!</v>
      </c>
      <c r="BG191" s="155"/>
      <c r="BH191" s="152" t="n">
        <f aca="false">MAX(0,Table7[[#This Row],[I_L]]-0.5*Table7[[#This Row],[I_L pkpk]])</f>
        <v>3.53214285714286</v>
      </c>
      <c r="BI191" s="152" t="n">
        <f aca="false">Table7[[#This Row],[I_L]]+0.5*Table7[[#This Row],[I_L pkpk]]</f>
        <v>3.81785714285714</v>
      </c>
      <c r="BJ191" s="152" t="n">
        <f aca="false">IF(VACnom&gt;Vbat, (VGS_S-(C_MOSFET_S_VTH_H_BU+Table7[[#This Row],[I_L]]/C_MOSFET_S_gFS_H_BU))/3.4, (VGS_S-(C_MOSFET_S_VTH_L_BO+Table7[[#This Row],[I_L]]/C_MOSFET_S_gFS_L_BO))/3.4 )</f>
        <v>2.34573529411765</v>
      </c>
      <c r="BK191" s="152" t="n">
        <f aca="false">IF(VACnom&gt;Vbat, ((C_MOSFET_S_VTH_H_BU+Table7[[#This Row],[I_L]]/C_MOSFET_S_gFS_H_BU))/1, ((C_MOSFET_S_VTH_L_BO+Table7[[#This Row],[I_L]]/C_MOSFET_S_gFS_L_BO))/1 )</f>
        <v>2.0245</v>
      </c>
      <c r="BL191" s="152" t="n">
        <f aca="false">IF(VACnom&gt;Vbat, (C_MOSFET_S_QGD_H_BU+C_MOSFET_S_QGS_H_BU)*10^-9/Table7[[#This Row],[Ion (A) C]], (C_MOSFET_S_QGD_L_BO+C_MOSFET_S_QGS_L_BO)*10^-9/Table7[[#This Row],[Ion (A) C]])/10^-9</f>
        <v>2.77098614506928</v>
      </c>
      <c r="BM191" s="152" t="n">
        <f aca="false">IF(VACnom&gt;Vbat, (C_MOSFET_S_QGD_H_BU+C_MOSFET_S_QGS_H_BU)*10^-9/Table7[[#This Row],[Ioff (A) C]], (C_MOSFET_S_QGD_L_BO+C_MOSFET_S_QGS_L_BO)*10^-9/Table7[[#This Row],[Ioff (A) C]])/10^-9</f>
        <v>3.21066930106199</v>
      </c>
      <c r="BN191" s="152" t="n">
        <f aca="false">0.5*VACnom*Table7[[#This Row],[Ivalley (A) C]]*Table7[[#This Row],[ton (ns) C]]*10^-9*Fsw*10^3+0.5*VACnom*Table7[[#This Row],[Ipeak (A) C]]*Table7[[#This Row],[toff (ns) C]]*10^-9*Fsw*10^3/10^-3</f>
        <v>14.7211970919975</v>
      </c>
      <c r="BO191" s="152" t="n">
        <f aca="false">IF(VACnom&gt;Vbat, 0.5*VACnom*C_MOSFET_S_QOSS_H_BU*10^-9*Fsw*10^3,0.5*VACnom*C_MOSFET_S_QOSS_L_BO*10^-9*Fsw*10^3)/10^-3</f>
        <v>43.2</v>
      </c>
      <c r="BP191" s="152" t="e">
        <f aca="false">IF(VACnom&gt;Vbat, VACnom*C_MOSFET_S_QG_H_BU*10^-9*Fsw*10^3,VACnom*C_MOSFET_S_QG_H_BO*10^-9*Fsw*10^3)/10^-3</f>
        <v>#REF!</v>
      </c>
      <c r="BQ191" s="152" t="n">
        <f aca="false">IF(VACnom&gt;Vbat, VACnom*C_MOSFET_S_QRR_L_BU*10^-9*Fsw*10^3, VACnom*C_MOSFET_S_QRR_H_BO*10^-9*Fsw*10^3)/10^-3</f>
        <v>79.2</v>
      </c>
      <c r="BR191" s="152" t="n">
        <f aca="false">IF(VACnom&gt;Vbat, C_MOSFET_S_VSD_L_BU*Table7[[#This Row],[Ivalley (A) C]]*Fsw*10^3*40*10^-9+C_MOSFET_S_VSD_L_BU*Table7[[#This Row],[Ipeak (A) C]]*Fsw*10^3*30*10^-9, C_MOSFET_S_VSD_H_BO*Table7[[#This Row],[Ivalley (A) C]]*Fsw*10^3*40*10^-9+C_MOSFET_S_VSD_H_BO*Table7[[#This Row],[Ipeak (A) C]]*Fsw*10^3*30*10^-9)/10^-3</f>
        <v>40.9314285714286</v>
      </c>
      <c r="BS191" s="152" t="e">
        <f aca="false">IF(VACnom&gt;Vbat, VACnom*C_MOSFET_S_QG_L_BU*10^-9*Fsw*10^3, VACnom*C_MOSFET_S_QG_L_BO*10^-9*Fsw*10^3)/10^-3</f>
        <v>#REF!</v>
      </c>
      <c r="BT191" s="152" t="n">
        <f aca="false">IF(VACnom&lt;Vbat, Table7[[#This Row],[Duty Cycle]]*Table7[[#This Row],[I_L RMS]]^2*C_MOSFET_S_RDSON_H_BU*10^-3, (1-Table7[[#This Row],[Duty Cycle]])*Table7[[#This Row],[I_L RMS]]^2*C_MOSFET_S_RDSON_H_BO*10^-3)/10^-3</f>
        <v>3.66765895286686</v>
      </c>
      <c r="BU191" s="152" t="e">
        <f aca="false">IF(VACnom&gt;Vbat, Table7[[#This Row],[PIV (mW) C]]+Table7[[#This Row],[PQoss (mW) C]]+Table7[[#This Row],[Pgate_top (mW) C]], Table7[[#This Row],[PRR (mW) C]]+Table7[[#This Row],[Pdead (mW) C]]+Table7[[#This Row],[Pgate_top (mW) C]])</f>
        <v>#REF!</v>
      </c>
      <c r="BV191" s="152" t="e">
        <f aca="false">Table7[[#This Row],[Pcon_top (mW) C]]+Table7[[#This Row],[Psw_top (mW) C]]</f>
        <v>#REF!</v>
      </c>
      <c r="BW191" s="152" t="e">
        <f aca="false">IF(VACnom&gt;Vbat, (1-Table7[[#This Row],[Duty Cycle]])*Table7[[#This Row],[I_L RMS]]^2*C_MOSFET_S_RDSON_L_BU*10^-3, Table7[[#This Row],[Duty Cycle]]*Table7[[#This Row],[I_L RMS]]^2*C_MOSFET_S_RDSON_L_BO*10^-3)/10^-3</f>
        <v>#REF!</v>
      </c>
      <c r="BX191" s="152" t="e">
        <f aca="false">IF(VACnom&gt;Vbat, Table7[[#This Row],[PRR (mW) C]]+Table7[[#This Row],[Pdead (mW) C]]+Table7[[#This Row],[Pgate_bottom (mW) C]], Table7[[#This Row],[PIV (mW) C]]+Table7[[#This Row],[PQoss (mW) C]]+Table7[[#This Row],[Pgate_bottom (mW) C]])</f>
        <v>#REF!</v>
      </c>
      <c r="BY191" s="152" t="e">
        <f aca="false">Table7[[#This Row],[Pcon_bottom (mW) C]]+Table7[[#This Row],[Psw_bottom (mV) C]]</f>
        <v>#REF!</v>
      </c>
      <c r="BZ191" s="152" t="e">
        <f aca="false">Table7[[#This Row],[Pbottom (mW) C]]+Table7[[#This Row],[Ptop (mW) C]]</f>
        <v>#REF!</v>
      </c>
      <c r="CA191" s="156"/>
      <c r="CB191" s="151" t="n">
        <f aca="false">(RAC_SNS*10^-3*(Table7[[#This Row],[IOUT (A)]]*Vbat/VACnom)^2/10^-3)</f>
        <v>67.528125</v>
      </c>
      <c r="CC191" s="151" t="n">
        <f aca="false">(RBAT_SNS*10^-3*Table7[[#This Row],[IOUT (A)]]^2)/10^-3</f>
        <v>61.25</v>
      </c>
      <c r="CD191" s="151" t="n">
        <f aca="false">IF(VACnom&gt;Vbat,(L_DRC*10^-3*(Table7[[#This Row],[IOUT (A)]])^2/10^-3),(L_DRC*10^-3*(Table7[[#This Row],[IOUT (A)]]*Vbat/VACnom)^2/10^-3))</f>
        <v>162.0675</v>
      </c>
      <c r="CE191" s="157"/>
      <c r="CF191" s="152" t="n">
        <f aca="false">(Table7[[#This Row],[R_AC (mW)]]+Table7[[#This Row],[R_SR (mW)]]+Table7[[#This Row],[Inductor Loss (mW)]])/10^3</f>
        <v>0.290845625</v>
      </c>
      <c r="CG191" s="152" t="e">
        <f aca="false">Table7[[#This Row],[Total TI (mW)]]/10^3</f>
        <v>#REF!</v>
      </c>
      <c r="CH191" s="152" t="e">
        <f aca="false">Table7[[#This Row],[Total Sense Loss]]+Table7[[#This Row],[Total MOSFET Loss]]</f>
        <v>#REF!</v>
      </c>
      <c r="CI191" s="158" t="e">
        <f aca="false">IF(Table7[[#This Row],[POUT (W)]]=0,0,(Table7[[#This Row],[POUT (W)]])/(Table7[[#This Row],[POUT (W)]]+Table7[[#This Row],[Total Power Loss (W)]]))*100</f>
        <v>#REF!</v>
      </c>
      <c r="CJ191" s="159"/>
      <c r="CK191" s="152" t="n">
        <f aca="false">(Table7[[#This Row],[R_AC (mW)]]+Table7[[#This Row],[R_SR (mW)]]+Table7[[#This Row],[Inductor Loss (mW)]])/10^3</f>
        <v>0.290845625</v>
      </c>
      <c r="CL191" s="152" t="e">
        <f aca="false">Table7[[#This Row],[Total (mW) C]]/10^3</f>
        <v>#REF!</v>
      </c>
      <c r="CM191" s="152" t="e">
        <f aca="false">Table7[[#This Row],[Total Sense Loss C]]+Table7[[#This Row],[Total MOSFET Loss C]]</f>
        <v>#REF!</v>
      </c>
      <c r="CN191" s="158" t="e">
        <f aca="false">IF(Table7[[#This Row],[POUT (W)]]=0,0,(Table7[[#This Row],[POUT (W)]])/(Table7[[#This Row],[POUT (W)]]+Table7[[#This Row],[Total Power Loss (W) C]]))*100</f>
        <v>#REF!</v>
      </c>
      <c r="CO191" s="159"/>
      <c r="CP191" s="158" t="n">
        <f aca="false">IF(MOSFET_S=Custom_MOSFET,Table7[[#This Row],[Total Sense Loss C]],Table7[[#This Row],[Total Sense Loss]])</f>
        <v>0.290845625</v>
      </c>
      <c r="CQ191" s="158" t="e">
        <f aca="false">IF(MOSFET_S=Custom_MOSFET,Table7[[#This Row],[Total MOSFET Loss C]],Table7[[#This Row],[Total MOSFET Loss]])</f>
        <v>#REF!</v>
      </c>
      <c r="CR191" s="158" t="e">
        <f aca="false">IF(MOSFET_S=Custom_MOSFET,Table7[[#This Row],[Efficiency C]],Table7[[#This Row],[Efficiency]])</f>
        <v>#REF!</v>
      </c>
      <c r="CS191" s="159"/>
      <c r="CT191" s="158" t="n">
        <f aca="false">IF(MOSFET_S=Compare_MOSFET, Table7[[#This Row],[Total Sense Loss C]], -100)</f>
        <v>-100</v>
      </c>
      <c r="CU191" s="158" t="n">
        <f aca="false">IF(MOSFET_S=Compare_MOSFET, Table7[[#This Row],[Total MOSFET Loss C]], -100)</f>
        <v>-100</v>
      </c>
      <c r="CV191" s="158" t="n">
        <f aca="false">IF(MOSFET_S=Compare_MOSFET, Table7[[#This Row],[Efficiency C]], -100)</f>
        <v>-100</v>
      </c>
      <c r="CW191" s="159"/>
      <c r="CX191" s="158" t="e">
        <f aca="false">IF(Save_Sel=CLR_Save,  Table7[[#This Row],[Total Sense Loss P1]], Table7[[#This Row],[Total Sense Loss P1 Saved]])</f>
        <v>#VALUE!</v>
      </c>
      <c r="CY191" s="158" t="e">
        <f aca="false">IF(Save_Sel=CLR_Save,  Table7[[#This Row],[Total MOSFET Loss P1]], Table7[[#This Row],[Total MOSFET Loss P1 Saved]] )</f>
        <v>#VALUE!</v>
      </c>
      <c r="CZ191" s="158" t="e">
        <f aca="false">IF(Save_Sel=CLR_Save, Table7[[#This Row],[Efficiency P1]], Table7[[#This Row],[Efficiency P1 Saved]])</f>
        <v>#VALUE!</v>
      </c>
      <c r="DA191" s="159"/>
      <c r="DB191" s="158" t="e">
        <f aca="false">IF(Save_Sel=CLR_Save,  Table7[[#This Row],[Total Sense Loss P2]], Table7[[#This Row],[Total Sense Loss P2 Saved]])</f>
        <v>#VALUE!</v>
      </c>
      <c r="DC191" s="158" t="e">
        <f aca="false">IF(Save_Sel=CLR_Save,  Table7[[#This Row],[Total MOSFET Loss P2]], Table7[[#This Row],[Total MOSFET Loss P2 Saved]] )</f>
        <v>#VALUE!</v>
      </c>
      <c r="DD191" s="158" t="e">
        <f aca="false">IF(Save_Sel=CLR_Save, Table7[[#This Row],[Efficiency P2]], Table7[[#This Row],[Efficiency P2 Saved]])</f>
        <v>#VALUE!</v>
      </c>
      <c r="DE191" s="159"/>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row>
    <row r="192" customFormat="false" ht="16.4" hidden="false" customHeight="false" outlineLevel="0" collapsed="false">
      <c r="A192" s="28"/>
      <c r="B192" s="84"/>
      <c r="C192" s="84"/>
      <c r="D192" s="28"/>
      <c r="E192" s="168"/>
      <c r="F192" s="168"/>
      <c r="G192" s="84"/>
      <c r="H192" s="24"/>
      <c r="I192" s="24"/>
      <c r="J192" s="24"/>
      <c r="K192" s="24"/>
      <c r="L192" s="24"/>
      <c r="M192" s="24"/>
      <c r="N192" s="24"/>
      <c r="O192" s="24"/>
      <c r="P192" s="24"/>
      <c r="Q192" s="24"/>
      <c r="R192" s="24"/>
      <c r="S192" s="25"/>
      <c r="T192" s="6"/>
      <c r="U192" s="7"/>
      <c r="V192" s="7"/>
      <c r="W192" s="7"/>
      <c r="X192" s="7"/>
      <c r="Y192" s="7"/>
      <c r="Z192" s="7"/>
      <c r="AA192" s="7"/>
      <c r="AB192" s="7"/>
      <c r="AC192" s="7"/>
      <c r="AD192" s="7"/>
      <c r="AE192" s="7"/>
      <c r="AF192" s="150" t="n">
        <f aca="false">AF191+1</f>
        <v>36</v>
      </c>
      <c r="AG192" s="150" t="n">
        <f aca="false">$AG$156+AF192*($AG$256-$AG$156)/$AF$256</f>
        <v>3.6</v>
      </c>
      <c r="AH192" s="151" t="n">
        <f aca="false">AG192*VACnom</f>
        <v>43.2</v>
      </c>
      <c r="AI192" s="152" t="n">
        <f aca="false">IF(VACnom&lt;Vbat, (Vbat-VACnom)/Vbat, Vbat/VACnom)</f>
        <v>0.0476190476190476</v>
      </c>
      <c r="AJ192" s="152" t="n">
        <f aca="false">IF(VACnom&lt;Vbat, AG192/(1-AI192), AG192*AI192)</f>
        <v>3.78</v>
      </c>
      <c r="AK192" s="152" t="n">
        <f aca="false">Ipkpk_VACnom</f>
        <v>0.285714285714285</v>
      </c>
      <c r="AL192" s="152" t="n">
        <f aca="false">SQRT(AJ192^2+AK192^2/12)</f>
        <v>3.78089972375471</v>
      </c>
      <c r="AM192" s="153"/>
      <c r="AN192" s="152" t="n">
        <f aca="false">MAX(0,Table7[[#This Row],[I_L]]-0.5*Table7[[#This Row],[I_L pkpk]])</f>
        <v>3.63714285714286</v>
      </c>
      <c r="AO192" s="152" t="n">
        <f aca="false">Table7[[#This Row],[I_L]]+0.5*Table7[[#This Row],[I_L pkpk]]</f>
        <v>3.92285714285714</v>
      </c>
      <c r="AP192" s="152" t="e">
        <f aca="false">IF(VACnom&gt;Vbat, (VGS_S-(TI_MOSFET_S_VTH_H_BU+Table7[[#This Row],[I_L]]/TI_MOSFET_S_gFS_H_BU))/3.4, (VGS_S-(TI_MOSFET_S_VTH_L_BO+Table7[[#This Row],[I_L]]/TI_MOSFET_S_gFS_L_BO))/3.4 )</f>
        <v>#REF!</v>
      </c>
      <c r="AQ192" s="152" t="e">
        <f aca="false">IF(VACnom&gt;Vbat, ((TI_MOSFET_S_VTH_H_BU+Table7[[#This Row],[I_L]]/TI_MOSFET_S_gFS_H_BU))/1, ((TI_MOSFET_S_VTH_L_BO+Table7[[#This Row],[I_L]]/TI_MOSFET_S_gFS_L_BO))/1 )</f>
        <v>#REF!</v>
      </c>
      <c r="AR192" s="152" t="e">
        <f aca="false">IF(VACnom&gt;Vbat, (TI_MOSFET_S_QGD_H_BU+TI_MOSFET_S_QGS_H_BU)*10^-9/Table7[[#This Row],[Ion (A)]], (TI_MOSFET_S_QGD_L_BO+TI_MOSFET_S_QGS_L_BO)*10^-9/Table7[[#This Row],[Ion (A)]])/10^-9</f>
        <v>#REF!</v>
      </c>
      <c r="AS192" s="152" t="e">
        <f aca="false">IF(VACnom&gt;Vbat, (TI_MOSFET_S_QGD_H_BU+TI_MOSFET_S_QGS_H_BU)*10^-9/Table7[[#This Row],[Ioff (A)]], (TI_MOSFET_S_QGD_L_BO+TI_MOSFET_S_QGS_L_BO)*10^-9/Table7[[#This Row],[Ioff (A)]])/10^-9</f>
        <v>#REF!</v>
      </c>
      <c r="AT192" s="152" t="e">
        <f aca="false">0.5*VACnom*Table7[[#This Row],[Ivalley (A)]]*Table7[[#This Row],[ton (ns)]]*10^-9*Fsw*10^3+0.5*VACnom*Table7[[#This Row],[Ipeak (A)]]*Table7[[#This Row],[toff (ns)]]*10^-9*Fsw*10^3/10^-3</f>
        <v>#REF!</v>
      </c>
      <c r="AU192" s="152" t="e">
        <f aca="false">IF(VACnom&gt;Vbat, 0.5*VACnom*TI_MOSFET_S_QOSS_H_BU*10^-9*Fsw*10^3,0.5*VACnom*TI_MOSFET_S_QOSS_L_BO*10^-9*Fsw*10^3)/10^-3</f>
        <v>#REF!</v>
      </c>
      <c r="AV192" s="152" t="e">
        <f aca="false">IF(VACnom&gt;Vbat, VACnom*TI_MOSFET_S_QG_H_BU*10^-9*Fsw*10^3,VACnom*TI_MOSFET_S_QG_H_BO*10^-9*Fsw*10^3)/10^-3</f>
        <v>#REF!</v>
      </c>
      <c r="AW192" s="152" t="e">
        <f aca="false">IF(VACnom&gt;Vbat, VACnom*TI_MOSFET_S_QRR_L_BU*10^-9*Fsw*10^3, VACnom*TI_MOSFET_S_QRR_H_BO*10^-9*Fsw*10^3)/10^-3</f>
        <v>#REF!</v>
      </c>
      <c r="AX192" s="152" t="e">
        <f aca="false">IF(VACnom&gt;Vbat, TI_MOSFET_S_VSD_L_BU*Table7[[#This Row],[Ivalley (A)]]*Fsw*10^3*40*10^-9+TI_MOSFET_S_VSD_L_BU*Table7[[#This Row],[Ipeak (A)]]*Fsw*10^3*30*10^-9, TI_MOSFET_S_VSD_H_BO*Table7[[#This Row],[Ivalley (A)]]*Fsw*10^3*40*10^-9+TI_MOSFET_S_VSD_H_BO*Table7[[#This Row],[Ipeak (A)]]*Fsw*10^3*30*10^-9)/10^-3</f>
        <v>#REF!</v>
      </c>
      <c r="AY192" s="152" t="e">
        <f aca="false">IF(VACnom&gt;Vbat, VACnom*TI_MOSFET_S_QG_L_BU*10^-9*Fsw*10^3, VACnom*TI_MOSFET_S_QG_L_BO*10^-9*Fsw*10^3)/10^-3</f>
        <v>#REF!</v>
      </c>
      <c r="AZ192" s="152" t="e">
        <f aca="false">IF(VACnom&lt;Vbat, Table7[[#This Row],[Duty Cycle]]*Table7[[#This Row],[I_L RMS]]^2*TI_MOSFET_S_RDSON_H_BU*10^-3, (1-Table7[[#This Row],[Duty Cycle]])*Table7[[#This Row],[I_L RMS]]^2*TI_MOSFET_S_RDSON_H_BO*10^-3)/10^-3</f>
        <v>#REF!</v>
      </c>
      <c r="BA192" s="152" t="e">
        <f aca="false">IF(VACnom&gt;Vbat, Table7[[#This Row],[PIV (mW)]]+Table7[[#This Row],[Pqoss (mW)]]+Table7[[#This Row],[Pgate_top (mW)]], Table7[[#This Row],[PRR (mW)]]+Table7[[#This Row],[Pdead (mW)]]+Table7[[#This Row],[Pgate_top (mW)]])</f>
        <v>#REF!</v>
      </c>
      <c r="BB192" s="152" t="e">
        <f aca="false">Table7[[#This Row],[Pcon_top (mW)]]+Table7[[#This Row],[Psw_top (mW)]]</f>
        <v>#REF!</v>
      </c>
      <c r="BC192" s="152" t="e">
        <f aca="false">IF(VACnom&gt;Vbat, (1-Table7[[#This Row],[Duty Cycle]])*Table7[[#This Row],[I_L RMS]]^2*TI_MOSFET_S_RDSON_L_BU*10^-3, Table7[[#This Row],[Duty Cycle]]*Table7[[#This Row],[I_L RMS]]^2*TI_MOSFET_S_RDSON_L_BO*10^-3)/10^-3</f>
        <v>#REF!</v>
      </c>
      <c r="BD192" s="152" t="e">
        <f aca="false">IF(VACnom&gt;Vbat, Table7[[#This Row],[PRR (mW)]]+Table7[[#This Row],[Pdead (mW)]]+Table7[[#This Row],[Pgate_bottom (mW)]], Table7[[#This Row],[PIV (mW)]]+Table7[[#This Row],[Pqoss (mW)]]+Table7[[#This Row],[Pgate_bottom (mW)]])</f>
        <v>#REF!</v>
      </c>
      <c r="BE192" s="154" t="e">
        <f aca="false">Table7[[#This Row],[Pcon_bottom (mW)]]+Table7[[#This Row],[Psw_bottom (mW)]]</f>
        <v>#REF!</v>
      </c>
      <c r="BF192" s="152" t="e">
        <f aca="false">Table7[[#This Row],[Pbottom (mW)]]+Table7[[#This Row],[Ptop (mW)]]</f>
        <v>#REF!</v>
      </c>
      <c r="BG192" s="155"/>
      <c r="BH192" s="152" t="n">
        <f aca="false">MAX(0,Table7[[#This Row],[I_L]]-0.5*Table7[[#This Row],[I_L pkpk]])</f>
        <v>3.63714285714286</v>
      </c>
      <c r="BI192" s="152" t="n">
        <f aca="false">Table7[[#This Row],[I_L]]+0.5*Table7[[#This Row],[I_L pkpk]]</f>
        <v>3.92285714285714</v>
      </c>
      <c r="BJ192" s="152" t="n">
        <f aca="false">IF(VACnom&gt;Vbat, (VGS_S-(C_MOSFET_S_VTH_H_BU+Table7[[#This Row],[I_L]]/C_MOSFET_S_gFS_H_BU))/3.4, (VGS_S-(C_MOSFET_S_VTH_L_BO+Table7[[#This Row],[I_L]]/C_MOSFET_S_gFS_L_BO))/3.4 )</f>
        <v>2.34552941176471</v>
      </c>
      <c r="BK192" s="152" t="n">
        <f aca="false">IF(VACnom&gt;Vbat, ((C_MOSFET_S_VTH_H_BU+Table7[[#This Row],[I_L]]/C_MOSFET_S_gFS_H_BU))/1, ((C_MOSFET_S_VTH_L_BO+Table7[[#This Row],[I_L]]/C_MOSFET_S_gFS_L_BO))/1 )</f>
        <v>2.0252</v>
      </c>
      <c r="BL192" s="152" t="n">
        <f aca="false">IF(VACnom&gt;Vbat, (C_MOSFET_S_QGD_H_BU+C_MOSFET_S_QGS_H_BU)*10^-9/Table7[[#This Row],[Ion (A) C]], (C_MOSFET_S_QGD_L_BO+C_MOSFET_S_QGS_L_BO)*10^-9/Table7[[#This Row],[Ion (A) C]])/10^-9</f>
        <v>2.77122937252345</v>
      </c>
      <c r="BM192" s="152" t="n">
        <f aca="false">IF(VACnom&gt;Vbat, (C_MOSFET_S_QGD_H_BU+C_MOSFET_S_QGS_H_BU)*10^-9/Table7[[#This Row],[Ioff (A) C]], (C_MOSFET_S_QGD_L_BO+C_MOSFET_S_QGS_L_BO)*10^-9/Table7[[#This Row],[Ioff (A) C]])/10^-9</f>
        <v>3.20955954967411</v>
      </c>
      <c r="BN192" s="152" t="n">
        <f aca="false">0.5*VACnom*Table7[[#This Row],[Ivalley (A) C]]*Table7[[#This Row],[ton (ns) C]]*10^-9*Fsw*10^3+0.5*VACnom*Table7[[#This Row],[Ipeak (A) C]]*Table7[[#This Row],[toff (ns) C]]*10^-9*Fsw*10^3/10^-3</f>
        <v>15.1208675543786</v>
      </c>
      <c r="BO192" s="152" t="n">
        <f aca="false">IF(VACnom&gt;Vbat, 0.5*VACnom*C_MOSFET_S_QOSS_H_BU*10^-9*Fsw*10^3,0.5*VACnom*C_MOSFET_S_QOSS_L_BO*10^-9*Fsw*10^3)/10^-3</f>
        <v>43.2</v>
      </c>
      <c r="BP192" s="152" t="e">
        <f aca="false">IF(VACnom&gt;Vbat, VACnom*C_MOSFET_S_QG_H_BU*10^-9*Fsw*10^3,VACnom*C_MOSFET_S_QG_H_BO*10^-9*Fsw*10^3)/10^-3</f>
        <v>#REF!</v>
      </c>
      <c r="BQ192" s="152" t="n">
        <f aca="false">IF(VACnom&gt;Vbat, VACnom*C_MOSFET_S_QRR_L_BU*10^-9*Fsw*10^3, VACnom*C_MOSFET_S_QRR_H_BO*10^-9*Fsw*10^3)/10^-3</f>
        <v>79.2</v>
      </c>
      <c r="BR192" s="152" t="n">
        <f aca="false">IF(VACnom&gt;Vbat, C_MOSFET_S_VSD_L_BU*Table7[[#This Row],[Ivalley (A) C]]*Fsw*10^3*40*10^-9+C_MOSFET_S_VSD_L_BU*Table7[[#This Row],[Ipeak (A) C]]*Fsw*10^3*30*10^-9, C_MOSFET_S_VSD_H_BO*Table7[[#This Row],[Ivalley (A) C]]*Fsw*10^3*40*10^-9+C_MOSFET_S_VSD_H_BO*Table7[[#This Row],[Ipeak (A) C]]*Fsw*10^3*30*10^-9)/10^-3</f>
        <v>42.1074285714286</v>
      </c>
      <c r="BS192" s="152" t="e">
        <f aca="false">IF(VACnom&gt;Vbat, VACnom*C_MOSFET_S_QG_L_BU*10^-9*Fsw*10^3, VACnom*C_MOSFET_S_QG_L_BO*10^-9*Fsw*10^3)/10^-3</f>
        <v>#REF!</v>
      </c>
      <c r="BT192" s="152" t="n">
        <f aca="false">IF(VACnom&lt;Vbat, Table7[[#This Row],[Duty Cycle]]*Table7[[#This Row],[I_L RMS]]^2*C_MOSFET_S_RDSON_H_BU*10^-3, (1-Table7[[#This Row],[Duty Cycle]])*Table7[[#This Row],[I_L RMS]]^2*C_MOSFET_S_RDSON_H_BO*10^-3)/10^-3</f>
        <v>3.88012645286686</v>
      </c>
      <c r="BU192" s="152" t="e">
        <f aca="false">IF(VACnom&gt;Vbat, Table7[[#This Row],[PIV (mW) C]]+Table7[[#This Row],[PQoss (mW) C]]+Table7[[#This Row],[Pgate_top (mW) C]], Table7[[#This Row],[PRR (mW) C]]+Table7[[#This Row],[Pdead (mW) C]]+Table7[[#This Row],[Pgate_top (mW) C]])</f>
        <v>#REF!</v>
      </c>
      <c r="BV192" s="152" t="e">
        <f aca="false">Table7[[#This Row],[Pcon_top (mW) C]]+Table7[[#This Row],[Psw_top (mW) C]]</f>
        <v>#REF!</v>
      </c>
      <c r="BW192" s="152" t="e">
        <f aca="false">IF(VACnom&gt;Vbat, (1-Table7[[#This Row],[Duty Cycle]])*Table7[[#This Row],[I_L RMS]]^2*C_MOSFET_S_RDSON_L_BU*10^-3, Table7[[#This Row],[Duty Cycle]]*Table7[[#This Row],[I_L RMS]]^2*C_MOSFET_S_RDSON_L_BO*10^-3)/10^-3</f>
        <v>#REF!</v>
      </c>
      <c r="BX192" s="152" t="e">
        <f aca="false">IF(VACnom&gt;Vbat, Table7[[#This Row],[PRR (mW) C]]+Table7[[#This Row],[Pdead (mW) C]]+Table7[[#This Row],[Pgate_bottom (mW) C]], Table7[[#This Row],[PIV (mW) C]]+Table7[[#This Row],[PQoss (mW) C]]+Table7[[#This Row],[Pgate_bottom (mW) C]])</f>
        <v>#REF!</v>
      </c>
      <c r="BY192" s="152" t="e">
        <f aca="false">Table7[[#This Row],[Pcon_bottom (mW) C]]+Table7[[#This Row],[Psw_bottom (mV) C]]</f>
        <v>#REF!</v>
      </c>
      <c r="BZ192" s="152" t="e">
        <f aca="false">Table7[[#This Row],[Pbottom (mW) C]]+Table7[[#This Row],[Ptop (mW) C]]</f>
        <v>#REF!</v>
      </c>
      <c r="CA192" s="156"/>
      <c r="CB192" s="151" t="n">
        <f aca="false">(RAC_SNS*10^-3*(Table7[[#This Row],[IOUT (A)]]*Vbat/VACnom)^2/10^-3)</f>
        <v>71.442</v>
      </c>
      <c r="CC192" s="151" t="n">
        <f aca="false">(RBAT_SNS*10^-3*Table7[[#This Row],[IOUT (A)]]^2)/10^-3</f>
        <v>64.8</v>
      </c>
      <c r="CD192" s="151" t="n">
        <f aca="false">IF(VACnom&gt;Vbat,(L_DRC*10^-3*(Table7[[#This Row],[IOUT (A)]])^2/10^-3),(L_DRC*10^-3*(Table7[[#This Row],[IOUT (A)]]*Vbat/VACnom)^2/10^-3))</f>
        <v>171.4608</v>
      </c>
      <c r="CE192" s="157"/>
      <c r="CF192" s="152" t="n">
        <f aca="false">(Table7[[#This Row],[R_AC (mW)]]+Table7[[#This Row],[R_SR (mW)]]+Table7[[#This Row],[Inductor Loss (mW)]])/10^3</f>
        <v>0.3077028</v>
      </c>
      <c r="CG192" s="152" t="e">
        <f aca="false">Table7[[#This Row],[Total TI (mW)]]/10^3</f>
        <v>#REF!</v>
      </c>
      <c r="CH192" s="152" t="e">
        <f aca="false">Table7[[#This Row],[Total Sense Loss]]+Table7[[#This Row],[Total MOSFET Loss]]</f>
        <v>#REF!</v>
      </c>
      <c r="CI192" s="158" t="e">
        <f aca="false">IF(Table7[[#This Row],[POUT (W)]]=0,0,(Table7[[#This Row],[POUT (W)]])/(Table7[[#This Row],[POUT (W)]]+Table7[[#This Row],[Total Power Loss (W)]]))*100</f>
        <v>#REF!</v>
      </c>
      <c r="CJ192" s="159"/>
      <c r="CK192" s="152" t="n">
        <f aca="false">(Table7[[#This Row],[R_AC (mW)]]+Table7[[#This Row],[R_SR (mW)]]+Table7[[#This Row],[Inductor Loss (mW)]])/10^3</f>
        <v>0.3077028</v>
      </c>
      <c r="CL192" s="152" t="e">
        <f aca="false">Table7[[#This Row],[Total (mW) C]]/10^3</f>
        <v>#REF!</v>
      </c>
      <c r="CM192" s="152" t="e">
        <f aca="false">Table7[[#This Row],[Total Sense Loss C]]+Table7[[#This Row],[Total MOSFET Loss C]]</f>
        <v>#REF!</v>
      </c>
      <c r="CN192" s="158" t="e">
        <f aca="false">IF(Table7[[#This Row],[POUT (W)]]=0,0,(Table7[[#This Row],[POUT (W)]])/(Table7[[#This Row],[POUT (W)]]+Table7[[#This Row],[Total Power Loss (W) C]]))*100</f>
        <v>#REF!</v>
      </c>
      <c r="CO192" s="159"/>
      <c r="CP192" s="158" t="n">
        <f aca="false">IF(MOSFET_S=Custom_MOSFET,Table7[[#This Row],[Total Sense Loss C]],Table7[[#This Row],[Total Sense Loss]])</f>
        <v>0.3077028</v>
      </c>
      <c r="CQ192" s="158" t="e">
        <f aca="false">IF(MOSFET_S=Custom_MOSFET,Table7[[#This Row],[Total MOSFET Loss C]],Table7[[#This Row],[Total MOSFET Loss]])</f>
        <v>#REF!</v>
      </c>
      <c r="CR192" s="158" t="e">
        <f aca="false">IF(MOSFET_S=Custom_MOSFET,Table7[[#This Row],[Efficiency C]],Table7[[#This Row],[Efficiency]])</f>
        <v>#REF!</v>
      </c>
      <c r="CS192" s="159"/>
      <c r="CT192" s="158" t="n">
        <f aca="false">IF(MOSFET_S=Compare_MOSFET, Table7[[#This Row],[Total Sense Loss C]], -100)</f>
        <v>-100</v>
      </c>
      <c r="CU192" s="158" t="n">
        <f aca="false">IF(MOSFET_S=Compare_MOSFET, Table7[[#This Row],[Total MOSFET Loss C]], -100)</f>
        <v>-100</v>
      </c>
      <c r="CV192" s="158" t="n">
        <f aca="false">IF(MOSFET_S=Compare_MOSFET, Table7[[#This Row],[Efficiency C]], -100)</f>
        <v>-100</v>
      </c>
      <c r="CW192" s="159"/>
      <c r="CX192" s="158" t="e">
        <f aca="false">IF(Save_Sel=CLR_Save,  Table7[[#This Row],[Total Sense Loss P1]], Table7[[#This Row],[Total Sense Loss P1 Saved]])</f>
        <v>#VALUE!</v>
      </c>
      <c r="CY192" s="158" t="e">
        <f aca="false">IF(Save_Sel=CLR_Save,  Table7[[#This Row],[Total MOSFET Loss P1]], Table7[[#This Row],[Total MOSFET Loss P1 Saved]] )</f>
        <v>#VALUE!</v>
      </c>
      <c r="CZ192" s="158" t="e">
        <f aca="false">IF(Save_Sel=CLR_Save, Table7[[#This Row],[Efficiency P1]], Table7[[#This Row],[Efficiency P1 Saved]])</f>
        <v>#VALUE!</v>
      </c>
      <c r="DA192" s="159"/>
      <c r="DB192" s="158" t="e">
        <f aca="false">IF(Save_Sel=CLR_Save,  Table7[[#This Row],[Total Sense Loss P2]], Table7[[#This Row],[Total Sense Loss P2 Saved]])</f>
        <v>#VALUE!</v>
      </c>
      <c r="DC192" s="158" t="e">
        <f aca="false">IF(Save_Sel=CLR_Save,  Table7[[#This Row],[Total MOSFET Loss P2]], Table7[[#This Row],[Total MOSFET Loss P2 Saved]] )</f>
        <v>#VALUE!</v>
      </c>
      <c r="DD192" s="158" t="e">
        <f aca="false">IF(Save_Sel=CLR_Save, Table7[[#This Row],[Efficiency P2]], Table7[[#This Row],[Efficiency P2 Saved]])</f>
        <v>#VALUE!</v>
      </c>
      <c r="DE192" s="159"/>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row>
    <row r="193" customFormat="false" ht="16.4" hidden="false" customHeight="false" outlineLevel="0" collapsed="false">
      <c r="A193" s="28"/>
      <c r="B193" s="84"/>
      <c r="C193" s="84"/>
      <c r="D193" s="28"/>
      <c r="E193" s="168"/>
      <c r="F193" s="168"/>
      <c r="G193" s="84"/>
      <c r="H193" s="24"/>
      <c r="I193" s="24"/>
      <c r="J193" s="24"/>
      <c r="K193" s="24"/>
      <c r="L193" s="24"/>
      <c r="M193" s="24"/>
      <c r="N193" s="24"/>
      <c r="O193" s="24"/>
      <c r="P193" s="24"/>
      <c r="Q193" s="24"/>
      <c r="R193" s="24"/>
      <c r="S193" s="25"/>
      <c r="T193" s="6"/>
      <c r="U193" s="7"/>
      <c r="V193" s="7"/>
      <c r="W193" s="7"/>
      <c r="X193" s="7"/>
      <c r="Y193" s="7"/>
      <c r="Z193" s="7"/>
      <c r="AA193" s="7"/>
      <c r="AB193" s="7"/>
      <c r="AC193" s="7"/>
      <c r="AD193" s="7"/>
      <c r="AE193" s="7"/>
      <c r="AF193" s="150" t="n">
        <f aca="false">AF192+1</f>
        <v>37</v>
      </c>
      <c r="AG193" s="150" t="n">
        <f aca="false">$AG$156+AF193*($AG$256-$AG$156)/$AF$256</f>
        <v>3.7</v>
      </c>
      <c r="AH193" s="151" t="n">
        <f aca="false">AG193*VACnom</f>
        <v>44.4</v>
      </c>
      <c r="AI193" s="152" t="n">
        <f aca="false">IF(VACnom&lt;Vbat, (Vbat-VACnom)/Vbat, Vbat/VACnom)</f>
        <v>0.0476190476190476</v>
      </c>
      <c r="AJ193" s="152" t="n">
        <f aca="false">IF(VACnom&lt;Vbat, AG193/(1-AI193), AG193*AI193)</f>
        <v>3.885</v>
      </c>
      <c r="AK193" s="152" t="n">
        <f aca="false">Ipkpk_VACnom</f>
        <v>0.285714285714285</v>
      </c>
      <c r="AL193" s="152" t="n">
        <f aca="false">SQRT(AJ193^2+AK193^2/12)</f>
        <v>3.88587541245064</v>
      </c>
      <c r="AM193" s="153"/>
      <c r="AN193" s="152" t="n">
        <f aca="false">MAX(0,Table7[[#This Row],[I_L]]-0.5*Table7[[#This Row],[I_L pkpk]])</f>
        <v>3.74214285714286</v>
      </c>
      <c r="AO193" s="152" t="n">
        <f aca="false">Table7[[#This Row],[I_L]]+0.5*Table7[[#This Row],[I_L pkpk]]</f>
        <v>4.02785714285714</v>
      </c>
      <c r="AP193" s="152" t="e">
        <f aca="false">IF(VACnom&gt;Vbat, (VGS_S-(TI_MOSFET_S_VTH_H_BU+Table7[[#This Row],[I_L]]/TI_MOSFET_S_gFS_H_BU))/3.4, (VGS_S-(TI_MOSFET_S_VTH_L_BO+Table7[[#This Row],[I_L]]/TI_MOSFET_S_gFS_L_BO))/3.4 )</f>
        <v>#REF!</v>
      </c>
      <c r="AQ193" s="152" t="e">
        <f aca="false">IF(VACnom&gt;Vbat, ((TI_MOSFET_S_VTH_H_BU+Table7[[#This Row],[I_L]]/TI_MOSFET_S_gFS_H_BU))/1, ((TI_MOSFET_S_VTH_L_BO+Table7[[#This Row],[I_L]]/TI_MOSFET_S_gFS_L_BO))/1 )</f>
        <v>#REF!</v>
      </c>
      <c r="AR193" s="152" t="e">
        <f aca="false">IF(VACnom&gt;Vbat, (TI_MOSFET_S_QGD_H_BU+TI_MOSFET_S_QGS_H_BU)*10^-9/Table7[[#This Row],[Ion (A)]], (TI_MOSFET_S_QGD_L_BO+TI_MOSFET_S_QGS_L_BO)*10^-9/Table7[[#This Row],[Ion (A)]])/10^-9</f>
        <v>#REF!</v>
      </c>
      <c r="AS193" s="152" t="e">
        <f aca="false">IF(VACnom&gt;Vbat, (TI_MOSFET_S_QGD_H_BU+TI_MOSFET_S_QGS_H_BU)*10^-9/Table7[[#This Row],[Ioff (A)]], (TI_MOSFET_S_QGD_L_BO+TI_MOSFET_S_QGS_L_BO)*10^-9/Table7[[#This Row],[Ioff (A)]])/10^-9</f>
        <v>#REF!</v>
      </c>
      <c r="AT193" s="152" t="e">
        <f aca="false">0.5*VACnom*Table7[[#This Row],[Ivalley (A)]]*Table7[[#This Row],[ton (ns)]]*10^-9*Fsw*10^3+0.5*VACnom*Table7[[#This Row],[Ipeak (A)]]*Table7[[#This Row],[toff (ns)]]*10^-9*Fsw*10^3/10^-3</f>
        <v>#REF!</v>
      </c>
      <c r="AU193" s="152" t="e">
        <f aca="false">IF(VACnom&gt;Vbat, 0.5*VACnom*TI_MOSFET_S_QOSS_H_BU*10^-9*Fsw*10^3,0.5*VACnom*TI_MOSFET_S_QOSS_L_BO*10^-9*Fsw*10^3)/10^-3</f>
        <v>#REF!</v>
      </c>
      <c r="AV193" s="152" t="e">
        <f aca="false">IF(VACnom&gt;Vbat, VACnom*TI_MOSFET_S_QG_H_BU*10^-9*Fsw*10^3,VACnom*TI_MOSFET_S_QG_H_BO*10^-9*Fsw*10^3)/10^-3</f>
        <v>#REF!</v>
      </c>
      <c r="AW193" s="152" t="e">
        <f aca="false">IF(VACnom&gt;Vbat, VACnom*TI_MOSFET_S_QRR_L_BU*10^-9*Fsw*10^3, VACnom*TI_MOSFET_S_QRR_H_BO*10^-9*Fsw*10^3)/10^-3</f>
        <v>#REF!</v>
      </c>
      <c r="AX193" s="152" t="e">
        <f aca="false">IF(VACnom&gt;Vbat, TI_MOSFET_S_VSD_L_BU*Table7[[#This Row],[Ivalley (A)]]*Fsw*10^3*40*10^-9+TI_MOSFET_S_VSD_L_BU*Table7[[#This Row],[Ipeak (A)]]*Fsw*10^3*30*10^-9, TI_MOSFET_S_VSD_H_BO*Table7[[#This Row],[Ivalley (A)]]*Fsw*10^3*40*10^-9+TI_MOSFET_S_VSD_H_BO*Table7[[#This Row],[Ipeak (A)]]*Fsw*10^3*30*10^-9)/10^-3</f>
        <v>#REF!</v>
      </c>
      <c r="AY193" s="152" t="e">
        <f aca="false">IF(VACnom&gt;Vbat, VACnom*TI_MOSFET_S_QG_L_BU*10^-9*Fsw*10^3, VACnom*TI_MOSFET_S_QG_L_BO*10^-9*Fsw*10^3)/10^-3</f>
        <v>#REF!</v>
      </c>
      <c r="AZ193" s="152" t="e">
        <f aca="false">IF(VACnom&lt;Vbat, Table7[[#This Row],[Duty Cycle]]*Table7[[#This Row],[I_L RMS]]^2*TI_MOSFET_S_RDSON_H_BU*10^-3, (1-Table7[[#This Row],[Duty Cycle]])*Table7[[#This Row],[I_L RMS]]^2*TI_MOSFET_S_RDSON_H_BO*10^-3)/10^-3</f>
        <v>#REF!</v>
      </c>
      <c r="BA193" s="152" t="e">
        <f aca="false">IF(VACnom&gt;Vbat, Table7[[#This Row],[PIV (mW)]]+Table7[[#This Row],[Pqoss (mW)]]+Table7[[#This Row],[Pgate_top (mW)]], Table7[[#This Row],[PRR (mW)]]+Table7[[#This Row],[Pdead (mW)]]+Table7[[#This Row],[Pgate_top (mW)]])</f>
        <v>#REF!</v>
      </c>
      <c r="BB193" s="152" t="e">
        <f aca="false">Table7[[#This Row],[Pcon_top (mW)]]+Table7[[#This Row],[Psw_top (mW)]]</f>
        <v>#REF!</v>
      </c>
      <c r="BC193" s="152" t="e">
        <f aca="false">IF(VACnom&gt;Vbat, (1-Table7[[#This Row],[Duty Cycle]])*Table7[[#This Row],[I_L RMS]]^2*TI_MOSFET_S_RDSON_L_BU*10^-3, Table7[[#This Row],[Duty Cycle]]*Table7[[#This Row],[I_L RMS]]^2*TI_MOSFET_S_RDSON_L_BO*10^-3)/10^-3</f>
        <v>#REF!</v>
      </c>
      <c r="BD193" s="152" t="e">
        <f aca="false">IF(VACnom&gt;Vbat, Table7[[#This Row],[PRR (mW)]]+Table7[[#This Row],[Pdead (mW)]]+Table7[[#This Row],[Pgate_bottom (mW)]], Table7[[#This Row],[PIV (mW)]]+Table7[[#This Row],[Pqoss (mW)]]+Table7[[#This Row],[Pgate_bottom (mW)]])</f>
        <v>#REF!</v>
      </c>
      <c r="BE193" s="154" t="e">
        <f aca="false">Table7[[#This Row],[Pcon_bottom (mW)]]+Table7[[#This Row],[Psw_bottom (mW)]]</f>
        <v>#REF!</v>
      </c>
      <c r="BF193" s="152" t="e">
        <f aca="false">Table7[[#This Row],[Pbottom (mW)]]+Table7[[#This Row],[Ptop (mW)]]</f>
        <v>#REF!</v>
      </c>
      <c r="BG193" s="155"/>
      <c r="BH193" s="152" t="n">
        <f aca="false">MAX(0,Table7[[#This Row],[I_L]]-0.5*Table7[[#This Row],[I_L pkpk]])</f>
        <v>3.74214285714286</v>
      </c>
      <c r="BI193" s="152" t="n">
        <f aca="false">Table7[[#This Row],[I_L]]+0.5*Table7[[#This Row],[I_L pkpk]]</f>
        <v>4.02785714285714</v>
      </c>
      <c r="BJ193" s="152" t="n">
        <f aca="false">IF(VACnom&gt;Vbat, (VGS_S-(C_MOSFET_S_VTH_H_BU+Table7[[#This Row],[I_L]]/C_MOSFET_S_gFS_H_BU))/3.4, (VGS_S-(C_MOSFET_S_VTH_L_BO+Table7[[#This Row],[I_L]]/C_MOSFET_S_gFS_L_BO))/3.4 )</f>
        <v>2.34532352941176</v>
      </c>
      <c r="BK193" s="152" t="n">
        <f aca="false">IF(VACnom&gt;Vbat, ((C_MOSFET_S_VTH_H_BU+Table7[[#This Row],[I_L]]/C_MOSFET_S_gFS_H_BU))/1, ((C_MOSFET_S_VTH_L_BO+Table7[[#This Row],[I_L]]/C_MOSFET_S_gFS_L_BO))/1 )</f>
        <v>2.0259</v>
      </c>
      <c r="BL193" s="152" t="n">
        <f aca="false">IF(VACnom&gt;Vbat, (C_MOSFET_S_QGD_H_BU+C_MOSFET_S_QGS_H_BU)*10^-9/Table7[[#This Row],[Ion (A) C]], (C_MOSFET_S_QGD_L_BO+C_MOSFET_S_QGS_L_BO)*10^-9/Table7[[#This Row],[Ion (A) C]])/10^-9</f>
        <v>2.77147264268068</v>
      </c>
      <c r="BM193" s="152" t="n">
        <f aca="false">IF(VACnom&gt;Vbat, (C_MOSFET_S_QGD_H_BU+C_MOSFET_S_QGS_H_BU)*10^-9/Table7[[#This Row],[Ioff (A) C]], (C_MOSFET_S_QGD_L_BO+C_MOSFET_S_QGS_L_BO)*10^-9/Table7[[#This Row],[Ioff (A) C]])/10^-9</f>
        <v>3.20845056518091</v>
      </c>
      <c r="BN193" s="152" t="n">
        <f aca="false">0.5*VACnom*Table7[[#This Row],[Ivalley (A) C]]*Table7[[#This Row],[ton (ns) C]]*10^-9*Fsw*10^3+0.5*VACnom*Table7[[#This Row],[Ipeak (A) C]]*Table7[[#This Row],[toff (ns) C]]*10^-9*Fsw*10^3/10^-3</f>
        <v>15.5202621276258</v>
      </c>
      <c r="BO193" s="152" t="n">
        <f aca="false">IF(VACnom&gt;Vbat, 0.5*VACnom*C_MOSFET_S_QOSS_H_BU*10^-9*Fsw*10^3,0.5*VACnom*C_MOSFET_S_QOSS_L_BO*10^-9*Fsw*10^3)/10^-3</f>
        <v>43.2</v>
      </c>
      <c r="BP193" s="152" t="e">
        <f aca="false">IF(VACnom&gt;Vbat, VACnom*C_MOSFET_S_QG_H_BU*10^-9*Fsw*10^3,VACnom*C_MOSFET_S_QG_H_BO*10^-9*Fsw*10^3)/10^-3</f>
        <v>#REF!</v>
      </c>
      <c r="BQ193" s="152" t="n">
        <f aca="false">IF(VACnom&gt;Vbat, VACnom*C_MOSFET_S_QRR_L_BU*10^-9*Fsw*10^3, VACnom*C_MOSFET_S_QRR_H_BO*10^-9*Fsw*10^3)/10^-3</f>
        <v>79.2</v>
      </c>
      <c r="BR193" s="152" t="n">
        <f aca="false">IF(VACnom&gt;Vbat, C_MOSFET_S_VSD_L_BU*Table7[[#This Row],[Ivalley (A) C]]*Fsw*10^3*40*10^-9+C_MOSFET_S_VSD_L_BU*Table7[[#This Row],[Ipeak (A) C]]*Fsw*10^3*30*10^-9, C_MOSFET_S_VSD_H_BO*Table7[[#This Row],[Ivalley (A) C]]*Fsw*10^3*40*10^-9+C_MOSFET_S_VSD_H_BO*Table7[[#This Row],[Ipeak (A) C]]*Fsw*10^3*30*10^-9)/10^-3</f>
        <v>43.2834285714286</v>
      </c>
      <c r="BS193" s="152" t="e">
        <f aca="false">IF(VACnom&gt;Vbat, VACnom*C_MOSFET_S_QG_L_BU*10^-9*Fsw*10^3, VACnom*C_MOSFET_S_QG_L_BO*10^-9*Fsw*10^3)/10^-3</f>
        <v>#REF!</v>
      </c>
      <c r="BT193" s="152" t="n">
        <f aca="false">IF(VACnom&lt;Vbat, Table7[[#This Row],[Duty Cycle]]*Table7[[#This Row],[I_L RMS]]^2*C_MOSFET_S_RDSON_H_BU*10^-3, (1-Table7[[#This Row],[Duty Cycle]])*Table7[[#This Row],[I_L RMS]]^2*C_MOSFET_S_RDSON_H_BO*10^-3)/10^-3</f>
        <v>4.09857895286686</v>
      </c>
      <c r="BU193" s="152" t="e">
        <f aca="false">IF(VACnom&gt;Vbat, Table7[[#This Row],[PIV (mW) C]]+Table7[[#This Row],[PQoss (mW) C]]+Table7[[#This Row],[Pgate_top (mW) C]], Table7[[#This Row],[PRR (mW) C]]+Table7[[#This Row],[Pdead (mW) C]]+Table7[[#This Row],[Pgate_top (mW) C]])</f>
        <v>#REF!</v>
      </c>
      <c r="BV193" s="152" t="e">
        <f aca="false">Table7[[#This Row],[Pcon_top (mW) C]]+Table7[[#This Row],[Psw_top (mW) C]]</f>
        <v>#REF!</v>
      </c>
      <c r="BW193" s="152" t="e">
        <f aca="false">IF(VACnom&gt;Vbat, (1-Table7[[#This Row],[Duty Cycle]])*Table7[[#This Row],[I_L RMS]]^2*C_MOSFET_S_RDSON_L_BU*10^-3, Table7[[#This Row],[Duty Cycle]]*Table7[[#This Row],[I_L RMS]]^2*C_MOSFET_S_RDSON_L_BO*10^-3)/10^-3</f>
        <v>#REF!</v>
      </c>
      <c r="BX193" s="152" t="e">
        <f aca="false">IF(VACnom&gt;Vbat, Table7[[#This Row],[PRR (mW) C]]+Table7[[#This Row],[Pdead (mW) C]]+Table7[[#This Row],[Pgate_bottom (mW) C]], Table7[[#This Row],[PIV (mW) C]]+Table7[[#This Row],[PQoss (mW) C]]+Table7[[#This Row],[Pgate_bottom (mW) C]])</f>
        <v>#REF!</v>
      </c>
      <c r="BY193" s="152" t="e">
        <f aca="false">Table7[[#This Row],[Pcon_bottom (mW) C]]+Table7[[#This Row],[Psw_bottom (mV) C]]</f>
        <v>#REF!</v>
      </c>
      <c r="BZ193" s="152" t="e">
        <f aca="false">Table7[[#This Row],[Pbottom (mW) C]]+Table7[[#This Row],[Ptop (mW) C]]</f>
        <v>#REF!</v>
      </c>
      <c r="CA193" s="156"/>
      <c r="CB193" s="151" t="n">
        <f aca="false">(RAC_SNS*10^-3*(Table7[[#This Row],[IOUT (A)]]*Vbat/VACnom)^2/10^-3)</f>
        <v>75.466125</v>
      </c>
      <c r="CC193" s="151" t="n">
        <f aca="false">(RBAT_SNS*10^-3*Table7[[#This Row],[IOUT (A)]]^2)/10^-3</f>
        <v>68.45</v>
      </c>
      <c r="CD193" s="151" t="n">
        <f aca="false">IF(VACnom&gt;Vbat,(L_DRC*10^-3*(Table7[[#This Row],[IOUT (A)]])^2/10^-3),(L_DRC*10^-3*(Table7[[#This Row],[IOUT (A)]]*Vbat/VACnom)^2/10^-3))</f>
        <v>181.1187</v>
      </c>
      <c r="CE193" s="157"/>
      <c r="CF193" s="152" t="n">
        <f aca="false">(Table7[[#This Row],[R_AC (mW)]]+Table7[[#This Row],[R_SR (mW)]]+Table7[[#This Row],[Inductor Loss (mW)]])/10^3</f>
        <v>0.325034825</v>
      </c>
      <c r="CG193" s="152" t="e">
        <f aca="false">Table7[[#This Row],[Total TI (mW)]]/10^3</f>
        <v>#REF!</v>
      </c>
      <c r="CH193" s="152" t="e">
        <f aca="false">Table7[[#This Row],[Total Sense Loss]]+Table7[[#This Row],[Total MOSFET Loss]]</f>
        <v>#REF!</v>
      </c>
      <c r="CI193" s="158" t="e">
        <f aca="false">IF(Table7[[#This Row],[POUT (W)]]=0,0,(Table7[[#This Row],[POUT (W)]])/(Table7[[#This Row],[POUT (W)]]+Table7[[#This Row],[Total Power Loss (W)]]))*100</f>
        <v>#REF!</v>
      </c>
      <c r="CJ193" s="159"/>
      <c r="CK193" s="152" t="n">
        <f aca="false">(Table7[[#This Row],[R_AC (mW)]]+Table7[[#This Row],[R_SR (mW)]]+Table7[[#This Row],[Inductor Loss (mW)]])/10^3</f>
        <v>0.325034825</v>
      </c>
      <c r="CL193" s="152" t="e">
        <f aca="false">Table7[[#This Row],[Total (mW) C]]/10^3</f>
        <v>#REF!</v>
      </c>
      <c r="CM193" s="152" t="e">
        <f aca="false">Table7[[#This Row],[Total Sense Loss C]]+Table7[[#This Row],[Total MOSFET Loss C]]</f>
        <v>#REF!</v>
      </c>
      <c r="CN193" s="158" t="e">
        <f aca="false">IF(Table7[[#This Row],[POUT (W)]]=0,0,(Table7[[#This Row],[POUT (W)]])/(Table7[[#This Row],[POUT (W)]]+Table7[[#This Row],[Total Power Loss (W) C]]))*100</f>
        <v>#REF!</v>
      </c>
      <c r="CO193" s="159"/>
      <c r="CP193" s="158" t="n">
        <f aca="false">IF(MOSFET_S=Custom_MOSFET,Table7[[#This Row],[Total Sense Loss C]],Table7[[#This Row],[Total Sense Loss]])</f>
        <v>0.325034825</v>
      </c>
      <c r="CQ193" s="158" t="e">
        <f aca="false">IF(MOSFET_S=Custom_MOSFET,Table7[[#This Row],[Total MOSFET Loss C]],Table7[[#This Row],[Total MOSFET Loss]])</f>
        <v>#REF!</v>
      </c>
      <c r="CR193" s="158" t="e">
        <f aca="false">IF(MOSFET_S=Custom_MOSFET,Table7[[#This Row],[Efficiency C]],Table7[[#This Row],[Efficiency]])</f>
        <v>#REF!</v>
      </c>
      <c r="CS193" s="159"/>
      <c r="CT193" s="158" t="n">
        <f aca="false">IF(MOSFET_S=Compare_MOSFET, Table7[[#This Row],[Total Sense Loss C]], -100)</f>
        <v>-100</v>
      </c>
      <c r="CU193" s="158" t="n">
        <f aca="false">IF(MOSFET_S=Compare_MOSFET, Table7[[#This Row],[Total MOSFET Loss C]], -100)</f>
        <v>-100</v>
      </c>
      <c r="CV193" s="158" t="n">
        <f aca="false">IF(MOSFET_S=Compare_MOSFET, Table7[[#This Row],[Efficiency C]], -100)</f>
        <v>-100</v>
      </c>
      <c r="CW193" s="159"/>
      <c r="CX193" s="158" t="e">
        <f aca="false">IF(Save_Sel=CLR_Save,  Table7[[#This Row],[Total Sense Loss P1]], Table7[[#This Row],[Total Sense Loss P1 Saved]])</f>
        <v>#VALUE!</v>
      </c>
      <c r="CY193" s="158" t="e">
        <f aca="false">IF(Save_Sel=CLR_Save,  Table7[[#This Row],[Total MOSFET Loss P1]], Table7[[#This Row],[Total MOSFET Loss P1 Saved]] )</f>
        <v>#VALUE!</v>
      </c>
      <c r="CZ193" s="158" t="e">
        <f aca="false">IF(Save_Sel=CLR_Save, Table7[[#This Row],[Efficiency P1]], Table7[[#This Row],[Efficiency P1 Saved]])</f>
        <v>#VALUE!</v>
      </c>
      <c r="DA193" s="159"/>
      <c r="DB193" s="158" t="e">
        <f aca="false">IF(Save_Sel=CLR_Save,  Table7[[#This Row],[Total Sense Loss P2]], Table7[[#This Row],[Total Sense Loss P2 Saved]])</f>
        <v>#VALUE!</v>
      </c>
      <c r="DC193" s="158" t="e">
        <f aca="false">IF(Save_Sel=CLR_Save,  Table7[[#This Row],[Total MOSFET Loss P2]], Table7[[#This Row],[Total MOSFET Loss P2 Saved]] )</f>
        <v>#VALUE!</v>
      </c>
      <c r="DD193" s="158" t="e">
        <f aca="false">IF(Save_Sel=CLR_Save, Table7[[#This Row],[Efficiency P2]], Table7[[#This Row],[Efficiency P2 Saved]])</f>
        <v>#VALUE!</v>
      </c>
      <c r="DE193" s="159"/>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row>
    <row r="194" customFormat="false" ht="16.4" hidden="false" customHeight="false" outlineLevel="0" collapsed="false">
      <c r="A194" s="28"/>
      <c r="B194" s="84"/>
      <c r="C194" s="84"/>
      <c r="D194" s="28"/>
      <c r="E194" s="168"/>
      <c r="F194" s="168"/>
      <c r="G194" s="84"/>
      <c r="H194" s="24"/>
      <c r="I194" s="24"/>
      <c r="J194" s="24"/>
      <c r="K194" s="24"/>
      <c r="L194" s="24"/>
      <c r="M194" s="24"/>
      <c r="N194" s="24"/>
      <c r="O194" s="24"/>
      <c r="P194" s="24"/>
      <c r="Q194" s="24"/>
      <c r="R194" s="24"/>
      <c r="S194" s="25"/>
      <c r="T194" s="6"/>
      <c r="U194" s="7"/>
      <c r="V194" s="7"/>
      <c r="W194" s="7"/>
      <c r="X194" s="7"/>
      <c r="Y194" s="7"/>
      <c r="Z194" s="7"/>
      <c r="AA194" s="7"/>
      <c r="AB194" s="7"/>
      <c r="AC194" s="7"/>
      <c r="AD194" s="7"/>
      <c r="AE194" s="7"/>
      <c r="AF194" s="150" t="n">
        <f aca="false">AF193+1</f>
        <v>38</v>
      </c>
      <c r="AG194" s="150" t="n">
        <f aca="false">$AG$156+AF194*($AG$256-$AG$156)/$AF$256</f>
        <v>3.8</v>
      </c>
      <c r="AH194" s="151" t="n">
        <f aca="false">AG194*VACnom</f>
        <v>45.6</v>
      </c>
      <c r="AI194" s="152" t="n">
        <f aca="false">IF(VACnom&lt;Vbat, (Vbat-VACnom)/Vbat, Vbat/VACnom)</f>
        <v>0.0476190476190476</v>
      </c>
      <c r="AJ194" s="152" t="n">
        <f aca="false">IF(VACnom&lt;Vbat, AG194/(1-AI194), AG194*AI194)</f>
        <v>3.99</v>
      </c>
      <c r="AK194" s="152" t="n">
        <f aca="false">Ipkpk_VACnom</f>
        <v>0.285714285714285</v>
      </c>
      <c r="AL194" s="152" t="n">
        <f aca="false">SQRT(AJ194^2+AK194^2/12)</f>
        <v>3.99085238026771</v>
      </c>
      <c r="AM194" s="153"/>
      <c r="AN194" s="152" t="n">
        <f aca="false">MAX(0,Table7[[#This Row],[I_L]]-0.5*Table7[[#This Row],[I_L pkpk]])</f>
        <v>3.84714285714286</v>
      </c>
      <c r="AO194" s="152" t="n">
        <f aca="false">Table7[[#This Row],[I_L]]+0.5*Table7[[#This Row],[I_L pkpk]]</f>
        <v>4.13285714285714</v>
      </c>
      <c r="AP194" s="152" t="e">
        <f aca="false">IF(VACnom&gt;Vbat, (VGS_S-(TI_MOSFET_S_VTH_H_BU+Table7[[#This Row],[I_L]]/TI_MOSFET_S_gFS_H_BU))/3.4, (VGS_S-(TI_MOSFET_S_VTH_L_BO+Table7[[#This Row],[I_L]]/TI_MOSFET_S_gFS_L_BO))/3.4 )</f>
        <v>#REF!</v>
      </c>
      <c r="AQ194" s="152" t="e">
        <f aca="false">IF(VACnom&gt;Vbat, ((TI_MOSFET_S_VTH_H_BU+Table7[[#This Row],[I_L]]/TI_MOSFET_S_gFS_H_BU))/1, ((TI_MOSFET_S_VTH_L_BO+Table7[[#This Row],[I_L]]/TI_MOSFET_S_gFS_L_BO))/1 )</f>
        <v>#REF!</v>
      </c>
      <c r="AR194" s="152" t="e">
        <f aca="false">IF(VACnom&gt;Vbat, (TI_MOSFET_S_QGD_H_BU+TI_MOSFET_S_QGS_H_BU)*10^-9/Table7[[#This Row],[Ion (A)]], (TI_MOSFET_S_QGD_L_BO+TI_MOSFET_S_QGS_L_BO)*10^-9/Table7[[#This Row],[Ion (A)]])/10^-9</f>
        <v>#REF!</v>
      </c>
      <c r="AS194" s="152" t="e">
        <f aca="false">IF(VACnom&gt;Vbat, (TI_MOSFET_S_QGD_H_BU+TI_MOSFET_S_QGS_H_BU)*10^-9/Table7[[#This Row],[Ioff (A)]], (TI_MOSFET_S_QGD_L_BO+TI_MOSFET_S_QGS_L_BO)*10^-9/Table7[[#This Row],[Ioff (A)]])/10^-9</f>
        <v>#REF!</v>
      </c>
      <c r="AT194" s="152" t="e">
        <f aca="false">0.5*VACnom*Table7[[#This Row],[Ivalley (A)]]*Table7[[#This Row],[ton (ns)]]*10^-9*Fsw*10^3+0.5*VACnom*Table7[[#This Row],[Ipeak (A)]]*Table7[[#This Row],[toff (ns)]]*10^-9*Fsw*10^3/10^-3</f>
        <v>#REF!</v>
      </c>
      <c r="AU194" s="152" t="e">
        <f aca="false">IF(VACnom&gt;Vbat, 0.5*VACnom*TI_MOSFET_S_QOSS_H_BU*10^-9*Fsw*10^3,0.5*VACnom*TI_MOSFET_S_QOSS_L_BO*10^-9*Fsw*10^3)/10^-3</f>
        <v>#REF!</v>
      </c>
      <c r="AV194" s="152" t="e">
        <f aca="false">IF(VACnom&gt;Vbat, VACnom*TI_MOSFET_S_QG_H_BU*10^-9*Fsw*10^3,VACnom*TI_MOSFET_S_QG_H_BO*10^-9*Fsw*10^3)/10^-3</f>
        <v>#REF!</v>
      </c>
      <c r="AW194" s="152" t="e">
        <f aca="false">IF(VACnom&gt;Vbat, VACnom*TI_MOSFET_S_QRR_L_BU*10^-9*Fsw*10^3, VACnom*TI_MOSFET_S_QRR_H_BO*10^-9*Fsw*10^3)/10^-3</f>
        <v>#REF!</v>
      </c>
      <c r="AX194" s="152" t="e">
        <f aca="false">IF(VACnom&gt;Vbat, TI_MOSFET_S_VSD_L_BU*Table7[[#This Row],[Ivalley (A)]]*Fsw*10^3*40*10^-9+TI_MOSFET_S_VSD_L_BU*Table7[[#This Row],[Ipeak (A)]]*Fsw*10^3*30*10^-9, TI_MOSFET_S_VSD_H_BO*Table7[[#This Row],[Ivalley (A)]]*Fsw*10^3*40*10^-9+TI_MOSFET_S_VSD_H_BO*Table7[[#This Row],[Ipeak (A)]]*Fsw*10^3*30*10^-9)/10^-3</f>
        <v>#REF!</v>
      </c>
      <c r="AY194" s="152" t="e">
        <f aca="false">IF(VACnom&gt;Vbat, VACnom*TI_MOSFET_S_QG_L_BU*10^-9*Fsw*10^3, VACnom*TI_MOSFET_S_QG_L_BO*10^-9*Fsw*10^3)/10^-3</f>
        <v>#REF!</v>
      </c>
      <c r="AZ194" s="152" t="e">
        <f aca="false">IF(VACnom&lt;Vbat, Table7[[#This Row],[Duty Cycle]]*Table7[[#This Row],[I_L RMS]]^2*TI_MOSFET_S_RDSON_H_BU*10^-3, (1-Table7[[#This Row],[Duty Cycle]])*Table7[[#This Row],[I_L RMS]]^2*TI_MOSFET_S_RDSON_H_BO*10^-3)/10^-3</f>
        <v>#REF!</v>
      </c>
      <c r="BA194" s="152" t="e">
        <f aca="false">IF(VACnom&gt;Vbat, Table7[[#This Row],[PIV (mW)]]+Table7[[#This Row],[Pqoss (mW)]]+Table7[[#This Row],[Pgate_top (mW)]], Table7[[#This Row],[PRR (mW)]]+Table7[[#This Row],[Pdead (mW)]]+Table7[[#This Row],[Pgate_top (mW)]])</f>
        <v>#REF!</v>
      </c>
      <c r="BB194" s="152" t="e">
        <f aca="false">Table7[[#This Row],[Pcon_top (mW)]]+Table7[[#This Row],[Psw_top (mW)]]</f>
        <v>#REF!</v>
      </c>
      <c r="BC194" s="152" t="e">
        <f aca="false">IF(VACnom&gt;Vbat, (1-Table7[[#This Row],[Duty Cycle]])*Table7[[#This Row],[I_L RMS]]^2*TI_MOSFET_S_RDSON_L_BU*10^-3, Table7[[#This Row],[Duty Cycle]]*Table7[[#This Row],[I_L RMS]]^2*TI_MOSFET_S_RDSON_L_BO*10^-3)/10^-3</f>
        <v>#REF!</v>
      </c>
      <c r="BD194" s="152" t="e">
        <f aca="false">IF(VACnom&gt;Vbat, Table7[[#This Row],[PRR (mW)]]+Table7[[#This Row],[Pdead (mW)]]+Table7[[#This Row],[Pgate_bottom (mW)]], Table7[[#This Row],[PIV (mW)]]+Table7[[#This Row],[Pqoss (mW)]]+Table7[[#This Row],[Pgate_bottom (mW)]])</f>
        <v>#REF!</v>
      </c>
      <c r="BE194" s="154" t="e">
        <f aca="false">Table7[[#This Row],[Pcon_bottom (mW)]]+Table7[[#This Row],[Psw_bottom (mW)]]</f>
        <v>#REF!</v>
      </c>
      <c r="BF194" s="152" t="e">
        <f aca="false">Table7[[#This Row],[Pbottom (mW)]]+Table7[[#This Row],[Ptop (mW)]]</f>
        <v>#REF!</v>
      </c>
      <c r="BG194" s="155"/>
      <c r="BH194" s="152" t="n">
        <f aca="false">MAX(0,Table7[[#This Row],[I_L]]-0.5*Table7[[#This Row],[I_L pkpk]])</f>
        <v>3.84714285714286</v>
      </c>
      <c r="BI194" s="152" t="n">
        <f aca="false">Table7[[#This Row],[I_L]]+0.5*Table7[[#This Row],[I_L pkpk]]</f>
        <v>4.13285714285714</v>
      </c>
      <c r="BJ194" s="152" t="n">
        <f aca="false">IF(VACnom&gt;Vbat, (VGS_S-(C_MOSFET_S_VTH_H_BU+Table7[[#This Row],[I_L]]/C_MOSFET_S_gFS_H_BU))/3.4, (VGS_S-(C_MOSFET_S_VTH_L_BO+Table7[[#This Row],[I_L]]/C_MOSFET_S_gFS_L_BO))/3.4 )</f>
        <v>2.34511764705882</v>
      </c>
      <c r="BK194" s="152" t="n">
        <f aca="false">IF(VACnom&gt;Vbat, ((C_MOSFET_S_VTH_H_BU+Table7[[#This Row],[I_L]]/C_MOSFET_S_gFS_H_BU))/1, ((C_MOSFET_S_VTH_L_BO+Table7[[#This Row],[I_L]]/C_MOSFET_S_gFS_L_BO))/1 )</f>
        <v>2.0266</v>
      </c>
      <c r="BL194" s="152" t="n">
        <f aca="false">IF(VACnom&gt;Vbat, (C_MOSFET_S_QGD_H_BU+C_MOSFET_S_QGS_H_BU)*10^-9/Table7[[#This Row],[Ion (A) C]], (C_MOSFET_S_QGD_L_BO+C_MOSFET_S_QGS_L_BO)*10^-9/Table7[[#This Row],[Ion (A) C]])/10^-9</f>
        <v>2.77171595555221</v>
      </c>
      <c r="BM194" s="152" t="n">
        <f aca="false">IF(VACnom&gt;Vbat, (C_MOSFET_S_QGD_H_BU+C_MOSFET_S_QGS_H_BU)*10^-9/Table7[[#This Row],[Ioff (A) C]], (C_MOSFET_S_QGD_L_BO+C_MOSFET_S_QGS_L_BO)*10^-9/Table7[[#This Row],[Ioff (A) C]])/10^-9</f>
        <v>3.20734234678772</v>
      </c>
      <c r="BN194" s="152" t="n">
        <f aca="false">0.5*VACnom*Table7[[#This Row],[Ivalley (A) C]]*Table7[[#This Row],[ton (ns) C]]*10^-9*Fsw*10^3+0.5*VACnom*Table7[[#This Row],[Ipeak (A) C]]*Table7[[#This Row],[toff (ns) C]]*10^-9*Fsw*10^3/10^-3</f>
        <v>15.9193810977003</v>
      </c>
      <c r="BO194" s="152" t="n">
        <f aca="false">IF(VACnom&gt;Vbat, 0.5*VACnom*C_MOSFET_S_QOSS_H_BU*10^-9*Fsw*10^3,0.5*VACnom*C_MOSFET_S_QOSS_L_BO*10^-9*Fsw*10^3)/10^-3</f>
        <v>43.2</v>
      </c>
      <c r="BP194" s="152" t="e">
        <f aca="false">IF(VACnom&gt;Vbat, VACnom*C_MOSFET_S_QG_H_BU*10^-9*Fsw*10^3,VACnom*C_MOSFET_S_QG_H_BO*10^-9*Fsw*10^3)/10^-3</f>
        <v>#REF!</v>
      </c>
      <c r="BQ194" s="152" t="n">
        <f aca="false">IF(VACnom&gt;Vbat, VACnom*C_MOSFET_S_QRR_L_BU*10^-9*Fsw*10^3, VACnom*C_MOSFET_S_QRR_H_BO*10^-9*Fsw*10^3)/10^-3</f>
        <v>79.2</v>
      </c>
      <c r="BR194" s="152" t="n">
        <f aca="false">IF(VACnom&gt;Vbat, C_MOSFET_S_VSD_L_BU*Table7[[#This Row],[Ivalley (A) C]]*Fsw*10^3*40*10^-9+C_MOSFET_S_VSD_L_BU*Table7[[#This Row],[Ipeak (A) C]]*Fsw*10^3*30*10^-9, C_MOSFET_S_VSD_H_BO*Table7[[#This Row],[Ivalley (A) C]]*Fsw*10^3*40*10^-9+C_MOSFET_S_VSD_H_BO*Table7[[#This Row],[Ipeak (A) C]]*Fsw*10^3*30*10^-9)/10^-3</f>
        <v>44.4594285714286</v>
      </c>
      <c r="BS194" s="152" t="e">
        <f aca="false">IF(VACnom&gt;Vbat, VACnom*C_MOSFET_S_QG_L_BU*10^-9*Fsw*10^3, VACnom*C_MOSFET_S_QG_L_BO*10^-9*Fsw*10^3)/10^-3</f>
        <v>#REF!</v>
      </c>
      <c r="BT194" s="152" t="n">
        <f aca="false">IF(VACnom&lt;Vbat, Table7[[#This Row],[Duty Cycle]]*Table7[[#This Row],[I_L RMS]]^2*C_MOSFET_S_RDSON_H_BU*10^-3, (1-Table7[[#This Row],[Duty Cycle]])*Table7[[#This Row],[I_L RMS]]^2*C_MOSFET_S_RDSON_H_BO*10^-3)/10^-3</f>
        <v>4.32301645286686</v>
      </c>
      <c r="BU194" s="152" t="e">
        <f aca="false">IF(VACnom&gt;Vbat, Table7[[#This Row],[PIV (mW) C]]+Table7[[#This Row],[PQoss (mW) C]]+Table7[[#This Row],[Pgate_top (mW) C]], Table7[[#This Row],[PRR (mW) C]]+Table7[[#This Row],[Pdead (mW) C]]+Table7[[#This Row],[Pgate_top (mW) C]])</f>
        <v>#REF!</v>
      </c>
      <c r="BV194" s="152" t="e">
        <f aca="false">Table7[[#This Row],[Pcon_top (mW) C]]+Table7[[#This Row],[Psw_top (mW) C]]</f>
        <v>#REF!</v>
      </c>
      <c r="BW194" s="152" t="e">
        <f aca="false">IF(VACnom&gt;Vbat, (1-Table7[[#This Row],[Duty Cycle]])*Table7[[#This Row],[I_L RMS]]^2*C_MOSFET_S_RDSON_L_BU*10^-3, Table7[[#This Row],[Duty Cycle]]*Table7[[#This Row],[I_L RMS]]^2*C_MOSFET_S_RDSON_L_BO*10^-3)/10^-3</f>
        <v>#REF!</v>
      </c>
      <c r="BX194" s="152" t="e">
        <f aca="false">IF(VACnom&gt;Vbat, Table7[[#This Row],[PRR (mW) C]]+Table7[[#This Row],[Pdead (mW) C]]+Table7[[#This Row],[Pgate_bottom (mW) C]], Table7[[#This Row],[PIV (mW) C]]+Table7[[#This Row],[PQoss (mW) C]]+Table7[[#This Row],[Pgate_bottom (mW) C]])</f>
        <v>#REF!</v>
      </c>
      <c r="BY194" s="152" t="e">
        <f aca="false">Table7[[#This Row],[Pcon_bottom (mW) C]]+Table7[[#This Row],[Psw_bottom (mV) C]]</f>
        <v>#REF!</v>
      </c>
      <c r="BZ194" s="152" t="e">
        <f aca="false">Table7[[#This Row],[Pbottom (mW) C]]+Table7[[#This Row],[Ptop (mW) C]]</f>
        <v>#REF!</v>
      </c>
      <c r="CA194" s="156"/>
      <c r="CB194" s="151" t="n">
        <f aca="false">(RAC_SNS*10^-3*(Table7[[#This Row],[IOUT (A)]]*Vbat/VACnom)^2/10^-3)</f>
        <v>79.6005</v>
      </c>
      <c r="CC194" s="151" t="n">
        <f aca="false">(RBAT_SNS*10^-3*Table7[[#This Row],[IOUT (A)]]^2)/10^-3</f>
        <v>72.2</v>
      </c>
      <c r="CD194" s="151" t="n">
        <f aca="false">IF(VACnom&gt;Vbat,(L_DRC*10^-3*(Table7[[#This Row],[IOUT (A)]])^2/10^-3),(L_DRC*10^-3*(Table7[[#This Row],[IOUT (A)]]*Vbat/VACnom)^2/10^-3))</f>
        <v>191.0412</v>
      </c>
      <c r="CE194" s="157"/>
      <c r="CF194" s="152" t="n">
        <f aca="false">(Table7[[#This Row],[R_AC (mW)]]+Table7[[#This Row],[R_SR (mW)]]+Table7[[#This Row],[Inductor Loss (mW)]])/10^3</f>
        <v>0.3428417</v>
      </c>
      <c r="CG194" s="152" t="e">
        <f aca="false">Table7[[#This Row],[Total TI (mW)]]/10^3</f>
        <v>#REF!</v>
      </c>
      <c r="CH194" s="152" t="e">
        <f aca="false">Table7[[#This Row],[Total Sense Loss]]+Table7[[#This Row],[Total MOSFET Loss]]</f>
        <v>#REF!</v>
      </c>
      <c r="CI194" s="158" t="e">
        <f aca="false">IF(Table7[[#This Row],[POUT (W)]]=0,0,(Table7[[#This Row],[POUT (W)]])/(Table7[[#This Row],[POUT (W)]]+Table7[[#This Row],[Total Power Loss (W)]]))*100</f>
        <v>#REF!</v>
      </c>
      <c r="CJ194" s="159"/>
      <c r="CK194" s="152" t="n">
        <f aca="false">(Table7[[#This Row],[R_AC (mW)]]+Table7[[#This Row],[R_SR (mW)]]+Table7[[#This Row],[Inductor Loss (mW)]])/10^3</f>
        <v>0.3428417</v>
      </c>
      <c r="CL194" s="152" t="e">
        <f aca="false">Table7[[#This Row],[Total (mW) C]]/10^3</f>
        <v>#REF!</v>
      </c>
      <c r="CM194" s="152" t="e">
        <f aca="false">Table7[[#This Row],[Total Sense Loss C]]+Table7[[#This Row],[Total MOSFET Loss C]]</f>
        <v>#REF!</v>
      </c>
      <c r="CN194" s="158" t="e">
        <f aca="false">IF(Table7[[#This Row],[POUT (W)]]=0,0,(Table7[[#This Row],[POUT (W)]])/(Table7[[#This Row],[POUT (W)]]+Table7[[#This Row],[Total Power Loss (W) C]]))*100</f>
        <v>#REF!</v>
      </c>
      <c r="CO194" s="159"/>
      <c r="CP194" s="158" t="n">
        <f aca="false">IF(MOSFET_S=Custom_MOSFET,Table7[[#This Row],[Total Sense Loss C]],Table7[[#This Row],[Total Sense Loss]])</f>
        <v>0.3428417</v>
      </c>
      <c r="CQ194" s="158" t="e">
        <f aca="false">IF(MOSFET_S=Custom_MOSFET,Table7[[#This Row],[Total MOSFET Loss C]],Table7[[#This Row],[Total MOSFET Loss]])</f>
        <v>#REF!</v>
      </c>
      <c r="CR194" s="158" t="e">
        <f aca="false">IF(MOSFET_S=Custom_MOSFET,Table7[[#This Row],[Efficiency C]],Table7[[#This Row],[Efficiency]])</f>
        <v>#REF!</v>
      </c>
      <c r="CS194" s="159"/>
      <c r="CT194" s="158" t="n">
        <f aca="false">IF(MOSFET_S=Compare_MOSFET, Table7[[#This Row],[Total Sense Loss C]], -100)</f>
        <v>-100</v>
      </c>
      <c r="CU194" s="158" t="n">
        <f aca="false">IF(MOSFET_S=Compare_MOSFET, Table7[[#This Row],[Total MOSFET Loss C]], -100)</f>
        <v>-100</v>
      </c>
      <c r="CV194" s="158" t="n">
        <f aca="false">IF(MOSFET_S=Compare_MOSFET, Table7[[#This Row],[Efficiency C]], -100)</f>
        <v>-100</v>
      </c>
      <c r="CW194" s="159"/>
      <c r="CX194" s="158" t="e">
        <f aca="false">IF(Save_Sel=CLR_Save,  Table7[[#This Row],[Total Sense Loss P1]], Table7[[#This Row],[Total Sense Loss P1 Saved]])</f>
        <v>#VALUE!</v>
      </c>
      <c r="CY194" s="158" t="e">
        <f aca="false">IF(Save_Sel=CLR_Save,  Table7[[#This Row],[Total MOSFET Loss P1]], Table7[[#This Row],[Total MOSFET Loss P1 Saved]] )</f>
        <v>#VALUE!</v>
      </c>
      <c r="CZ194" s="158" t="e">
        <f aca="false">IF(Save_Sel=CLR_Save, Table7[[#This Row],[Efficiency P1]], Table7[[#This Row],[Efficiency P1 Saved]])</f>
        <v>#VALUE!</v>
      </c>
      <c r="DA194" s="159"/>
      <c r="DB194" s="158" t="e">
        <f aca="false">IF(Save_Sel=CLR_Save,  Table7[[#This Row],[Total Sense Loss P2]], Table7[[#This Row],[Total Sense Loss P2 Saved]])</f>
        <v>#VALUE!</v>
      </c>
      <c r="DC194" s="158" t="e">
        <f aca="false">IF(Save_Sel=CLR_Save,  Table7[[#This Row],[Total MOSFET Loss P2]], Table7[[#This Row],[Total MOSFET Loss P2 Saved]] )</f>
        <v>#VALUE!</v>
      </c>
      <c r="DD194" s="158" t="e">
        <f aca="false">IF(Save_Sel=CLR_Save, Table7[[#This Row],[Efficiency P2]], Table7[[#This Row],[Efficiency P2 Saved]])</f>
        <v>#VALUE!</v>
      </c>
      <c r="DE194" s="159"/>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row>
    <row r="195" customFormat="false" ht="16.4" hidden="false" customHeight="false" outlineLevel="0" collapsed="false">
      <c r="A195" s="28"/>
      <c r="B195" s="84"/>
      <c r="C195" s="84"/>
      <c r="D195" s="28"/>
      <c r="E195" s="168"/>
      <c r="F195" s="168"/>
      <c r="G195" s="84"/>
      <c r="H195" s="24"/>
      <c r="I195" s="24"/>
      <c r="J195" s="24"/>
      <c r="K195" s="24"/>
      <c r="L195" s="24"/>
      <c r="M195" s="24"/>
      <c r="N195" s="24"/>
      <c r="O195" s="24"/>
      <c r="P195" s="24"/>
      <c r="Q195" s="24"/>
      <c r="R195" s="24"/>
      <c r="S195" s="25"/>
      <c r="T195" s="6"/>
      <c r="U195" s="7"/>
      <c r="V195" s="7"/>
      <c r="W195" s="7"/>
      <c r="X195" s="7"/>
      <c r="Y195" s="7"/>
      <c r="Z195" s="7"/>
      <c r="AA195" s="7"/>
      <c r="AB195" s="7"/>
      <c r="AC195" s="7"/>
      <c r="AD195" s="7"/>
      <c r="AE195" s="7"/>
      <c r="AF195" s="150" t="n">
        <f aca="false">AF194+1</f>
        <v>39</v>
      </c>
      <c r="AG195" s="150" t="n">
        <f aca="false">$AG$156+AF195*($AG$256-$AG$156)/$AF$256</f>
        <v>3.9</v>
      </c>
      <c r="AH195" s="151" t="n">
        <f aca="false">AG195*VACnom</f>
        <v>46.8</v>
      </c>
      <c r="AI195" s="152" t="n">
        <f aca="false">IF(VACnom&lt;Vbat, (Vbat-VACnom)/Vbat, Vbat/VACnom)</f>
        <v>0.0476190476190476</v>
      </c>
      <c r="AJ195" s="152" t="n">
        <f aca="false">IF(VACnom&lt;Vbat, AG195/(1-AI195), AG195*AI195)</f>
        <v>4.095</v>
      </c>
      <c r="AK195" s="152" t="n">
        <f aca="false">Ipkpk_VACnom</f>
        <v>0.285714285714285</v>
      </c>
      <c r="AL195" s="152" t="n">
        <f aca="false">SQRT(AJ195^2+AK195^2/12)</f>
        <v>4.09583052885351</v>
      </c>
      <c r="AM195" s="153"/>
      <c r="AN195" s="152" t="n">
        <f aca="false">MAX(0,Table7[[#This Row],[I_L]]-0.5*Table7[[#This Row],[I_L pkpk]])</f>
        <v>3.95214285714286</v>
      </c>
      <c r="AO195" s="152" t="n">
        <f aca="false">Table7[[#This Row],[I_L]]+0.5*Table7[[#This Row],[I_L pkpk]]</f>
        <v>4.23785714285714</v>
      </c>
      <c r="AP195" s="152" t="e">
        <f aca="false">IF(VACnom&gt;Vbat, (VGS_S-(TI_MOSFET_S_VTH_H_BU+Table7[[#This Row],[I_L]]/TI_MOSFET_S_gFS_H_BU))/3.4, (VGS_S-(TI_MOSFET_S_VTH_L_BO+Table7[[#This Row],[I_L]]/TI_MOSFET_S_gFS_L_BO))/3.4 )</f>
        <v>#REF!</v>
      </c>
      <c r="AQ195" s="152" t="e">
        <f aca="false">IF(VACnom&gt;Vbat, ((TI_MOSFET_S_VTH_H_BU+Table7[[#This Row],[I_L]]/TI_MOSFET_S_gFS_H_BU))/1, ((TI_MOSFET_S_VTH_L_BO+Table7[[#This Row],[I_L]]/TI_MOSFET_S_gFS_L_BO))/1 )</f>
        <v>#REF!</v>
      </c>
      <c r="AR195" s="152" t="e">
        <f aca="false">IF(VACnom&gt;Vbat, (TI_MOSFET_S_QGD_H_BU+TI_MOSFET_S_QGS_H_BU)*10^-9/Table7[[#This Row],[Ion (A)]], (TI_MOSFET_S_QGD_L_BO+TI_MOSFET_S_QGS_L_BO)*10^-9/Table7[[#This Row],[Ion (A)]])/10^-9</f>
        <v>#REF!</v>
      </c>
      <c r="AS195" s="152" t="e">
        <f aca="false">IF(VACnom&gt;Vbat, (TI_MOSFET_S_QGD_H_BU+TI_MOSFET_S_QGS_H_BU)*10^-9/Table7[[#This Row],[Ioff (A)]], (TI_MOSFET_S_QGD_L_BO+TI_MOSFET_S_QGS_L_BO)*10^-9/Table7[[#This Row],[Ioff (A)]])/10^-9</f>
        <v>#REF!</v>
      </c>
      <c r="AT195" s="152" t="e">
        <f aca="false">0.5*VACnom*Table7[[#This Row],[Ivalley (A)]]*Table7[[#This Row],[ton (ns)]]*10^-9*Fsw*10^3+0.5*VACnom*Table7[[#This Row],[Ipeak (A)]]*Table7[[#This Row],[toff (ns)]]*10^-9*Fsw*10^3/10^-3</f>
        <v>#REF!</v>
      </c>
      <c r="AU195" s="152" t="e">
        <f aca="false">IF(VACnom&gt;Vbat, 0.5*VACnom*TI_MOSFET_S_QOSS_H_BU*10^-9*Fsw*10^3,0.5*VACnom*TI_MOSFET_S_QOSS_L_BO*10^-9*Fsw*10^3)/10^-3</f>
        <v>#REF!</v>
      </c>
      <c r="AV195" s="152" t="e">
        <f aca="false">IF(VACnom&gt;Vbat, VACnom*TI_MOSFET_S_QG_H_BU*10^-9*Fsw*10^3,VACnom*TI_MOSFET_S_QG_H_BO*10^-9*Fsw*10^3)/10^-3</f>
        <v>#REF!</v>
      </c>
      <c r="AW195" s="152" t="e">
        <f aca="false">IF(VACnom&gt;Vbat, VACnom*TI_MOSFET_S_QRR_L_BU*10^-9*Fsw*10^3, VACnom*TI_MOSFET_S_QRR_H_BO*10^-9*Fsw*10^3)/10^-3</f>
        <v>#REF!</v>
      </c>
      <c r="AX195" s="152" t="e">
        <f aca="false">IF(VACnom&gt;Vbat, TI_MOSFET_S_VSD_L_BU*Table7[[#This Row],[Ivalley (A)]]*Fsw*10^3*40*10^-9+TI_MOSFET_S_VSD_L_BU*Table7[[#This Row],[Ipeak (A)]]*Fsw*10^3*30*10^-9, TI_MOSFET_S_VSD_H_BO*Table7[[#This Row],[Ivalley (A)]]*Fsw*10^3*40*10^-9+TI_MOSFET_S_VSD_H_BO*Table7[[#This Row],[Ipeak (A)]]*Fsw*10^3*30*10^-9)/10^-3</f>
        <v>#REF!</v>
      </c>
      <c r="AY195" s="152" t="e">
        <f aca="false">IF(VACnom&gt;Vbat, VACnom*TI_MOSFET_S_QG_L_BU*10^-9*Fsw*10^3, VACnom*TI_MOSFET_S_QG_L_BO*10^-9*Fsw*10^3)/10^-3</f>
        <v>#REF!</v>
      </c>
      <c r="AZ195" s="152" t="e">
        <f aca="false">IF(VACnom&lt;Vbat, Table7[[#This Row],[Duty Cycle]]*Table7[[#This Row],[I_L RMS]]^2*TI_MOSFET_S_RDSON_H_BU*10^-3, (1-Table7[[#This Row],[Duty Cycle]])*Table7[[#This Row],[I_L RMS]]^2*TI_MOSFET_S_RDSON_H_BO*10^-3)/10^-3</f>
        <v>#REF!</v>
      </c>
      <c r="BA195" s="152" t="e">
        <f aca="false">IF(VACnom&gt;Vbat, Table7[[#This Row],[PIV (mW)]]+Table7[[#This Row],[Pqoss (mW)]]+Table7[[#This Row],[Pgate_top (mW)]], Table7[[#This Row],[PRR (mW)]]+Table7[[#This Row],[Pdead (mW)]]+Table7[[#This Row],[Pgate_top (mW)]])</f>
        <v>#REF!</v>
      </c>
      <c r="BB195" s="152" t="e">
        <f aca="false">Table7[[#This Row],[Pcon_top (mW)]]+Table7[[#This Row],[Psw_top (mW)]]</f>
        <v>#REF!</v>
      </c>
      <c r="BC195" s="152" t="e">
        <f aca="false">IF(VACnom&gt;Vbat, (1-Table7[[#This Row],[Duty Cycle]])*Table7[[#This Row],[I_L RMS]]^2*TI_MOSFET_S_RDSON_L_BU*10^-3, Table7[[#This Row],[Duty Cycle]]*Table7[[#This Row],[I_L RMS]]^2*TI_MOSFET_S_RDSON_L_BO*10^-3)/10^-3</f>
        <v>#REF!</v>
      </c>
      <c r="BD195" s="152" t="e">
        <f aca="false">IF(VACnom&gt;Vbat, Table7[[#This Row],[PRR (mW)]]+Table7[[#This Row],[Pdead (mW)]]+Table7[[#This Row],[Pgate_bottom (mW)]], Table7[[#This Row],[PIV (mW)]]+Table7[[#This Row],[Pqoss (mW)]]+Table7[[#This Row],[Pgate_bottom (mW)]])</f>
        <v>#REF!</v>
      </c>
      <c r="BE195" s="154" t="e">
        <f aca="false">Table7[[#This Row],[Pcon_bottom (mW)]]+Table7[[#This Row],[Psw_bottom (mW)]]</f>
        <v>#REF!</v>
      </c>
      <c r="BF195" s="152" t="e">
        <f aca="false">Table7[[#This Row],[Pbottom (mW)]]+Table7[[#This Row],[Ptop (mW)]]</f>
        <v>#REF!</v>
      </c>
      <c r="BG195" s="155"/>
      <c r="BH195" s="152" t="n">
        <f aca="false">MAX(0,Table7[[#This Row],[I_L]]-0.5*Table7[[#This Row],[I_L pkpk]])</f>
        <v>3.95214285714286</v>
      </c>
      <c r="BI195" s="152" t="n">
        <f aca="false">Table7[[#This Row],[I_L]]+0.5*Table7[[#This Row],[I_L pkpk]]</f>
        <v>4.23785714285714</v>
      </c>
      <c r="BJ195" s="152" t="n">
        <f aca="false">IF(VACnom&gt;Vbat, (VGS_S-(C_MOSFET_S_VTH_H_BU+Table7[[#This Row],[I_L]]/C_MOSFET_S_gFS_H_BU))/3.4, (VGS_S-(C_MOSFET_S_VTH_L_BO+Table7[[#This Row],[I_L]]/C_MOSFET_S_gFS_L_BO))/3.4 )</f>
        <v>2.34491176470588</v>
      </c>
      <c r="BK195" s="152" t="n">
        <f aca="false">IF(VACnom&gt;Vbat, ((C_MOSFET_S_VTH_H_BU+Table7[[#This Row],[I_L]]/C_MOSFET_S_gFS_H_BU))/1, ((C_MOSFET_S_VTH_L_BO+Table7[[#This Row],[I_L]]/C_MOSFET_S_gFS_L_BO))/1 )</f>
        <v>2.0273</v>
      </c>
      <c r="BL195" s="152" t="n">
        <f aca="false">IF(VACnom&gt;Vbat, (C_MOSFET_S_QGD_H_BU+C_MOSFET_S_QGS_H_BU)*10^-9/Table7[[#This Row],[Ion (A) C]], (C_MOSFET_S_QGD_L_BO+C_MOSFET_S_QGS_L_BO)*10^-9/Table7[[#This Row],[Ion (A) C]])/10^-9</f>
        <v>2.7719593111493</v>
      </c>
      <c r="BM195" s="152" t="n">
        <f aca="false">IF(VACnom&gt;Vbat, (C_MOSFET_S_QGD_H_BU+C_MOSFET_S_QGS_H_BU)*10^-9/Table7[[#This Row],[Ioff (A) C]], (C_MOSFET_S_QGD_L_BO+C_MOSFET_S_QGS_L_BO)*10^-9/Table7[[#This Row],[Ioff (A) C]])/10^-9</f>
        <v>3.20623489370098</v>
      </c>
      <c r="BN195" s="152" t="n">
        <f aca="false">0.5*VACnom*Table7[[#This Row],[Ivalley (A) C]]*Table7[[#This Row],[ton (ns) C]]*10^-9*Fsw*10^3+0.5*VACnom*Table7[[#This Row],[Ipeak (A) C]]*Table7[[#This Row],[toff (ns) C]]*10^-9*Fsw*10^3/10^-3</f>
        <v>16.3182247501684</v>
      </c>
      <c r="BO195" s="152" t="n">
        <f aca="false">IF(VACnom&gt;Vbat, 0.5*VACnom*C_MOSFET_S_QOSS_H_BU*10^-9*Fsw*10^3,0.5*VACnom*C_MOSFET_S_QOSS_L_BO*10^-9*Fsw*10^3)/10^-3</f>
        <v>43.2</v>
      </c>
      <c r="BP195" s="152" t="e">
        <f aca="false">IF(VACnom&gt;Vbat, VACnom*C_MOSFET_S_QG_H_BU*10^-9*Fsw*10^3,VACnom*C_MOSFET_S_QG_H_BO*10^-9*Fsw*10^3)/10^-3</f>
        <v>#REF!</v>
      </c>
      <c r="BQ195" s="152" t="n">
        <f aca="false">IF(VACnom&gt;Vbat, VACnom*C_MOSFET_S_QRR_L_BU*10^-9*Fsw*10^3, VACnom*C_MOSFET_S_QRR_H_BO*10^-9*Fsw*10^3)/10^-3</f>
        <v>79.2</v>
      </c>
      <c r="BR195" s="152" t="n">
        <f aca="false">IF(VACnom&gt;Vbat, C_MOSFET_S_VSD_L_BU*Table7[[#This Row],[Ivalley (A) C]]*Fsw*10^3*40*10^-9+C_MOSFET_S_VSD_L_BU*Table7[[#This Row],[Ipeak (A) C]]*Fsw*10^3*30*10^-9, C_MOSFET_S_VSD_H_BO*Table7[[#This Row],[Ivalley (A) C]]*Fsw*10^3*40*10^-9+C_MOSFET_S_VSD_H_BO*Table7[[#This Row],[Ipeak (A) C]]*Fsw*10^3*30*10^-9)/10^-3</f>
        <v>45.6354285714286</v>
      </c>
      <c r="BS195" s="152" t="e">
        <f aca="false">IF(VACnom&gt;Vbat, VACnom*C_MOSFET_S_QG_L_BU*10^-9*Fsw*10^3, VACnom*C_MOSFET_S_QG_L_BO*10^-9*Fsw*10^3)/10^-3</f>
        <v>#REF!</v>
      </c>
      <c r="BT195" s="152" t="n">
        <f aca="false">IF(VACnom&lt;Vbat, Table7[[#This Row],[Duty Cycle]]*Table7[[#This Row],[I_L RMS]]^2*C_MOSFET_S_RDSON_H_BU*10^-3, (1-Table7[[#This Row],[Duty Cycle]])*Table7[[#This Row],[I_L RMS]]^2*C_MOSFET_S_RDSON_H_BO*10^-3)/10^-3</f>
        <v>4.55343895286686</v>
      </c>
      <c r="BU195" s="152" t="e">
        <f aca="false">IF(VACnom&gt;Vbat, Table7[[#This Row],[PIV (mW) C]]+Table7[[#This Row],[PQoss (mW) C]]+Table7[[#This Row],[Pgate_top (mW) C]], Table7[[#This Row],[PRR (mW) C]]+Table7[[#This Row],[Pdead (mW) C]]+Table7[[#This Row],[Pgate_top (mW) C]])</f>
        <v>#REF!</v>
      </c>
      <c r="BV195" s="152" t="e">
        <f aca="false">Table7[[#This Row],[Pcon_top (mW) C]]+Table7[[#This Row],[Psw_top (mW) C]]</f>
        <v>#REF!</v>
      </c>
      <c r="BW195" s="152" t="e">
        <f aca="false">IF(VACnom&gt;Vbat, (1-Table7[[#This Row],[Duty Cycle]])*Table7[[#This Row],[I_L RMS]]^2*C_MOSFET_S_RDSON_L_BU*10^-3, Table7[[#This Row],[Duty Cycle]]*Table7[[#This Row],[I_L RMS]]^2*C_MOSFET_S_RDSON_L_BO*10^-3)/10^-3</f>
        <v>#REF!</v>
      </c>
      <c r="BX195" s="152" t="e">
        <f aca="false">IF(VACnom&gt;Vbat, Table7[[#This Row],[PRR (mW) C]]+Table7[[#This Row],[Pdead (mW) C]]+Table7[[#This Row],[Pgate_bottom (mW) C]], Table7[[#This Row],[PIV (mW) C]]+Table7[[#This Row],[PQoss (mW) C]]+Table7[[#This Row],[Pgate_bottom (mW) C]])</f>
        <v>#REF!</v>
      </c>
      <c r="BY195" s="152" t="e">
        <f aca="false">Table7[[#This Row],[Pcon_bottom (mW) C]]+Table7[[#This Row],[Psw_bottom (mV) C]]</f>
        <v>#REF!</v>
      </c>
      <c r="BZ195" s="152" t="e">
        <f aca="false">Table7[[#This Row],[Pbottom (mW) C]]+Table7[[#This Row],[Ptop (mW) C]]</f>
        <v>#REF!</v>
      </c>
      <c r="CA195" s="156"/>
      <c r="CB195" s="151" t="n">
        <f aca="false">(RAC_SNS*10^-3*(Table7[[#This Row],[IOUT (A)]]*Vbat/VACnom)^2/10^-3)</f>
        <v>83.845125</v>
      </c>
      <c r="CC195" s="151" t="n">
        <f aca="false">(RBAT_SNS*10^-3*Table7[[#This Row],[IOUT (A)]]^2)/10^-3</f>
        <v>76.05</v>
      </c>
      <c r="CD195" s="151" t="n">
        <f aca="false">IF(VACnom&gt;Vbat,(L_DRC*10^-3*(Table7[[#This Row],[IOUT (A)]])^2/10^-3),(L_DRC*10^-3*(Table7[[#This Row],[IOUT (A)]]*Vbat/VACnom)^2/10^-3))</f>
        <v>201.2283</v>
      </c>
      <c r="CE195" s="157"/>
      <c r="CF195" s="152" t="n">
        <f aca="false">(Table7[[#This Row],[R_AC (mW)]]+Table7[[#This Row],[R_SR (mW)]]+Table7[[#This Row],[Inductor Loss (mW)]])/10^3</f>
        <v>0.361123425</v>
      </c>
      <c r="CG195" s="152" t="e">
        <f aca="false">Table7[[#This Row],[Total TI (mW)]]/10^3</f>
        <v>#REF!</v>
      </c>
      <c r="CH195" s="152" t="e">
        <f aca="false">Table7[[#This Row],[Total Sense Loss]]+Table7[[#This Row],[Total MOSFET Loss]]</f>
        <v>#REF!</v>
      </c>
      <c r="CI195" s="158" t="e">
        <f aca="false">IF(Table7[[#This Row],[POUT (W)]]=0,0,(Table7[[#This Row],[POUT (W)]])/(Table7[[#This Row],[POUT (W)]]+Table7[[#This Row],[Total Power Loss (W)]]))*100</f>
        <v>#REF!</v>
      </c>
      <c r="CJ195" s="159"/>
      <c r="CK195" s="152" t="n">
        <f aca="false">(Table7[[#This Row],[R_AC (mW)]]+Table7[[#This Row],[R_SR (mW)]]+Table7[[#This Row],[Inductor Loss (mW)]])/10^3</f>
        <v>0.361123425</v>
      </c>
      <c r="CL195" s="152" t="e">
        <f aca="false">Table7[[#This Row],[Total (mW) C]]/10^3</f>
        <v>#REF!</v>
      </c>
      <c r="CM195" s="152" t="e">
        <f aca="false">Table7[[#This Row],[Total Sense Loss C]]+Table7[[#This Row],[Total MOSFET Loss C]]</f>
        <v>#REF!</v>
      </c>
      <c r="CN195" s="158" t="e">
        <f aca="false">IF(Table7[[#This Row],[POUT (W)]]=0,0,(Table7[[#This Row],[POUT (W)]])/(Table7[[#This Row],[POUT (W)]]+Table7[[#This Row],[Total Power Loss (W) C]]))*100</f>
        <v>#REF!</v>
      </c>
      <c r="CO195" s="159"/>
      <c r="CP195" s="158" t="n">
        <f aca="false">IF(MOSFET_S=Custom_MOSFET,Table7[[#This Row],[Total Sense Loss C]],Table7[[#This Row],[Total Sense Loss]])</f>
        <v>0.361123425</v>
      </c>
      <c r="CQ195" s="158" t="e">
        <f aca="false">IF(MOSFET_S=Custom_MOSFET,Table7[[#This Row],[Total MOSFET Loss C]],Table7[[#This Row],[Total MOSFET Loss]])</f>
        <v>#REF!</v>
      </c>
      <c r="CR195" s="158" t="e">
        <f aca="false">IF(MOSFET_S=Custom_MOSFET,Table7[[#This Row],[Efficiency C]],Table7[[#This Row],[Efficiency]])</f>
        <v>#REF!</v>
      </c>
      <c r="CS195" s="159"/>
      <c r="CT195" s="158" t="n">
        <f aca="false">IF(MOSFET_S=Compare_MOSFET, Table7[[#This Row],[Total Sense Loss C]], -100)</f>
        <v>-100</v>
      </c>
      <c r="CU195" s="158" t="n">
        <f aca="false">IF(MOSFET_S=Compare_MOSFET, Table7[[#This Row],[Total MOSFET Loss C]], -100)</f>
        <v>-100</v>
      </c>
      <c r="CV195" s="158" t="n">
        <f aca="false">IF(MOSFET_S=Compare_MOSFET, Table7[[#This Row],[Efficiency C]], -100)</f>
        <v>-100</v>
      </c>
      <c r="CW195" s="159"/>
      <c r="CX195" s="158" t="e">
        <f aca="false">IF(Save_Sel=CLR_Save,  Table7[[#This Row],[Total Sense Loss P1]], Table7[[#This Row],[Total Sense Loss P1 Saved]])</f>
        <v>#VALUE!</v>
      </c>
      <c r="CY195" s="158" t="e">
        <f aca="false">IF(Save_Sel=CLR_Save,  Table7[[#This Row],[Total MOSFET Loss P1]], Table7[[#This Row],[Total MOSFET Loss P1 Saved]] )</f>
        <v>#VALUE!</v>
      </c>
      <c r="CZ195" s="158" t="e">
        <f aca="false">IF(Save_Sel=CLR_Save, Table7[[#This Row],[Efficiency P1]], Table7[[#This Row],[Efficiency P1 Saved]])</f>
        <v>#VALUE!</v>
      </c>
      <c r="DA195" s="159"/>
      <c r="DB195" s="158" t="e">
        <f aca="false">IF(Save_Sel=CLR_Save,  Table7[[#This Row],[Total Sense Loss P2]], Table7[[#This Row],[Total Sense Loss P2 Saved]])</f>
        <v>#VALUE!</v>
      </c>
      <c r="DC195" s="158" t="e">
        <f aca="false">IF(Save_Sel=CLR_Save,  Table7[[#This Row],[Total MOSFET Loss P2]], Table7[[#This Row],[Total MOSFET Loss P2 Saved]] )</f>
        <v>#VALUE!</v>
      </c>
      <c r="DD195" s="158" t="e">
        <f aca="false">IF(Save_Sel=CLR_Save, Table7[[#This Row],[Efficiency P2]], Table7[[#This Row],[Efficiency P2 Saved]])</f>
        <v>#VALUE!</v>
      </c>
      <c r="DE195" s="159"/>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row>
    <row r="196" customFormat="false" ht="16.4" hidden="false" customHeight="false" outlineLevel="0" collapsed="false">
      <c r="A196" s="28"/>
      <c r="B196" s="84"/>
      <c r="C196" s="84"/>
      <c r="D196" s="28"/>
      <c r="E196" s="168"/>
      <c r="F196" s="168"/>
      <c r="G196" s="84"/>
      <c r="H196" s="24"/>
      <c r="I196" s="24"/>
      <c r="J196" s="24"/>
      <c r="K196" s="24"/>
      <c r="L196" s="24"/>
      <c r="M196" s="24"/>
      <c r="N196" s="24"/>
      <c r="O196" s="24"/>
      <c r="P196" s="24"/>
      <c r="Q196" s="24"/>
      <c r="R196" s="24"/>
      <c r="S196" s="25"/>
      <c r="T196" s="6"/>
      <c r="U196" s="7"/>
      <c r="V196" s="7"/>
      <c r="W196" s="7"/>
      <c r="X196" s="7"/>
      <c r="Y196" s="7"/>
      <c r="Z196" s="7"/>
      <c r="AA196" s="7"/>
      <c r="AB196" s="7"/>
      <c r="AC196" s="7"/>
      <c r="AD196" s="7"/>
      <c r="AE196" s="7"/>
      <c r="AF196" s="150" t="n">
        <f aca="false">AF195+1</f>
        <v>40</v>
      </c>
      <c r="AG196" s="150" t="n">
        <f aca="false">$AG$156+AF196*($AG$256-$AG$156)/$AF$256</f>
        <v>4</v>
      </c>
      <c r="AH196" s="151" t="n">
        <f aca="false">AG196*VACnom</f>
        <v>48</v>
      </c>
      <c r="AI196" s="152" t="n">
        <f aca="false">IF(VACnom&lt;Vbat, (Vbat-VACnom)/Vbat, Vbat/VACnom)</f>
        <v>0.0476190476190476</v>
      </c>
      <c r="AJ196" s="152" t="n">
        <f aca="false">IF(VACnom&lt;Vbat, AG196/(1-AI196), AG196*AI196)</f>
        <v>4.2</v>
      </c>
      <c r="AK196" s="152" t="n">
        <f aca="false">Ipkpk_VACnom</f>
        <v>0.285714285714285</v>
      </c>
      <c r="AL196" s="152" t="n">
        <f aca="false">SQRT(AJ196^2+AK196^2/12)</f>
        <v>4.20080976968589</v>
      </c>
      <c r="AM196" s="153"/>
      <c r="AN196" s="152" t="n">
        <f aca="false">MAX(0,Table7[[#This Row],[I_L]]-0.5*Table7[[#This Row],[I_L pkpk]])</f>
        <v>4.05714285714286</v>
      </c>
      <c r="AO196" s="152" t="n">
        <f aca="false">Table7[[#This Row],[I_L]]+0.5*Table7[[#This Row],[I_L pkpk]]</f>
        <v>4.34285714285714</v>
      </c>
      <c r="AP196" s="152" t="e">
        <f aca="false">IF(VACnom&gt;Vbat, (VGS_S-(TI_MOSFET_S_VTH_H_BU+Table7[[#This Row],[I_L]]/TI_MOSFET_S_gFS_H_BU))/3.4, (VGS_S-(TI_MOSFET_S_VTH_L_BO+Table7[[#This Row],[I_L]]/TI_MOSFET_S_gFS_L_BO))/3.4 )</f>
        <v>#REF!</v>
      </c>
      <c r="AQ196" s="152" t="e">
        <f aca="false">IF(VACnom&gt;Vbat, ((TI_MOSFET_S_VTH_H_BU+Table7[[#This Row],[I_L]]/TI_MOSFET_S_gFS_H_BU))/1, ((TI_MOSFET_S_VTH_L_BO+Table7[[#This Row],[I_L]]/TI_MOSFET_S_gFS_L_BO))/1 )</f>
        <v>#REF!</v>
      </c>
      <c r="AR196" s="152" t="e">
        <f aca="false">IF(VACnom&gt;Vbat, (TI_MOSFET_S_QGD_H_BU+TI_MOSFET_S_QGS_H_BU)*10^-9/Table7[[#This Row],[Ion (A)]], (TI_MOSFET_S_QGD_L_BO+TI_MOSFET_S_QGS_L_BO)*10^-9/Table7[[#This Row],[Ion (A)]])/10^-9</f>
        <v>#REF!</v>
      </c>
      <c r="AS196" s="152" t="e">
        <f aca="false">IF(VACnom&gt;Vbat, (TI_MOSFET_S_QGD_H_BU+TI_MOSFET_S_QGS_H_BU)*10^-9/Table7[[#This Row],[Ioff (A)]], (TI_MOSFET_S_QGD_L_BO+TI_MOSFET_S_QGS_L_BO)*10^-9/Table7[[#This Row],[Ioff (A)]])/10^-9</f>
        <v>#REF!</v>
      </c>
      <c r="AT196" s="152" t="e">
        <f aca="false">0.5*VACnom*Table7[[#This Row],[Ivalley (A)]]*Table7[[#This Row],[ton (ns)]]*10^-9*Fsw*10^3+0.5*VACnom*Table7[[#This Row],[Ipeak (A)]]*Table7[[#This Row],[toff (ns)]]*10^-9*Fsw*10^3/10^-3</f>
        <v>#REF!</v>
      </c>
      <c r="AU196" s="152" t="e">
        <f aca="false">IF(VACnom&gt;Vbat, 0.5*VACnom*TI_MOSFET_S_QOSS_H_BU*10^-9*Fsw*10^3,0.5*VACnom*TI_MOSFET_S_QOSS_L_BO*10^-9*Fsw*10^3)/10^-3</f>
        <v>#REF!</v>
      </c>
      <c r="AV196" s="152" t="e">
        <f aca="false">IF(VACnom&gt;Vbat, VACnom*TI_MOSFET_S_QG_H_BU*10^-9*Fsw*10^3,VACnom*TI_MOSFET_S_QG_H_BO*10^-9*Fsw*10^3)/10^-3</f>
        <v>#REF!</v>
      </c>
      <c r="AW196" s="152" t="e">
        <f aca="false">IF(VACnom&gt;Vbat, VACnom*TI_MOSFET_S_QRR_L_BU*10^-9*Fsw*10^3, VACnom*TI_MOSFET_S_QRR_H_BO*10^-9*Fsw*10^3)/10^-3</f>
        <v>#REF!</v>
      </c>
      <c r="AX196" s="152" t="e">
        <f aca="false">IF(VACnom&gt;Vbat, TI_MOSFET_S_VSD_L_BU*Table7[[#This Row],[Ivalley (A)]]*Fsw*10^3*40*10^-9+TI_MOSFET_S_VSD_L_BU*Table7[[#This Row],[Ipeak (A)]]*Fsw*10^3*30*10^-9, TI_MOSFET_S_VSD_H_BO*Table7[[#This Row],[Ivalley (A)]]*Fsw*10^3*40*10^-9+TI_MOSFET_S_VSD_H_BO*Table7[[#This Row],[Ipeak (A)]]*Fsw*10^3*30*10^-9)/10^-3</f>
        <v>#REF!</v>
      </c>
      <c r="AY196" s="152" t="e">
        <f aca="false">IF(VACnom&gt;Vbat, VACnom*TI_MOSFET_S_QG_L_BU*10^-9*Fsw*10^3, VACnom*TI_MOSFET_S_QG_L_BO*10^-9*Fsw*10^3)/10^-3</f>
        <v>#REF!</v>
      </c>
      <c r="AZ196" s="152" t="e">
        <f aca="false">IF(VACnom&lt;Vbat, Table7[[#This Row],[Duty Cycle]]*Table7[[#This Row],[I_L RMS]]^2*TI_MOSFET_S_RDSON_H_BU*10^-3, (1-Table7[[#This Row],[Duty Cycle]])*Table7[[#This Row],[I_L RMS]]^2*TI_MOSFET_S_RDSON_H_BO*10^-3)/10^-3</f>
        <v>#REF!</v>
      </c>
      <c r="BA196" s="152" t="e">
        <f aca="false">IF(VACnom&gt;Vbat, Table7[[#This Row],[PIV (mW)]]+Table7[[#This Row],[Pqoss (mW)]]+Table7[[#This Row],[Pgate_top (mW)]], Table7[[#This Row],[PRR (mW)]]+Table7[[#This Row],[Pdead (mW)]]+Table7[[#This Row],[Pgate_top (mW)]])</f>
        <v>#REF!</v>
      </c>
      <c r="BB196" s="152" t="e">
        <f aca="false">Table7[[#This Row],[Pcon_top (mW)]]+Table7[[#This Row],[Psw_top (mW)]]</f>
        <v>#REF!</v>
      </c>
      <c r="BC196" s="152" t="e">
        <f aca="false">IF(VACnom&gt;Vbat, (1-Table7[[#This Row],[Duty Cycle]])*Table7[[#This Row],[I_L RMS]]^2*TI_MOSFET_S_RDSON_L_BU*10^-3, Table7[[#This Row],[Duty Cycle]]*Table7[[#This Row],[I_L RMS]]^2*TI_MOSFET_S_RDSON_L_BO*10^-3)/10^-3</f>
        <v>#REF!</v>
      </c>
      <c r="BD196" s="152" t="e">
        <f aca="false">IF(VACnom&gt;Vbat, Table7[[#This Row],[PRR (mW)]]+Table7[[#This Row],[Pdead (mW)]]+Table7[[#This Row],[Pgate_bottom (mW)]], Table7[[#This Row],[PIV (mW)]]+Table7[[#This Row],[Pqoss (mW)]]+Table7[[#This Row],[Pgate_bottom (mW)]])</f>
        <v>#REF!</v>
      </c>
      <c r="BE196" s="154" t="e">
        <f aca="false">Table7[[#This Row],[Pcon_bottom (mW)]]+Table7[[#This Row],[Psw_bottom (mW)]]</f>
        <v>#REF!</v>
      </c>
      <c r="BF196" s="152" t="e">
        <f aca="false">Table7[[#This Row],[Pbottom (mW)]]+Table7[[#This Row],[Ptop (mW)]]</f>
        <v>#REF!</v>
      </c>
      <c r="BG196" s="155"/>
      <c r="BH196" s="152" t="n">
        <f aca="false">MAX(0,Table7[[#This Row],[I_L]]-0.5*Table7[[#This Row],[I_L pkpk]])</f>
        <v>4.05714285714286</v>
      </c>
      <c r="BI196" s="152" t="n">
        <f aca="false">Table7[[#This Row],[I_L]]+0.5*Table7[[#This Row],[I_L pkpk]]</f>
        <v>4.34285714285714</v>
      </c>
      <c r="BJ196" s="152" t="n">
        <f aca="false">IF(VACnom&gt;Vbat, (VGS_S-(C_MOSFET_S_VTH_H_BU+Table7[[#This Row],[I_L]]/C_MOSFET_S_gFS_H_BU))/3.4, (VGS_S-(C_MOSFET_S_VTH_L_BO+Table7[[#This Row],[I_L]]/C_MOSFET_S_gFS_L_BO))/3.4 )</f>
        <v>2.34470588235294</v>
      </c>
      <c r="BK196" s="152" t="n">
        <f aca="false">IF(VACnom&gt;Vbat, ((C_MOSFET_S_VTH_H_BU+Table7[[#This Row],[I_L]]/C_MOSFET_S_gFS_H_BU))/1, ((C_MOSFET_S_VTH_L_BO+Table7[[#This Row],[I_L]]/C_MOSFET_S_gFS_L_BO))/1 )</f>
        <v>2.028</v>
      </c>
      <c r="BL196" s="152" t="n">
        <f aca="false">IF(VACnom&gt;Vbat, (C_MOSFET_S_QGD_H_BU+C_MOSFET_S_QGS_H_BU)*10^-9/Table7[[#This Row],[Ion (A) C]], (C_MOSFET_S_QGD_L_BO+C_MOSFET_S_QGS_L_BO)*10^-9/Table7[[#This Row],[Ion (A) C]])/10^-9</f>
        <v>2.77220270948319</v>
      </c>
      <c r="BM196" s="152" t="n">
        <f aca="false">IF(VACnom&gt;Vbat, (C_MOSFET_S_QGD_H_BU+C_MOSFET_S_QGS_H_BU)*10^-9/Table7[[#This Row],[Ioff (A) C]], (C_MOSFET_S_QGD_L_BO+C_MOSFET_S_QGS_L_BO)*10^-9/Table7[[#This Row],[Ioff (A) C]])/10^-9</f>
        <v>3.20512820512821</v>
      </c>
      <c r="BN196" s="152" t="n">
        <f aca="false">0.5*VACnom*Table7[[#This Row],[Ivalley (A) C]]*Table7[[#This Row],[ton (ns) C]]*10^-9*Fsw*10^3+0.5*VACnom*Table7[[#This Row],[Ipeak (A) C]]*Table7[[#This Row],[toff (ns) C]]*10^-9*Fsw*10^3/10^-3</f>
        <v>16.7167933702023</v>
      </c>
      <c r="BO196" s="152" t="n">
        <f aca="false">IF(VACnom&gt;Vbat, 0.5*VACnom*C_MOSFET_S_QOSS_H_BU*10^-9*Fsw*10^3,0.5*VACnom*C_MOSFET_S_QOSS_L_BO*10^-9*Fsw*10^3)/10^-3</f>
        <v>43.2</v>
      </c>
      <c r="BP196" s="152" t="e">
        <f aca="false">IF(VACnom&gt;Vbat, VACnom*C_MOSFET_S_QG_H_BU*10^-9*Fsw*10^3,VACnom*C_MOSFET_S_QG_H_BO*10^-9*Fsw*10^3)/10^-3</f>
        <v>#REF!</v>
      </c>
      <c r="BQ196" s="152" t="n">
        <f aca="false">IF(VACnom&gt;Vbat, VACnom*C_MOSFET_S_QRR_L_BU*10^-9*Fsw*10^3, VACnom*C_MOSFET_S_QRR_H_BO*10^-9*Fsw*10^3)/10^-3</f>
        <v>79.2</v>
      </c>
      <c r="BR196" s="152" t="n">
        <f aca="false">IF(VACnom&gt;Vbat, C_MOSFET_S_VSD_L_BU*Table7[[#This Row],[Ivalley (A) C]]*Fsw*10^3*40*10^-9+C_MOSFET_S_VSD_L_BU*Table7[[#This Row],[Ipeak (A) C]]*Fsw*10^3*30*10^-9, C_MOSFET_S_VSD_H_BO*Table7[[#This Row],[Ivalley (A) C]]*Fsw*10^3*40*10^-9+C_MOSFET_S_VSD_H_BO*Table7[[#This Row],[Ipeak (A) C]]*Fsw*10^3*30*10^-9)/10^-3</f>
        <v>46.8114285714286</v>
      </c>
      <c r="BS196" s="152" t="e">
        <f aca="false">IF(VACnom&gt;Vbat, VACnom*C_MOSFET_S_QG_L_BU*10^-9*Fsw*10^3, VACnom*C_MOSFET_S_QG_L_BO*10^-9*Fsw*10^3)/10^-3</f>
        <v>#REF!</v>
      </c>
      <c r="BT196" s="152" t="n">
        <f aca="false">IF(VACnom&lt;Vbat, Table7[[#This Row],[Duty Cycle]]*Table7[[#This Row],[I_L RMS]]^2*C_MOSFET_S_RDSON_H_BU*10^-3, (1-Table7[[#This Row],[Duty Cycle]])*Table7[[#This Row],[I_L RMS]]^2*C_MOSFET_S_RDSON_H_BO*10^-3)/10^-3</f>
        <v>4.78984645286686</v>
      </c>
      <c r="BU196" s="152" t="e">
        <f aca="false">IF(VACnom&gt;Vbat, Table7[[#This Row],[PIV (mW) C]]+Table7[[#This Row],[PQoss (mW) C]]+Table7[[#This Row],[Pgate_top (mW) C]], Table7[[#This Row],[PRR (mW) C]]+Table7[[#This Row],[Pdead (mW) C]]+Table7[[#This Row],[Pgate_top (mW) C]])</f>
        <v>#REF!</v>
      </c>
      <c r="BV196" s="152" t="e">
        <f aca="false">Table7[[#This Row],[Pcon_top (mW) C]]+Table7[[#This Row],[Psw_top (mW) C]]</f>
        <v>#REF!</v>
      </c>
      <c r="BW196" s="152" t="e">
        <f aca="false">IF(VACnom&gt;Vbat, (1-Table7[[#This Row],[Duty Cycle]])*Table7[[#This Row],[I_L RMS]]^2*C_MOSFET_S_RDSON_L_BU*10^-3, Table7[[#This Row],[Duty Cycle]]*Table7[[#This Row],[I_L RMS]]^2*C_MOSFET_S_RDSON_L_BO*10^-3)/10^-3</f>
        <v>#REF!</v>
      </c>
      <c r="BX196" s="152" t="e">
        <f aca="false">IF(VACnom&gt;Vbat, Table7[[#This Row],[PRR (mW) C]]+Table7[[#This Row],[Pdead (mW) C]]+Table7[[#This Row],[Pgate_bottom (mW) C]], Table7[[#This Row],[PIV (mW) C]]+Table7[[#This Row],[PQoss (mW) C]]+Table7[[#This Row],[Pgate_bottom (mW) C]])</f>
        <v>#REF!</v>
      </c>
      <c r="BY196" s="152" t="e">
        <f aca="false">Table7[[#This Row],[Pcon_bottom (mW) C]]+Table7[[#This Row],[Psw_bottom (mV) C]]</f>
        <v>#REF!</v>
      </c>
      <c r="BZ196" s="152" t="e">
        <f aca="false">Table7[[#This Row],[Pbottom (mW) C]]+Table7[[#This Row],[Ptop (mW) C]]</f>
        <v>#REF!</v>
      </c>
      <c r="CA196" s="156"/>
      <c r="CB196" s="151" t="n">
        <f aca="false">(RAC_SNS*10^-3*(Table7[[#This Row],[IOUT (A)]]*Vbat/VACnom)^2/10^-3)</f>
        <v>88.2</v>
      </c>
      <c r="CC196" s="151" t="n">
        <f aca="false">(RBAT_SNS*10^-3*Table7[[#This Row],[IOUT (A)]]^2)/10^-3</f>
        <v>80</v>
      </c>
      <c r="CD196" s="151" t="n">
        <f aca="false">IF(VACnom&gt;Vbat,(L_DRC*10^-3*(Table7[[#This Row],[IOUT (A)]])^2/10^-3),(L_DRC*10^-3*(Table7[[#This Row],[IOUT (A)]]*Vbat/VACnom)^2/10^-3))</f>
        <v>211.68</v>
      </c>
      <c r="CE196" s="157"/>
      <c r="CF196" s="152" t="n">
        <f aca="false">(Table7[[#This Row],[R_AC (mW)]]+Table7[[#This Row],[R_SR (mW)]]+Table7[[#This Row],[Inductor Loss (mW)]])/10^3</f>
        <v>0.37988</v>
      </c>
      <c r="CG196" s="152" t="e">
        <f aca="false">Table7[[#This Row],[Total TI (mW)]]/10^3</f>
        <v>#REF!</v>
      </c>
      <c r="CH196" s="152" t="e">
        <f aca="false">Table7[[#This Row],[Total Sense Loss]]+Table7[[#This Row],[Total MOSFET Loss]]</f>
        <v>#REF!</v>
      </c>
      <c r="CI196" s="158" t="e">
        <f aca="false">IF(Table7[[#This Row],[POUT (W)]]=0,0,(Table7[[#This Row],[POUT (W)]])/(Table7[[#This Row],[POUT (W)]]+Table7[[#This Row],[Total Power Loss (W)]]))*100</f>
        <v>#REF!</v>
      </c>
      <c r="CJ196" s="159"/>
      <c r="CK196" s="152" t="n">
        <f aca="false">(Table7[[#This Row],[R_AC (mW)]]+Table7[[#This Row],[R_SR (mW)]]+Table7[[#This Row],[Inductor Loss (mW)]])/10^3</f>
        <v>0.37988</v>
      </c>
      <c r="CL196" s="152" t="e">
        <f aca="false">Table7[[#This Row],[Total (mW) C]]/10^3</f>
        <v>#REF!</v>
      </c>
      <c r="CM196" s="152" t="e">
        <f aca="false">Table7[[#This Row],[Total Sense Loss C]]+Table7[[#This Row],[Total MOSFET Loss C]]</f>
        <v>#REF!</v>
      </c>
      <c r="CN196" s="158" t="e">
        <f aca="false">IF(Table7[[#This Row],[POUT (W)]]=0,0,(Table7[[#This Row],[POUT (W)]])/(Table7[[#This Row],[POUT (W)]]+Table7[[#This Row],[Total Power Loss (W) C]]))*100</f>
        <v>#REF!</v>
      </c>
      <c r="CO196" s="159"/>
      <c r="CP196" s="158" t="n">
        <f aca="false">IF(MOSFET_S=Custom_MOSFET,Table7[[#This Row],[Total Sense Loss C]],Table7[[#This Row],[Total Sense Loss]])</f>
        <v>0.37988</v>
      </c>
      <c r="CQ196" s="158" t="e">
        <f aca="false">IF(MOSFET_S=Custom_MOSFET,Table7[[#This Row],[Total MOSFET Loss C]],Table7[[#This Row],[Total MOSFET Loss]])</f>
        <v>#REF!</v>
      </c>
      <c r="CR196" s="158" t="e">
        <f aca="false">IF(MOSFET_S=Custom_MOSFET,Table7[[#This Row],[Efficiency C]],Table7[[#This Row],[Efficiency]])</f>
        <v>#REF!</v>
      </c>
      <c r="CS196" s="159"/>
      <c r="CT196" s="158" t="n">
        <f aca="false">IF(MOSFET_S=Compare_MOSFET, Table7[[#This Row],[Total Sense Loss C]], -100)</f>
        <v>-100</v>
      </c>
      <c r="CU196" s="158" t="n">
        <f aca="false">IF(MOSFET_S=Compare_MOSFET, Table7[[#This Row],[Total MOSFET Loss C]], -100)</f>
        <v>-100</v>
      </c>
      <c r="CV196" s="158" t="n">
        <f aca="false">IF(MOSFET_S=Compare_MOSFET, Table7[[#This Row],[Efficiency C]], -100)</f>
        <v>-100</v>
      </c>
      <c r="CW196" s="159"/>
      <c r="CX196" s="158" t="e">
        <f aca="false">IF(Save_Sel=CLR_Save,  Table7[[#This Row],[Total Sense Loss P1]], Table7[[#This Row],[Total Sense Loss P1 Saved]])</f>
        <v>#VALUE!</v>
      </c>
      <c r="CY196" s="158" t="e">
        <f aca="false">IF(Save_Sel=CLR_Save,  Table7[[#This Row],[Total MOSFET Loss P1]], Table7[[#This Row],[Total MOSFET Loss P1 Saved]] )</f>
        <v>#VALUE!</v>
      </c>
      <c r="CZ196" s="158" t="e">
        <f aca="false">IF(Save_Sel=CLR_Save, Table7[[#This Row],[Efficiency P1]], Table7[[#This Row],[Efficiency P1 Saved]])</f>
        <v>#VALUE!</v>
      </c>
      <c r="DA196" s="159"/>
      <c r="DB196" s="158" t="e">
        <f aca="false">IF(Save_Sel=CLR_Save,  Table7[[#This Row],[Total Sense Loss P2]], Table7[[#This Row],[Total Sense Loss P2 Saved]])</f>
        <v>#VALUE!</v>
      </c>
      <c r="DC196" s="158" t="e">
        <f aca="false">IF(Save_Sel=CLR_Save,  Table7[[#This Row],[Total MOSFET Loss P2]], Table7[[#This Row],[Total MOSFET Loss P2 Saved]] )</f>
        <v>#VALUE!</v>
      </c>
      <c r="DD196" s="158" t="e">
        <f aca="false">IF(Save_Sel=CLR_Save, Table7[[#This Row],[Efficiency P2]], Table7[[#This Row],[Efficiency P2 Saved]])</f>
        <v>#VALUE!</v>
      </c>
      <c r="DE196" s="159"/>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row>
    <row r="197" customFormat="false" ht="16.4" hidden="false" customHeight="false" outlineLevel="0" collapsed="false">
      <c r="A197" s="28"/>
      <c r="B197" s="84"/>
      <c r="C197" s="84"/>
      <c r="D197" s="28"/>
      <c r="E197" s="168"/>
      <c r="F197" s="168"/>
      <c r="G197" s="84"/>
      <c r="H197" s="24"/>
      <c r="I197" s="24"/>
      <c r="J197" s="24"/>
      <c r="K197" s="24"/>
      <c r="L197" s="24"/>
      <c r="M197" s="24"/>
      <c r="N197" s="24"/>
      <c r="O197" s="24"/>
      <c r="P197" s="24"/>
      <c r="Q197" s="24"/>
      <c r="R197" s="24"/>
      <c r="S197" s="25"/>
      <c r="T197" s="6"/>
      <c r="U197" s="7"/>
      <c r="V197" s="7"/>
      <c r="W197" s="7"/>
      <c r="X197" s="7"/>
      <c r="Y197" s="7"/>
      <c r="Z197" s="7"/>
      <c r="AA197" s="7"/>
      <c r="AB197" s="7"/>
      <c r="AC197" s="7"/>
      <c r="AD197" s="7"/>
      <c r="AE197" s="7"/>
      <c r="AF197" s="150" t="n">
        <f aca="false">AF196+1</f>
        <v>41</v>
      </c>
      <c r="AG197" s="150" t="n">
        <f aca="false">$AG$156+AF197*($AG$256-$AG$156)/$AF$256</f>
        <v>4.1</v>
      </c>
      <c r="AH197" s="151" t="n">
        <f aca="false">AG197*VACnom</f>
        <v>49.2</v>
      </c>
      <c r="AI197" s="152" t="n">
        <f aca="false">IF(VACnom&lt;Vbat, (Vbat-VACnom)/Vbat, Vbat/VACnom)</f>
        <v>0.0476190476190476</v>
      </c>
      <c r="AJ197" s="152" t="n">
        <f aca="false">IF(VACnom&lt;Vbat, AG197/(1-AI197), AG197*AI197)</f>
        <v>4.305</v>
      </c>
      <c r="AK197" s="152" t="n">
        <f aca="false">Ipkpk_VACnom</f>
        <v>0.285714285714285</v>
      </c>
      <c r="AL197" s="152" t="n">
        <f aca="false">SQRT(AJ197^2+AK197^2/12)</f>
        <v>4.30579002287483</v>
      </c>
      <c r="AM197" s="153"/>
      <c r="AN197" s="152" t="n">
        <f aca="false">MAX(0,Table7[[#This Row],[I_L]]-0.5*Table7[[#This Row],[I_L pkpk]])</f>
        <v>4.16214285714286</v>
      </c>
      <c r="AO197" s="152" t="n">
        <f aca="false">Table7[[#This Row],[I_L]]+0.5*Table7[[#This Row],[I_L pkpk]]</f>
        <v>4.44785714285714</v>
      </c>
      <c r="AP197" s="152" t="e">
        <f aca="false">IF(VACnom&gt;Vbat, (VGS_S-(TI_MOSFET_S_VTH_H_BU+Table7[[#This Row],[I_L]]/TI_MOSFET_S_gFS_H_BU))/3.4, (VGS_S-(TI_MOSFET_S_VTH_L_BO+Table7[[#This Row],[I_L]]/TI_MOSFET_S_gFS_L_BO))/3.4 )</f>
        <v>#REF!</v>
      </c>
      <c r="AQ197" s="152" t="e">
        <f aca="false">IF(VACnom&gt;Vbat, ((TI_MOSFET_S_VTH_H_BU+Table7[[#This Row],[I_L]]/TI_MOSFET_S_gFS_H_BU))/1, ((TI_MOSFET_S_VTH_L_BO+Table7[[#This Row],[I_L]]/TI_MOSFET_S_gFS_L_BO))/1 )</f>
        <v>#REF!</v>
      </c>
      <c r="AR197" s="152" t="e">
        <f aca="false">IF(VACnom&gt;Vbat, (TI_MOSFET_S_QGD_H_BU+TI_MOSFET_S_QGS_H_BU)*10^-9/Table7[[#This Row],[Ion (A)]], (TI_MOSFET_S_QGD_L_BO+TI_MOSFET_S_QGS_L_BO)*10^-9/Table7[[#This Row],[Ion (A)]])/10^-9</f>
        <v>#REF!</v>
      </c>
      <c r="AS197" s="152" t="e">
        <f aca="false">IF(VACnom&gt;Vbat, (TI_MOSFET_S_QGD_H_BU+TI_MOSFET_S_QGS_H_BU)*10^-9/Table7[[#This Row],[Ioff (A)]], (TI_MOSFET_S_QGD_L_BO+TI_MOSFET_S_QGS_L_BO)*10^-9/Table7[[#This Row],[Ioff (A)]])/10^-9</f>
        <v>#REF!</v>
      </c>
      <c r="AT197" s="152" t="e">
        <f aca="false">0.5*VACnom*Table7[[#This Row],[Ivalley (A)]]*Table7[[#This Row],[ton (ns)]]*10^-9*Fsw*10^3+0.5*VACnom*Table7[[#This Row],[Ipeak (A)]]*Table7[[#This Row],[toff (ns)]]*10^-9*Fsw*10^3/10^-3</f>
        <v>#REF!</v>
      </c>
      <c r="AU197" s="152" t="e">
        <f aca="false">IF(VACnom&gt;Vbat, 0.5*VACnom*TI_MOSFET_S_QOSS_H_BU*10^-9*Fsw*10^3,0.5*VACnom*TI_MOSFET_S_QOSS_L_BO*10^-9*Fsw*10^3)/10^-3</f>
        <v>#REF!</v>
      </c>
      <c r="AV197" s="152" t="e">
        <f aca="false">IF(VACnom&gt;Vbat, VACnom*TI_MOSFET_S_QG_H_BU*10^-9*Fsw*10^3,VACnom*TI_MOSFET_S_QG_H_BO*10^-9*Fsw*10^3)/10^-3</f>
        <v>#REF!</v>
      </c>
      <c r="AW197" s="152" t="e">
        <f aca="false">IF(VACnom&gt;Vbat, VACnom*TI_MOSFET_S_QRR_L_BU*10^-9*Fsw*10^3, VACnom*TI_MOSFET_S_QRR_H_BO*10^-9*Fsw*10^3)/10^-3</f>
        <v>#REF!</v>
      </c>
      <c r="AX197" s="152" t="e">
        <f aca="false">IF(VACnom&gt;Vbat, TI_MOSFET_S_VSD_L_BU*Table7[[#This Row],[Ivalley (A)]]*Fsw*10^3*40*10^-9+TI_MOSFET_S_VSD_L_BU*Table7[[#This Row],[Ipeak (A)]]*Fsw*10^3*30*10^-9, TI_MOSFET_S_VSD_H_BO*Table7[[#This Row],[Ivalley (A)]]*Fsw*10^3*40*10^-9+TI_MOSFET_S_VSD_H_BO*Table7[[#This Row],[Ipeak (A)]]*Fsw*10^3*30*10^-9)/10^-3</f>
        <v>#REF!</v>
      </c>
      <c r="AY197" s="152" t="e">
        <f aca="false">IF(VACnom&gt;Vbat, VACnom*TI_MOSFET_S_QG_L_BU*10^-9*Fsw*10^3, VACnom*TI_MOSFET_S_QG_L_BO*10^-9*Fsw*10^3)/10^-3</f>
        <v>#REF!</v>
      </c>
      <c r="AZ197" s="152" t="e">
        <f aca="false">IF(VACnom&lt;Vbat, Table7[[#This Row],[Duty Cycle]]*Table7[[#This Row],[I_L RMS]]^2*TI_MOSFET_S_RDSON_H_BU*10^-3, (1-Table7[[#This Row],[Duty Cycle]])*Table7[[#This Row],[I_L RMS]]^2*TI_MOSFET_S_RDSON_H_BO*10^-3)/10^-3</f>
        <v>#REF!</v>
      </c>
      <c r="BA197" s="152" t="e">
        <f aca="false">IF(VACnom&gt;Vbat, Table7[[#This Row],[PIV (mW)]]+Table7[[#This Row],[Pqoss (mW)]]+Table7[[#This Row],[Pgate_top (mW)]], Table7[[#This Row],[PRR (mW)]]+Table7[[#This Row],[Pdead (mW)]]+Table7[[#This Row],[Pgate_top (mW)]])</f>
        <v>#REF!</v>
      </c>
      <c r="BB197" s="152" t="e">
        <f aca="false">Table7[[#This Row],[Pcon_top (mW)]]+Table7[[#This Row],[Psw_top (mW)]]</f>
        <v>#REF!</v>
      </c>
      <c r="BC197" s="152" t="e">
        <f aca="false">IF(VACnom&gt;Vbat, (1-Table7[[#This Row],[Duty Cycle]])*Table7[[#This Row],[I_L RMS]]^2*TI_MOSFET_S_RDSON_L_BU*10^-3, Table7[[#This Row],[Duty Cycle]]*Table7[[#This Row],[I_L RMS]]^2*TI_MOSFET_S_RDSON_L_BO*10^-3)/10^-3</f>
        <v>#REF!</v>
      </c>
      <c r="BD197" s="152" t="e">
        <f aca="false">IF(VACnom&gt;Vbat, Table7[[#This Row],[PRR (mW)]]+Table7[[#This Row],[Pdead (mW)]]+Table7[[#This Row],[Pgate_bottom (mW)]], Table7[[#This Row],[PIV (mW)]]+Table7[[#This Row],[Pqoss (mW)]]+Table7[[#This Row],[Pgate_bottom (mW)]])</f>
        <v>#REF!</v>
      </c>
      <c r="BE197" s="154" t="e">
        <f aca="false">Table7[[#This Row],[Pcon_bottom (mW)]]+Table7[[#This Row],[Psw_bottom (mW)]]</f>
        <v>#REF!</v>
      </c>
      <c r="BF197" s="152" t="e">
        <f aca="false">Table7[[#This Row],[Pbottom (mW)]]+Table7[[#This Row],[Ptop (mW)]]</f>
        <v>#REF!</v>
      </c>
      <c r="BG197" s="155"/>
      <c r="BH197" s="152" t="n">
        <f aca="false">MAX(0,Table7[[#This Row],[I_L]]-0.5*Table7[[#This Row],[I_L pkpk]])</f>
        <v>4.16214285714286</v>
      </c>
      <c r="BI197" s="152" t="n">
        <f aca="false">Table7[[#This Row],[I_L]]+0.5*Table7[[#This Row],[I_L pkpk]]</f>
        <v>4.44785714285714</v>
      </c>
      <c r="BJ197" s="152" t="n">
        <f aca="false">IF(VACnom&gt;Vbat, (VGS_S-(C_MOSFET_S_VTH_H_BU+Table7[[#This Row],[I_L]]/C_MOSFET_S_gFS_H_BU))/3.4, (VGS_S-(C_MOSFET_S_VTH_L_BO+Table7[[#This Row],[I_L]]/C_MOSFET_S_gFS_L_BO))/3.4 )</f>
        <v>2.3445</v>
      </c>
      <c r="BK197" s="152" t="n">
        <f aca="false">IF(VACnom&gt;Vbat, ((C_MOSFET_S_VTH_H_BU+Table7[[#This Row],[I_L]]/C_MOSFET_S_gFS_H_BU))/1, ((C_MOSFET_S_VTH_L_BO+Table7[[#This Row],[I_L]]/C_MOSFET_S_gFS_L_BO))/1 )</f>
        <v>2.0287</v>
      </c>
      <c r="BL197" s="152" t="n">
        <f aca="false">IF(VACnom&gt;Vbat, (C_MOSFET_S_QGD_H_BU+C_MOSFET_S_QGS_H_BU)*10^-9/Table7[[#This Row],[Ion (A) C]], (C_MOSFET_S_QGD_L_BO+C_MOSFET_S_QGS_L_BO)*10^-9/Table7[[#This Row],[Ion (A) C]])/10^-9</f>
        <v>2.77244615056515</v>
      </c>
      <c r="BM197" s="152" t="n">
        <f aca="false">IF(VACnom&gt;Vbat, (C_MOSFET_S_QGD_H_BU+C_MOSFET_S_QGS_H_BU)*10^-9/Table7[[#This Row],[Ioff (A) C]], (C_MOSFET_S_QGD_L_BO+C_MOSFET_S_QGS_L_BO)*10^-9/Table7[[#This Row],[Ioff (A) C]])/10^-9</f>
        <v>3.20402228027801</v>
      </c>
      <c r="BN197" s="152" t="n">
        <f aca="false">0.5*VACnom*Table7[[#This Row],[Ivalley (A) C]]*Table7[[#This Row],[ton (ns) C]]*10^-9*Fsw*10^3+0.5*VACnom*Table7[[#This Row],[Ipeak (A) C]]*Table7[[#This Row],[toff (ns) C]]*10^-9*Fsw*10^3/10^-3</f>
        <v>17.1150872425804</v>
      </c>
      <c r="BO197" s="152" t="n">
        <f aca="false">IF(VACnom&gt;Vbat, 0.5*VACnom*C_MOSFET_S_QOSS_H_BU*10^-9*Fsw*10^3,0.5*VACnom*C_MOSFET_S_QOSS_L_BO*10^-9*Fsw*10^3)/10^-3</f>
        <v>43.2</v>
      </c>
      <c r="BP197" s="152" t="e">
        <f aca="false">IF(VACnom&gt;Vbat, VACnom*C_MOSFET_S_QG_H_BU*10^-9*Fsw*10^3,VACnom*C_MOSFET_S_QG_H_BO*10^-9*Fsw*10^3)/10^-3</f>
        <v>#REF!</v>
      </c>
      <c r="BQ197" s="152" t="n">
        <f aca="false">IF(VACnom&gt;Vbat, VACnom*C_MOSFET_S_QRR_L_BU*10^-9*Fsw*10^3, VACnom*C_MOSFET_S_QRR_H_BO*10^-9*Fsw*10^3)/10^-3</f>
        <v>79.2</v>
      </c>
      <c r="BR197" s="152" t="n">
        <f aca="false">IF(VACnom&gt;Vbat, C_MOSFET_S_VSD_L_BU*Table7[[#This Row],[Ivalley (A) C]]*Fsw*10^3*40*10^-9+C_MOSFET_S_VSD_L_BU*Table7[[#This Row],[Ipeak (A) C]]*Fsw*10^3*30*10^-9, C_MOSFET_S_VSD_H_BO*Table7[[#This Row],[Ivalley (A) C]]*Fsw*10^3*40*10^-9+C_MOSFET_S_VSD_H_BO*Table7[[#This Row],[Ipeak (A) C]]*Fsw*10^3*30*10^-9)/10^-3</f>
        <v>47.9874285714286</v>
      </c>
      <c r="BS197" s="152" t="e">
        <f aca="false">IF(VACnom&gt;Vbat, VACnom*C_MOSFET_S_QG_L_BU*10^-9*Fsw*10^3, VACnom*C_MOSFET_S_QG_L_BO*10^-9*Fsw*10^3)/10^-3</f>
        <v>#REF!</v>
      </c>
      <c r="BT197" s="152" t="n">
        <f aca="false">IF(VACnom&lt;Vbat, Table7[[#This Row],[Duty Cycle]]*Table7[[#This Row],[I_L RMS]]^2*C_MOSFET_S_RDSON_H_BU*10^-3, (1-Table7[[#This Row],[Duty Cycle]])*Table7[[#This Row],[I_L RMS]]^2*C_MOSFET_S_RDSON_H_BO*10^-3)/10^-3</f>
        <v>5.03223895286686</v>
      </c>
      <c r="BU197" s="152" t="e">
        <f aca="false">IF(VACnom&gt;Vbat, Table7[[#This Row],[PIV (mW) C]]+Table7[[#This Row],[PQoss (mW) C]]+Table7[[#This Row],[Pgate_top (mW) C]], Table7[[#This Row],[PRR (mW) C]]+Table7[[#This Row],[Pdead (mW) C]]+Table7[[#This Row],[Pgate_top (mW) C]])</f>
        <v>#REF!</v>
      </c>
      <c r="BV197" s="152" t="e">
        <f aca="false">Table7[[#This Row],[Pcon_top (mW) C]]+Table7[[#This Row],[Psw_top (mW) C]]</f>
        <v>#REF!</v>
      </c>
      <c r="BW197" s="152" t="e">
        <f aca="false">IF(VACnom&gt;Vbat, (1-Table7[[#This Row],[Duty Cycle]])*Table7[[#This Row],[I_L RMS]]^2*C_MOSFET_S_RDSON_L_BU*10^-3, Table7[[#This Row],[Duty Cycle]]*Table7[[#This Row],[I_L RMS]]^2*C_MOSFET_S_RDSON_L_BO*10^-3)/10^-3</f>
        <v>#REF!</v>
      </c>
      <c r="BX197" s="152" t="e">
        <f aca="false">IF(VACnom&gt;Vbat, Table7[[#This Row],[PRR (mW) C]]+Table7[[#This Row],[Pdead (mW) C]]+Table7[[#This Row],[Pgate_bottom (mW) C]], Table7[[#This Row],[PIV (mW) C]]+Table7[[#This Row],[PQoss (mW) C]]+Table7[[#This Row],[Pgate_bottom (mW) C]])</f>
        <v>#REF!</v>
      </c>
      <c r="BY197" s="152" t="e">
        <f aca="false">Table7[[#This Row],[Pcon_bottom (mW) C]]+Table7[[#This Row],[Psw_bottom (mV) C]]</f>
        <v>#REF!</v>
      </c>
      <c r="BZ197" s="152" t="e">
        <f aca="false">Table7[[#This Row],[Pbottom (mW) C]]+Table7[[#This Row],[Ptop (mW) C]]</f>
        <v>#REF!</v>
      </c>
      <c r="CA197" s="156"/>
      <c r="CB197" s="151" t="n">
        <f aca="false">(RAC_SNS*10^-3*(Table7[[#This Row],[IOUT (A)]]*Vbat/VACnom)^2/10^-3)</f>
        <v>92.665125</v>
      </c>
      <c r="CC197" s="151" t="n">
        <f aca="false">(RBAT_SNS*10^-3*Table7[[#This Row],[IOUT (A)]]^2)/10^-3</f>
        <v>84.05</v>
      </c>
      <c r="CD197" s="151" t="n">
        <f aca="false">IF(VACnom&gt;Vbat,(L_DRC*10^-3*(Table7[[#This Row],[IOUT (A)]])^2/10^-3),(L_DRC*10^-3*(Table7[[#This Row],[IOUT (A)]]*Vbat/VACnom)^2/10^-3))</f>
        <v>222.3963</v>
      </c>
      <c r="CE197" s="157"/>
      <c r="CF197" s="152" t="n">
        <f aca="false">(Table7[[#This Row],[R_AC (mW)]]+Table7[[#This Row],[R_SR (mW)]]+Table7[[#This Row],[Inductor Loss (mW)]])/10^3</f>
        <v>0.399111425</v>
      </c>
      <c r="CG197" s="152" t="e">
        <f aca="false">Table7[[#This Row],[Total TI (mW)]]/10^3</f>
        <v>#REF!</v>
      </c>
      <c r="CH197" s="152" t="e">
        <f aca="false">Table7[[#This Row],[Total Sense Loss]]+Table7[[#This Row],[Total MOSFET Loss]]</f>
        <v>#REF!</v>
      </c>
      <c r="CI197" s="158" t="e">
        <f aca="false">IF(Table7[[#This Row],[POUT (W)]]=0,0,(Table7[[#This Row],[POUT (W)]])/(Table7[[#This Row],[POUT (W)]]+Table7[[#This Row],[Total Power Loss (W)]]))*100</f>
        <v>#REF!</v>
      </c>
      <c r="CJ197" s="159"/>
      <c r="CK197" s="152" t="n">
        <f aca="false">(Table7[[#This Row],[R_AC (mW)]]+Table7[[#This Row],[R_SR (mW)]]+Table7[[#This Row],[Inductor Loss (mW)]])/10^3</f>
        <v>0.399111425</v>
      </c>
      <c r="CL197" s="152" t="e">
        <f aca="false">Table7[[#This Row],[Total (mW) C]]/10^3</f>
        <v>#REF!</v>
      </c>
      <c r="CM197" s="152" t="e">
        <f aca="false">Table7[[#This Row],[Total Sense Loss C]]+Table7[[#This Row],[Total MOSFET Loss C]]</f>
        <v>#REF!</v>
      </c>
      <c r="CN197" s="158" t="e">
        <f aca="false">IF(Table7[[#This Row],[POUT (W)]]=0,0,(Table7[[#This Row],[POUT (W)]])/(Table7[[#This Row],[POUT (W)]]+Table7[[#This Row],[Total Power Loss (W) C]]))*100</f>
        <v>#REF!</v>
      </c>
      <c r="CO197" s="159"/>
      <c r="CP197" s="158" t="n">
        <f aca="false">IF(MOSFET_S=Custom_MOSFET,Table7[[#This Row],[Total Sense Loss C]],Table7[[#This Row],[Total Sense Loss]])</f>
        <v>0.399111425</v>
      </c>
      <c r="CQ197" s="158" t="e">
        <f aca="false">IF(MOSFET_S=Custom_MOSFET,Table7[[#This Row],[Total MOSFET Loss C]],Table7[[#This Row],[Total MOSFET Loss]])</f>
        <v>#REF!</v>
      </c>
      <c r="CR197" s="158" t="e">
        <f aca="false">IF(MOSFET_S=Custom_MOSFET,Table7[[#This Row],[Efficiency C]],Table7[[#This Row],[Efficiency]])</f>
        <v>#REF!</v>
      </c>
      <c r="CS197" s="159"/>
      <c r="CT197" s="158" t="n">
        <f aca="false">IF(MOSFET_S=Compare_MOSFET, Table7[[#This Row],[Total Sense Loss C]], -100)</f>
        <v>-100</v>
      </c>
      <c r="CU197" s="158" t="n">
        <f aca="false">IF(MOSFET_S=Compare_MOSFET, Table7[[#This Row],[Total MOSFET Loss C]], -100)</f>
        <v>-100</v>
      </c>
      <c r="CV197" s="158" t="n">
        <f aca="false">IF(MOSFET_S=Compare_MOSFET, Table7[[#This Row],[Efficiency C]], -100)</f>
        <v>-100</v>
      </c>
      <c r="CW197" s="159"/>
      <c r="CX197" s="158" t="e">
        <f aca="false">IF(Save_Sel=CLR_Save,  Table7[[#This Row],[Total Sense Loss P1]], Table7[[#This Row],[Total Sense Loss P1 Saved]])</f>
        <v>#VALUE!</v>
      </c>
      <c r="CY197" s="158" t="e">
        <f aca="false">IF(Save_Sel=CLR_Save,  Table7[[#This Row],[Total MOSFET Loss P1]], Table7[[#This Row],[Total MOSFET Loss P1 Saved]] )</f>
        <v>#VALUE!</v>
      </c>
      <c r="CZ197" s="158" t="e">
        <f aca="false">IF(Save_Sel=CLR_Save, Table7[[#This Row],[Efficiency P1]], Table7[[#This Row],[Efficiency P1 Saved]])</f>
        <v>#VALUE!</v>
      </c>
      <c r="DA197" s="159"/>
      <c r="DB197" s="158" t="e">
        <f aca="false">IF(Save_Sel=CLR_Save,  Table7[[#This Row],[Total Sense Loss P2]], Table7[[#This Row],[Total Sense Loss P2 Saved]])</f>
        <v>#VALUE!</v>
      </c>
      <c r="DC197" s="158" t="e">
        <f aca="false">IF(Save_Sel=CLR_Save,  Table7[[#This Row],[Total MOSFET Loss P2]], Table7[[#This Row],[Total MOSFET Loss P2 Saved]] )</f>
        <v>#VALUE!</v>
      </c>
      <c r="DD197" s="158" t="e">
        <f aca="false">IF(Save_Sel=CLR_Save, Table7[[#This Row],[Efficiency P2]], Table7[[#This Row],[Efficiency P2 Saved]])</f>
        <v>#VALUE!</v>
      </c>
      <c r="DE197" s="159"/>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row>
    <row r="198" customFormat="false" ht="16.4" hidden="false" customHeight="false" outlineLevel="0" collapsed="false">
      <c r="A198" s="28"/>
      <c r="B198" s="84"/>
      <c r="C198" s="84"/>
      <c r="D198" s="28"/>
      <c r="E198" s="168"/>
      <c r="F198" s="168"/>
      <c r="G198" s="84"/>
      <c r="H198" s="24"/>
      <c r="I198" s="24"/>
      <c r="J198" s="24"/>
      <c r="K198" s="24"/>
      <c r="L198" s="24"/>
      <c r="M198" s="24"/>
      <c r="N198" s="24"/>
      <c r="O198" s="24"/>
      <c r="P198" s="24"/>
      <c r="Q198" s="24"/>
      <c r="R198" s="24"/>
      <c r="S198" s="25"/>
      <c r="T198" s="6"/>
      <c r="U198" s="7"/>
      <c r="V198" s="7"/>
      <c r="W198" s="7"/>
      <c r="X198" s="7"/>
      <c r="Y198" s="7"/>
      <c r="Z198" s="7"/>
      <c r="AA198" s="7"/>
      <c r="AB198" s="7"/>
      <c r="AC198" s="7"/>
      <c r="AD198" s="7"/>
      <c r="AE198" s="7"/>
      <c r="AF198" s="150" t="n">
        <f aca="false">AF197+1</f>
        <v>42</v>
      </c>
      <c r="AG198" s="150" t="n">
        <f aca="false">$AG$156+AF198*($AG$256-$AG$156)/$AF$256</f>
        <v>4.2</v>
      </c>
      <c r="AH198" s="151" t="n">
        <f aca="false">AG198*VACnom</f>
        <v>50.4</v>
      </c>
      <c r="AI198" s="152" t="n">
        <f aca="false">IF(VACnom&lt;Vbat, (Vbat-VACnom)/Vbat, Vbat/VACnom)</f>
        <v>0.0476190476190476</v>
      </c>
      <c r="AJ198" s="152" t="n">
        <f aca="false">IF(VACnom&lt;Vbat, AG198/(1-AI198), AG198*AI198)</f>
        <v>4.41</v>
      </c>
      <c r="AK198" s="152" t="n">
        <f aca="false">Ipkpk_VACnom</f>
        <v>0.285714285714285</v>
      </c>
      <c r="AL198" s="152" t="n">
        <f aca="false">SQRT(AJ198^2+AK198^2/12)</f>
        <v>4.41077121613539</v>
      </c>
      <c r="AM198" s="153"/>
      <c r="AN198" s="152" t="n">
        <f aca="false">MAX(0,Table7[[#This Row],[I_L]]-0.5*Table7[[#This Row],[I_L pkpk]])</f>
        <v>4.26714285714286</v>
      </c>
      <c r="AO198" s="152" t="n">
        <f aca="false">Table7[[#This Row],[I_L]]+0.5*Table7[[#This Row],[I_L pkpk]]</f>
        <v>4.55285714285714</v>
      </c>
      <c r="AP198" s="152" t="e">
        <f aca="false">IF(VACnom&gt;Vbat, (VGS_S-(TI_MOSFET_S_VTH_H_BU+Table7[[#This Row],[I_L]]/TI_MOSFET_S_gFS_H_BU))/3.4, (VGS_S-(TI_MOSFET_S_VTH_L_BO+Table7[[#This Row],[I_L]]/TI_MOSFET_S_gFS_L_BO))/3.4 )</f>
        <v>#REF!</v>
      </c>
      <c r="AQ198" s="152" t="e">
        <f aca="false">IF(VACnom&gt;Vbat, ((TI_MOSFET_S_VTH_H_BU+Table7[[#This Row],[I_L]]/TI_MOSFET_S_gFS_H_BU))/1, ((TI_MOSFET_S_VTH_L_BO+Table7[[#This Row],[I_L]]/TI_MOSFET_S_gFS_L_BO))/1 )</f>
        <v>#REF!</v>
      </c>
      <c r="AR198" s="152" t="e">
        <f aca="false">IF(VACnom&gt;Vbat, (TI_MOSFET_S_QGD_H_BU+TI_MOSFET_S_QGS_H_BU)*10^-9/Table7[[#This Row],[Ion (A)]], (TI_MOSFET_S_QGD_L_BO+TI_MOSFET_S_QGS_L_BO)*10^-9/Table7[[#This Row],[Ion (A)]])/10^-9</f>
        <v>#REF!</v>
      </c>
      <c r="AS198" s="152" t="e">
        <f aca="false">IF(VACnom&gt;Vbat, (TI_MOSFET_S_QGD_H_BU+TI_MOSFET_S_QGS_H_BU)*10^-9/Table7[[#This Row],[Ioff (A)]], (TI_MOSFET_S_QGD_L_BO+TI_MOSFET_S_QGS_L_BO)*10^-9/Table7[[#This Row],[Ioff (A)]])/10^-9</f>
        <v>#REF!</v>
      </c>
      <c r="AT198" s="152" t="e">
        <f aca="false">0.5*VACnom*Table7[[#This Row],[Ivalley (A)]]*Table7[[#This Row],[ton (ns)]]*10^-9*Fsw*10^3+0.5*VACnom*Table7[[#This Row],[Ipeak (A)]]*Table7[[#This Row],[toff (ns)]]*10^-9*Fsw*10^3/10^-3</f>
        <v>#REF!</v>
      </c>
      <c r="AU198" s="152" t="e">
        <f aca="false">IF(VACnom&gt;Vbat, 0.5*VACnom*TI_MOSFET_S_QOSS_H_BU*10^-9*Fsw*10^3,0.5*VACnom*TI_MOSFET_S_QOSS_L_BO*10^-9*Fsw*10^3)/10^-3</f>
        <v>#REF!</v>
      </c>
      <c r="AV198" s="152" t="e">
        <f aca="false">IF(VACnom&gt;Vbat, VACnom*TI_MOSFET_S_QG_H_BU*10^-9*Fsw*10^3,VACnom*TI_MOSFET_S_QG_H_BO*10^-9*Fsw*10^3)/10^-3</f>
        <v>#REF!</v>
      </c>
      <c r="AW198" s="152" t="e">
        <f aca="false">IF(VACnom&gt;Vbat, VACnom*TI_MOSFET_S_QRR_L_BU*10^-9*Fsw*10^3, VACnom*TI_MOSFET_S_QRR_H_BO*10^-9*Fsw*10^3)/10^-3</f>
        <v>#REF!</v>
      </c>
      <c r="AX198" s="152" t="e">
        <f aca="false">IF(VACnom&gt;Vbat, TI_MOSFET_S_VSD_L_BU*Table7[[#This Row],[Ivalley (A)]]*Fsw*10^3*40*10^-9+TI_MOSFET_S_VSD_L_BU*Table7[[#This Row],[Ipeak (A)]]*Fsw*10^3*30*10^-9, TI_MOSFET_S_VSD_H_BO*Table7[[#This Row],[Ivalley (A)]]*Fsw*10^3*40*10^-9+TI_MOSFET_S_VSD_H_BO*Table7[[#This Row],[Ipeak (A)]]*Fsw*10^3*30*10^-9)/10^-3</f>
        <v>#REF!</v>
      </c>
      <c r="AY198" s="152" t="e">
        <f aca="false">IF(VACnom&gt;Vbat, VACnom*TI_MOSFET_S_QG_L_BU*10^-9*Fsw*10^3, VACnom*TI_MOSFET_S_QG_L_BO*10^-9*Fsw*10^3)/10^-3</f>
        <v>#REF!</v>
      </c>
      <c r="AZ198" s="152" t="e">
        <f aca="false">IF(VACnom&lt;Vbat, Table7[[#This Row],[Duty Cycle]]*Table7[[#This Row],[I_L RMS]]^2*TI_MOSFET_S_RDSON_H_BU*10^-3, (1-Table7[[#This Row],[Duty Cycle]])*Table7[[#This Row],[I_L RMS]]^2*TI_MOSFET_S_RDSON_H_BO*10^-3)/10^-3</f>
        <v>#REF!</v>
      </c>
      <c r="BA198" s="152" t="e">
        <f aca="false">IF(VACnom&gt;Vbat, Table7[[#This Row],[PIV (mW)]]+Table7[[#This Row],[Pqoss (mW)]]+Table7[[#This Row],[Pgate_top (mW)]], Table7[[#This Row],[PRR (mW)]]+Table7[[#This Row],[Pdead (mW)]]+Table7[[#This Row],[Pgate_top (mW)]])</f>
        <v>#REF!</v>
      </c>
      <c r="BB198" s="152" t="e">
        <f aca="false">Table7[[#This Row],[Pcon_top (mW)]]+Table7[[#This Row],[Psw_top (mW)]]</f>
        <v>#REF!</v>
      </c>
      <c r="BC198" s="152" t="e">
        <f aca="false">IF(VACnom&gt;Vbat, (1-Table7[[#This Row],[Duty Cycle]])*Table7[[#This Row],[I_L RMS]]^2*TI_MOSFET_S_RDSON_L_BU*10^-3, Table7[[#This Row],[Duty Cycle]]*Table7[[#This Row],[I_L RMS]]^2*TI_MOSFET_S_RDSON_L_BO*10^-3)/10^-3</f>
        <v>#REF!</v>
      </c>
      <c r="BD198" s="152" t="e">
        <f aca="false">IF(VACnom&gt;Vbat, Table7[[#This Row],[PRR (mW)]]+Table7[[#This Row],[Pdead (mW)]]+Table7[[#This Row],[Pgate_bottom (mW)]], Table7[[#This Row],[PIV (mW)]]+Table7[[#This Row],[Pqoss (mW)]]+Table7[[#This Row],[Pgate_bottom (mW)]])</f>
        <v>#REF!</v>
      </c>
      <c r="BE198" s="154" t="e">
        <f aca="false">Table7[[#This Row],[Pcon_bottom (mW)]]+Table7[[#This Row],[Psw_bottom (mW)]]</f>
        <v>#REF!</v>
      </c>
      <c r="BF198" s="152" t="e">
        <f aca="false">Table7[[#This Row],[Pbottom (mW)]]+Table7[[#This Row],[Ptop (mW)]]</f>
        <v>#REF!</v>
      </c>
      <c r="BG198" s="155"/>
      <c r="BH198" s="152" t="n">
        <f aca="false">MAX(0,Table7[[#This Row],[I_L]]-0.5*Table7[[#This Row],[I_L pkpk]])</f>
        <v>4.26714285714286</v>
      </c>
      <c r="BI198" s="152" t="n">
        <f aca="false">Table7[[#This Row],[I_L]]+0.5*Table7[[#This Row],[I_L pkpk]]</f>
        <v>4.55285714285714</v>
      </c>
      <c r="BJ198" s="152" t="n">
        <f aca="false">IF(VACnom&gt;Vbat, (VGS_S-(C_MOSFET_S_VTH_H_BU+Table7[[#This Row],[I_L]]/C_MOSFET_S_gFS_H_BU))/3.4, (VGS_S-(C_MOSFET_S_VTH_L_BO+Table7[[#This Row],[I_L]]/C_MOSFET_S_gFS_L_BO))/3.4 )</f>
        <v>2.34429411764706</v>
      </c>
      <c r="BK198" s="152" t="n">
        <f aca="false">IF(VACnom&gt;Vbat, ((C_MOSFET_S_VTH_H_BU+Table7[[#This Row],[I_L]]/C_MOSFET_S_gFS_H_BU))/1, ((C_MOSFET_S_VTH_L_BO+Table7[[#This Row],[I_L]]/C_MOSFET_S_gFS_L_BO))/1 )</f>
        <v>2.0294</v>
      </c>
      <c r="BL198" s="152" t="n">
        <f aca="false">IF(VACnom&gt;Vbat, (C_MOSFET_S_QGD_H_BU+C_MOSFET_S_QGS_H_BU)*10^-9/Table7[[#This Row],[Ion (A) C]], (C_MOSFET_S_QGD_L_BO+C_MOSFET_S_QGS_L_BO)*10^-9/Table7[[#This Row],[Ion (A) C]])/10^-9</f>
        <v>2.77268963440644</v>
      </c>
      <c r="BM198" s="152" t="n">
        <f aca="false">IF(VACnom&gt;Vbat, (C_MOSFET_S_QGD_H_BU+C_MOSFET_S_QGS_H_BU)*10^-9/Table7[[#This Row],[Ioff (A) C]], (C_MOSFET_S_QGD_L_BO+C_MOSFET_S_QGS_L_BO)*10^-9/Table7[[#This Row],[Ioff (A) C]])/10^-9</f>
        <v>3.20291711836011</v>
      </c>
      <c r="BN198" s="152" t="n">
        <f aca="false">0.5*VACnom*Table7[[#This Row],[Ivalley (A) C]]*Table7[[#This Row],[ton (ns) C]]*10^-9*Fsw*10^3+0.5*VACnom*Table7[[#This Row],[Ipeak (A) C]]*Table7[[#This Row],[toff (ns) C]]*10^-9*Fsw*10^3/10^-3</f>
        <v>17.5131066516885</v>
      </c>
      <c r="BO198" s="152" t="n">
        <f aca="false">IF(VACnom&gt;Vbat, 0.5*VACnom*C_MOSFET_S_QOSS_H_BU*10^-9*Fsw*10^3,0.5*VACnom*C_MOSFET_S_QOSS_L_BO*10^-9*Fsw*10^3)/10^-3</f>
        <v>43.2</v>
      </c>
      <c r="BP198" s="152" t="e">
        <f aca="false">IF(VACnom&gt;Vbat, VACnom*C_MOSFET_S_QG_H_BU*10^-9*Fsw*10^3,VACnom*C_MOSFET_S_QG_H_BO*10^-9*Fsw*10^3)/10^-3</f>
        <v>#REF!</v>
      </c>
      <c r="BQ198" s="152" t="n">
        <f aca="false">IF(VACnom&gt;Vbat, VACnom*C_MOSFET_S_QRR_L_BU*10^-9*Fsw*10^3, VACnom*C_MOSFET_S_QRR_H_BO*10^-9*Fsw*10^3)/10^-3</f>
        <v>79.2</v>
      </c>
      <c r="BR198" s="152" t="n">
        <f aca="false">IF(VACnom&gt;Vbat, C_MOSFET_S_VSD_L_BU*Table7[[#This Row],[Ivalley (A) C]]*Fsw*10^3*40*10^-9+C_MOSFET_S_VSD_L_BU*Table7[[#This Row],[Ipeak (A) C]]*Fsw*10^3*30*10^-9, C_MOSFET_S_VSD_H_BO*Table7[[#This Row],[Ivalley (A) C]]*Fsw*10^3*40*10^-9+C_MOSFET_S_VSD_H_BO*Table7[[#This Row],[Ipeak (A) C]]*Fsw*10^3*30*10^-9)/10^-3</f>
        <v>49.1634285714286</v>
      </c>
      <c r="BS198" s="152" t="e">
        <f aca="false">IF(VACnom&gt;Vbat, VACnom*C_MOSFET_S_QG_L_BU*10^-9*Fsw*10^3, VACnom*C_MOSFET_S_QG_L_BO*10^-9*Fsw*10^3)/10^-3</f>
        <v>#REF!</v>
      </c>
      <c r="BT198" s="152" t="n">
        <f aca="false">IF(VACnom&lt;Vbat, Table7[[#This Row],[Duty Cycle]]*Table7[[#This Row],[I_L RMS]]^2*C_MOSFET_S_RDSON_H_BU*10^-3, (1-Table7[[#This Row],[Duty Cycle]])*Table7[[#This Row],[I_L RMS]]^2*C_MOSFET_S_RDSON_H_BO*10^-3)/10^-3</f>
        <v>5.28061645286686</v>
      </c>
      <c r="BU198" s="152" t="e">
        <f aca="false">IF(VACnom&gt;Vbat, Table7[[#This Row],[PIV (mW) C]]+Table7[[#This Row],[PQoss (mW) C]]+Table7[[#This Row],[Pgate_top (mW) C]], Table7[[#This Row],[PRR (mW) C]]+Table7[[#This Row],[Pdead (mW) C]]+Table7[[#This Row],[Pgate_top (mW) C]])</f>
        <v>#REF!</v>
      </c>
      <c r="BV198" s="152" t="e">
        <f aca="false">Table7[[#This Row],[Pcon_top (mW) C]]+Table7[[#This Row],[Psw_top (mW) C]]</f>
        <v>#REF!</v>
      </c>
      <c r="BW198" s="152" t="e">
        <f aca="false">IF(VACnom&gt;Vbat, (1-Table7[[#This Row],[Duty Cycle]])*Table7[[#This Row],[I_L RMS]]^2*C_MOSFET_S_RDSON_L_BU*10^-3, Table7[[#This Row],[Duty Cycle]]*Table7[[#This Row],[I_L RMS]]^2*C_MOSFET_S_RDSON_L_BO*10^-3)/10^-3</f>
        <v>#REF!</v>
      </c>
      <c r="BX198" s="152" t="e">
        <f aca="false">IF(VACnom&gt;Vbat, Table7[[#This Row],[PRR (mW) C]]+Table7[[#This Row],[Pdead (mW) C]]+Table7[[#This Row],[Pgate_bottom (mW) C]], Table7[[#This Row],[PIV (mW) C]]+Table7[[#This Row],[PQoss (mW) C]]+Table7[[#This Row],[Pgate_bottom (mW) C]])</f>
        <v>#REF!</v>
      </c>
      <c r="BY198" s="152" t="e">
        <f aca="false">Table7[[#This Row],[Pcon_bottom (mW) C]]+Table7[[#This Row],[Psw_bottom (mV) C]]</f>
        <v>#REF!</v>
      </c>
      <c r="BZ198" s="152" t="e">
        <f aca="false">Table7[[#This Row],[Pbottom (mW) C]]+Table7[[#This Row],[Ptop (mW) C]]</f>
        <v>#REF!</v>
      </c>
      <c r="CA198" s="156"/>
      <c r="CB198" s="151" t="n">
        <f aca="false">(RAC_SNS*10^-3*(Table7[[#This Row],[IOUT (A)]]*Vbat/VACnom)^2/10^-3)</f>
        <v>97.2405</v>
      </c>
      <c r="CC198" s="151" t="n">
        <f aca="false">(RBAT_SNS*10^-3*Table7[[#This Row],[IOUT (A)]]^2)/10^-3</f>
        <v>88.2</v>
      </c>
      <c r="CD198" s="151" t="n">
        <f aca="false">IF(VACnom&gt;Vbat,(L_DRC*10^-3*(Table7[[#This Row],[IOUT (A)]])^2/10^-3),(L_DRC*10^-3*(Table7[[#This Row],[IOUT (A)]]*Vbat/VACnom)^2/10^-3))</f>
        <v>233.3772</v>
      </c>
      <c r="CE198" s="157"/>
      <c r="CF198" s="152" t="n">
        <f aca="false">(Table7[[#This Row],[R_AC (mW)]]+Table7[[#This Row],[R_SR (mW)]]+Table7[[#This Row],[Inductor Loss (mW)]])/10^3</f>
        <v>0.4188177</v>
      </c>
      <c r="CG198" s="152" t="e">
        <f aca="false">Table7[[#This Row],[Total TI (mW)]]/10^3</f>
        <v>#REF!</v>
      </c>
      <c r="CH198" s="152" t="e">
        <f aca="false">Table7[[#This Row],[Total Sense Loss]]+Table7[[#This Row],[Total MOSFET Loss]]</f>
        <v>#REF!</v>
      </c>
      <c r="CI198" s="158" t="e">
        <f aca="false">IF(Table7[[#This Row],[POUT (W)]]=0,0,(Table7[[#This Row],[POUT (W)]])/(Table7[[#This Row],[POUT (W)]]+Table7[[#This Row],[Total Power Loss (W)]]))*100</f>
        <v>#REF!</v>
      </c>
      <c r="CJ198" s="159"/>
      <c r="CK198" s="152" t="n">
        <f aca="false">(Table7[[#This Row],[R_AC (mW)]]+Table7[[#This Row],[R_SR (mW)]]+Table7[[#This Row],[Inductor Loss (mW)]])/10^3</f>
        <v>0.4188177</v>
      </c>
      <c r="CL198" s="152" t="e">
        <f aca="false">Table7[[#This Row],[Total (mW) C]]/10^3</f>
        <v>#REF!</v>
      </c>
      <c r="CM198" s="152" t="e">
        <f aca="false">Table7[[#This Row],[Total Sense Loss C]]+Table7[[#This Row],[Total MOSFET Loss C]]</f>
        <v>#REF!</v>
      </c>
      <c r="CN198" s="158" t="e">
        <f aca="false">IF(Table7[[#This Row],[POUT (W)]]=0,0,(Table7[[#This Row],[POUT (W)]])/(Table7[[#This Row],[POUT (W)]]+Table7[[#This Row],[Total Power Loss (W) C]]))*100</f>
        <v>#REF!</v>
      </c>
      <c r="CO198" s="159"/>
      <c r="CP198" s="158" t="n">
        <f aca="false">IF(MOSFET_S=Custom_MOSFET,Table7[[#This Row],[Total Sense Loss C]],Table7[[#This Row],[Total Sense Loss]])</f>
        <v>0.4188177</v>
      </c>
      <c r="CQ198" s="158" t="e">
        <f aca="false">IF(MOSFET_S=Custom_MOSFET,Table7[[#This Row],[Total MOSFET Loss C]],Table7[[#This Row],[Total MOSFET Loss]])</f>
        <v>#REF!</v>
      </c>
      <c r="CR198" s="158" t="e">
        <f aca="false">IF(MOSFET_S=Custom_MOSFET,Table7[[#This Row],[Efficiency C]],Table7[[#This Row],[Efficiency]])</f>
        <v>#REF!</v>
      </c>
      <c r="CS198" s="159"/>
      <c r="CT198" s="158" t="n">
        <f aca="false">IF(MOSFET_S=Compare_MOSFET, Table7[[#This Row],[Total Sense Loss C]], -100)</f>
        <v>-100</v>
      </c>
      <c r="CU198" s="158" t="n">
        <f aca="false">IF(MOSFET_S=Compare_MOSFET, Table7[[#This Row],[Total MOSFET Loss C]], -100)</f>
        <v>-100</v>
      </c>
      <c r="CV198" s="158" t="n">
        <f aca="false">IF(MOSFET_S=Compare_MOSFET, Table7[[#This Row],[Efficiency C]], -100)</f>
        <v>-100</v>
      </c>
      <c r="CW198" s="159"/>
      <c r="CX198" s="158" t="e">
        <f aca="false">IF(Save_Sel=CLR_Save,  Table7[[#This Row],[Total Sense Loss P1]], Table7[[#This Row],[Total Sense Loss P1 Saved]])</f>
        <v>#VALUE!</v>
      </c>
      <c r="CY198" s="158" t="e">
        <f aca="false">IF(Save_Sel=CLR_Save,  Table7[[#This Row],[Total MOSFET Loss P1]], Table7[[#This Row],[Total MOSFET Loss P1 Saved]] )</f>
        <v>#VALUE!</v>
      </c>
      <c r="CZ198" s="158" t="e">
        <f aca="false">IF(Save_Sel=CLR_Save, Table7[[#This Row],[Efficiency P1]], Table7[[#This Row],[Efficiency P1 Saved]])</f>
        <v>#VALUE!</v>
      </c>
      <c r="DA198" s="159"/>
      <c r="DB198" s="158" t="e">
        <f aca="false">IF(Save_Sel=CLR_Save,  Table7[[#This Row],[Total Sense Loss P2]], Table7[[#This Row],[Total Sense Loss P2 Saved]])</f>
        <v>#VALUE!</v>
      </c>
      <c r="DC198" s="158" t="e">
        <f aca="false">IF(Save_Sel=CLR_Save,  Table7[[#This Row],[Total MOSFET Loss P2]], Table7[[#This Row],[Total MOSFET Loss P2 Saved]] )</f>
        <v>#VALUE!</v>
      </c>
      <c r="DD198" s="158" t="e">
        <f aca="false">IF(Save_Sel=CLR_Save, Table7[[#This Row],[Efficiency P2]], Table7[[#This Row],[Efficiency P2 Saved]])</f>
        <v>#VALUE!</v>
      </c>
      <c r="DE198" s="159"/>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row>
    <row r="199" customFormat="false" ht="16.4" hidden="false" customHeight="false" outlineLevel="0" collapsed="false">
      <c r="A199" s="28"/>
      <c r="B199" s="84"/>
      <c r="C199" s="84"/>
      <c r="D199" s="28"/>
      <c r="E199" s="168"/>
      <c r="F199" s="168"/>
      <c r="G199" s="84"/>
      <c r="H199" s="24"/>
      <c r="I199" s="24"/>
      <c r="J199" s="24"/>
      <c r="K199" s="24"/>
      <c r="L199" s="24"/>
      <c r="M199" s="24"/>
      <c r="N199" s="24"/>
      <c r="O199" s="24"/>
      <c r="P199" s="24"/>
      <c r="Q199" s="24"/>
      <c r="R199" s="24"/>
      <c r="S199" s="25"/>
      <c r="T199" s="6"/>
      <c r="U199" s="7"/>
      <c r="V199" s="7"/>
      <c r="W199" s="7"/>
      <c r="X199" s="7"/>
      <c r="Y199" s="7"/>
      <c r="Z199" s="7"/>
      <c r="AA199" s="7"/>
      <c r="AB199" s="7"/>
      <c r="AC199" s="7"/>
      <c r="AD199" s="7"/>
      <c r="AE199" s="7"/>
      <c r="AF199" s="150" t="n">
        <f aca="false">AF198+1</f>
        <v>43</v>
      </c>
      <c r="AG199" s="150" t="n">
        <f aca="false">$AG$156+AF199*($AG$256-$AG$156)/$AF$256</f>
        <v>4.3</v>
      </c>
      <c r="AH199" s="151" t="n">
        <f aca="false">AG199*VACnom</f>
        <v>51.6</v>
      </c>
      <c r="AI199" s="152" t="n">
        <f aca="false">IF(VACnom&lt;Vbat, (Vbat-VACnom)/Vbat, Vbat/VACnom)</f>
        <v>0.0476190476190476</v>
      </c>
      <c r="AJ199" s="152" t="n">
        <f aca="false">IF(VACnom&lt;Vbat, AG199/(1-AI199), AG199*AI199)</f>
        <v>4.515</v>
      </c>
      <c r="AK199" s="152" t="n">
        <f aca="false">Ipkpk_VACnom</f>
        <v>0.285714285714285</v>
      </c>
      <c r="AL199" s="152" t="n">
        <f aca="false">SQRT(AJ199^2+AK199^2/12)</f>
        <v>4.51575328390385</v>
      </c>
      <c r="AM199" s="153"/>
      <c r="AN199" s="152" t="n">
        <f aca="false">MAX(0,Table7[[#This Row],[I_L]]-0.5*Table7[[#This Row],[I_L pkpk]])</f>
        <v>4.37214285714286</v>
      </c>
      <c r="AO199" s="152" t="n">
        <f aca="false">Table7[[#This Row],[I_L]]+0.5*Table7[[#This Row],[I_L pkpk]]</f>
        <v>4.65785714285714</v>
      </c>
      <c r="AP199" s="152" t="e">
        <f aca="false">IF(VACnom&gt;Vbat, (VGS_S-(TI_MOSFET_S_VTH_H_BU+Table7[[#This Row],[I_L]]/TI_MOSFET_S_gFS_H_BU))/3.4, (VGS_S-(TI_MOSFET_S_VTH_L_BO+Table7[[#This Row],[I_L]]/TI_MOSFET_S_gFS_L_BO))/3.4 )</f>
        <v>#REF!</v>
      </c>
      <c r="AQ199" s="152" t="e">
        <f aca="false">IF(VACnom&gt;Vbat, ((TI_MOSFET_S_VTH_H_BU+Table7[[#This Row],[I_L]]/TI_MOSFET_S_gFS_H_BU))/1, ((TI_MOSFET_S_VTH_L_BO+Table7[[#This Row],[I_L]]/TI_MOSFET_S_gFS_L_BO))/1 )</f>
        <v>#REF!</v>
      </c>
      <c r="AR199" s="152" t="e">
        <f aca="false">IF(VACnom&gt;Vbat, (TI_MOSFET_S_QGD_H_BU+TI_MOSFET_S_QGS_H_BU)*10^-9/Table7[[#This Row],[Ion (A)]], (TI_MOSFET_S_QGD_L_BO+TI_MOSFET_S_QGS_L_BO)*10^-9/Table7[[#This Row],[Ion (A)]])/10^-9</f>
        <v>#REF!</v>
      </c>
      <c r="AS199" s="152" t="e">
        <f aca="false">IF(VACnom&gt;Vbat, (TI_MOSFET_S_QGD_H_BU+TI_MOSFET_S_QGS_H_BU)*10^-9/Table7[[#This Row],[Ioff (A)]], (TI_MOSFET_S_QGD_L_BO+TI_MOSFET_S_QGS_L_BO)*10^-9/Table7[[#This Row],[Ioff (A)]])/10^-9</f>
        <v>#REF!</v>
      </c>
      <c r="AT199" s="152" t="e">
        <f aca="false">0.5*VACnom*Table7[[#This Row],[Ivalley (A)]]*Table7[[#This Row],[ton (ns)]]*10^-9*Fsw*10^3+0.5*VACnom*Table7[[#This Row],[Ipeak (A)]]*Table7[[#This Row],[toff (ns)]]*10^-9*Fsw*10^3/10^-3</f>
        <v>#REF!</v>
      </c>
      <c r="AU199" s="152" t="e">
        <f aca="false">IF(VACnom&gt;Vbat, 0.5*VACnom*TI_MOSFET_S_QOSS_H_BU*10^-9*Fsw*10^3,0.5*VACnom*TI_MOSFET_S_QOSS_L_BO*10^-9*Fsw*10^3)/10^-3</f>
        <v>#REF!</v>
      </c>
      <c r="AV199" s="152" t="e">
        <f aca="false">IF(VACnom&gt;Vbat, VACnom*TI_MOSFET_S_QG_H_BU*10^-9*Fsw*10^3,VACnom*TI_MOSFET_S_QG_H_BO*10^-9*Fsw*10^3)/10^-3</f>
        <v>#REF!</v>
      </c>
      <c r="AW199" s="152" t="e">
        <f aca="false">IF(VACnom&gt;Vbat, VACnom*TI_MOSFET_S_QRR_L_BU*10^-9*Fsw*10^3, VACnom*TI_MOSFET_S_QRR_H_BO*10^-9*Fsw*10^3)/10^-3</f>
        <v>#REF!</v>
      </c>
      <c r="AX199" s="152" t="e">
        <f aca="false">IF(VACnom&gt;Vbat, TI_MOSFET_S_VSD_L_BU*Table7[[#This Row],[Ivalley (A)]]*Fsw*10^3*40*10^-9+TI_MOSFET_S_VSD_L_BU*Table7[[#This Row],[Ipeak (A)]]*Fsw*10^3*30*10^-9, TI_MOSFET_S_VSD_H_BO*Table7[[#This Row],[Ivalley (A)]]*Fsw*10^3*40*10^-9+TI_MOSFET_S_VSD_H_BO*Table7[[#This Row],[Ipeak (A)]]*Fsw*10^3*30*10^-9)/10^-3</f>
        <v>#REF!</v>
      </c>
      <c r="AY199" s="152" t="e">
        <f aca="false">IF(VACnom&gt;Vbat, VACnom*TI_MOSFET_S_QG_L_BU*10^-9*Fsw*10^3, VACnom*TI_MOSFET_S_QG_L_BO*10^-9*Fsw*10^3)/10^-3</f>
        <v>#REF!</v>
      </c>
      <c r="AZ199" s="152" t="e">
        <f aca="false">IF(VACnom&lt;Vbat, Table7[[#This Row],[Duty Cycle]]*Table7[[#This Row],[I_L RMS]]^2*TI_MOSFET_S_RDSON_H_BU*10^-3, (1-Table7[[#This Row],[Duty Cycle]])*Table7[[#This Row],[I_L RMS]]^2*TI_MOSFET_S_RDSON_H_BO*10^-3)/10^-3</f>
        <v>#REF!</v>
      </c>
      <c r="BA199" s="152" t="e">
        <f aca="false">IF(VACnom&gt;Vbat, Table7[[#This Row],[PIV (mW)]]+Table7[[#This Row],[Pqoss (mW)]]+Table7[[#This Row],[Pgate_top (mW)]], Table7[[#This Row],[PRR (mW)]]+Table7[[#This Row],[Pdead (mW)]]+Table7[[#This Row],[Pgate_top (mW)]])</f>
        <v>#REF!</v>
      </c>
      <c r="BB199" s="152" t="e">
        <f aca="false">Table7[[#This Row],[Pcon_top (mW)]]+Table7[[#This Row],[Psw_top (mW)]]</f>
        <v>#REF!</v>
      </c>
      <c r="BC199" s="152" t="e">
        <f aca="false">IF(VACnom&gt;Vbat, (1-Table7[[#This Row],[Duty Cycle]])*Table7[[#This Row],[I_L RMS]]^2*TI_MOSFET_S_RDSON_L_BU*10^-3, Table7[[#This Row],[Duty Cycle]]*Table7[[#This Row],[I_L RMS]]^2*TI_MOSFET_S_RDSON_L_BO*10^-3)/10^-3</f>
        <v>#REF!</v>
      </c>
      <c r="BD199" s="152" t="e">
        <f aca="false">IF(VACnom&gt;Vbat, Table7[[#This Row],[PRR (mW)]]+Table7[[#This Row],[Pdead (mW)]]+Table7[[#This Row],[Pgate_bottom (mW)]], Table7[[#This Row],[PIV (mW)]]+Table7[[#This Row],[Pqoss (mW)]]+Table7[[#This Row],[Pgate_bottom (mW)]])</f>
        <v>#REF!</v>
      </c>
      <c r="BE199" s="154" t="e">
        <f aca="false">Table7[[#This Row],[Pcon_bottom (mW)]]+Table7[[#This Row],[Psw_bottom (mW)]]</f>
        <v>#REF!</v>
      </c>
      <c r="BF199" s="152" t="e">
        <f aca="false">Table7[[#This Row],[Pbottom (mW)]]+Table7[[#This Row],[Ptop (mW)]]</f>
        <v>#REF!</v>
      </c>
      <c r="BG199" s="155"/>
      <c r="BH199" s="152" t="n">
        <f aca="false">MAX(0,Table7[[#This Row],[I_L]]-0.5*Table7[[#This Row],[I_L pkpk]])</f>
        <v>4.37214285714286</v>
      </c>
      <c r="BI199" s="152" t="n">
        <f aca="false">Table7[[#This Row],[I_L]]+0.5*Table7[[#This Row],[I_L pkpk]]</f>
        <v>4.65785714285714</v>
      </c>
      <c r="BJ199" s="152" t="n">
        <f aca="false">IF(VACnom&gt;Vbat, (VGS_S-(C_MOSFET_S_VTH_H_BU+Table7[[#This Row],[I_L]]/C_MOSFET_S_gFS_H_BU))/3.4, (VGS_S-(C_MOSFET_S_VTH_L_BO+Table7[[#This Row],[I_L]]/C_MOSFET_S_gFS_L_BO))/3.4 )</f>
        <v>2.34408823529412</v>
      </c>
      <c r="BK199" s="152" t="n">
        <f aca="false">IF(VACnom&gt;Vbat, ((C_MOSFET_S_VTH_H_BU+Table7[[#This Row],[I_L]]/C_MOSFET_S_gFS_H_BU))/1, ((C_MOSFET_S_VTH_L_BO+Table7[[#This Row],[I_L]]/C_MOSFET_S_gFS_L_BO))/1 )</f>
        <v>2.0301</v>
      </c>
      <c r="BL199" s="152" t="n">
        <f aca="false">IF(VACnom&gt;Vbat, (C_MOSFET_S_QGD_H_BU+C_MOSFET_S_QGS_H_BU)*10^-9/Table7[[#This Row],[Ion (A) C]], (C_MOSFET_S_QGD_L_BO+C_MOSFET_S_QGS_L_BO)*10^-9/Table7[[#This Row],[Ion (A) C]])/10^-9</f>
        <v>2.77293316101833</v>
      </c>
      <c r="BM199" s="152" t="n">
        <f aca="false">IF(VACnom&gt;Vbat, (C_MOSFET_S_QGD_H_BU+C_MOSFET_S_QGS_H_BU)*10^-9/Table7[[#This Row],[Ioff (A) C]], (C_MOSFET_S_QGD_L_BO+C_MOSFET_S_QGS_L_BO)*10^-9/Table7[[#This Row],[Ioff (A) C]])/10^-9</f>
        <v>3.20181271858529</v>
      </c>
      <c r="BN199" s="152" t="n">
        <f aca="false">0.5*VACnom*Table7[[#This Row],[Ivalley (A) C]]*Table7[[#This Row],[ton (ns) C]]*10^-9*Fsw*10^3+0.5*VACnom*Table7[[#This Row],[Ipeak (A) C]]*Table7[[#This Row],[toff (ns) C]]*10^-9*Fsw*10^3/10^-3</f>
        <v>17.91085188152</v>
      </c>
      <c r="BO199" s="152" t="n">
        <f aca="false">IF(VACnom&gt;Vbat, 0.5*VACnom*C_MOSFET_S_QOSS_H_BU*10^-9*Fsw*10^3,0.5*VACnom*C_MOSFET_S_QOSS_L_BO*10^-9*Fsw*10^3)/10^-3</f>
        <v>43.2</v>
      </c>
      <c r="BP199" s="152" t="e">
        <f aca="false">IF(VACnom&gt;Vbat, VACnom*C_MOSFET_S_QG_H_BU*10^-9*Fsw*10^3,VACnom*C_MOSFET_S_QG_H_BO*10^-9*Fsw*10^3)/10^-3</f>
        <v>#REF!</v>
      </c>
      <c r="BQ199" s="152" t="n">
        <f aca="false">IF(VACnom&gt;Vbat, VACnom*C_MOSFET_S_QRR_L_BU*10^-9*Fsw*10^3, VACnom*C_MOSFET_S_QRR_H_BO*10^-9*Fsw*10^3)/10^-3</f>
        <v>79.2</v>
      </c>
      <c r="BR199" s="152" t="n">
        <f aca="false">IF(VACnom&gt;Vbat, C_MOSFET_S_VSD_L_BU*Table7[[#This Row],[Ivalley (A) C]]*Fsw*10^3*40*10^-9+C_MOSFET_S_VSD_L_BU*Table7[[#This Row],[Ipeak (A) C]]*Fsw*10^3*30*10^-9, C_MOSFET_S_VSD_H_BO*Table7[[#This Row],[Ivalley (A) C]]*Fsw*10^3*40*10^-9+C_MOSFET_S_VSD_H_BO*Table7[[#This Row],[Ipeak (A) C]]*Fsw*10^3*30*10^-9)/10^-3</f>
        <v>50.3394285714286</v>
      </c>
      <c r="BS199" s="152" t="e">
        <f aca="false">IF(VACnom&gt;Vbat, VACnom*C_MOSFET_S_QG_L_BU*10^-9*Fsw*10^3, VACnom*C_MOSFET_S_QG_L_BO*10^-9*Fsw*10^3)/10^-3</f>
        <v>#REF!</v>
      </c>
      <c r="BT199" s="152" t="n">
        <f aca="false">IF(VACnom&lt;Vbat, Table7[[#This Row],[Duty Cycle]]*Table7[[#This Row],[I_L RMS]]^2*C_MOSFET_S_RDSON_H_BU*10^-3, (1-Table7[[#This Row],[Duty Cycle]])*Table7[[#This Row],[I_L RMS]]^2*C_MOSFET_S_RDSON_H_BO*10^-3)/10^-3</f>
        <v>5.53497895286686</v>
      </c>
      <c r="BU199" s="152" t="e">
        <f aca="false">IF(VACnom&gt;Vbat, Table7[[#This Row],[PIV (mW) C]]+Table7[[#This Row],[PQoss (mW) C]]+Table7[[#This Row],[Pgate_top (mW) C]], Table7[[#This Row],[PRR (mW) C]]+Table7[[#This Row],[Pdead (mW) C]]+Table7[[#This Row],[Pgate_top (mW) C]])</f>
        <v>#REF!</v>
      </c>
      <c r="BV199" s="152" t="e">
        <f aca="false">Table7[[#This Row],[Pcon_top (mW) C]]+Table7[[#This Row],[Psw_top (mW) C]]</f>
        <v>#REF!</v>
      </c>
      <c r="BW199" s="152" t="e">
        <f aca="false">IF(VACnom&gt;Vbat, (1-Table7[[#This Row],[Duty Cycle]])*Table7[[#This Row],[I_L RMS]]^2*C_MOSFET_S_RDSON_L_BU*10^-3, Table7[[#This Row],[Duty Cycle]]*Table7[[#This Row],[I_L RMS]]^2*C_MOSFET_S_RDSON_L_BO*10^-3)/10^-3</f>
        <v>#REF!</v>
      </c>
      <c r="BX199" s="152" t="e">
        <f aca="false">IF(VACnom&gt;Vbat, Table7[[#This Row],[PRR (mW) C]]+Table7[[#This Row],[Pdead (mW) C]]+Table7[[#This Row],[Pgate_bottom (mW) C]], Table7[[#This Row],[PIV (mW) C]]+Table7[[#This Row],[PQoss (mW) C]]+Table7[[#This Row],[Pgate_bottom (mW) C]])</f>
        <v>#REF!</v>
      </c>
      <c r="BY199" s="152" t="e">
        <f aca="false">Table7[[#This Row],[Pcon_bottom (mW) C]]+Table7[[#This Row],[Psw_bottom (mV) C]]</f>
        <v>#REF!</v>
      </c>
      <c r="BZ199" s="152" t="e">
        <f aca="false">Table7[[#This Row],[Pbottom (mW) C]]+Table7[[#This Row],[Ptop (mW) C]]</f>
        <v>#REF!</v>
      </c>
      <c r="CA199" s="156"/>
      <c r="CB199" s="151" t="n">
        <f aca="false">(RAC_SNS*10^-3*(Table7[[#This Row],[IOUT (A)]]*Vbat/VACnom)^2/10^-3)</f>
        <v>101.926125</v>
      </c>
      <c r="CC199" s="151" t="n">
        <f aca="false">(RBAT_SNS*10^-3*Table7[[#This Row],[IOUT (A)]]^2)/10^-3</f>
        <v>92.45</v>
      </c>
      <c r="CD199" s="151" t="n">
        <f aca="false">IF(VACnom&gt;Vbat,(L_DRC*10^-3*(Table7[[#This Row],[IOUT (A)]])^2/10^-3),(L_DRC*10^-3*(Table7[[#This Row],[IOUT (A)]]*Vbat/VACnom)^2/10^-3))</f>
        <v>244.6227</v>
      </c>
      <c r="CE199" s="157"/>
      <c r="CF199" s="152" t="n">
        <f aca="false">(Table7[[#This Row],[R_AC (mW)]]+Table7[[#This Row],[R_SR (mW)]]+Table7[[#This Row],[Inductor Loss (mW)]])/10^3</f>
        <v>0.438998825</v>
      </c>
      <c r="CG199" s="152" t="e">
        <f aca="false">Table7[[#This Row],[Total TI (mW)]]/10^3</f>
        <v>#REF!</v>
      </c>
      <c r="CH199" s="152" t="e">
        <f aca="false">Table7[[#This Row],[Total Sense Loss]]+Table7[[#This Row],[Total MOSFET Loss]]</f>
        <v>#REF!</v>
      </c>
      <c r="CI199" s="158" t="e">
        <f aca="false">IF(Table7[[#This Row],[POUT (W)]]=0,0,(Table7[[#This Row],[POUT (W)]])/(Table7[[#This Row],[POUT (W)]]+Table7[[#This Row],[Total Power Loss (W)]]))*100</f>
        <v>#REF!</v>
      </c>
      <c r="CJ199" s="159"/>
      <c r="CK199" s="152" t="n">
        <f aca="false">(Table7[[#This Row],[R_AC (mW)]]+Table7[[#This Row],[R_SR (mW)]]+Table7[[#This Row],[Inductor Loss (mW)]])/10^3</f>
        <v>0.438998825</v>
      </c>
      <c r="CL199" s="152" t="e">
        <f aca="false">Table7[[#This Row],[Total (mW) C]]/10^3</f>
        <v>#REF!</v>
      </c>
      <c r="CM199" s="152" t="e">
        <f aca="false">Table7[[#This Row],[Total Sense Loss C]]+Table7[[#This Row],[Total MOSFET Loss C]]</f>
        <v>#REF!</v>
      </c>
      <c r="CN199" s="158" t="e">
        <f aca="false">IF(Table7[[#This Row],[POUT (W)]]=0,0,(Table7[[#This Row],[POUT (W)]])/(Table7[[#This Row],[POUT (W)]]+Table7[[#This Row],[Total Power Loss (W) C]]))*100</f>
        <v>#REF!</v>
      </c>
      <c r="CO199" s="159"/>
      <c r="CP199" s="158" t="n">
        <f aca="false">IF(MOSFET_S=Custom_MOSFET,Table7[[#This Row],[Total Sense Loss C]],Table7[[#This Row],[Total Sense Loss]])</f>
        <v>0.438998825</v>
      </c>
      <c r="CQ199" s="158" t="e">
        <f aca="false">IF(MOSFET_S=Custom_MOSFET,Table7[[#This Row],[Total MOSFET Loss C]],Table7[[#This Row],[Total MOSFET Loss]])</f>
        <v>#REF!</v>
      </c>
      <c r="CR199" s="158" t="e">
        <f aca="false">IF(MOSFET_S=Custom_MOSFET,Table7[[#This Row],[Efficiency C]],Table7[[#This Row],[Efficiency]])</f>
        <v>#REF!</v>
      </c>
      <c r="CS199" s="159"/>
      <c r="CT199" s="158" t="n">
        <f aca="false">IF(MOSFET_S=Compare_MOSFET, Table7[[#This Row],[Total Sense Loss C]], -100)</f>
        <v>-100</v>
      </c>
      <c r="CU199" s="158" t="n">
        <f aca="false">IF(MOSFET_S=Compare_MOSFET, Table7[[#This Row],[Total MOSFET Loss C]], -100)</f>
        <v>-100</v>
      </c>
      <c r="CV199" s="158" t="n">
        <f aca="false">IF(MOSFET_S=Compare_MOSFET, Table7[[#This Row],[Efficiency C]], -100)</f>
        <v>-100</v>
      </c>
      <c r="CW199" s="159"/>
      <c r="CX199" s="158" t="e">
        <f aca="false">IF(Save_Sel=CLR_Save,  Table7[[#This Row],[Total Sense Loss P1]], Table7[[#This Row],[Total Sense Loss P1 Saved]])</f>
        <v>#VALUE!</v>
      </c>
      <c r="CY199" s="158" t="e">
        <f aca="false">IF(Save_Sel=CLR_Save,  Table7[[#This Row],[Total MOSFET Loss P1]], Table7[[#This Row],[Total MOSFET Loss P1 Saved]] )</f>
        <v>#VALUE!</v>
      </c>
      <c r="CZ199" s="158" t="e">
        <f aca="false">IF(Save_Sel=CLR_Save, Table7[[#This Row],[Efficiency P1]], Table7[[#This Row],[Efficiency P1 Saved]])</f>
        <v>#VALUE!</v>
      </c>
      <c r="DA199" s="159"/>
      <c r="DB199" s="158" t="e">
        <f aca="false">IF(Save_Sel=CLR_Save,  Table7[[#This Row],[Total Sense Loss P2]], Table7[[#This Row],[Total Sense Loss P2 Saved]])</f>
        <v>#VALUE!</v>
      </c>
      <c r="DC199" s="158" t="e">
        <f aca="false">IF(Save_Sel=CLR_Save,  Table7[[#This Row],[Total MOSFET Loss P2]], Table7[[#This Row],[Total MOSFET Loss P2 Saved]] )</f>
        <v>#VALUE!</v>
      </c>
      <c r="DD199" s="158" t="e">
        <f aca="false">IF(Save_Sel=CLR_Save, Table7[[#This Row],[Efficiency P2]], Table7[[#This Row],[Efficiency P2 Saved]])</f>
        <v>#VALUE!</v>
      </c>
      <c r="DE199" s="159"/>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row>
    <row r="200" customFormat="false" ht="16.4" hidden="false" customHeight="false" outlineLevel="0" collapsed="false">
      <c r="A200" s="28"/>
      <c r="B200" s="84"/>
      <c r="C200" s="84"/>
      <c r="D200" s="28"/>
      <c r="E200" s="168"/>
      <c r="F200" s="168"/>
      <c r="G200" s="84"/>
      <c r="H200" s="24"/>
      <c r="I200" s="24"/>
      <c r="J200" s="24"/>
      <c r="K200" s="24"/>
      <c r="L200" s="24"/>
      <c r="M200" s="24"/>
      <c r="N200" s="24"/>
      <c r="O200" s="24"/>
      <c r="P200" s="24"/>
      <c r="Q200" s="24"/>
      <c r="R200" s="24"/>
      <c r="S200" s="25"/>
      <c r="T200" s="6"/>
      <c r="U200" s="7"/>
      <c r="V200" s="7"/>
      <c r="W200" s="7"/>
      <c r="X200" s="7"/>
      <c r="Y200" s="7"/>
      <c r="Z200" s="7"/>
      <c r="AA200" s="7"/>
      <c r="AB200" s="7"/>
      <c r="AC200" s="7"/>
      <c r="AD200" s="7"/>
      <c r="AE200" s="7"/>
      <c r="AF200" s="150" t="n">
        <f aca="false">AF199+1</f>
        <v>44</v>
      </c>
      <c r="AG200" s="150" t="n">
        <f aca="false">$AG$156+AF200*($AG$256-$AG$156)/$AF$256</f>
        <v>4.4</v>
      </c>
      <c r="AH200" s="151" t="n">
        <f aca="false">AG200*VACnom</f>
        <v>52.8</v>
      </c>
      <c r="AI200" s="152" t="n">
        <f aca="false">IF(VACnom&lt;Vbat, (Vbat-VACnom)/Vbat, Vbat/VACnom)</f>
        <v>0.0476190476190476</v>
      </c>
      <c r="AJ200" s="152" t="n">
        <f aca="false">IF(VACnom&lt;Vbat, AG200/(1-AI200), AG200*AI200)</f>
        <v>4.62</v>
      </c>
      <c r="AK200" s="152" t="n">
        <f aca="false">Ipkpk_VACnom</f>
        <v>0.285714285714285</v>
      </c>
      <c r="AL200" s="152" t="n">
        <f aca="false">SQRT(AJ200^2+AK200^2/12)</f>
        <v>4.62073616657437</v>
      </c>
      <c r="AM200" s="153"/>
      <c r="AN200" s="152" t="n">
        <f aca="false">MAX(0,Table7[[#This Row],[I_L]]-0.5*Table7[[#This Row],[I_L pkpk]])</f>
        <v>4.47714285714286</v>
      </c>
      <c r="AO200" s="152" t="n">
        <f aca="false">Table7[[#This Row],[I_L]]+0.5*Table7[[#This Row],[I_L pkpk]]</f>
        <v>4.76285714285714</v>
      </c>
      <c r="AP200" s="152" t="e">
        <f aca="false">IF(VACnom&gt;Vbat, (VGS_S-(TI_MOSFET_S_VTH_H_BU+Table7[[#This Row],[I_L]]/TI_MOSFET_S_gFS_H_BU))/3.4, (VGS_S-(TI_MOSFET_S_VTH_L_BO+Table7[[#This Row],[I_L]]/TI_MOSFET_S_gFS_L_BO))/3.4 )</f>
        <v>#REF!</v>
      </c>
      <c r="AQ200" s="152" t="e">
        <f aca="false">IF(VACnom&gt;Vbat, ((TI_MOSFET_S_VTH_H_BU+Table7[[#This Row],[I_L]]/TI_MOSFET_S_gFS_H_BU))/1, ((TI_MOSFET_S_VTH_L_BO+Table7[[#This Row],[I_L]]/TI_MOSFET_S_gFS_L_BO))/1 )</f>
        <v>#REF!</v>
      </c>
      <c r="AR200" s="152" t="e">
        <f aca="false">IF(VACnom&gt;Vbat, (TI_MOSFET_S_QGD_H_BU+TI_MOSFET_S_QGS_H_BU)*10^-9/Table7[[#This Row],[Ion (A)]], (TI_MOSFET_S_QGD_L_BO+TI_MOSFET_S_QGS_L_BO)*10^-9/Table7[[#This Row],[Ion (A)]])/10^-9</f>
        <v>#REF!</v>
      </c>
      <c r="AS200" s="152" t="e">
        <f aca="false">IF(VACnom&gt;Vbat, (TI_MOSFET_S_QGD_H_BU+TI_MOSFET_S_QGS_H_BU)*10^-9/Table7[[#This Row],[Ioff (A)]], (TI_MOSFET_S_QGD_L_BO+TI_MOSFET_S_QGS_L_BO)*10^-9/Table7[[#This Row],[Ioff (A)]])/10^-9</f>
        <v>#REF!</v>
      </c>
      <c r="AT200" s="152" t="e">
        <f aca="false">0.5*VACnom*Table7[[#This Row],[Ivalley (A)]]*Table7[[#This Row],[ton (ns)]]*10^-9*Fsw*10^3+0.5*VACnom*Table7[[#This Row],[Ipeak (A)]]*Table7[[#This Row],[toff (ns)]]*10^-9*Fsw*10^3/10^-3</f>
        <v>#REF!</v>
      </c>
      <c r="AU200" s="152" t="e">
        <f aca="false">IF(VACnom&gt;Vbat, 0.5*VACnom*TI_MOSFET_S_QOSS_H_BU*10^-9*Fsw*10^3,0.5*VACnom*TI_MOSFET_S_QOSS_L_BO*10^-9*Fsw*10^3)/10^-3</f>
        <v>#REF!</v>
      </c>
      <c r="AV200" s="152" t="e">
        <f aca="false">IF(VACnom&gt;Vbat, VACnom*TI_MOSFET_S_QG_H_BU*10^-9*Fsw*10^3,VACnom*TI_MOSFET_S_QG_H_BO*10^-9*Fsw*10^3)/10^-3</f>
        <v>#REF!</v>
      </c>
      <c r="AW200" s="152" t="e">
        <f aca="false">IF(VACnom&gt;Vbat, VACnom*TI_MOSFET_S_QRR_L_BU*10^-9*Fsw*10^3, VACnom*TI_MOSFET_S_QRR_H_BO*10^-9*Fsw*10^3)/10^-3</f>
        <v>#REF!</v>
      </c>
      <c r="AX200" s="152" t="e">
        <f aca="false">IF(VACnom&gt;Vbat, TI_MOSFET_S_VSD_L_BU*Table7[[#This Row],[Ivalley (A)]]*Fsw*10^3*40*10^-9+TI_MOSFET_S_VSD_L_BU*Table7[[#This Row],[Ipeak (A)]]*Fsw*10^3*30*10^-9, TI_MOSFET_S_VSD_H_BO*Table7[[#This Row],[Ivalley (A)]]*Fsw*10^3*40*10^-9+TI_MOSFET_S_VSD_H_BO*Table7[[#This Row],[Ipeak (A)]]*Fsw*10^3*30*10^-9)/10^-3</f>
        <v>#REF!</v>
      </c>
      <c r="AY200" s="152" t="e">
        <f aca="false">IF(VACnom&gt;Vbat, VACnom*TI_MOSFET_S_QG_L_BU*10^-9*Fsw*10^3, VACnom*TI_MOSFET_S_QG_L_BO*10^-9*Fsw*10^3)/10^-3</f>
        <v>#REF!</v>
      </c>
      <c r="AZ200" s="152" t="e">
        <f aca="false">IF(VACnom&lt;Vbat, Table7[[#This Row],[Duty Cycle]]*Table7[[#This Row],[I_L RMS]]^2*TI_MOSFET_S_RDSON_H_BU*10^-3, (1-Table7[[#This Row],[Duty Cycle]])*Table7[[#This Row],[I_L RMS]]^2*TI_MOSFET_S_RDSON_H_BO*10^-3)/10^-3</f>
        <v>#REF!</v>
      </c>
      <c r="BA200" s="152" t="e">
        <f aca="false">IF(VACnom&gt;Vbat, Table7[[#This Row],[PIV (mW)]]+Table7[[#This Row],[Pqoss (mW)]]+Table7[[#This Row],[Pgate_top (mW)]], Table7[[#This Row],[PRR (mW)]]+Table7[[#This Row],[Pdead (mW)]]+Table7[[#This Row],[Pgate_top (mW)]])</f>
        <v>#REF!</v>
      </c>
      <c r="BB200" s="152" t="e">
        <f aca="false">Table7[[#This Row],[Pcon_top (mW)]]+Table7[[#This Row],[Psw_top (mW)]]</f>
        <v>#REF!</v>
      </c>
      <c r="BC200" s="152" t="e">
        <f aca="false">IF(VACnom&gt;Vbat, (1-Table7[[#This Row],[Duty Cycle]])*Table7[[#This Row],[I_L RMS]]^2*TI_MOSFET_S_RDSON_L_BU*10^-3, Table7[[#This Row],[Duty Cycle]]*Table7[[#This Row],[I_L RMS]]^2*TI_MOSFET_S_RDSON_L_BO*10^-3)/10^-3</f>
        <v>#REF!</v>
      </c>
      <c r="BD200" s="152" t="e">
        <f aca="false">IF(VACnom&gt;Vbat, Table7[[#This Row],[PRR (mW)]]+Table7[[#This Row],[Pdead (mW)]]+Table7[[#This Row],[Pgate_bottom (mW)]], Table7[[#This Row],[PIV (mW)]]+Table7[[#This Row],[Pqoss (mW)]]+Table7[[#This Row],[Pgate_bottom (mW)]])</f>
        <v>#REF!</v>
      </c>
      <c r="BE200" s="154" t="e">
        <f aca="false">Table7[[#This Row],[Pcon_bottom (mW)]]+Table7[[#This Row],[Psw_bottom (mW)]]</f>
        <v>#REF!</v>
      </c>
      <c r="BF200" s="152" t="e">
        <f aca="false">Table7[[#This Row],[Pbottom (mW)]]+Table7[[#This Row],[Ptop (mW)]]</f>
        <v>#REF!</v>
      </c>
      <c r="BG200" s="155"/>
      <c r="BH200" s="152" t="n">
        <f aca="false">MAX(0,Table7[[#This Row],[I_L]]-0.5*Table7[[#This Row],[I_L pkpk]])</f>
        <v>4.47714285714286</v>
      </c>
      <c r="BI200" s="152" t="n">
        <f aca="false">Table7[[#This Row],[I_L]]+0.5*Table7[[#This Row],[I_L pkpk]]</f>
        <v>4.76285714285714</v>
      </c>
      <c r="BJ200" s="152" t="n">
        <f aca="false">IF(VACnom&gt;Vbat, (VGS_S-(C_MOSFET_S_VTH_H_BU+Table7[[#This Row],[I_L]]/C_MOSFET_S_gFS_H_BU))/3.4, (VGS_S-(C_MOSFET_S_VTH_L_BO+Table7[[#This Row],[I_L]]/C_MOSFET_S_gFS_L_BO))/3.4 )</f>
        <v>2.34388235294118</v>
      </c>
      <c r="BK200" s="152" t="n">
        <f aca="false">IF(VACnom&gt;Vbat, ((C_MOSFET_S_VTH_H_BU+Table7[[#This Row],[I_L]]/C_MOSFET_S_gFS_H_BU))/1, ((C_MOSFET_S_VTH_L_BO+Table7[[#This Row],[I_L]]/C_MOSFET_S_gFS_L_BO))/1 )</f>
        <v>2.0308</v>
      </c>
      <c r="BL200" s="152" t="n">
        <f aca="false">IF(VACnom&gt;Vbat, (C_MOSFET_S_QGD_H_BU+C_MOSFET_S_QGS_H_BU)*10^-9/Table7[[#This Row],[Ion (A) C]], (C_MOSFET_S_QGD_L_BO+C_MOSFET_S_QGS_L_BO)*10^-9/Table7[[#This Row],[Ion (A) C]])/10^-9</f>
        <v>2.77317673041209</v>
      </c>
      <c r="BM200" s="152" t="n">
        <f aca="false">IF(VACnom&gt;Vbat, (C_MOSFET_S_QGD_H_BU+C_MOSFET_S_QGS_H_BU)*10^-9/Table7[[#This Row],[Ioff (A) C]], (C_MOSFET_S_QGD_L_BO+C_MOSFET_S_QGS_L_BO)*10^-9/Table7[[#This Row],[Ioff (A) C]])/10^-9</f>
        <v>3.20070908016545</v>
      </c>
      <c r="BN200" s="152" t="n">
        <f aca="false">0.5*VACnom*Table7[[#This Row],[Ivalley (A) C]]*Table7[[#This Row],[ton (ns) C]]*10^-9*Fsw*10^3+0.5*VACnom*Table7[[#This Row],[Ipeak (A) C]]*Table7[[#This Row],[toff (ns) C]]*10^-9*Fsw*10^3/10^-3</f>
        <v>18.3083232156767</v>
      </c>
      <c r="BO200" s="152" t="n">
        <f aca="false">IF(VACnom&gt;Vbat, 0.5*VACnom*C_MOSFET_S_QOSS_H_BU*10^-9*Fsw*10^3,0.5*VACnom*C_MOSFET_S_QOSS_L_BO*10^-9*Fsw*10^3)/10^-3</f>
        <v>43.2</v>
      </c>
      <c r="BP200" s="152" t="e">
        <f aca="false">IF(VACnom&gt;Vbat, VACnom*C_MOSFET_S_QG_H_BU*10^-9*Fsw*10^3,VACnom*C_MOSFET_S_QG_H_BO*10^-9*Fsw*10^3)/10^-3</f>
        <v>#REF!</v>
      </c>
      <c r="BQ200" s="152" t="n">
        <f aca="false">IF(VACnom&gt;Vbat, VACnom*C_MOSFET_S_QRR_L_BU*10^-9*Fsw*10^3, VACnom*C_MOSFET_S_QRR_H_BO*10^-9*Fsw*10^3)/10^-3</f>
        <v>79.2</v>
      </c>
      <c r="BR200" s="152" t="n">
        <f aca="false">IF(VACnom&gt;Vbat, C_MOSFET_S_VSD_L_BU*Table7[[#This Row],[Ivalley (A) C]]*Fsw*10^3*40*10^-9+C_MOSFET_S_VSD_L_BU*Table7[[#This Row],[Ipeak (A) C]]*Fsw*10^3*30*10^-9, C_MOSFET_S_VSD_H_BO*Table7[[#This Row],[Ivalley (A) C]]*Fsw*10^3*40*10^-9+C_MOSFET_S_VSD_H_BO*Table7[[#This Row],[Ipeak (A) C]]*Fsw*10^3*30*10^-9)/10^-3</f>
        <v>51.5154285714286</v>
      </c>
      <c r="BS200" s="152" t="e">
        <f aca="false">IF(VACnom&gt;Vbat, VACnom*C_MOSFET_S_QG_L_BU*10^-9*Fsw*10^3, VACnom*C_MOSFET_S_QG_L_BO*10^-9*Fsw*10^3)/10^-3</f>
        <v>#REF!</v>
      </c>
      <c r="BT200" s="152" t="n">
        <f aca="false">IF(VACnom&lt;Vbat, Table7[[#This Row],[Duty Cycle]]*Table7[[#This Row],[I_L RMS]]^2*C_MOSFET_S_RDSON_H_BU*10^-3, (1-Table7[[#This Row],[Duty Cycle]])*Table7[[#This Row],[I_L RMS]]^2*C_MOSFET_S_RDSON_H_BO*10^-3)/10^-3</f>
        <v>5.79532645286686</v>
      </c>
      <c r="BU200" s="152" t="e">
        <f aca="false">IF(VACnom&gt;Vbat, Table7[[#This Row],[PIV (mW) C]]+Table7[[#This Row],[PQoss (mW) C]]+Table7[[#This Row],[Pgate_top (mW) C]], Table7[[#This Row],[PRR (mW) C]]+Table7[[#This Row],[Pdead (mW) C]]+Table7[[#This Row],[Pgate_top (mW) C]])</f>
        <v>#REF!</v>
      </c>
      <c r="BV200" s="152" t="e">
        <f aca="false">Table7[[#This Row],[Pcon_top (mW) C]]+Table7[[#This Row],[Psw_top (mW) C]]</f>
        <v>#REF!</v>
      </c>
      <c r="BW200" s="152" t="e">
        <f aca="false">IF(VACnom&gt;Vbat, (1-Table7[[#This Row],[Duty Cycle]])*Table7[[#This Row],[I_L RMS]]^2*C_MOSFET_S_RDSON_L_BU*10^-3, Table7[[#This Row],[Duty Cycle]]*Table7[[#This Row],[I_L RMS]]^2*C_MOSFET_S_RDSON_L_BO*10^-3)/10^-3</f>
        <v>#REF!</v>
      </c>
      <c r="BX200" s="152" t="e">
        <f aca="false">IF(VACnom&gt;Vbat, Table7[[#This Row],[PRR (mW) C]]+Table7[[#This Row],[Pdead (mW) C]]+Table7[[#This Row],[Pgate_bottom (mW) C]], Table7[[#This Row],[PIV (mW) C]]+Table7[[#This Row],[PQoss (mW) C]]+Table7[[#This Row],[Pgate_bottom (mW) C]])</f>
        <v>#REF!</v>
      </c>
      <c r="BY200" s="152" t="e">
        <f aca="false">Table7[[#This Row],[Pcon_bottom (mW) C]]+Table7[[#This Row],[Psw_bottom (mV) C]]</f>
        <v>#REF!</v>
      </c>
      <c r="BZ200" s="152" t="e">
        <f aca="false">Table7[[#This Row],[Pbottom (mW) C]]+Table7[[#This Row],[Ptop (mW) C]]</f>
        <v>#REF!</v>
      </c>
      <c r="CA200" s="156"/>
      <c r="CB200" s="151" t="n">
        <f aca="false">(RAC_SNS*10^-3*(Table7[[#This Row],[IOUT (A)]]*Vbat/VACnom)^2/10^-3)</f>
        <v>106.722</v>
      </c>
      <c r="CC200" s="151" t="n">
        <f aca="false">(RBAT_SNS*10^-3*Table7[[#This Row],[IOUT (A)]]^2)/10^-3</f>
        <v>96.8</v>
      </c>
      <c r="CD200" s="151" t="n">
        <f aca="false">IF(VACnom&gt;Vbat,(L_DRC*10^-3*(Table7[[#This Row],[IOUT (A)]])^2/10^-3),(L_DRC*10^-3*(Table7[[#This Row],[IOUT (A)]]*Vbat/VACnom)^2/10^-3))</f>
        <v>256.1328</v>
      </c>
      <c r="CE200" s="157"/>
      <c r="CF200" s="152" t="n">
        <f aca="false">(Table7[[#This Row],[R_AC (mW)]]+Table7[[#This Row],[R_SR (mW)]]+Table7[[#This Row],[Inductor Loss (mW)]])/10^3</f>
        <v>0.4596548</v>
      </c>
      <c r="CG200" s="152" t="e">
        <f aca="false">Table7[[#This Row],[Total TI (mW)]]/10^3</f>
        <v>#REF!</v>
      </c>
      <c r="CH200" s="152" t="e">
        <f aca="false">Table7[[#This Row],[Total Sense Loss]]+Table7[[#This Row],[Total MOSFET Loss]]</f>
        <v>#REF!</v>
      </c>
      <c r="CI200" s="158" t="e">
        <f aca="false">IF(Table7[[#This Row],[POUT (W)]]=0,0,(Table7[[#This Row],[POUT (W)]])/(Table7[[#This Row],[POUT (W)]]+Table7[[#This Row],[Total Power Loss (W)]]))*100</f>
        <v>#REF!</v>
      </c>
      <c r="CJ200" s="159"/>
      <c r="CK200" s="152" t="n">
        <f aca="false">(Table7[[#This Row],[R_AC (mW)]]+Table7[[#This Row],[R_SR (mW)]]+Table7[[#This Row],[Inductor Loss (mW)]])/10^3</f>
        <v>0.4596548</v>
      </c>
      <c r="CL200" s="152" t="e">
        <f aca="false">Table7[[#This Row],[Total (mW) C]]/10^3</f>
        <v>#REF!</v>
      </c>
      <c r="CM200" s="152" t="e">
        <f aca="false">Table7[[#This Row],[Total Sense Loss C]]+Table7[[#This Row],[Total MOSFET Loss C]]</f>
        <v>#REF!</v>
      </c>
      <c r="CN200" s="158" t="e">
        <f aca="false">IF(Table7[[#This Row],[POUT (W)]]=0,0,(Table7[[#This Row],[POUT (W)]])/(Table7[[#This Row],[POUT (W)]]+Table7[[#This Row],[Total Power Loss (W) C]]))*100</f>
        <v>#REF!</v>
      </c>
      <c r="CO200" s="159"/>
      <c r="CP200" s="158" t="n">
        <f aca="false">IF(MOSFET_S=Custom_MOSFET,Table7[[#This Row],[Total Sense Loss C]],Table7[[#This Row],[Total Sense Loss]])</f>
        <v>0.4596548</v>
      </c>
      <c r="CQ200" s="158" t="e">
        <f aca="false">IF(MOSFET_S=Custom_MOSFET,Table7[[#This Row],[Total MOSFET Loss C]],Table7[[#This Row],[Total MOSFET Loss]])</f>
        <v>#REF!</v>
      </c>
      <c r="CR200" s="158" t="e">
        <f aca="false">IF(MOSFET_S=Custom_MOSFET,Table7[[#This Row],[Efficiency C]],Table7[[#This Row],[Efficiency]])</f>
        <v>#REF!</v>
      </c>
      <c r="CS200" s="159"/>
      <c r="CT200" s="158" t="n">
        <f aca="false">IF(MOSFET_S=Compare_MOSFET, Table7[[#This Row],[Total Sense Loss C]], -100)</f>
        <v>-100</v>
      </c>
      <c r="CU200" s="158" t="n">
        <f aca="false">IF(MOSFET_S=Compare_MOSFET, Table7[[#This Row],[Total MOSFET Loss C]], -100)</f>
        <v>-100</v>
      </c>
      <c r="CV200" s="158" t="n">
        <f aca="false">IF(MOSFET_S=Compare_MOSFET, Table7[[#This Row],[Efficiency C]], -100)</f>
        <v>-100</v>
      </c>
      <c r="CW200" s="159"/>
      <c r="CX200" s="158" t="e">
        <f aca="false">IF(Save_Sel=CLR_Save,  Table7[[#This Row],[Total Sense Loss P1]], Table7[[#This Row],[Total Sense Loss P1 Saved]])</f>
        <v>#VALUE!</v>
      </c>
      <c r="CY200" s="158" t="e">
        <f aca="false">IF(Save_Sel=CLR_Save,  Table7[[#This Row],[Total MOSFET Loss P1]], Table7[[#This Row],[Total MOSFET Loss P1 Saved]] )</f>
        <v>#VALUE!</v>
      </c>
      <c r="CZ200" s="158" t="e">
        <f aca="false">IF(Save_Sel=CLR_Save, Table7[[#This Row],[Efficiency P1]], Table7[[#This Row],[Efficiency P1 Saved]])</f>
        <v>#VALUE!</v>
      </c>
      <c r="DA200" s="159"/>
      <c r="DB200" s="158" t="e">
        <f aca="false">IF(Save_Sel=CLR_Save,  Table7[[#This Row],[Total Sense Loss P2]], Table7[[#This Row],[Total Sense Loss P2 Saved]])</f>
        <v>#VALUE!</v>
      </c>
      <c r="DC200" s="158" t="e">
        <f aca="false">IF(Save_Sel=CLR_Save,  Table7[[#This Row],[Total MOSFET Loss P2]], Table7[[#This Row],[Total MOSFET Loss P2 Saved]] )</f>
        <v>#VALUE!</v>
      </c>
      <c r="DD200" s="158" t="e">
        <f aca="false">IF(Save_Sel=CLR_Save, Table7[[#This Row],[Efficiency P2]], Table7[[#This Row],[Efficiency P2 Saved]])</f>
        <v>#VALUE!</v>
      </c>
      <c r="DE200" s="159"/>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row>
    <row r="201" customFormat="false" ht="16.4" hidden="false" customHeight="false" outlineLevel="0" collapsed="false">
      <c r="A201" s="28"/>
      <c r="B201" s="84"/>
      <c r="C201" s="84"/>
      <c r="D201" s="28"/>
      <c r="E201" s="168"/>
      <c r="F201" s="168"/>
      <c r="G201" s="84"/>
      <c r="H201" s="24"/>
      <c r="I201" s="24"/>
      <c r="J201" s="24"/>
      <c r="K201" s="24"/>
      <c r="L201" s="24"/>
      <c r="M201" s="24"/>
      <c r="N201" s="24"/>
      <c r="O201" s="24"/>
      <c r="P201" s="24"/>
      <c r="Q201" s="24"/>
      <c r="R201" s="24"/>
      <c r="S201" s="25"/>
      <c r="T201" s="6"/>
      <c r="U201" s="7"/>
      <c r="V201" s="7"/>
      <c r="W201" s="7"/>
      <c r="X201" s="7"/>
      <c r="Y201" s="7"/>
      <c r="Z201" s="7"/>
      <c r="AA201" s="7"/>
      <c r="AB201" s="7"/>
      <c r="AC201" s="7"/>
      <c r="AD201" s="7"/>
      <c r="AE201" s="7"/>
      <c r="AF201" s="150" t="n">
        <f aca="false">AF200+1</f>
        <v>45</v>
      </c>
      <c r="AG201" s="150" t="n">
        <f aca="false">$AG$156+AF201*($AG$256-$AG$156)/$AF$256</f>
        <v>4.5</v>
      </c>
      <c r="AH201" s="151" t="n">
        <f aca="false">AG201*VACnom</f>
        <v>54</v>
      </c>
      <c r="AI201" s="152" t="n">
        <f aca="false">IF(VACnom&lt;Vbat, (Vbat-VACnom)/Vbat, Vbat/VACnom)</f>
        <v>0.0476190476190476</v>
      </c>
      <c r="AJ201" s="152" t="n">
        <f aca="false">IF(VACnom&lt;Vbat, AG201/(1-AI201), AG201*AI201)</f>
        <v>4.725</v>
      </c>
      <c r="AK201" s="152" t="n">
        <f aca="false">Ipkpk_VACnom</f>
        <v>0.285714285714285</v>
      </c>
      <c r="AL201" s="152" t="n">
        <f aca="false">SQRT(AJ201^2+AK201^2/12)</f>
        <v>4.72571980983727</v>
      </c>
      <c r="AM201" s="153"/>
      <c r="AN201" s="152" t="n">
        <f aca="false">MAX(0,Table7[[#This Row],[I_L]]-0.5*Table7[[#This Row],[I_L pkpk]])</f>
        <v>4.58214285714286</v>
      </c>
      <c r="AO201" s="152" t="n">
        <f aca="false">Table7[[#This Row],[I_L]]+0.5*Table7[[#This Row],[I_L pkpk]]</f>
        <v>4.86785714285714</v>
      </c>
      <c r="AP201" s="152" t="e">
        <f aca="false">IF(VACnom&gt;Vbat, (VGS_S-(TI_MOSFET_S_VTH_H_BU+Table7[[#This Row],[I_L]]/TI_MOSFET_S_gFS_H_BU))/3.4, (VGS_S-(TI_MOSFET_S_VTH_L_BO+Table7[[#This Row],[I_L]]/TI_MOSFET_S_gFS_L_BO))/3.4 )</f>
        <v>#REF!</v>
      </c>
      <c r="AQ201" s="152" t="e">
        <f aca="false">IF(VACnom&gt;Vbat, ((TI_MOSFET_S_VTH_H_BU+Table7[[#This Row],[I_L]]/TI_MOSFET_S_gFS_H_BU))/1, ((TI_MOSFET_S_VTH_L_BO+Table7[[#This Row],[I_L]]/TI_MOSFET_S_gFS_L_BO))/1 )</f>
        <v>#REF!</v>
      </c>
      <c r="AR201" s="152" t="e">
        <f aca="false">IF(VACnom&gt;Vbat, (TI_MOSFET_S_QGD_H_BU+TI_MOSFET_S_QGS_H_BU)*10^-9/Table7[[#This Row],[Ion (A)]], (TI_MOSFET_S_QGD_L_BO+TI_MOSFET_S_QGS_L_BO)*10^-9/Table7[[#This Row],[Ion (A)]])/10^-9</f>
        <v>#REF!</v>
      </c>
      <c r="AS201" s="152" t="e">
        <f aca="false">IF(VACnom&gt;Vbat, (TI_MOSFET_S_QGD_H_BU+TI_MOSFET_S_QGS_H_BU)*10^-9/Table7[[#This Row],[Ioff (A)]], (TI_MOSFET_S_QGD_L_BO+TI_MOSFET_S_QGS_L_BO)*10^-9/Table7[[#This Row],[Ioff (A)]])/10^-9</f>
        <v>#REF!</v>
      </c>
      <c r="AT201" s="152" t="e">
        <f aca="false">0.5*VACnom*Table7[[#This Row],[Ivalley (A)]]*Table7[[#This Row],[ton (ns)]]*10^-9*Fsw*10^3+0.5*VACnom*Table7[[#This Row],[Ipeak (A)]]*Table7[[#This Row],[toff (ns)]]*10^-9*Fsw*10^3/10^-3</f>
        <v>#REF!</v>
      </c>
      <c r="AU201" s="152" t="e">
        <f aca="false">IF(VACnom&gt;Vbat, 0.5*VACnom*TI_MOSFET_S_QOSS_H_BU*10^-9*Fsw*10^3,0.5*VACnom*TI_MOSFET_S_QOSS_L_BO*10^-9*Fsw*10^3)/10^-3</f>
        <v>#REF!</v>
      </c>
      <c r="AV201" s="152" t="e">
        <f aca="false">IF(VACnom&gt;Vbat, VACnom*TI_MOSFET_S_QG_H_BU*10^-9*Fsw*10^3,VACnom*TI_MOSFET_S_QG_H_BO*10^-9*Fsw*10^3)/10^-3</f>
        <v>#REF!</v>
      </c>
      <c r="AW201" s="152" t="e">
        <f aca="false">IF(VACnom&gt;Vbat, VACnom*TI_MOSFET_S_QRR_L_BU*10^-9*Fsw*10^3, VACnom*TI_MOSFET_S_QRR_H_BO*10^-9*Fsw*10^3)/10^-3</f>
        <v>#REF!</v>
      </c>
      <c r="AX201" s="152" t="e">
        <f aca="false">IF(VACnom&gt;Vbat, TI_MOSFET_S_VSD_L_BU*Table7[[#This Row],[Ivalley (A)]]*Fsw*10^3*40*10^-9+TI_MOSFET_S_VSD_L_BU*Table7[[#This Row],[Ipeak (A)]]*Fsw*10^3*30*10^-9, TI_MOSFET_S_VSD_H_BO*Table7[[#This Row],[Ivalley (A)]]*Fsw*10^3*40*10^-9+TI_MOSFET_S_VSD_H_BO*Table7[[#This Row],[Ipeak (A)]]*Fsw*10^3*30*10^-9)/10^-3</f>
        <v>#REF!</v>
      </c>
      <c r="AY201" s="152" t="e">
        <f aca="false">IF(VACnom&gt;Vbat, VACnom*TI_MOSFET_S_QG_L_BU*10^-9*Fsw*10^3, VACnom*TI_MOSFET_S_QG_L_BO*10^-9*Fsw*10^3)/10^-3</f>
        <v>#REF!</v>
      </c>
      <c r="AZ201" s="152" t="e">
        <f aca="false">IF(VACnom&lt;Vbat, Table7[[#This Row],[Duty Cycle]]*Table7[[#This Row],[I_L RMS]]^2*TI_MOSFET_S_RDSON_H_BU*10^-3, (1-Table7[[#This Row],[Duty Cycle]])*Table7[[#This Row],[I_L RMS]]^2*TI_MOSFET_S_RDSON_H_BO*10^-3)/10^-3</f>
        <v>#REF!</v>
      </c>
      <c r="BA201" s="152" t="e">
        <f aca="false">IF(VACnom&gt;Vbat, Table7[[#This Row],[PIV (mW)]]+Table7[[#This Row],[Pqoss (mW)]]+Table7[[#This Row],[Pgate_top (mW)]], Table7[[#This Row],[PRR (mW)]]+Table7[[#This Row],[Pdead (mW)]]+Table7[[#This Row],[Pgate_top (mW)]])</f>
        <v>#REF!</v>
      </c>
      <c r="BB201" s="152" t="e">
        <f aca="false">Table7[[#This Row],[Pcon_top (mW)]]+Table7[[#This Row],[Psw_top (mW)]]</f>
        <v>#REF!</v>
      </c>
      <c r="BC201" s="152" t="e">
        <f aca="false">IF(VACnom&gt;Vbat, (1-Table7[[#This Row],[Duty Cycle]])*Table7[[#This Row],[I_L RMS]]^2*TI_MOSFET_S_RDSON_L_BU*10^-3, Table7[[#This Row],[Duty Cycle]]*Table7[[#This Row],[I_L RMS]]^2*TI_MOSFET_S_RDSON_L_BO*10^-3)/10^-3</f>
        <v>#REF!</v>
      </c>
      <c r="BD201" s="152" t="e">
        <f aca="false">IF(VACnom&gt;Vbat, Table7[[#This Row],[PRR (mW)]]+Table7[[#This Row],[Pdead (mW)]]+Table7[[#This Row],[Pgate_bottom (mW)]], Table7[[#This Row],[PIV (mW)]]+Table7[[#This Row],[Pqoss (mW)]]+Table7[[#This Row],[Pgate_bottom (mW)]])</f>
        <v>#REF!</v>
      </c>
      <c r="BE201" s="154" t="e">
        <f aca="false">Table7[[#This Row],[Pcon_bottom (mW)]]+Table7[[#This Row],[Psw_bottom (mW)]]</f>
        <v>#REF!</v>
      </c>
      <c r="BF201" s="152" t="e">
        <f aca="false">Table7[[#This Row],[Pbottom (mW)]]+Table7[[#This Row],[Ptop (mW)]]</f>
        <v>#REF!</v>
      </c>
      <c r="BG201" s="155"/>
      <c r="BH201" s="152" t="n">
        <f aca="false">MAX(0,Table7[[#This Row],[I_L]]-0.5*Table7[[#This Row],[I_L pkpk]])</f>
        <v>4.58214285714286</v>
      </c>
      <c r="BI201" s="152" t="n">
        <f aca="false">Table7[[#This Row],[I_L]]+0.5*Table7[[#This Row],[I_L pkpk]]</f>
        <v>4.86785714285714</v>
      </c>
      <c r="BJ201" s="152" t="n">
        <f aca="false">IF(VACnom&gt;Vbat, (VGS_S-(C_MOSFET_S_VTH_H_BU+Table7[[#This Row],[I_L]]/C_MOSFET_S_gFS_H_BU))/3.4, (VGS_S-(C_MOSFET_S_VTH_L_BO+Table7[[#This Row],[I_L]]/C_MOSFET_S_gFS_L_BO))/3.4 )</f>
        <v>2.34367647058824</v>
      </c>
      <c r="BK201" s="152" t="n">
        <f aca="false">IF(VACnom&gt;Vbat, ((C_MOSFET_S_VTH_H_BU+Table7[[#This Row],[I_L]]/C_MOSFET_S_gFS_H_BU))/1, ((C_MOSFET_S_VTH_L_BO+Table7[[#This Row],[I_L]]/C_MOSFET_S_gFS_L_BO))/1 )</f>
        <v>2.0315</v>
      </c>
      <c r="BL201" s="152" t="n">
        <f aca="false">IF(VACnom&gt;Vbat, (C_MOSFET_S_QGD_H_BU+C_MOSFET_S_QGS_H_BU)*10^-9/Table7[[#This Row],[Ion (A) C]], (C_MOSFET_S_QGD_L_BO+C_MOSFET_S_QGS_L_BO)*10^-9/Table7[[#This Row],[Ion (A) C]])/10^-9</f>
        <v>2.77342034259898</v>
      </c>
      <c r="BM201" s="152" t="n">
        <f aca="false">IF(VACnom&gt;Vbat, (C_MOSFET_S_QGD_H_BU+C_MOSFET_S_QGS_H_BU)*10^-9/Table7[[#This Row],[Ioff (A) C]], (C_MOSFET_S_QGD_L_BO+C_MOSFET_S_QGS_L_BO)*10^-9/Table7[[#This Row],[Ioff (A) C]])/10^-9</f>
        <v>3.19960620231356</v>
      </c>
      <c r="BN201" s="152" t="n">
        <f aca="false">0.5*VACnom*Table7[[#This Row],[Ivalley (A) C]]*Table7[[#This Row],[ton (ns) C]]*10^-9*Fsw*10^3+0.5*VACnom*Table7[[#This Row],[Ipeak (A) C]]*Table7[[#This Row],[toff (ns) C]]*10^-9*Fsw*10^3/10^-3</f>
        <v>18.7055209373697</v>
      </c>
      <c r="BO201" s="152" t="n">
        <f aca="false">IF(VACnom&gt;Vbat, 0.5*VACnom*C_MOSFET_S_QOSS_H_BU*10^-9*Fsw*10^3,0.5*VACnom*C_MOSFET_S_QOSS_L_BO*10^-9*Fsw*10^3)/10^-3</f>
        <v>43.2</v>
      </c>
      <c r="BP201" s="152" t="e">
        <f aca="false">IF(VACnom&gt;Vbat, VACnom*C_MOSFET_S_QG_H_BU*10^-9*Fsw*10^3,VACnom*C_MOSFET_S_QG_H_BO*10^-9*Fsw*10^3)/10^-3</f>
        <v>#REF!</v>
      </c>
      <c r="BQ201" s="152" t="n">
        <f aca="false">IF(VACnom&gt;Vbat, VACnom*C_MOSFET_S_QRR_L_BU*10^-9*Fsw*10^3, VACnom*C_MOSFET_S_QRR_H_BO*10^-9*Fsw*10^3)/10^-3</f>
        <v>79.2</v>
      </c>
      <c r="BR201" s="152" t="n">
        <f aca="false">IF(VACnom&gt;Vbat, C_MOSFET_S_VSD_L_BU*Table7[[#This Row],[Ivalley (A) C]]*Fsw*10^3*40*10^-9+C_MOSFET_S_VSD_L_BU*Table7[[#This Row],[Ipeak (A) C]]*Fsw*10^3*30*10^-9, C_MOSFET_S_VSD_H_BO*Table7[[#This Row],[Ivalley (A) C]]*Fsw*10^3*40*10^-9+C_MOSFET_S_VSD_H_BO*Table7[[#This Row],[Ipeak (A) C]]*Fsw*10^3*30*10^-9)/10^-3</f>
        <v>52.6914285714286</v>
      </c>
      <c r="BS201" s="152" t="e">
        <f aca="false">IF(VACnom&gt;Vbat, VACnom*C_MOSFET_S_QG_L_BU*10^-9*Fsw*10^3, VACnom*C_MOSFET_S_QG_L_BO*10^-9*Fsw*10^3)/10^-3</f>
        <v>#REF!</v>
      </c>
      <c r="BT201" s="152" t="n">
        <f aca="false">IF(VACnom&lt;Vbat, Table7[[#This Row],[Duty Cycle]]*Table7[[#This Row],[I_L RMS]]^2*C_MOSFET_S_RDSON_H_BU*10^-3, (1-Table7[[#This Row],[Duty Cycle]])*Table7[[#This Row],[I_L RMS]]^2*C_MOSFET_S_RDSON_H_BO*10^-3)/10^-3</f>
        <v>6.06165895286686</v>
      </c>
      <c r="BU201" s="152" t="e">
        <f aca="false">IF(VACnom&gt;Vbat, Table7[[#This Row],[PIV (mW) C]]+Table7[[#This Row],[PQoss (mW) C]]+Table7[[#This Row],[Pgate_top (mW) C]], Table7[[#This Row],[PRR (mW) C]]+Table7[[#This Row],[Pdead (mW) C]]+Table7[[#This Row],[Pgate_top (mW) C]])</f>
        <v>#REF!</v>
      </c>
      <c r="BV201" s="152" t="e">
        <f aca="false">Table7[[#This Row],[Pcon_top (mW) C]]+Table7[[#This Row],[Psw_top (mW) C]]</f>
        <v>#REF!</v>
      </c>
      <c r="BW201" s="152" t="e">
        <f aca="false">IF(VACnom&gt;Vbat, (1-Table7[[#This Row],[Duty Cycle]])*Table7[[#This Row],[I_L RMS]]^2*C_MOSFET_S_RDSON_L_BU*10^-3, Table7[[#This Row],[Duty Cycle]]*Table7[[#This Row],[I_L RMS]]^2*C_MOSFET_S_RDSON_L_BO*10^-3)/10^-3</f>
        <v>#REF!</v>
      </c>
      <c r="BX201" s="152" t="e">
        <f aca="false">IF(VACnom&gt;Vbat, Table7[[#This Row],[PRR (mW) C]]+Table7[[#This Row],[Pdead (mW) C]]+Table7[[#This Row],[Pgate_bottom (mW) C]], Table7[[#This Row],[PIV (mW) C]]+Table7[[#This Row],[PQoss (mW) C]]+Table7[[#This Row],[Pgate_bottom (mW) C]])</f>
        <v>#REF!</v>
      </c>
      <c r="BY201" s="152" t="e">
        <f aca="false">Table7[[#This Row],[Pcon_bottom (mW) C]]+Table7[[#This Row],[Psw_bottom (mV) C]]</f>
        <v>#REF!</v>
      </c>
      <c r="BZ201" s="152" t="e">
        <f aca="false">Table7[[#This Row],[Pbottom (mW) C]]+Table7[[#This Row],[Ptop (mW) C]]</f>
        <v>#REF!</v>
      </c>
      <c r="CA201" s="156"/>
      <c r="CB201" s="151" t="n">
        <f aca="false">(RAC_SNS*10^-3*(Table7[[#This Row],[IOUT (A)]]*Vbat/VACnom)^2/10^-3)</f>
        <v>111.628125</v>
      </c>
      <c r="CC201" s="151" t="n">
        <f aca="false">(RBAT_SNS*10^-3*Table7[[#This Row],[IOUT (A)]]^2)/10^-3</f>
        <v>101.25</v>
      </c>
      <c r="CD201" s="151" t="n">
        <f aca="false">IF(VACnom&gt;Vbat,(L_DRC*10^-3*(Table7[[#This Row],[IOUT (A)]])^2/10^-3),(L_DRC*10^-3*(Table7[[#This Row],[IOUT (A)]]*Vbat/VACnom)^2/10^-3))</f>
        <v>267.9075</v>
      </c>
      <c r="CE201" s="157"/>
      <c r="CF201" s="152" t="n">
        <f aca="false">(Table7[[#This Row],[R_AC (mW)]]+Table7[[#This Row],[R_SR (mW)]]+Table7[[#This Row],[Inductor Loss (mW)]])/10^3</f>
        <v>0.480785625</v>
      </c>
      <c r="CG201" s="152" t="e">
        <f aca="false">Table7[[#This Row],[Total TI (mW)]]/10^3</f>
        <v>#REF!</v>
      </c>
      <c r="CH201" s="152" t="e">
        <f aca="false">Table7[[#This Row],[Total Sense Loss]]+Table7[[#This Row],[Total MOSFET Loss]]</f>
        <v>#REF!</v>
      </c>
      <c r="CI201" s="158" t="e">
        <f aca="false">IF(Table7[[#This Row],[POUT (W)]]=0,0,(Table7[[#This Row],[POUT (W)]])/(Table7[[#This Row],[POUT (W)]]+Table7[[#This Row],[Total Power Loss (W)]]))*100</f>
        <v>#REF!</v>
      </c>
      <c r="CJ201" s="159"/>
      <c r="CK201" s="152" t="n">
        <f aca="false">(Table7[[#This Row],[R_AC (mW)]]+Table7[[#This Row],[R_SR (mW)]]+Table7[[#This Row],[Inductor Loss (mW)]])/10^3</f>
        <v>0.480785625</v>
      </c>
      <c r="CL201" s="152" t="e">
        <f aca="false">Table7[[#This Row],[Total (mW) C]]/10^3</f>
        <v>#REF!</v>
      </c>
      <c r="CM201" s="152" t="e">
        <f aca="false">Table7[[#This Row],[Total Sense Loss C]]+Table7[[#This Row],[Total MOSFET Loss C]]</f>
        <v>#REF!</v>
      </c>
      <c r="CN201" s="158" t="e">
        <f aca="false">IF(Table7[[#This Row],[POUT (W)]]=0,0,(Table7[[#This Row],[POUT (W)]])/(Table7[[#This Row],[POUT (W)]]+Table7[[#This Row],[Total Power Loss (W) C]]))*100</f>
        <v>#REF!</v>
      </c>
      <c r="CO201" s="159"/>
      <c r="CP201" s="158" t="n">
        <f aca="false">IF(MOSFET_S=Custom_MOSFET,Table7[[#This Row],[Total Sense Loss C]],Table7[[#This Row],[Total Sense Loss]])</f>
        <v>0.480785625</v>
      </c>
      <c r="CQ201" s="158" t="e">
        <f aca="false">IF(MOSFET_S=Custom_MOSFET,Table7[[#This Row],[Total MOSFET Loss C]],Table7[[#This Row],[Total MOSFET Loss]])</f>
        <v>#REF!</v>
      </c>
      <c r="CR201" s="158" t="e">
        <f aca="false">IF(MOSFET_S=Custom_MOSFET,Table7[[#This Row],[Efficiency C]],Table7[[#This Row],[Efficiency]])</f>
        <v>#REF!</v>
      </c>
      <c r="CS201" s="159"/>
      <c r="CT201" s="158" t="n">
        <f aca="false">IF(MOSFET_S=Compare_MOSFET, Table7[[#This Row],[Total Sense Loss C]], -100)</f>
        <v>-100</v>
      </c>
      <c r="CU201" s="158" t="n">
        <f aca="false">IF(MOSFET_S=Compare_MOSFET, Table7[[#This Row],[Total MOSFET Loss C]], -100)</f>
        <v>-100</v>
      </c>
      <c r="CV201" s="158" t="n">
        <f aca="false">IF(MOSFET_S=Compare_MOSFET, Table7[[#This Row],[Efficiency C]], -100)</f>
        <v>-100</v>
      </c>
      <c r="CW201" s="159"/>
      <c r="CX201" s="158" t="e">
        <f aca="false">IF(Save_Sel=CLR_Save,  Table7[[#This Row],[Total Sense Loss P1]], Table7[[#This Row],[Total Sense Loss P1 Saved]])</f>
        <v>#VALUE!</v>
      </c>
      <c r="CY201" s="158" t="e">
        <f aca="false">IF(Save_Sel=CLR_Save,  Table7[[#This Row],[Total MOSFET Loss P1]], Table7[[#This Row],[Total MOSFET Loss P1 Saved]] )</f>
        <v>#VALUE!</v>
      </c>
      <c r="CZ201" s="158" t="e">
        <f aca="false">IF(Save_Sel=CLR_Save, Table7[[#This Row],[Efficiency P1]], Table7[[#This Row],[Efficiency P1 Saved]])</f>
        <v>#VALUE!</v>
      </c>
      <c r="DA201" s="159"/>
      <c r="DB201" s="158" t="e">
        <f aca="false">IF(Save_Sel=CLR_Save,  Table7[[#This Row],[Total Sense Loss P2]], Table7[[#This Row],[Total Sense Loss P2 Saved]])</f>
        <v>#VALUE!</v>
      </c>
      <c r="DC201" s="158" t="e">
        <f aca="false">IF(Save_Sel=CLR_Save,  Table7[[#This Row],[Total MOSFET Loss P2]], Table7[[#This Row],[Total MOSFET Loss P2 Saved]] )</f>
        <v>#VALUE!</v>
      </c>
      <c r="DD201" s="158" t="e">
        <f aca="false">IF(Save_Sel=CLR_Save, Table7[[#This Row],[Efficiency P2]], Table7[[#This Row],[Efficiency P2 Saved]])</f>
        <v>#VALUE!</v>
      </c>
      <c r="DE201" s="159"/>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row>
    <row r="202" customFormat="false" ht="16.4" hidden="false" customHeight="false" outlineLevel="0" collapsed="false">
      <c r="A202" s="28"/>
      <c r="B202" s="84"/>
      <c r="C202" s="84"/>
      <c r="D202" s="28"/>
      <c r="E202" s="168"/>
      <c r="F202" s="168"/>
      <c r="G202" s="84"/>
      <c r="H202" s="24"/>
      <c r="I202" s="24"/>
      <c r="J202" s="24"/>
      <c r="K202" s="24"/>
      <c r="L202" s="24"/>
      <c r="M202" s="24"/>
      <c r="N202" s="24"/>
      <c r="O202" s="24"/>
      <c r="P202" s="24"/>
      <c r="Q202" s="24"/>
      <c r="R202" s="24"/>
      <c r="S202" s="25"/>
      <c r="T202" s="6"/>
      <c r="U202" s="7"/>
      <c r="V202" s="7"/>
      <c r="W202" s="7"/>
      <c r="X202" s="7"/>
      <c r="Y202" s="7"/>
      <c r="Z202" s="7"/>
      <c r="AA202" s="7"/>
      <c r="AB202" s="7"/>
      <c r="AC202" s="7"/>
      <c r="AD202" s="7"/>
      <c r="AE202" s="7"/>
      <c r="AF202" s="150" t="n">
        <f aca="false">AF201+1</f>
        <v>46</v>
      </c>
      <c r="AG202" s="150" t="n">
        <f aca="false">$AG$156+AF202*($AG$256-$AG$156)/$AF$256</f>
        <v>4.6</v>
      </c>
      <c r="AH202" s="151" t="n">
        <f aca="false">AG202*VACnom</f>
        <v>55.2</v>
      </c>
      <c r="AI202" s="152" t="n">
        <f aca="false">IF(VACnom&lt;Vbat, (Vbat-VACnom)/Vbat, Vbat/VACnom)</f>
        <v>0.0476190476190476</v>
      </c>
      <c r="AJ202" s="152" t="n">
        <f aca="false">IF(VACnom&lt;Vbat, AG202/(1-AI202), AG202*AI202)</f>
        <v>4.83</v>
      </c>
      <c r="AK202" s="152" t="n">
        <f aca="false">Ipkpk_VACnom</f>
        <v>0.285714285714285</v>
      </c>
      <c r="AL202" s="152" t="n">
        <f aca="false">SQRT(AJ202^2+AK202^2/12)</f>
        <v>4.83070416410366</v>
      </c>
      <c r="AM202" s="153"/>
      <c r="AN202" s="152" t="n">
        <f aca="false">MAX(0,Table7[[#This Row],[I_L]]-0.5*Table7[[#This Row],[I_L pkpk]])</f>
        <v>4.68714285714286</v>
      </c>
      <c r="AO202" s="152" t="n">
        <f aca="false">Table7[[#This Row],[I_L]]+0.5*Table7[[#This Row],[I_L pkpk]]</f>
        <v>4.97285714285714</v>
      </c>
      <c r="AP202" s="152" t="e">
        <f aca="false">IF(VACnom&gt;Vbat, (VGS_S-(TI_MOSFET_S_VTH_H_BU+Table7[[#This Row],[I_L]]/TI_MOSFET_S_gFS_H_BU))/3.4, (VGS_S-(TI_MOSFET_S_VTH_L_BO+Table7[[#This Row],[I_L]]/TI_MOSFET_S_gFS_L_BO))/3.4 )</f>
        <v>#REF!</v>
      </c>
      <c r="AQ202" s="152" t="e">
        <f aca="false">IF(VACnom&gt;Vbat, ((TI_MOSFET_S_VTH_H_BU+Table7[[#This Row],[I_L]]/TI_MOSFET_S_gFS_H_BU))/1, ((TI_MOSFET_S_VTH_L_BO+Table7[[#This Row],[I_L]]/TI_MOSFET_S_gFS_L_BO))/1 )</f>
        <v>#REF!</v>
      </c>
      <c r="AR202" s="152" t="e">
        <f aca="false">IF(VACnom&gt;Vbat, (TI_MOSFET_S_QGD_H_BU+TI_MOSFET_S_QGS_H_BU)*10^-9/Table7[[#This Row],[Ion (A)]], (TI_MOSFET_S_QGD_L_BO+TI_MOSFET_S_QGS_L_BO)*10^-9/Table7[[#This Row],[Ion (A)]])/10^-9</f>
        <v>#REF!</v>
      </c>
      <c r="AS202" s="152" t="e">
        <f aca="false">IF(VACnom&gt;Vbat, (TI_MOSFET_S_QGD_H_BU+TI_MOSFET_S_QGS_H_BU)*10^-9/Table7[[#This Row],[Ioff (A)]], (TI_MOSFET_S_QGD_L_BO+TI_MOSFET_S_QGS_L_BO)*10^-9/Table7[[#This Row],[Ioff (A)]])/10^-9</f>
        <v>#REF!</v>
      </c>
      <c r="AT202" s="152" t="e">
        <f aca="false">0.5*VACnom*Table7[[#This Row],[Ivalley (A)]]*Table7[[#This Row],[ton (ns)]]*10^-9*Fsw*10^3+0.5*VACnom*Table7[[#This Row],[Ipeak (A)]]*Table7[[#This Row],[toff (ns)]]*10^-9*Fsw*10^3/10^-3</f>
        <v>#REF!</v>
      </c>
      <c r="AU202" s="152" t="e">
        <f aca="false">IF(VACnom&gt;Vbat, 0.5*VACnom*TI_MOSFET_S_QOSS_H_BU*10^-9*Fsw*10^3,0.5*VACnom*TI_MOSFET_S_QOSS_L_BO*10^-9*Fsw*10^3)/10^-3</f>
        <v>#REF!</v>
      </c>
      <c r="AV202" s="152" t="e">
        <f aca="false">IF(VACnom&gt;Vbat, VACnom*TI_MOSFET_S_QG_H_BU*10^-9*Fsw*10^3,VACnom*TI_MOSFET_S_QG_H_BO*10^-9*Fsw*10^3)/10^-3</f>
        <v>#REF!</v>
      </c>
      <c r="AW202" s="152" t="e">
        <f aca="false">IF(VACnom&gt;Vbat, VACnom*TI_MOSFET_S_QRR_L_BU*10^-9*Fsw*10^3, VACnom*TI_MOSFET_S_QRR_H_BO*10^-9*Fsw*10^3)/10^-3</f>
        <v>#REF!</v>
      </c>
      <c r="AX202" s="152" t="e">
        <f aca="false">IF(VACnom&gt;Vbat, TI_MOSFET_S_VSD_L_BU*Table7[[#This Row],[Ivalley (A)]]*Fsw*10^3*40*10^-9+TI_MOSFET_S_VSD_L_BU*Table7[[#This Row],[Ipeak (A)]]*Fsw*10^3*30*10^-9, TI_MOSFET_S_VSD_H_BO*Table7[[#This Row],[Ivalley (A)]]*Fsw*10^3*40*10^-9+TI_MOSFET_S_VSD_H_BO*Table7[[#This Row],[Ipeak (A)]]*Fsw*10^3*30*10^-9)/10^-3</f>
        <v>#REF!</v>
      </c>
      <c r="AY202" s="152" t="e">
        <f aca="false">IF(VACnom&gt;Vbat, VACnom*TI_MOSFET_S_QG_L_BU*10^-9*Fsw*10^3, VACnom*TI_MOSFET_S_QG_L_BO*10^-9*Fsw*10^3)/10^-3</f>
        <v>#REF!</v>
      </c>
      <c r="AZ202" s="152" t="e">
        <f aca="false">IF(VACnom&lt;Vbat, Table7[[#This Row],[Duty Cycle]]*Table7[[#This Row],[I_L RMS]]^2*TI_MOSFET_S_RDSON_H_BU*10^-3, (1-Table7[[#This Row],[Duty Cycle]])*Table7[[#This Row],[I_L RMS]]^2*TI_MOSFET_S_RDSON_H_BO*10^-3)/10^-3</f>
        <v>#REF!</v>
      </c>
      <c r="BA202" s="152" t="e">
        <f aca="false">IF(VACnom&gt;Vbat, Table7[[#This Row],[PIV (mW)]]+Table7[[#This Row],[Pqoss (mW)]]+Table7[[#This Row],[Pgate_top (mW)]], Table7[[#This Row],[PRR (mW)]]+Table7[[#This Row],[Pdead (mW)]]+Table7[[#This Row],[Pgate_top (mW)]])</f>
        <v>#REF!</v>
      </c>
      <c r="BB202" s="152" t="e">
        <f aca="false">Table7[[#This Row],[Pcon_top (mW)]]+Table7[[#This Row],[Psw_top (mW)]]</f>
        <v>#REF!</v>
      </c>
      <c r="BC202" s="152" t="e">
        <f aca="false">IF(VACnom&gt;Vbat, (1-Table7[[#This Row],[Duty Cycle]])*Table7[[#This Row],[I_L RMS]]^2*TI_MOSFET_S_RDSON_L_BU*10^-3, Table7[[#This Row],[Duty Cycle]]*Table7[[#This Row],[I_L RMS]]^2*TI_MOSFET_S_RDSON_L_BO*10^-3)/10^-3</f>
        <v>#REF!</v>
      </c>
      <c r="BD202" s="152" t="e">
        <f aca="false">IF(VACnom&gt;Vbat, Table7[[#This Row],[PRR (mW)]]+Table7[[#This Row],[Pdead (mW)]]+Table7[[#This Row],[Pgate_bottom (mW)]], Table7[[#This Row],[PIV (mW)]]+Table7[[#This Row],[Pqoss (mW)]]+Table7[[#This Row],[Pgate_bottom (mW)]])</f>
        <v>#REF!</v>
      </c>
      <c r="BE202" s="154" t="e">
        <f aca="false">Table7[[#This Row],[Pcon_bottom (mW)]]+Table7[[#This Row],[Psw_bottom (mW)]]</f>
        <v>#REF!</v>
      </c>
      <c r="BF202" s="152" t="e">
        <f aca="false">Table7[[#This Row],[Pbottom (mW)]]+Table7[[#This Row],[Ptop (mW)]]</f>
        <v>#REF!</v>
      </c>
      <c r="BG202" s="155"/>
      <c r="BH202" s="152" t="n">
        <f aca="false">MAX(0,Table7[[#This Row],[I_L]]-0.5*Table7[[#This Row],[I_L pkpk]])</f>
        <v>4.68714285714286</v>
      </c>
      <c r="BI202" s="152" t="n">
        <f aca="false">Table7[[#This Row],[I_L]]+0.5*Table7[[#This Row],[I_L pkpk]]</f>
        <v>4.97285714285714</v>
      </c>
      <c r="BJ202" s="152" t="n">
        <f aca="false">IF(VACnom&gt;Vbat, (VGS_S-(C_MOSFET_S_VTH_H_BU+Table7[[#This Row],[I_L]]/C_MOSFET_S_gFS_H_BU))/3.4, (VGS_S-(C_MOSFET_S_VTH_L_BO+Table7[[#This Row],[I_L]]/C_MOSFET_S_gFS_L_BO))/3.4 )</f>
        <v>2.34347058823529</v>
      </c>
      <c r="BK202" s="152" t="n">
        <f aca="false">IF(VACnom&gt;Vbat, ((C_MOSFET_S_VTH_H_BU+Table7[[#This Row],[I_L]]/C_MOSFET_S_gFS_H_BU))/1, ((C_MOSFET_S_VTH_L_BO+Table7[[#This Row],[I_L]]/C_MOSFET_S_gFS_L_BO))/1 )</f>
        <v>2.0322</v>
      </c>
      <c r="BL202" s="152" t="n">
        <f aca="false">IF(VACnom&gt;Vbat, (C_MOSFET_S_QGD_H_BU+C_MOSFET_S_QGS_H_BU)*10^-9/Table7[[#This Row],[Ion (A) C]], (C_MOSFET_S_QGD_L_BO+C_MOSFET_S_QGS_L_BO)*10^-9/Table7[[#This Row],[Ion (A) C]])/10^-9</f>
        <v>2.7736639975903</v>
      </c>
      <c r="BM202" s="152" t="n">
        <f aca="false">IF(VACnom&gt;Vbat, (C_MOSFET_S_QGD_H_BU+C_MOSFET_S_QGS_H_BU)*10^-9/Table7[[#This Row],[Ioff (A) C]], (C_MOSFET_S_QGD_L_BO+C_MOSFET_S_QGS_L_BO)*10^-9/Table7[[#This Row],[Ioff (A) C]])/10^-9</f>
        <v>3.19850408424368</v>
      </c>
      <c r="BN202" s="152" t="n">
        <f aca="false">0.5*VACnom*Table7[[#This Row],[Ivalley (A) C]]*Table7[[#This Row],[ton (ns) C]]*10^-9*Fsw*10^3+0.5*VACnom*Table7[[#This Row],[Ipeak (A) C]]*Table7[[#This Row],[toff (ns) C]]*10^-9*Fsw*10^3/10^-3</f>
        <v>19.10244532942</v>
      </c>
      <c r="BO202" s="152" t="n">
        <f aca="false">IF(VACnom&gt;Vbat, 0.5*VACnom*C_MOSFET_S_QOSS_H_BU*10^-9*Fsw*10^3,0.5*VACnom*C_MOSFET_S_QOSS_L_BO*10^-9*Fsw*10^3)/10^-3</f>
        <v>43.2</v>
      </c>
      <c r="BP202" s="152" t="e">
        <f aca="false">IF(VACnom&gt;Vbat, VACnom*C_MOSFET_S_QG_H_BU*10^-9*Fsw*10^3,VACnom*C_MOSFET_S_QG_H_BO*10^-9*Fsw*10^3)/10^-3</f>
        <v>#REF!</v>
      </c>
      <c r="BQ202" s="152" t="n">
        <f aca="false">IF(VACnom&gt;Vbat, VACnom*C_MOSFET_S_QRR_L_BU*10^-9*Fsw*10^3, VACnom*C_MOSFET_S_QRR_H_BO*10^-9*Fsw*10^3)/10^-3</f>
        <v>79.2</v>
      </c>
      <c r="BR202" s="152" t="n">
        <f aca="false">IF(VACnom&gt;Vbat, C_MOSFET_S_VSD_L_BU*Table7[[#This Row],[Ivalley (A) C]]*Fsw*10^3*40*10^-9+C_MOSFET_S_VSD_L_BU*Table7[[#This Row],[Ipeak (A) C]]*Fsw*10^3*30*10^-9, C_MOSFET_S_VSD_H_BO*Table7[[#This Row],[Ivalley (A) C]]*Fsw*10^3*40*10^-9+C_MOSFET_S_VSD_H_BO*Table7[[#This Row],[Ipeak (A) C]]*Fsw*10^3*30*10^-9)/10^-3</f>
        <v>53.8674285714286</v>
      </c>
      <c r="BS202" s="152" t="e">
        <f aca="false">IF(VACnom&gt;Vbat, VACnom*C_MOSFET_S_QG_L_BU*10^-9*Fsw*10^3, VACnom*C_MOSFET_S_QG_L_BO*10^-9*Fsw*10^3)/10^-3</f>
        <v>#REF!</v>
      </c>
      <c r="BT202" s="152" t="n">
        <f aca="false">IF(VACnom&lt;Vbat, Table7[[#This Row],[Duty Cycle]]*Table7[[#This Row],[I_L RMS]]^2*C_MOSFET_S_RDSON_H_BU*10^-3, (1-Table7[[#This Row],[Duty Cycle]])*Table7[[#This Row],[I_L RMS]]^2*C_MOSFET_S_RDSON_H_BO*10^-3)/10^-3</f>
        <v>6.33397645286686</v>
      </c>
      <c r="BU202" s="152" t="e">
        <f aca="false">IF(VACnom&gt;Vbat, Table7[[#This Row],[PIV (mW) C]]+Table7[[#This Row],[PQoss (mW) C]]+Table7[[#This Row],[Pgate_top (mW) C]], Table7[[#This Row],[PRR (mW) C]]+Table7[[#This Row],[Pdead (mW) C]]+Table7[[#This Row],[Pgate_top (mW) C]])</f>
        <v>#REF!</v>
      </c>
      <c r="BV202" s="152" t="e">
        <f aca="false">Table7[[#This Row],[Pcon_top (mW) C]]+Table7[[#This Row],[Psw_top (mW) C]]</f>
        <v>#REF!</v>
      </c>
      <c r="BW202" s="152" t="e">
        <f aca="false">IF(VACnom&gt;Vbat, (1-Table7[[#This Row],[Duty Cycle]])*Table7[[#This Row],[I_L RMS]]^2*C_MOSFET_S_RDSON_L_BU*10^-3, Table7[[#This Row],[Duty Cycle]]*Table7[[#This Row],[I_L RMS]]^2*C_MOSFET_S_RDSON_L_BO*10^-3)/10^-3</f>
        <v>#REF!</v>
      </c>
      <c r="BX202" s="152" t="e">
        <f aca="false">IF(VACnom&gt;Vbat, Table7[[#This Row],[PRR (mW) C]]+Table7[[#This Row],[Pdead (mW) C]]+Table7[[#This Row],[Pgate_bottom (mW) C]], Table7[[#This Row],[PIV (mW) C]]+Table7[[#This Row],[PQoss (mW) C]]+Table7[[#This Row],[Pgate_bottom (mW) C]])</f>
        <v>#REF!</v>
      </c>
      <c r="BY202" s="152" t="e">
        <f aca="false">Table7[[#This Row],[Pcon_bottom (mW) C]]+Table7[[#This Row],[Psw_bottom (mV) C]]</f>
        <v>#REF!</v>
      </c>
      <c r="BZ202" s="152" t="e">
        <f aca="false">Table7[[#This Row],[Pbottom (mW) C]]+Table7[[#This Row],[Ptop (mW) C]]</f>
        <v>#REF!</v>
      </c>
      <c r="CA202" s="156"/>
      <c r="CB202" s="151" t="n">
        <f aca="false">(RAC_SNS*10^-3*(Table7[[#This Row],[IOUT (A)]]*Vbat/VACnom)^2/10^-3)</f>
        <v>116.6445</v>
      </c>
      <c r="CC202" s="151" t="n">
        <f aca="false">(RBAT_SNS*10^-3*Table7[[#This Row],[IOUT (A)]]^2)/10^-3</f>
        <v>105.8</v>
      </c>
      <c r="CD202" s="151" t="n">
        <f aca="false">IF(VACnom&gt;Vbat,(L_DRC*10^-3*(Table7[[#This Row],[IOUT (A)]])^2/10^-3),(L_DRC*10^-3*(Table7[[#This Row],[IOUT (A)]]*Vbat/VACnom)^2/10^-3))</f>
        <v>279.9468</v>
      </c>
      <c r="CE202" s="157"/>
      <c r="CF202" s="152" t="n">
        <f aca="false">(Table7[[#This Row],[R_AC (mW)]]+Table7[[#This Row],[R_SR (mW)]]+Table7[[#This Row],[Inductor Loss (mW)]])/10^3</f>
        <v>0.5023913</v>
      </c>
      <c r="CG202" s="152" t="e">
        <f aca="false">Table7[[#This Row],[Total TI (mW)]]/10^3</f>
        <v>#REF!</v>
      </c>
      <c r="CH202" s="152" t="e">
        <f aca="false">Table7[[#This Row],[Total Sense Loss]]+Table7[[#This Row],[Total MOSFET Loss]]</f>
        <v>#REF!</v>
      </c>
      <c r="CI202" s="158" t="e">
        <f aca="false">IF(Table7[[#This Row],[POUT (W)]]=0,0,(Table7[[#This Row],[POUT (W)]])/(Table7[[#This Row],[POUT (W)]]+Table7[[#This Row],[Total Power Loss (W)]]))*100</f>
        <v>#REF!</v>
      </c>
      <c r="CJ202" s="159"/>
      <c r="CK202" s="152" t="n">
        <f aca="false">(Table7[[#This Row],[R_AC (mW)]]+Table7[[#This Row],[R_SR (mW)]]+Table7[[#This Row],[Inductor Loss (mW)]])/10^3</f>
        <v>0.5023913</v>
      </c>
      <c r="CL202" s="152" t="e">
        <f aca="false">Table7[[#This Row],[Total (mW) C]]/10^3</f>
        <v>#REF!</v>
      </c>
      <c r="CM202" s="152" t="e">
        <f aca="false">Table7[[#This Row],[Total Sense Loss C]]+Table7[[#This Row],[Total MOSFET Loss C]]</f>
        <v>#REF!</v>
      </c>
      <c r="CN202" s="158" t="e">
        <f aca="false">IF(Table7[[#This Row],[POUT (W)]]=0,0,(Table7[[#This Row],[POUT (W)]])/(Table7[[#This Row],[POUT (W)]]+Table7[[#This Row],[Total Power Loss (W) C]]))*100</f>
        <v>#REF!</v>
      </c>
      <c r="CO202" s="159"/>
      <c r="CP202" s="158" t="n">
        <f aca="false">IF(MOSFET_S=Custom_MOSFET,Table7[[#This Row],[Total Sense Loss C]],Table7[[#This Row],[Total Sense Loss]])</f>
        <v>0.5023913</v>
      </c>
      <c r="CQ202" s="158" t="e">
        <f aca="false">IF(MOSFET_S=Custom_MOSFET,Table7[[#This Row],[Total MOSFET Loss C]],Table7[[#This Row],[Total MOSFET Loss]])</f>
        <v>#REF!</v>
      </c>
      <c r="CR202" s="158" t="e">
        <f aca="false">IF(MOSFET_S=Custom_MOSFET,Table7[[#This Row],[Efficiency C]],Table7[[#This Row],[Efficiency]])</f>
        <v>#REF!</v>
      </c>
      <c r="CS202" s="159"/>
      <c r="CT202" s="158" t="n">
        <f aca="false">IF(MOSFET_S=Compare_MOSFET, Table7[[#This Row],[Total Sense Loss C]], -100)</f>
        <v>-100</v>
      </c>
      <c r="CU202" s="158" t="n">
        <f aca="false">IF(MOSFET_S=Compare_MOSFET, Table7[[#This Row],[Total MOSFET Loss C]], -100)</f>
        <v>-100</v>
      </c>
      <c r="CV202" s="158" t="n">
        <f aca="false">IF(MOSFET_S=Compare_MOSFET, Table7[[#This Row],[Efficiency C]], -100)</f>
        <v>-100</v>
      </c>
      <c r="CW202" s="159"/>
      <c r="CX202" s="158" t="e">
        <f aca="false">IF(Save_Sel=CLR_Save,  Table7[[#This Row],[Total Sense Loss P1]], Table7[[#This Row],[Total Sense Loss P1 Saved]])</f>
        <v>#VALUE!</v>
      </c>
      <c r="CY202" s="158" t="e">
        <f aca="false">IF(Save_Sel=CLR_Save,  Table7[[#This Row],[Total MOSFET Loss P1]], Table7[[#This Row],[Total MOSFET Loss P1 Saved]] )</f>
        <v>#VALUE!</v>
      </c>
      <c r="CZ202" s="158" t="e">
        <f aca="false">IF(Save_Sel=CLR_Save, Table7[[#This Row],[Efficiency P1]], Table7[[#This Row],[Efficiency P1 Saved]])</f>
        <v>#VALUE!</v>
      </c>
      <c r="DA202" s="159"/>
      <c r="DB202" s="158" t="e">
        <f aca="false">IF(Save_Sel=CLR_Save,  Table7[[#This Row],[Total Sense Loss P2]], Table7[[#This Row],[Total Sense Loss P2 Saved]])</f>
        <v>#VALUE!</v>
      </c>
      <c r="DC202" s="158" t="e">
        <f aca="false">IF(Save_Sel=CLR_Save,  Table7[[#This Row],[Total MOSFET Loss P2]], Table7[[#This Row],[Total MOSFET Loss P2 Saved]] )</f>
        <v>#VALUE!</v>
      </c>
      <c r="DD202" s="158" t="e">
        <f aca="false">IF(Save_Sel=CLR_Save, Table7[[#This Row],[Efficiency P2]], Table7[[#This Row],[Efficiency P2 Saved]])</f>
        <v>#VALUE!</v>
      </c>
      <c r="DE202" s="159"/>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row>
    <row r="203" customFormat="false" ht="16.4" hidden="false" customHeight="false" outlineLevel="0" collapsed="false">
      <c r="A203" s="28"/>
      <c r="B203" s="84"/>
      <c r="C203" s="84"/>
      <c r="D203" s="28"/>
      <c r="E203" s="168"/>
      <c r="F203" s="168"/>
      <c r="G203" s="84"/>
      <c r="H203" s="24"/>
      <c r="I203" s="24"/>
      <c r="J203" s="24"/>
      <c r="K203" s="24"/>
      <c r="L203" s="24"/>
      <c r="M203" s="24"/>
      <c r="N203" s="24"/>
      <c r="O203" s="24"/>
      <c r="P203" s="24"/>
      <c r="Q203" s="24"/>
      <c r="R203" s="24"/>
      <c r="S203" s="25"/>
      <c r="T203" s="6"/>
      <c r="U203" s="7"/>
      <c r="V203" s="7"/>
      <c r="W203" s="7"/>
      <c r="X203" s="7"/>
      <c r="Y203" s="7"/>
      <c r="Z203" s="7"/>
      <c r="AA203" s="7"/>
      <c r="AB203" s="7"/>
      <c r="AC203" s="7"/>
      <c r="AD203" s="7"/>
      <c r="AE203" s="7"/>
      <c r="AF203" s="150" t="n">
        <f aca="false">AF202+1</f>
        <v>47</v>
      </c>
      <c r="AG203" s="150" t="n">
        <f aca="false">$AG$156+AF203*($AG$256-$AG$156)/$AF$256</f>
        <v>4.7</v>
      </c>
      <c r="AH203" s="151" t="n">
        <f aca="false">AG203*VACnom</f>
        <v>56.4</v>
      </c>
      <c r="AI203" s="152" t="n">
        <f aca="false">IF(VACnom&lt;Vbat, (Vbat-VACnom)/Vbat, Vbat/VACnom)</f>
        <v>0.0476190476190476</v>
      </c>
      <c r="AJ203" s="152" t="n">
        <f aca="false">IF(VACnom&lt;Vbat, AG203/(1-AI203), AG203*AI203)</f>
        <v>4.935</v>
      </c>
      <c r="AK203" s="152" t="n">
        <f aca="false">Ipkpk_VACnom</f>
        <v>0.285714285714285</v>
      </c>
      <c r="AL203" s="152" t="n">
        <f aca="false">SQRT(AJ203^2+AK203^2/12)</f>
        <v>4.93568918400343</v>
      </c>
      <c r="AM203" s="153"/>
      <c r="AN203" s="152" t="n">
        <f aca="false">MAX(0,Table7[[#This Row],[I_L]]-0.5*Table7[[#This Row],[I_L pkpk]])</f>
        <v>4.79214285714286</v>
      </c>
      <c r="AO203" s="152" t="n">
        <f aca="false">Table7[[#This Row],[I_L]]+0.5*Table7[[#This Row],[I_L pkpk]]</f>
        <v>5.07785714285714</v>
      </c>
      <c r="AP203" s="152" t="e">
        <f aca="false">IF(VACnom&gt;Vbat, (VGS_S-(TI_MOSFET_S_VTH_H_BU+Table7[[#This Row],[I_L]]/TI_MOSFET_S_gFS_H_BU))/3.4, (VGS_S-(TI_MOSFET_S_VTH_L_BO+Table7[[#This Row],[I_L]]/TI_MOSFET_S_gFS_L_BO))/3.4 )</f>
        <v>#REF!</v>
      </c>
      <c r="AQ203" s="152" t="e">
        <f aca="false">IF(VACnom&gt;Vbat, ((TI_MOSFET_S_VTH_H_BU+Table7[[#This Row],[I_L]]/TI_MOSFET_S_gFS_H_BU))/1, ((TI_MOSFET_S_VTH_L_BO+Table7[[#This Row],[I_L]]/TI_MOSFET_S_gFS_L_BO))/1 )</f>
        <v>#REF!</v>
      </c>
      <c r="AR203" s="152" t="e">
        <f aca="false">IF(VACnom&gt;Vbat, (TI_MOSFET_S_QGD_H_BU+TI_MOSFET_S_QGS_H_BU)*10^-9/Table7[[#This Row],[Ion (A)]], (TI_MOSFET_S_QGD_L_BO+TI_MOSFET_S_QGS_L_BO)*10^-9/Table7[[#This Row],[Ion (A)]])/10^-9</f>
        <v>#REF!</v>
      </c>
      <c r="AS203" s="152" t="e">
        <f aca="false">IF(VACnom&gt;Vbat, (TI_MOSFET_S_QGD_H_BU+TI_MOSFET_S_QGS_H_BU)*10^-9/Table7[[#This Row],[Ioff (A)]], (TI_MOSFET_S_QGD_L_BO+TI_MOSFET_S_QGS_L_BO)*10^-9/Table7[[#This Row],[Ioff (A)]])/10^-9</f>
        <v>#REF!</v>
      </c>
      <c r="AT203" s="152" t="e">
        <f aca="false">0.5*VACnom*Table7[[#This Row],[Ivalley (A)]]*Table7[[#This Row],[ton (ns)]]*10^-9*Fsw*10^3+0.5*VACnom*Table7[[#This Row],[Ipeak (A)]]*Table7[[#This Row],[toff (ns)]]*10^-9*Fsw*10^3/10^-3</f>
        <v>#REF!</v>
      </c>
      <c r="AU203" s="152" t="e">
        <f aca="false">IF(VACnom&gt;Vbat, 0.5*VACnom*TI_MOSFET_S_QOSS_H_BU*10^-9*Fsw*10^3,0.5*VACnom*TI_MOSFET_S_QOSS_L_BO*10^-9*Fsw*10^3)/10^-3</f>
        <v>#REF!</v>
      </c>
      <c r="AV203" s="152" t="e">
        <f aca="false">IF(VACnom&gt;Vbat, VACnom*TI_MOSFET_S_QG_H_BU*10^-9*Fsw*10^3,VACnom*TI_MOSFET_S_QG_H_BO*10^-9*Fsw*10^3)/10^-3</f>
        <v>#REF!</v>
      </c>
      <c r="AW203" s="152" t="e">
        <f aca="false">IF(VACnom&gt;Vbat, VACnom*TI_MOSFET_S_QRR_L_BU*10^-9*Fsw*10^3, VACnom*TI_MOSFET_S_QRR_H_BO*10^-9*Fsw*10^3)/10^-3</f>
        <v>#REF!</v>
      </c>
      <c r="AX203" s="152" t="e">
        <f aca="false">IF(VACnom&gt;Vbat, TI_MOSFET_S_VSD_L_BU*Table7[[#This Row],[Ivalley (A)]]*Fsw*10^3*40*10^-9+TI_MOSFET_S_VSD_L_BU*Table7[[#This Row],[Ipeak (A)]]*Fsw*10^3*30*10^-9, TI_MOSFET_S_VSD_H_BO*Table7[[#This Row],[Ivalley (A)]]*Fsw*10^3*40*10^-9+TI_MOSFET_S_VSD_H_BO*Table7[[#This Row],[Ipeak (A)]]*Fsw*10^3*30*10^-9)/10^-3</f>
        <v>#REF!</v>
      </c>
      <c r="AY203" s="152" t="e">
        <f aca="false">IF(VACnom&gt;Vbat, VACnom*TI_MOSFET_S_QG_L_BU*10^-9*Fsw*10^3, VACnom*TI_MOSFET_S_QG_L_BO*10^-9*Fsw*10^3)/10^-3</f>
        <v>#REF!</v>
      </c>
      <c r="AZ203" s="152" t="e">
        <f aca="false">IF(VACnom&lt;Vbat, Table7[[#This Row],[Duty Cycle]]*Table7[[#This Row],[I_L RMS]]^2*TI_MOSFET_S_RDSON_H_BU*10^-3, (1-Table7[[#This Row],[Duty Cycle]])*Table7[[#This Row],[I_L RMS]]^2*TI_MOSFET_S_RDSON_H_BO*10^-3)/10^-3</f>
        <v>#REF!</v>
      </c>
      <c r="BA203" s="152" t="e">
        <f aca="false">IF(VACnom&gt;Vbat, Table7[[#This Row],[PIV (mW)]]+Table7[[#This Row],[Pqoss (mW)]]+Table7[[#This Row],[Pgate_top (mW)]], Table7[[#This Row],[PRR (mW)]]+Table7[[#This Row],[Pdead (mW)]]+Table7[[#This Row],[Pgate_top (mW)]])</f>
        <v>#REF!</v>
      </c>
      <c r="BB203" s="152" t="e">
        <f aca="false">Table7[[#This Row],[Pcon_top (mW)]]+Table7[[#This Row],[Psw_top (mW)]]</f>
        <v>#REF!</v>
      </c>
      <c r="BC203" s="152" t="e">
        <f aca="false">IF(VACnom&gt;Vbat, (1-Table7[[#This Row],[Duty Cycle]])*Table7[[#This Row],[I_L RMS]]^2*TI_MOSFET_S_RDSON_L_BU*10^-3, Table7[[#This Row],[Duty Cycle]]*Table7[[#This Row],[I_L RMS]]^2*TI_MOSFET_S_RDSON_L_BO*10^-3)/10^-3</f>
        <v>#REF!</v>
      </c>
      <c r="BD203" s="152" t="e">
        <f aca="false">IF(VACnom&gt;Vbat, Table7[[#This Row],[PRR (mW)]]+Table7[[#This Row],[Pdead (mW)]]+Table7[[#This Row],[Pgate_bottom (mW)]], Table7[[#This Row],[PIV (mW)]]+Table7[[#This Row],[Pqoss (mW)]]+Table7[[#This Row],[Pgate_bottom (mW)]])</f>
        <v>#REF!</v>
      </c>
      <c r="BE203" s="154" t="e">
        <f aca="false">Table7[[#This Row],[Pcon_bottom (mW)]]+Table7[[#This Row],[Psw_bottom (mW)]]</f>
        <v>#REF!</v>
      </c>
      <c r="BF203" s="152" t="e">
        <f aca="false">Table7[[#This Row],[Pbottom (mW)]]+Table7[[#This Row],[Ptop (mW)]]</f>
        <v>#REF!</v>
      </c>
      <c r="BG203" s="155"/>
      <c r="BH203" s="152" t="n">
        <f aca="false">MAX(0,Table7[[#This Row],[I_L]]-0.5*Table7[[#This Row],[I_L pkpk]])</f>
        <v>4.79214285714286</v>
      </c>
      <c r="BI203" s="152" t="n">
        <f aca="false">Table7[[#This Row],[I_L]]+0.5*Table7[[#This Row],[I_L pkpk]]</f>
        <v>5.07785714285714</v>
      </c>
      <c r="BJ203" s="152" t="n">
        <f aca="false">IF(VACnom&gt;Vbat, (VGS_S-(C_MOSFET_S_VTH_H_BU+Table7[[#This Row],[I_L]]/C_MOSFET_S_gFS_H_BU))/3.4, (VGS_S-(C_MOSFET_S_VTH_L_BO+Table7[[#This Row],[I_L]]/C_MOSFET_S_gFS_L_BO))/3.4 )</f>
        <v>2.34326470588235</v>
      </c>
      <c r="BK203" s="152" t="n">
        <f aca="false">IF(VACnom&gt;Vbat, ((C_MOSFET_S_VTH_H_BU+Table7[[#This Row],[I_L]]/C_MOSFET_S_gFS_H_BU))/1, ((C_MOSFET_S_VTH_L_BO+Table7[[#This Row],[I_L]]/C_MOSFET_S_gFS_L_BO))/1 )</f>
        <v>2.0329</v>
      </c>
      <c r="BL203" s="152" t="n">
        <f aca="false">IF(VACnom&gt;Vbat, (C_MOSFET_S_QGD_H_BU+C_MOSFET_S_QGS_H_BU)*10^-9/Table7[[#This Row],[Ion (A) C]], (C_MOSFET_S_QGD_L_BO+C_MOSFET_S_QGS_L_BO)*10^-9/Table7[[#This Row],[Ion (A) C]])/10^-9</f>
        <v>2.77390769539732</v>
      </c>
      <c r="BM203" s="152" t="n">
        <f aca="false">IF(VACnom&gt;Vbat, (C_MOSFET_S_QGD_H_BU+C_MOSFET_S_QGS_H_BU)*10^-9/Table7[[#This Row],[Ioff (A) C]], (C_MOSFET_S_QGD_L_BO+C_MOSFET_S_QGS_L_BO)*10^-9/Table7[[#This Row],[Ioff (A) C]])/10^-9</f>
        <v>3.19740272517094</v>
      </c>
      <c r="BN203" s="152" t="n">
        <f aca="false">0.5*VACnom*Table7[[#This Row],[Ivalley (A) C]]*Table7[[#This Row],[ton (ns) C]]*10^-9*Fsw*10^3+0.5*VACnom*Table7[[#This Row],[Ipeak (A) C]]*Table7[[#This Row],[toff (ns) C]]*10^-9*Fsw*10^3/10^-3</f>
        <v>19.4990966742588</v>
      </c>
      <c r="BO203" s="152" t="n">
        <f aca="false">IF(VACnom&gt;Vbat, 0.5*VACnom*C_MOSFET_S_QOSS_H_BU*10^-9*Fsw*10^3,0.5*VACnom*C_MOSFET_S_QOSS_L_BO*10^-9*Fsw*10^3)/10^-3</f>
        <v>43.2</v>
      </c>
      <c r="BP203" s="152" t="e">
        <f aca="false">IF(VACnom&gt;Vbat, VACnom*C_MOSFET_S_QG_H_BU*10^-9*Fsw*10^3,VACnom*C_MOSFET_S_QG_H_BO*10^-9*Fsw*10^3)/10^-3</f>
        <v>#REF!</v>
      </c>
      <c r="BQ203" s="152" t="n">
        <f aca="false">IF(VACnom&gt;Vbat, VACnom*C_MOSFET_S_QRR_L_BU*10^-9*Fsw*10^3, VACnom*C_MOSFET_S_QRR_H_BO*10^-9*Fsw*10^3)/10^-3</f>
        <v>79.2</v>
      </c>
      <c r="BR203" s="152" t="n">
        <f aca="false">IF(VACnom&gt;Vbat, C_MOSFET_S_VSD_L_BU*Table7[[#This Row],[Ivalley (A) C]]*Fsw*10^3*40*10^-9+C_MOSFET_S_VSD_L_BU*Table7[[#This Row],[Ipeak (A) C]]*Fsw*10^3*30*10^-9, C_MOSFET_S_VSD_H_BO*Table7[[#This Row],[Ivalley (A) C]]*Fsw*10^3*40*10^-9+C_MOSFET_S_VSD_H_BO*Table7[[#This Row],[Ipeak (A) C]]*Fsw*10^3*30*10^-9)/10^-3</f>
        <v>55.0434285714286</v>
      </c>
      <c r="BS203" s="152" t="e">
        <f aca="false">IF(VACnom&gt;Vbat, VACnom*C_MOSFET_S_QG_L_BU*10^-9*Fsw*10^3, VACnom*C_MOSFET_S_QG_L_BO*10^-9*Fsw*10^3)/10^-3</f>
        <v>#REF!</v>
      </c>
      <c r="BT203" s="152" t="n">
        <f aca="false">IF(VACnom&lt;Vbat, Table7[[#This Row],[Duty Cycle]]*Table7[[#This Row],[I_L RMS]]^2*C_MOSFET_S_RDSON_H_BU*10^-3, (1-Table7[[#This Row],[Duty Cycle]])*Table7[[#This Row],[I_L RMS]]^2*C_MOSFET_S_RDSON_H_BO*10^-3)/10^-3</f>
        <v>6.61227895286686</v>
      </c>
      <c r="BU203" s="152" t="e">
        <f aca="false">IF(VACnom&gt;Vbat, Table7[[#This Row],[PIV (mW) C]]+Table7[[#This Row],[PQoss (mW) C]]+Table7[[#This Row],[Pgate_top (mW) C]], Table7[[#This Row],[PRR (mW) C]]+Table7[[#This Row],[Pdead (mW) C]]+Table7[[#This Row],[Pgate_top (mW) C]])</f>
        <v>#REF!</v>
      </c>
      <c r="BV203" s="152" t="e">
        <f aca="false">Table7[[#This Row],[Pcon_top (mW) C]]+Table7[[#This Row],[Psw_top (mW) C]]</f>
        <v>#REF!</v>
      </c>
      <c r="BW203" s="152" t="e">
        <f aca="false">IF(VACnom&gt;Vbat, (1-Table7[[#This Row],[Duty Cycle]])*Table7[[#This Row],[I_L RMS]]^2*C_MOSFET_S_RDSON_L_BU*10^-3, Table7[[#This Row],[Duty Cycle]]*Table7[[#This Row],[I_L RMS]]^2*C_MOSFET_S_RDSON_L_BO*10^-3)/10^-3</f>
        <v>#REF!</v>
      </c>
      <c r="BX203" s="152" t="e">
        <f aca="false">IF(VACnom&gt;Vbat, Table7[[#This Row],[PRR (mW) C]]+Table7[[#This Row],[Pdead (mW) C]]+Table7[[#This Row],[Pgate_bottom (mW) C]], Table7[[#This Row],[PIV (mW) C]]+Table7[[#This Row],[PQoss (mW) C]]+Table7[[#This Row],[Pgate_bottom (mW) C]])</f>
        <v>#REF!</v>
      </c>
      <c r="BY203" s="152" t="e">
        <f aca="false">Table7[[#This Row],[Pcon_bottom (mW) C]]+Table7[[#This Row],[Psw_bottom (mV) C]]</f>
        <v>#REF!</v>
      </c>
      <c r="BZ203" s="152" t="e">
        <f aca="false">Table7[[#This Row],[Pbottom (mW) C]]+Table7[[#This Row],[Ptop (mW) C]]</f>
        <v>#REF!</v>
      </c>
      <c r="CA203" s="156"/>
      <c r="CB203" s="151" t="n">
        <f aca="false">(RAC_SNS*10^-3*(Table7[[#This Row],[IOUT (A)]]*Vbat/VACnom)^2/10^-3)</f>
        <v>121.771125</v>
      </c>
      <c r="CC203" s="151" t="n">
        <f aca="false">(RBAT_SNS*10^-3*Table7[[#This Row],[IOUT (A)]]^2)/10^-3</f>
        <v>110.45</v>
      </c>
      <c r="CD203" s="151" t="n">
        <f aca="false">IF(VACnom&gt;Vbat,(L_DRC*10^-3*(Table7[[#This Row],[IOUT (A)]])^2/10^-3),(L_DRC*10^-3*(Table7[[#This Row],[IOUT (A)]]*Vbat/VACnom)^2/10^-3))</f>
        <v>292.2507</v>
      </c>
      <c r="CE203" s="157"/>
      <c r="CF203" s="152" t="n">
        <f aca="false">(Table7[[#This Row],[R_AC (mW)]]+Table7[[#This Row],[R_SR (mW)]]+Table7[[#This Row],[Inductor Loss (mW)]])/10^3</f>
        <v>0.524471825</v>
      </c>
      <c r="CG203" s="152" t="e">
        <f aca="false">Table7[[#This Row],[Total TI (mW)]]/10^3</f>
        <v>#REF!</v>
      </c>
      <c r="CH203" s="152" t="e">
        <f aca="false">Table7[[#This Row],[Total Sense Loss]]+Table7[[#This Row],[Total MOSFET Loss]]</f>
        <v>#REF!</v>
      </c>
      <c r="CI203" s="158" t="e">
        <f aca="false">IF(Table7[[#This Row],[POUT (W)]]=0,0,(Table7[[#This Row],[POUT (W)]])/(Table7[[#This Row],[POUT (W)]]+Table7[[#This Row],[Total Power Loss (W)]]))*100</f>
        <v>#REF!</v>
      </c>
      <c r="CJ203" s="159"/>
      <c r="CK203" s="152" t="n">
        <f aca="false">(Table7[[#This Row],[R_AC (mW)]]+Table7[[#This Row],[R_SR (mW)]]+Table7[[#This Row],[Inductor Loss (mW)]])/10^3</f>
        <v>0.524471825</v>
      </c>
      <c r="CL203" s="152" t="e">
        <f aca="false">Table7[[#This Row],[Total (mW) C]]/10^3</f>
        <v>#REF!</v>
      </c>
      <c r="CM203" s="152" t="e">
        <f aca="false">Table7[[#This Row],[Total Sense Loss C]]+Table7[[#This Row],[Total MOSFET Loss C]]</f>
        <v>#REF!</v>
      </c>
      <c r="CN203" s="158" t="e">
        <f aca="false">IF(Table7[[#This Row],[POUT (W)]]=0,0,(Table7[[#This Row],[POUT (W)]])/(Table7[[#This Row],[POUT (W)]]+Table7[[#This Row],[Total Power Loss (W) C]]))*100</f>
        <v>#REF!</v>
      </c>
      <c r="CO203" s="159"/>
      <c r="CP203" s="158" t="n">
        <f aca="false">IF(MOSFET_S=Custom_MOSFET,Table7[[#This Row],[Total Sense Loss C]],Table7[[#This Row],[Total Sense Loss]])</f>
        <v>0.524471825</v>
      </c>
      <c r="CQ203" s="158" t="e">
        <f aca="false">IF(MOSFET_S=Custom_MOSFET,Table7[[#This Row],[Total MOSFET Loss C]],Table7[[#This Row],[Total MOSFET Loss]])</f>
        <v>#REF!</v>
      </c>
      <c r="CR203" s="158" t="e">
        <f aca="false">IF(MOSFET_S=Custom_MOSFET,Table7[[#This Row],[Efficiency C]],Table7[[#This Row],[Efficiency]])</f>
        <v>#REF!</v>
      </c>
      <c r="CS203" s="159"/>
      <c r="CT203" s="158" t="n">
        <f aca="false">IF(MOSFET_S=Compare_MOSFET, Table7[[#This Row],[Total Sense Loss C]], -100)</f>
        <v>-100</v>
      </c>
      <c r="CU203" s="158" t="n">
        <f aca="false">IF(MOSFET_S=Compare_MOSFET, Table7[[#This Row],[Total MOSFET Loss C]], -100)</f>
        <v>-100</v>
      </c>
      <c r="CV203" s="158" t="n">
        <f aca="false">IF(MOSFET_S=Compare_MOSFET, Table7[[#This Row],[Efficiency C]], -100)</f>
        <v>-100</v>
      </c>
      <c r="CW203" s="159"/>
      <c r="CX203" s="158" t="e">
        <f aca="false">IF(Save_Sel=CLR_Save,  Table7[[#This Row],[Total Sense Loss P1]], Table7[[#This Row],[Total Sense Loss P1 Saved]])</f>
        <v>#VALUE!</v>
      </c>
      <c r="CY203" s="158" t="e">
        <f aca="false">IF(Save_Sel=CLR_Save,  Table7[[#This Row],[Total MOSFET Loss P1]], Table7[[#This Row],[Total MOSFET Loss P1 Saved]] )</f>
        <v>#VALUE!</v>
      </c>
      <c r="CZ203" s="158" t="e">
        <f aca="false">IF(Save_Sel=CLR_Save, Table7[[#This Row],[Efficiency P1]], Table7[[#This Row],[Efficiency P1 Saved]])</f>
        <v>#VALUE!</v>
      </c>
      <c r="DA203" s="159"/>
      <c r="DB203" s="158" t="e">
        <f aca="false">IF(Save_Sel=CLR_Save,  Table7[[#This Row],[Total Sense Loss P2]], Table7[[#This Row],[Total Sense Loss P2 Saved]])</f>
        <v>#VALUE!</v>
      </c>
      <c r="DC203" s="158" t="e">
        <f aca="false">IF(Save_Sel=CLR_Save,  Table7[[#This Row],[Total MOSFET Loss P2]], Table7[[#This Row],[Total MOSFET Loss P2 Saved]] )</f>
        <v>#VALUE!</v>
      </c>
      <c r="DD203" s="158" t="e">
        <f aca="false">IF(Save_Sel=CLR_Save, Table7[[#This Row],[Efficiency P2]], Table7[[#This Row],[Efficiency P2 Saved]])</f>
        <v>#VALUE!</v>
      </c>
      <c r="DE203" s="159"/>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row>
    <row r="204" customFormat="false" ht="16.4" hidden="false" customHeight="false" outlineLevel="0" collapsed="false">
      <c r="A204" s="28"/>
      <c r="B204" s="84"/>
      <c r="C204" s="84"/>
      <c r="D204" s="28"/>
      <c r="E204" s="168"/>
      <c r="F204" s="168"/>
      <c r="G204" s="84"/>
      <c r="H204" s="24"/>
      <c r="I204" s="24"/>
      <c r="J204" s="24"/>
      <c r="K204" s="24"/>
      <c r="L204" s="24"/>
      <c r="M204" s="24"/>
      <c r="N204" s="24"/>
      <c r="O204" s="24"/>
      <c r="P204" s="24"/>
      <c r="Q204" s="24"/>
      <c r="R204" s="24"/>
      <c r="S204" s="25"/>
      <c r="T204" s="6"/>
      <c r="U204" s="7"/>
      <c r="V204" s="7"/>
      <c r="W204" s="7"/>
      <c r="X204" s="7"/>
      <c r="Y204" s="7"/>
      <c r="Z204" s="7"/>
      <c r="AA204" s="7"/>
      <c r="AB204" s="7"/>
      <c r="AC204" s="7"/>
      <c r="AD204" s="7"/>
      <c r="AE204" s="7"/>
      <c r="AF204" s="150" t="n">
        <f aca="false">AF203+1</f>
        <v>48</v>
      </c>
      <c r="AG204" s="150" t="n">
        <f aca="false">$AG$156+AF204*($AG$256-$AG$156)/$AF$256</f>
        <v>4.8</v>
      </c>
      <c r="AH204" s="151" t="n">
        <f aca="false">AG204*VACnom</f>
        <v>57.6</v>
      </c>
      <c r="AI204" s="152" t="n">
        <f aca="false">IF(VACnom&lt;Vbat, (Vbat-VACnom)/Vbat, Vbat/VACnom)</f>
        <v>0.0476190476190476</v>
      </c>
      <c r="AJ204" s="152" t="n">
        <f aca="false">IF(VACnom&lt;Vbat, AG204/(1-AI204), AG204*AI204)</f>
        <v>5.04</v>
      </c>
      <c r="AK204" s="152" t="n">
        <f aca="false">Ipkpk_VACnom</f>
        <v>0.285714285714285</v>
      </c>
      <c r="AL204" s="152" t="n">
        <f aca="false">SQRT(AJ204^2+AK204^2/12)</f>
        <v>5.040674827946</v>
      </c>
      <c r="AM204" s="153"/>
      <c r="AN204" s="152" t="n">
        <f aca="false">MAX(0,Table7[[#This Row],[I_L]]-0.5*Table7[[#This Row],[I_L pkpk]])</f>
        <v>4.89714285714286</v>
      </c>
      <c r="AO204" s="152" t="n">
        <f aca="false">Table7[[#This Row],[I_L]]+0.5*Table7[[#This Row],[I_L pkpk]]</f>
        <v>5.18285714285714</v>
      </c>
      <c r="AP204" s="152" t="e">
        <f aca="false">IF(VACnom&gt;Vbat, (VGS_S-(TI_MOSFET_S_VTH_H_BU+Table7[[#This Row],[I_L]]/TI_MOSFET_S_gFS_H_BU))/3.4, (VGS_S-(TI_MOSFET_S_VTH_L_BO+Table7[[#This Row],[I_L]]/TI_MOSFET_S_gFS_L_BO))/3.4 )</f>
        <v>#REF!</v>
      </c>
      <c r="AQ204" s="152" t="e">
        <f aca="false">IF(VACnom&gt;Vbat, ((TI_MOSFET_S_VTH_H_BU+Table7[[#This Row],[I_L]]/TI_MOSFET_S_gFS_H_BU))/1, ((TI_MOSFET_S_VTH_L_BO+Table7[[#This Row],[I_L]]/TI_MOSFET_S_gFS_L_BO))/1 )</f>
        <v>#REF!</v>
      </c>
      <c r="AR204" s="152" t="e">
        <f aca="false">IF(VACnom&gt;Vbat, (TI_MOSFET_S_QGD_H_BU+TI_MOSFET_S_QGS_H_BU)*10^-9/Table7[[#This Row],[Ion (A)]], (TI_MOSFET_S_QGD_L_BO+TI_MOSFET_S_QGS_L_BO)*10^-9/Table7[[#This Row],[Ion (A)]])/10^-9</f>
        <v>#REF!</v>
      </c>
      <c r="AS204" s="152" t="e">
        <f aca="false">IF(VACnom&gt;Vbat, (TI_MOSFET_S_QGD_H_BU+TI_MOSFET_S_QGS_H_BU)*10^-9/Table7[[#This Row],[Ioff (A)]], (TI_MOSFET_S_QGD_L_BO+TI_MOSFET_S_QGS_L_BO)*10^-9/Table7[[#This Row],[Ioff (A)]])/10^-9</f>
        <v>#REF!</v>
      </c>
      <c r="AT204" s="152" t="e">
        <f aca="false">0.5*VACnom*Table7[[#This Row],[Ivalley (A)]]*Table7[[#This Row],[ton (ns)]]*10^-9*Fsw*10^3+0.5*VACnom*Table7[[#This Row],[Ipeak (A)]]*Table7[[#This Row],[toff (ns)]]*10^-9*Fsw*10^3/10^-3</f>
        <v>#REF!</v>
      </c>
      <c r="AU204" s="152" t="e">
        <f aca="false">IF(VACnom&gt;Vbat, 0.5*VACnom*TI_MOSFET_S_QOSS_H_BU*10^-9*Fsw*10^3,0.5*VACnom*TI_MOSFET_S_QOSS_L_BO*10^-9*Fsw*10^3)/10^-3</f>
        <v>#REF!</v>
      </c>
      <c r="AV204" s="152" t="e">
        <f aca="false">IF(VACnom&gt;Vbat, VACnom*TI_MOSFET_S_QG_H_BU*10^-9*Fsw*10^3,VACnom*TI_MOSFET_S_QG_H_BO*10^-9*Fsw*10^3)/10^-3</f>
        <v>#REF!</v>
      </c>
      <c r="AW204" s="152" t="e">
        <f aca="false">IF(VACnom&gt;Vbat, VACnom*TI_MOSFET_S_QRR_L_BU*10^-9*Fsw*10^3, VACnom*TI_MOSFET_S_QRR_H_BO*10^-9*Fsw*10^3)/10^-3</f>
        <v>#REF!</v>
      </c>
      <c r="AX204" s="152" t="e">
        <f aca="false">IF(VACnom&gt;Vbat, TI_MOSFET_S_VSD_L_BU*Table7[[#This Row],[Ivalley (A)]]*Fsw*10^3*40*10^-9+TI_MOSFET_S_VSD_L_BU*Table7[[#This Row],[Ipeak (A)]]*Fsw*10^3*30*10^-9, TI_MOSFET_S_VSD_H_BO*Table7[[#This Row],[Ivalley (A)]]*Fsw*10^3*40*10^-9+TI_MOSFET_S_VSD_H_BO*Table7[[#This Row],[Ipeak (A)]]*Fsw*10^3*30*10^-9)/10^-3</f>
        <v>#REF!</v>
      </c>
      <c r="AY204" s="152" t="e">
        <f aca="false">IF(VACnom&gt;Vbat, VACnom*TI_MOSFET_S_QG_L_BU*10^-9*Fsw*10^3, VACnom*TI_MOSFET_S_QG_L_BO*10^-9*Fsw*10^3)/10^-3</f>
        <v>#REF!</v>
      </c>
      <c r="AZ204" s="152" t="e">
        <f aca="false">IF(VACnom&lt;Vbat, Table7[[#This Row],[Duty Cycle]]*Table7[[#This Row],[I_L RMS]]^2*TI_MOSFET_S_RDSON_H_BU*10^-3, (1-Table7[[#This Row],[Duty Cycle]])*Table7[[#This Row],[I_L RMS]]^2*TI_MOSFET_S_RDSON_H_BO*10^-3)/10^-3</f>
        <v>#REF!</v>
      </c>
      <c r="BA204" s="152" t="e">
        <f aca="false">IF(VACnom&gt;Vbat, Table7[[#This Row],[PIV (mW)]]+Table7[[#This Row],[Pqoss (mW)]]+Table7[[#This Row],[Pgate_top (mW)]], Table7[[#This Row],[PRR (mW)]]+Table7[[#This Row],[Pdead (mW)]]+Table7[[#This Row],[Pgate_top (mW)]])</f>
        <v>#REF!</v>
      </c>
      <c r="BB204" s="152" t="e">
        <f aca="false">Table7[[#This Row],[Pcon_top (mW)]]+Table7[[#This Row],[Psw_top (mW)]]</f>
        <v>#REF!</v>
      </c>
      <c r="BC204" s="152" t="e">
        <f aca="false">IF(VACnom&gt;Vbat, (1-Table7[[#This Row],[Duty Cycle]])*Table7[[#This Row],[I_L RMS]]^2*TI_MOSFET_S_RDSON_L_BU*10^-3, Table7[[#This Row],[Duty Cycle]]*Table7[[#This Row],[I_L RMS]]^2*TI_MOSFET_S_RDSON_L_BO*10^-3)/10^-3</f>
        <v>#REF!</v>
      </c>
      <c r="BD204" s="152" t="e">
        <f aca="false">IF(VACnom&gt;Vbat, Table7[[#This Row],[PRR (mW)]]+Table7[[#This Row],[Pdead (mW)]]+Table7[[#This Row],[Pgate_bottom (mW)]], Table7[[#This Row],[PIV (mW)]]+Table7[[#This Row],[Pqoss (mW)]]+Table7[[#This Row],[Pgate_bottom (mW)]])</f>
        <v>#REF!</v>
      </c>
      <c r="BE204" s="154" t="e">
        <f aca="false">Table7[[#This Row],[Pcon_bottom (mW)]]+Table7[[#This Row],[Psw_bottom (mW)]]</f>
        <v>#REF!</v>
      </c>
      <c r="BF204" s="152" t="e">
        <f aca="false">Table7[[#This Row],[Pbottom (mW)]]+Table7[[#This Row],[Ptop (mW)]]</f>
        <v>#REF!</v>
      </c>
      <c r="BG204" s="155"/>
      <c r="BH204" s="152" t="n">
        <f aca="false">MAX(0,Table7[[#This Row],[I_L]]-0.5*Table7[[#This Row],[I_L pkpk]])</f>
        <v>4.89714285714286</v>
      </c>
      <c r="BI204" s="152" t="n">
        <f aca="false">Table7[[#This Row],[I_L]]+0.5*Table7[[#This Row],[I_L pkpk]]</f>
        <v>5.18285714285714</v>
      </c>
      <c r="BJ204" s="152" t="n">
        <f aca="false">IF(VACnom&gt;Vbat, (VGS_S-(C_MOSFET_S_VTH_H_BU+Table7[[#This Row],[I_L]]/C_MOSFET_S_gFS_H_BU))/3.4, (VGS_S-(C_MOSFET_S_VTH_L_BO+Table7[[#This Row],[I_L]]/C_MOSFET_S_gFS_L_BO))/3.4 )</f>
        <v>2.34305882352941</v>
      </c>
      <c r="BK204" s="152" t="n">
        <f aca="false">IF(VACnom&gt;Vbat, ((C_MOSFET_S_VTH_H_BU+Table7[[#This Row],[I_L]]/C_MOSFET_S_gFS_H_BU))/1, ((C_MOSFET_S_VTH_L_BO+Table7[[#This Row],[I_L]]/C_MOSFET_S_gFS_L_BO))/1 )</f>
        <v>2.0336</v>
      </c>
      <c r="BL204" s="152" t="n">
        <f aca="false">IF(VACnom&gt;Vbat, (C_MOSFET_S_QGD_H_BU+C_MOSFET_S_QGS_H_BU)*10^-9/Table7[[#This Row],[Ion (A) C]], (C_MOSFET_S_QGD_L_BO+C_MOSFET_S_QGS_L_BO)*10^-9/Table7[[#This Row],[Ion (A) C]])/10^-9</f>
        <v>2.77415143603133</v>
      </c>
      <c r="BM204" s="152" t="n">
        <f aca="false">IF(VACnom&gt;Vbat, (C_MOSFET_S_QGD_H_BU+C_MOSFET_S_QGS_H_BU)*10^-9/Table7[[#This Row],[Ioff (A) C]], (C_MOSFET_S_QGD_L_BO+C_MOSFET_S_QGS_L_BO)*10^-9/Table7[[#This Row],[Ioff (A) C]])/10^-9</f>
        <v>3.19630212431157</v>
      </c>
      <c r="BN204" s="152" t="n">
        <f aca="false">0.5*VACnom*Table7[[#This Row],[Ivalley (A) C]]*Table7[[#This Row],[ton (ns) C]]*10^-9*Fsw*10^3+0.5*VACnom*Table7[[#This Row],[Ipeak (A) C]]*Table7[[#This Row],[toff (ns) C]]*10^-9*Fsw*10^3/10^-3</f>
        <v>19.8954752539287</v>
      </c>
      <c r="BO204" s="152" t="n">
        <f aca="false">IF(VACnom&gt;Vbat, 0.5*VACnom*C_MOSFET_S_QOSS_H_BU*10^-9*Fsw*10^3,0.5*VACnom*C_MOSFET_S_QOSS_L_BO*10^-9*Fsw*10^3)/10^-3</f>
        <v>43.2</v>
      </c>
      <c r="BP204" s="152" t="e">
        <f aca="false">IF(VACnom&gt;Vbat, VACnom*C_MOSFET_S_QG_H_BU*10^-9*Fsw*10^3,VACnom*C_MOSFET_S_QG_H_BO*10^-9*Fsw*10^3)/10^-3</f>
        <v>#REF!</v>
      </c>
      <c r="BQ204" s="152" t="n">
        <f aca="false">IF(VACnom&gt;Vbat, VACnom*C_MOSFET_S_QRR_L_BU*10^-9*Fsw*10^3, VACnom*C_MOSFET_S_QRR_H_BO*10^-9*Fsw*10^3)/10^-3</f>
        <v>79.2</v>
      </c>
      <c r="BR204" s="152" t="n">
        <f aca="false">IF(VACnom&gt;Vbat, C_MOSFET_S_VSD_L_BU*Table7[[#This Row],[Ivalley (A) C]]*Fsw*10^3*40*10^-9+C_MOSFET_S_VSD_L_BU*Table7[[#This Row],[Ipeak (A) C]]*Fsw*10^3*30*10^-9, C_MOSFET_S_VSD_H_BO*Table7[[#This Row],[Ivalley (A) C]]*Fsw*10^3*40*10^-9+C_MOSFET_S_VSD_H_BO*Table7[[#This Row],[Ipeak (A) C]]*Fsw*10^3*30*10^-9)/10^-3</f>
        <v>56.2194285714286</v>
      </c>
      <c r="BS204" s="152" t="e">
        <f aca="false">IF(VACnom&gt;Vbat, VACnom*C_MOSFET_S_QG_L_BU*10^-9*Fsw*10^3, VACnom*C_MOSFET_S_QG_L_BO*10^-9*Fsw*10^3)/10^-3</f>
        <v>#REF!</v>
      </c>
      <c r="BT204" s="152" t="n">
        <f aca="false">IF(VACnom&lt;Vbat, Table7[[#This Row],[Duty Cycle]]*Table7[[#This Row],[I_L RMS]]^2*C_MOSFET_S_RDSON_H_BU*10^-3, (1-Table7[[#This Row],[Duty Cycle]])*Table7[[#This Row],[I_L RMS]]^2*C_MOSFET_S_RDSON_H_BO*10^-3)/10^-3</f>
        <v>6.89656645286686</v>
      </c>
      <c r="BU204" s="152" t="e">
        <f aca="false">IF(VACnom&gt;Vbat, Table7[[#This Row],[PIV (mW) C]]+Table7[[#This Row],[PQoss (mW) C]]+Table7[[#This Row],[Pgate_top (mW) C]], Table7[[#This Row],[PRR (mW) C]]+Table7[[#This Row],[Pdead (mW) C]]+Table7[[#This Row],[Pgate_top (mW) C]])</f>
        <v>#REF!</v>
      </c>
      <c r="BV204" s="152" t="e">
        <f aca="false">Table7[[#This Row],[Pcon_top (mW) C]]+Table7[[#This Row],[Psw_top (mW) C]]</f>
        <v>#REF!</v>
      </c>
      <c r="BW204" s="152" t="e">
        <f aca="false">IF(VACnom&gt;Vbat, (1-Table7[[#This Row],[Duty Cycle]])*Table7[[#This Row],[I_L RMS]]^2*C_MOSFET_S_RDSON_L_BU*10^-3, Table7[[#This Row],[Duty Cycle]]*Table7[[#This Row],[I_L RMS]]^2*C_MOSFET_S_RDSON_L_BO*10^-3)/10^-3</f>
        <v>#REF!</v>
      </c>
      <c r="BX204" s="152" t="e">
        <f aca="false">IF(VACnom&gt;Vbat, Table7[[#This Row],[PRR (mW) C]]+Table7[[#This Row],[Pdead (mW) C]]+Table7[[#This Row],[Pgate_bottom (mW) C]], Table7[[#This Row],[PIV (mW) C]]+Table7[[#This Row],[PQoss (mW) C]]+Table7[[#This Row],[Pgate_bottom (mW) C]])</f>
        <v>#REF!</v>
      </c>
      <c r="BY204" s="152" t="e">
        <f aca="false">Table7[[#This Row],[Pcon_bottom (mW) C]]+Table7[[#This Row],[Psw_bottom (mV) C]]</f>
        <v>#REF!</v>
      </c>
      <c r="BZ204" s="152" t="e">
        <f aca="false">Table7[[#This Row],[Pbottom (mW) C]]+Table7[[#This Row],[Ptop (mW) C]]</f>
        <v>#REF!</v>
      </c>
      <c r="CA204" s="156"/>
      <c r="CB204" s="151" t="n">
        <f aca="false">(RAC_SNS*10^-3*(Table7[[#This Row],[IOUT (A)]]*Vbat/VACnom)^2/10^-3)</f>
        <v>127.008</v>
      </c>
      <c r="CC204" s="151" t="n">
        <f aca="false">(RBAT_SNS*10^-3*Table7[[#This Row],[IOUT (A)]]^2)/10^-3</f>
        <v>115.2</v>
      </c>
      <c r="CD204" s="151" t="n">
        <f aca="false">IF(VACnom&gt;Vbat,(L_DRC*10^-3*(Table7[[#This Row],[IOUT (A)]])^2/10^-3),(L_DRC*10^-3*(Table7[[#This Row],[IOUT (A)]]*Vbat/VACnom)^2/10^-3))</f>
        <v>304.8192</v>
      </c>
      <c r="CE204" s="157"/>
      <c r="CF204" s="152" t="n">
        <f aca="false">(Table7[[#This Row],[R_AC (mW)]]+Table7[[#This Row],[R_SR (mW)]]+Table7[[#This Row],[Inductor Loss (mW)]])/10^3</f>
        <v>0.5470272</v>
      </c>
      <c r="CG204" s="152" t="e">
        <f aca="false">Table7[[#This Row],[Total TI (mW)]]/10^3</f>
        <v>#REF!</v>
      </c>
      <c r="CH204" s="152" t="e">
        <f aca="false">Table7[[#This Row],[Total Sense Loss]]+Table7[[#This Row],[Total MOSFET Loss]]</f>
        <v>#REF!</v>
      </c>
      <c r="CI204" s="158" t="e">
        <f aca="false">IF(Table7[[#This Row],[POUT (W)]]=0,0,(Table7[[#This Row],[POUT (W)]])/(Table7[[#This Row],[POUT (W)]]+Table7[[#This Row],[Total Power Loss (W)]]))*100</f>
        <v>#REF!</v>
      </c>
      <c r="CJ204" s="159"/>
      <c r="CK204" s="152" t="n">
        <f aca="false">(Table7[[#This Row],[R_AC (mW)]]+Table7[[#This Row],[R_SR (mW)]]+Table7[[#This Row],[Inductor Loss (mW)]])/10^3</f>
        <v>0.5470272</v>
      </c>
      <c r="CL204" s="152" t="e">
        <f aca="false">Table7[[#This Row],[Total (mW) C]]/10^3</f>
        <v>#REF!</v>
      </c>
      <c r="CM204" s="152" t="e">
        <f aca="false">Table7[[#This Row],[Total Sense Loss C]]+Table7[[#This Row],[Total MOSFET Loss C]]</f>
        <v>#REF!</v>
      </c>
      <c r="CN204" s="158" t="e">
        <f aca="false">IF(Table7[[#This Row],[POUT (W)]]=0,0,(Table7[[#This Row],[POUT (W)]])/(Table7[[#This Row],[POUT (W)]]+Table7[[#This Row],[Total Power Loss (W) C]]))*100</f>
        <v>#REF!</v>
      </c>
      <c r="CO204" s="159"/>
      <c r="CP204" s="158" t="n">
        <f aca="false">IF(MOSFET_S=Custom_MOSFET,Table7[[#This Row],[Total Sense Loss C]],Table7[[#This Row],[Total Sense Loss]])</f>
        <v>0.5470272</v>
      </c>
      <c r="CQ204" s="158" t="e">
        <f aca="false">IF(MOSFET_S=Custom_MOSFET,Table7[[#This Row],[Total MOSFET Loss C]],Table7[[#This Row],[Total MOSFET Loss]])</f>
        <v>#REF!</v>
      </c>
      <c r="CR204" s="158" t="e">
        <f aca="false">IF(MOSFET_S=Custom_MOSFET,Table7[[#This Row],[Efficiency C]],Table7[[#This Row],[Efficiency]])</f>
        <v>#REF!</v>
      </c>
      <c r="CS204" s="159"/>
      <c r="CT204" s="158" t="n">
        <f aca="false">IF(MOSFET_S=Compare_MOSFET, Table7[[#This Row],[Total Sense Loss C]], -100)</f>
        <v>-100</v>
      </c>
      <c r="CU204" s="158" t="n">
        <f aca="false">IF(MOSFET_S=Compare_MOSFET, Table7[[#This Row],[Total MOSFET Loss C]], -100)</f>
        <v>-100</v>
      </c>
      <c r="CV204" s="158" t="n">
        <f aca="false">IF(MOSFET_S=Compare_MOSFET, Table7[[#This Row],[Efficiency C]], -100)</f>
        <v>-100</v>
      </c>
      <c r="CW204" s="159"/>
      <c r="CX204" s="158" t="e">
        <f aca="false">IF(Save_Sel=CLR_Save,  Table7[[#This Row],[Total Sense Loss P1]], Table7[[#This Row],[Total Sense Loss P1 Saved]])</f>
        <v>#VALUE!</v>
      </c>
      <c r="CY204" s="158" t="e">
        <f aca="false">IF(Save_Sel=CLR_Save,  Table7[[#This Row],[Total MOSFET Loss P1]], Table7[[#This Row],[Total MOSFET Loss P1 Saved]] )</f>
        <v>#VALUE!</v>
      </c>
      <c r="CZ204" s="158" t="e">
        <f aca="false">IF(Save_Sel=CLR_Save, Table7[[#This Row],[Efficiency P1]], Table7[[#This Row],[Efficiency P1 Saved]])</f>
        <v>#VALUE!</v>
      </c>
      <c r="DA204" s="159"/>
      <c r="DB204" s="158" t="e">
        <f aca="false">IF(Save_Sel=CLR_Save,  Table7[[#This Row],[Total Sense Loss P2]], Table7[[#This Row],[Total Sense Loss P2 Saved]])</f>
        <v>#VALUE!</v>
      </c>
      <c r="DC204" s="158" t="e">
        <f aca="false">IF(Save_Sel=CLR_Save,  Table7[[#This Row],[Total MOSFET Loss P2]], Table7[[#This Row],[Total MOSFET Loss P2 Saved]] )</f>
        <v>#VALUE!</v>
      </c>
      <c r="DD204" s="158" t="e">
        <f aca="false">IF(Save_Sel=CLR_Save, Table7[[#This Row],[Efficiency P2]], Table7[[#This Row],[Efficiency P2 Saved]])</f>
        <v>#VALUE!</v>
      </c>
      <c r="DE204" s="159"/>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row>
    <row r="205" customFormat="false" ht="16.4" hidden="false" customHeight="false" outlineLevel="0" collapsed="false">
      <c r="A205" s="28"/>
      <c r="B205" s="84"/>
      <c r="C205" s="84"/>
      <c r="D205" s="28"/>
      <c r="E205" s="168"/>
      <c r="F205" s="168"/>
      <c r="G205" s="84"/>
      <c r="H205" s="24"/>
      <c r="I205" s="24"/>
      <c r="J205" s="24"/>
      <c r="K205" s="24"/>
      <c r="L205" s="24"/>
      <c r="M205" s="24"/>
      <c r="N205" s="24"/>
      <c r="O205" s="24"/>
      <c r="P205" s="24"/>
      <c r="Q205" s="24"/>
      <c r="R205" s="24"/>
      <c r="S205" s="25"/>
      <c r="T205" s="6"/>
      <c r="U205" s="7"/>
      <c r="V205" s="7"/>
      <c r="W205" s="7"/>
      <c r="X205" s="7"/>
      <c r="Y205" s="7"/>
      <c r="Z205" s="7"/>
      <c r="AA205" s="7"/>
      <c r="AB205" s="7"/>
      <c r="AC205" s="7"/>
      <c r="AD205" s="7"/>
      <c r="AE205" s="7"/>
      <c r="AF205" s="150" t="n">
        <f aca="false">AF204+1</f>
        <v>49</v>
      </c>
      <c r="AG205" s="150" t="n">
        <f aca="false">$AG$156+AF205*($AG$256-$AG$156)/$AF$256</f>
        <v>4.9</v>
      </c>
      <c r="AH205" s="151" t="n">
        <f aca="false">AG205*VACnom</f>
        <v>58.8</v>
      </c>
      <c r="AI205" s="152" t="n">
        <f aca="false">IF(VACnom&lt;Vbat, (Vbat-VACnom)/Vbat, Vbat/VACnom)</f>
        <v>0.0476190476190476</v>
      </c>
      <c r="AJ205" s="152" t="n">
        <f aca="false">IF(VACnom&lt;Vbat, AG205/(1-AI205), AG205*AI205)</f>
        <v>5.145</v>
      </c>
      <c r="AK205" s="152" t="n">
        <f aca="false">Ipkpk_VACnom</f>
        <v>0.285714285714285</v>
      </c>
      <c r="AL205" s="152" t="n">
        <f aca="false">SQRT(AJ205^2+AK205^2/12)</f>
        <v>5.1456610577348</v>
      </c>
      <c r="AM205" s="153"/>
      <c r="AN205" s="152" t="n">
        <f aca="false">MAX(0,Table7[[#This Row],[I_L]]-0.5*Table7[[#This Row],[I_L pkpk]])</f>
        <v>5.00214285714286</v>
      </c>
      <c r="AO205" s="152" t="n">
        <f aca="false">Table7[[#This Row],[I_L]]+0.5*Table7[[#This Row],[I_L pkpk]]</f>
        <v>5.28785714285714</v>
      </c>
      <c r="AP205" s="152" t="e">
        <f aca="false">IF(VACnom&gt;Vbat, (VGS_S-(TI_MOSFET_S_VTH_H_BU+Table7[[#This Row],[I_L]]/TI_MOSFET_S_gFS_H_BU))/3.4, (VGS_S-(TI_MOSFET_S_VTH_L_BO+Table7[[#This Row],[I_L]]/TI_MOSFET_S_gFS_L_BO))/3.4 )</f>
        <v>#REF!</v>
      </c>
      <c r="AQ205" s="152" t="e">
        <f aca="false">IF(VACnom&gt;Vbat, ((TI_MOSFET_S_VTH_H_BU+Table7[[#This Row],[I_L]]/TI_MOSFET_S_gFS_H_BU))/1, ((TI_MOSFET_S_VTH_L_BO+Table7[[#This Row],[I_L]]/TI_MOSFET_S_gFS_L_BO))/1 )</f>
        <v>#REF!</v>
      </c>
      <c r="AR205" s="152" t="e">
        <f aca="false">IF(VACnom&gt;Vbat, (TI_MOSFET_S_QGD_H_BU+TI_MOSFET_S_QGS_H_BU)*10^-9/Table7[[#This Row],[Ion (A)]], (TI_MOSFET_S_QGD_L_BO+TI_MOSFET_S_QGS_L_BO)*10^-9/Table7[[#This Row],[Ion (A)]])/10^-9</f>
        <v>#REF!</v>
      </c>
      <c r="AS205" s="152" t="e">
        <f aca="false">IF(VACnom&gt;Vbat, (TI_MOSFET_S_QGD_H_BU+TI_MOSFET_S_QGS_H_BU)*10^-9/Table7[[#This Row],[Ioff (A)]], (TI_MOSFET_S_QGD_L_BO+TI_MOSFET_S_QGS_L_BO)*10^-9/Table7[[#This Row],[Ioff (A)]])/10^-9</f>
        <v>#REF!</v>
      </c>
      <c r="AT205" s="152" t="e">
        <f aca="false">0.5*VACnom*Table7[[#This Row],[Ivalley (A)]]*Table7[[#This Row],[ton (ns)]]*10^-9*Fsw*10^3+0.5*VACnom*Table7[[#This Row],[Ipeak (A)]]*Table7[[#This Row],[toff (ns)]]*10^-9*Fsw*10^3/10^-3</f>
        <v>#REF!</v>
      </c>
      <c r="AU205" s="152" t="e">
        <f aca="false">IF(VACnom&gt;Vbat, 0.5*VACnom*TI_MOSFET_S_QOSS_H_BU*10^-9*Fsw*10^3,0.5*VACnom*TI_MOSFET_S_QOSS_L_BO*10^-9*Fsw*10^3)/10^-3</f>
        <v>#REF!</v>
      </c>
      <c r="AV205" s="152" t="e">
        <f aca="false">IF(VACnom&gt;Vbat, VACnom*TI_MOSFET_S_QG_H_BU*10^-9*Fsw*10^3,VACnom*TI_MOSFET_S_QG_H_BO*10^-9*Fsw*10^3)/10^-3</f>
        <v>#REF!</v>
      </c>
      <c r="AW205" s="152" t="e">
        <f aca="false">IF(VACnom&gt;Vbat, VACnom*TI_MOSFET_S_QRR_L_BU*10^-9*Fsw*10^3, VACnom*TI_MOSFET_S_QRR_H_BO*10^-9*Fsw*10^3)/10^-3</f>
        <v>#REF!</v>
      </c>
      <c r="AX205" s="152" t="e">
        <f aca="false">IF(VACnom&gt;Vbat, TI_MOSFET_S_VSD_L_BU*Table7[[#This Row],[Ivalley (A)]]*Fsw*10^3*40*10^-9+TI_MOSFET_S_VSD_L_BU*Table7[[#This Row],[Ipeak (A)]]*Fsw*10^3*30*10^-9, TI_MOSFET_S_VSD_H_BO*Table7[[#This Row],[Ivalley (A)]]*Fsw*10^3*40*10^-9+TI_MOSFET_S_VSD_H_BO*Table7[[#This Row],[Ipeak (A)]]*Fsw*10^3*30*10^-9)/10^-3</f>
        <v>#REF!</v>
      </c>
      <c r="AY205" s="152" t="e">
        <f aca="false">IF(VACnom&gt;Vbat, VACnom*TI_MOSFET_S_QG_L_BU*10^-9*Fsw*10^3, VACnom*TI_MOSFET_S_QG_L_BO*10^-9*Fsw*10^3)/10^-3</f>
        <v>#REF!</v>
      </c>
      <c r="AZ205" s="152" t="e">
        <f aca="false">IF(VACnom&lt;Vbat, Table7[[#This Row],[Duty Cycle]]*Table7[[#This Row],[I_L RMS]]^2*TI_MOSFET_S_RDSON_H_BU*10^-3, (1-Table7[[#This Row],[Duty Cycle]])*Table7[[#This Row],[I_L RMS]]^2*TI_MOSFET_S_RDSON_H_BO*10^-3)/10^-3</f>
        <v>#REF!</v>
      </c>
      <c r="BA205" s="152" t="e">
        <f aca="false">IF(VACnom&gt;Vbat, Table7[[#This Row],[PIV (mW)]]+Table7[[#This Row],[Pqoss (mW)]]+Table7[[#This Row],[Pgate_top (mW)]], Table7[[#This Row],[PRR (mW)]]+Table7[[#This Row],[Pdead (mW)]]+Table7[[#This Row],[Pgate_top (mW)]])</f>
        <v>#REF!</v>
      </c>
      <c r="BB205" s="152" t="e">
        <f aca="false">Table7[[#This Row],[Pcon_top (mW)]]+Table7[[#This Row],[Psw_top (mW)]]</f>
        <v>#REF!</v>
      </c>
      <c r="BC205" s="152" t="e">
        <f aca="false">IF(VACnom&gt;Vbat, (1-Table7[[#This Row],[Duty Cycle]])*Table7[[#This Row],[I_L RMS]]^2*TI_MOSFET_S_RDSON_L_BU*10^-3, Table7[[#This Row],[Duty Cycle]]*Table7[[#This Row],[I_L RMS]]^2*TI_MOSFET_S_RDSON_L_BO*10^-3)/10^-3</f>
        <v>#REF!</v>
      </c>
      <c r="BD205" s="152" t="e">
        <f aca="false">IF(VACnom&gt;Vbat, Table7[[#This Row],[PRR (mW)]]+Table7[[#This Row],[Pdead (mW)]]+Table7[[#This Row],[Pgate_bottom (mW)]], Table7[[#This Row],[PIV (mW)]]+Table7[[#This Row],[Pqoss (mW)]]+Table7[[#This Row],[Pgate_bottom (mW)]])</f>
        <v>#REF!</v>
      </c>
      <c r="BE205" s="154" t="e">
        <f aca="false">Table7[[#This Row],[Pcon_bottom (mW)]]+Table7[[#This Row],[Psw_bottom (mW)]]</f>
        <v>#REF!</v>
      </c>
      <c r="BF205" s="152" t="e">
        <f aca="false">Table7[[#This Row],[Pbottom (mW)]]+Table7[[#This Row],[Ptop (mW)]]</f>
        <v>#REF!</v>
      </c>
      <c r="BG205" s="155"/>
      <c r="BH205" s="152" t="n">
        <f aca="false">MAX(0,Table7[[#This Row],[I_L]]-0.5*Table7[[#This Row],[I_L pkpk]])</f>
        <v>5.00214285714286</v>
      </c>
      <c r="BI205" s="152" t="n">
        <f aca="false">Table7[[#This Row],[I_L]]+0.5*Table7[[#This Row],[I_L pkpk]]</f>
        <v>5.28785714285714</v>
      </c>
      <c r="BJ205" s="152" t="n">
        <f aca="false">IF(VACnom&gt;Vbat, (VGS_S-(C_MOSFET_S_VTH_H_BU+Table7[[#This Row],[I_L]]/C_MOSFET_S_gFS_H_BU))/3.4, (VGS_S-(C_MOSFET_S_VTH_L_BO+Table7[[#This Row],[I_L]]/C_MOSFET_S_gFS_L_BO))/3.4 )</f>
        <v>2.34285294117647</v>
      </c>
      <c r="BK205" s="152" t="n">
        <f aca="false">IF(VACnom&gt;Vbat, ((C_MOSFET_S_VTH_H_BU+Table7[[#This Row],[I_L]]/C_MOSFET_S_gFS_H_BU))/1, ((C_MOSFET_S_VTH_L_BO+Table7[[#This Row],[I_L]]/C_MOSFET_S_gFS_L_BO))/1 )</f>
        <v>2.0343</v>
      </c>
      <c r="BL205" s="152" t="n">
        <f aca="false">IF(VACnom&gt;Vbat, (C_MOSFET_S_QGD_H_BU+C_MOSFET_S_QGS_H_BU)*10^-9/Table7[[#This Row],[Ion (A) C]], (C_MOSFET_S_QGD_L_BO+C_MOSFET_S_QGS_L_BO)*10^-9/Table7[[#This Row],[Ion (A) C]])/10^-9</f>
        <v>2.77439521950362</v>
      </c>
      <c r="BM205" s="152" t="n">
        <f aca="false">IF(VACnom&gt;Vbat, (C_MOSFET_S_QGD_H_BU+C_MOSFET_S_QGS_H_BU)*10^-9/Table7[[#This Row],[Ioff (A) C]], (C_MOSFET_S_QGD_L_BO+C_MOSFET_S_QGS_L_BO)*10^-9/Table7[[#This Row],[Ioff (A) C]])/10^-9</f>
        <v>3.19520228088286</v>
      </c>
      <c r="BN205" s="152" t="n">
        <f aca="false">0.5*VACnom*Table7[[#This Row],[Ivalley (A) C]]*Table7[[#This Row],[ton (ns) C]]*10^-9*Fsw*10^3+0.5*VACnom*Table7[[#This Row],[Ipeak (A) C]]*Table7[[#This Row],[toff (ns) C]]*10^-9*Fsw*10^3/10^-3</f>
        <v>20.291581350084</v>
      </c>
      <c r="BO205" s="152" t="n">
        <f aca="false">IF(VACnom&gt;Vbat, 0.5*VACnom*C_MOSFET_S_QOSS_H_BU*10^-9*Fsw*10^3,0.5*VACnom*C_MOSFET_S_QOSS_L_BO*10^-9*Fsw*10^3)/10^-3</f>
        <v>43.2</v>
      </c>
      <c r="BP205" s="152" t="e">
        <f aca="false">IF(VACnom&gt;Vbat, VACnom*C_MOSFET_S_QG_H_BU*10^-9*Fsw*10^3,VACnom*C_MOSFET_S_QG_H_BO*10^-9*Fsw*10^3)/10^-3</f>
        <v>#REF!</v>
      </c>
      <c r="BQ205" s="152" t="n">
        <f aca="false">IF(VACnom&gt;Vbat, VACnom*C_MOSFET_S_QRR_L_BU*10^-9*Fsw*10^3, VACnom*C_MOSFET_S_QRR_H_BO*10^-9*Fsw*10^3)/10^-3</f>
        <v>79.2</v>
      </c>
      <c r="BR205" s="152" t="n">
        <f aca="false">IF(VACnom&gt;Vbat, C_MOSFET_S_VSD_L_BU*Table7[[#This Row],[Ivalley (A) C]]*Fsw*10^3*40*10^-9+C_MOSFET_S_VSD_L_BU*Table7[[#This Row],[Ipeak (A) C]]*Fsw*10^3*30*10^-9, C_MOSFET_S_VSD_H_BO*Table7[[#This Row],[Ivalley (A) C]]*Fsw*10^3*40*10^-9+C_MOSFET_S_VSD_H_BO*Table7[[#This Row],[Ipeak (A) C]]*Fsw*10^3*30*10^-9)/10^-3</f>
        <v>57.3954285714286</v>
      </c>
      <c r="BS205" s="152" t="e">
        <f aca="false">IF(VACnom&gt;Vbat, VACnom*C_MOSFET_S_QG_L_BU*10^-9*Fsw*10^3, VACnom*C_MOSFET_S_QG_L_BO*10^-9*Fsw*10^3)/10^-3</f>
        <v>#REF!</v>
      </c>
      <c r="BT205" s="152" t="n">
        <f aca="false">IF(VACnom&lt;Vbat, Table7[[#This Row],[Duty Cycle]]*Table7[[#This Row],[I_L RMS]]^2*C_MOSFET_S_RDSON_H_BU*10^-3, (1-Table7[[#This Row],[Duty Cycle]])*Table7[[#This Row],[I_L RMS]]^2*C_MOSFET_S_RDSON_H_BO*10^-3)/10^-3</f>
        <v>7.18683895286686</v>
      </c>
      <c r="BU205" s="152" t="e">
        <f aca="false">IF(VACnom&gt;Vbat, Table7[[#This Row],[PIV (mW) C]]+Table7[[#This Row],[PQoss (mW) C]]+Table7[[#This Row],[Pgate_top (mW) C]], Table7[[#This Row],[PRR (mW) C]]+Table7[[#This Row],[Pdead (mW) C]]+Table7[[#This Row],[Pgate_top (mW) C]])</f>
        <v>#REF!</v>
      </c>
      <c r="BV205" s="152" t="e">
        <f aca="false">Table7[[#This Row],[Pcon_top (mW) C]]+Table7[[#This Row],[Psw_top (mW) C]]</f>
        <v>#REF!</v>
      </c>
      <c r="BW205" s="152" t="e">
        <f aca="false">IF(VACnom&gt;Vbat, (1-Table7[[#This Row],[Duty Cycle]])*Table7[[#This Row],[I_L RMS]]^2*C_MOSFET_S_RDSON_L_BU*10^-3, Table7[[#This Row],[Duty Cycle]]*Table7[[#This Row],[I_L RMS]]^2*C_MOSFET_S_RDSON_L_BO*10^-3)/10^-3</f>
        <v>#REF!</v>
      </c>
      <c r="BX205" s="152" t="e">
        <f aca="false">IF(VACnom&gt;Vbat, Table7[[#This Row],[PRR (mW) C]]+Table7[[#This Row],[Pdead (mW) C]]+Table7[[#This Row],[Pgate_bottom (mW) C]], Table7[[#This Row],[PIV (mW) C]]+Table7[[#This Row],[PQoss (mW) C]]+Table7[[#This Row],[Pgate_bottom (mW) C]])</f>
        <v>#REF!</v>
      </c>
      <c r="BY205" s="152" t="e">
        <f aca="false">Table7[[#This Row],[Pcon_bottom (mW) C]]+Table7[[#This Row],[Psw_bottom (mV) C]]</f>
        <v>#REF!</v>
      </c>
      <c r="BZ205" s="152" t="e">
        <f aca="false">Table7[[#This Row],[Pbottom (mW) C]]+Table7[[#This Row],[Ptop (mW) C]]</f>
        <v>#REF!</v>
      </c>
      <c r="CA205" s="156"/>
      <c r="CB205" s="151" t="n">
        <f aca="false">(RAC_SNS*10^-3*(Table7[[#This Row],[IOUT (A)]]*Vbat/VACnom)^2/10^-3)</f>
        <v>132.355125</v>
      </c>
      <c r="CC205" s="151" t="n">
        <f aca="false">(RBAT_SNS*10^-3*Table7[[#This Row],[IOUT (A)]]^2)/10^-3</f>
        <v>120.05</v>
      </c>
      <c r="CD205" s="151" t="n">
        <f aca="false">IF(VACnom&gt;Vbat,(L_DRC*10^-3*(Table7[[#This Row],[IOUT (A)]])^2/10^-3),(L_DRC*10^-3*(Table7[[#This Row],[IOUT (A)]]*Vbat/VACnom)^2/10^-3))</f>
        <v>317.6523</v>
      </c>
      <c r="CE205" s="157"/>
      <c r="CF205" s="152" t="n">
        <f aca="false">(Table7[[#This Row],[R_AC (mW)]]+Table7[[#This Row],[R_SR (mW)]]+Table7[[#This Row],[Inductor Loss (mW)]])/10^3</f>
        <v>0.570057425</v>
      </c>
      <c r="CG205" s="152" t="e">
        <f aca="false">Table7[[#This Row],[Total TI (mW)]]/10^3</f>
        <v>#REF!</v>
      </c>
      <c r="CH205" s="152" t="e">
        <f aca="false">Table7[[#This Row],[Total Sense Loss]]+Table7[[#This Row],[Total MOSFET Loss]]</f>
        <v>#REF!</v>
      </c>
      <c r="CI205" s="158" t="e">
        <f aca="false">IF(Table7[[#This Row],[POUT (W)]]=0,0,(Table7[[#This Row],[POUT (W)]])/(Table7[[#This Row],[POUT (W)]]+Table7[[#This Row],[Total Power Loss (W)]]))*100</f>
        <v>#REF!</v>
      </c>
      <c r="CJ205" s="159"/>
      <c r="CK205" s="152" t="n">
        <f aca="false">(Table7[[#This Row],[R_AC (mW)]]+Table7[[#This Row],[R_SR (mW)]]+Table7[[#This Row],[Inductor Loss (mW)]])/10^3</f>
        <v>0.570057425</v>
      </c>
      <c r="CL205" s="152" t="e">
        <f aca="false">Table7[[#This Row],[Total (mW) C]]/10^3</f>
        <v>#REF!</v>
      </c>
      <c r="CM205" s="152" t="e">
        <f aca="false">Table7[[#This Row],[Total Sense Loss C]]+Table7[[#This Row],[Total MOSFET Loss C]]</f>
        <v>#REF!</v>
      </c>
      <c r="CN205" s="158" t="e">
        <f aca="false">IF(Table7[[#This Row],[POUT (W)]]=0,0,(Table7[[#This Row],[POUT (W)]])/(Table7[[#This Row],[POUT (W)]]+Table7[[#This Row],[Total Power Loss (W) C]]))*100</f>
        <v>#REF!</v>
      </c>
      <c r="CO205" s="159"/>
      <c r="CP205" s="158" t="n">
        <f aca="false">IF(MOSFET_S=Custom_MOSFET,Table7[[#This Row],[Total Sense Loss C]],Table7[[#This Row],[Total Sense Loss]])</f>
        <v>0.570057425</v>
      </c>
      <c r="CQ205" s="158" t="e">
        <f aca="false">IF(MOSFET_S=Custom_MOSFET,Table7[[#This Row],[Total MOSFET Loss C]],Table7[[#This Row],[Total MOSFET Loss]])</f>
        <v>#REF!</v>
      </c>
      <c r="CR205" s="158" t="e">
        <f aca="false">IF(MOSFET_S=Custom_MOSFET,Table7[[#This Row],[Efficiency C]],Table7[[#This Row],[Efficiency]])</f>
        <v>#REF!</v>
      </c>
      <c r="CS205" s="159"/>
      <c r="CT205" s="158" t="n">
        <f aca="false">IF(MOSFET_S=Compare_MOSFET, Table7[[#This Row],[Total Sense Loss C]], -100)</f>
        <v>-100</v>
      </c>
      <c r="CU205" s="158" t="n">
        <f aca="false">IF(MOSFET_S=Compare_MOSFET, Table7[[#This Row],[Total MOSFET Loss C]], -100)</f>
        <v>-100</v>
      </c>
      <c r="CV205" s="158" t="n">
        <f aca="false">IF(MOSFET_S=Compare_MOSFET, Table7[[#This Row],[Efficiency C]], -100)</f>
        <v>-100</v>
      </c>
      <c r="CW205" s="159"/>
      <c r="CX205" s="158" t="e">
        <f aca="false">IF(Save_Sel=CLR_Save,  Table7[[#This Row],[Total Sense Loss P1]], Table7[[#This Row],[Total Sense Loss P1 Saved]])</f>
        <v>#VALUE!</v>
      </c>
      <c r="CY205" s="158" t="e">
        <f aca="false">IF(Save_Sel=CLR_Save,  Table7[[#This Row],[Total MOSFET Loss P1]], Table7[[#This Row],[Total MOSFET Loss P1 Saved]] )</f>
        <v>#VALUE!</v>
      </c>
      <c r="CZ205" s="158" t="e">
        <f aca="false">IF(Save_Sel=CLR_Save, Table7[[#This Row],[Efficiency P1]], Table7[[#This Row],[Efficiency P1 Saved]])</f>
        <v>#VALUE!</v>
      </c>
      <c r="DA205" s="159"/>
      <c r="DB205" s="158" t="e">
        <f aca="false">IF(Save_Sel=CLR_Save,  Table7[[#This Row],[Total Sense Loss P2]], Table7[[#This Row],[Total Sense Loss P2 Saved]])</f>
        <v>#VALUE!</v>
      </c>
      <c r="DC205" s="158" t="e">
        <f aca="false">IF(Save_Sel=CLR_Save,  Table7[[#This Row],[Total MOSFET Loss P2]], Table7[[#This Row],[Total MOSFET Loss P2 Saved]] )</f>
        <v>#VALUE!</v>
      </c>
      <c r="DD205" s="158" t="e">
        <f aca="false">IF(Save_Sel=CLR_Save, Table7[[#This Row],[Efficiency P2]], Table7[[#This Row],[Efficiency P2 Saved]])</f>
        <v>#VALUE!</v>
      </c>
      <c r="DE205" s="159"/>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row>
    <row r="206" customFormat="false" ht="16.4" hidden="false" customHeight="false" outlineLevel="0" collapsed="false">
      <c r="A206" s="28"/>
      <c r="B206" s="84"/>
      <c r="C206" s="84"/>
      <c r="D206" s="28"/>
      <c r="E206" s="168"/>
      <c r="F206" s="168"/>
      <c r="G206" s="84"/>
      <c r="H206" s="24"/>
      <c r="I206" s="24"/>
      <c r="J206" s="24"/>
      <c r="K206" s="24"/>
      <c r="L206" s="24"/>
      <c r="M206" s="24"/>
      <c r="N206" s="24"/>
      <c r="O206" s="24"/>
      <c r="P206" s="24"/>
      <c r="Q206" s="24"/>
      <c r="R206" s="24"/>
      <c r="S206" s="25"/>
      <c r="T206" s="6"/>
      <c r="U206" s="7"/>
      <c r="V206" s="7"/>
      <c r="W206" s="7"/>
      <c r="X206" s="7"/>
      <c r="Y206" s="7"/>
      <c r="Z206" s="7"/>
      <c r="AA206" s="7"/>
      <c r="AB206" s="7"/>
      <c r="AC206" s="7"/>
      <c r="AD206" s="7"/>
      <c r="AE206" s="7"/>
      <c r="AF206" s="150" t="n">
        <f aca="false">AF205+1</f>
        <v>50</v>
      </c>
      <c r="AG206" s="150" t="n">
        <f aca="false">$AG$156+AF206*($AG$256-$AG$156)/$AF$256</f>
        <v>5</v>
      </c>
      <c r="AH206" s="151" t="n">
        <f aca="false">AG206*VACnom</f>
        <v>60</v>
      </c>
      <c r="AI206" s="152" t="n">
        <f aca="false">IF(VACnom&lt;Vbat, (Vbat-VACnom)/Vbat, Vbat/VACnom)</f>
        <v>0.0476190476190476</v>
      </c>
      <c r="AJ206" s="152" t="n">
        <f aca="false">IF(VACnom&lt;Vbat, AG206/(1-AI206), AG206*AI206)</f>
        <v>5.25</v>
      </c>
      <c r="AK206" s="152" t="n">
        <f aca="false">Ipkpk_VACnom</f>
        <v>0.285714285714285</v>
      </c>
      <c r="AL206" s="152" t="n">
        <f aca="false">SQRT(AJ206^2+AK206^2/12)</f>
        <v>5.25064783822801</v>
      </c>
      <c r="AM206" s="153"/>
      <c r="AN206" s="152" t="n">
        <f aca="false">MAX(0,Table7[[#This Row],[I_L]]-0.5*Table7[[#This Row],[I_L pkpk]])</f>
        <v>5.10714285714286</v>
      </c>
      <c r="AO206" s="152" t="n">
        <f aca="false">Table7[[#This Row],[I_L]]+0.5*Table7[[#This Row],[I_L pkpk]]</f>
        <v>5.39285714285714</v>
      </c>
      <c r="AP206" s="152" t="e">
        <f aca="false">IF(VACnom&gt;Vbat, (VGS_S-(TI_MOSFET_S_VTH_H_BU+Table7[[#This Row],[I_L]]/TI_MOSFET_S_gFS_H_BU))/3.4, (VGS_S-(TI_MOSFET_S_VTH_L_BO+Table7[[#This Row],[I_L]]/TI_MOSFET_S_gFS_L_BO))/3.4 )</f>
        <v>#REF!</v>
      </c>
      <c r="AQ206" s="152" t="e">
        <f aca="false">IF(VACnom&gt;Vbat, ((TI_MOSFET_S_VTH_H_BU+Table7[[#This Row],[I_L]]/TI_MOSFET_S_gFS_H_BU))/1, ((TI_MOSFET_S_VTH_L_BO+Table7[[#This Row],[I_L]]/TI_MOSFET_S_gFS_L_BO))/1 )</f>
        <v>#REF!</v>
      </c>
      <c r="AR206" s="152" t="e">
        <f aca="false">IF(VACnom&gt;Vbat, (TI_MOSFET_S_QGD_H_BU+TI_MOSFET_S_QGS_H_BU)*10^-9/Table7[[#This Row],[Ion (A)]], (TI_MOSFET_S_QGD_L_BO+TI_MOSFET_S_QGS_L_BO)*10^-9/Table7[[#This Row],[Ion (A)]])/10^-9</f>
        <v>#REF!</v>
      </c>
      <c r="AS206" s="152" t="e">
        <f aca="false">IF(VACnom&gt;Vbat, (TI_MOSFET_S_QGD_H_BU+TI_MOSFET_S_QGS_H_BU)*10^-9/Table7[[#This Row],[Ioff (A)]], (TI_MOSFET_S_QGD_L_BO+TI_MOSFET_S_QGS_L_BO)*10^-9/Table7[[#This Row],[Ioff (A)]])/10^-9</f>
        <v>#REF!</v>
      </c>
      <c r="AT206" s="152" t="e">
        <f aca="false">0.5*VACnom*Table7[[#This Row],[Ivalley (A)]]*Table7[[#This Row],[ton (ns)]]*10^-9*Fsw*10^3+0.5*VACnom*Table7[[#This Row],[Ipeak (A)]]*Table7[[#This Row],[toff (ns)]]*10^-9*Fsw*10^3/10^-3</f>
        <v>#REF!</v>
      </c>
      <c r="AU206" s="152" t="e">
        <f aca="false">IF(VACnom&gt;Vbat, 0.5*VACnom*TI_MOSFET_S_QOSS_H_BU*10^-9*Fsw*10^3,0.5*VACnom*TI_MOSFET_S_QOSS_L_BO*10^-9*Fsw*10^3)/10^-3</f>
        <v>#REF!</v>
      </c>
      <c r="AV206" s="152" t="e">
        <f aca="false">IF(VACnom&gt;Vbat, VACnom*TI_MOSFET_S_QG_H_BU*10^-9*Fsw*10^3,VACnom*TI_MOSFET_S_QG_H_BO*10^-9*Fsw*10^3)/10^-3</f>
        <v>#REF!</v>
      </c>
      <c r="AW206" s="152" t="e">
        <f aca="false">IF(VACnom&gt;Vbat, VACnom*TI_MOSFET_S_QRR_L_BU*10^-9*Fsw*10^3, VACnom*TI_MOSFET_S_QRR_H_BO*10^-9*Fsw*10^3)/10^-3</f>
        <v>#REF!</v>
      </c>
      <c r="AX206" s="152" t="e">
        <f aca="false">IF(VACnom&gt;Vbat, TI_MOSFET_S_VSD_L_BU*Table7[[#This Row],[Ivalley (A)]]*Fsw*10^3*40*10^-9+TI_MOSFET_S_VSD_L_BU*Table7[[#This Row],[Ipeak (A)]]*Fsw*10^3*30*10^-9, TI_MOSFET_S_VSD_H_BO*Table7[[#This Row],[Ivalley (A)]]*Fsw*10^3*40*10^-9+TI_MOSFET_S_VSD_H_BO*Table7[[#This Row],[Ipeak (A)]]*Fsw*10^3*30*10^-9)/10^-3</f>
        <v>#REF!</v>
      </c>
      <c r="AY206" s="152" t="e">
        <f aca="false">IF(VACnom&gt;Vbat, VACnom*TI_MOSFET_S_QG_L_BU*10^-9*Fsw*10^3, VACnom*TI_MOSFET_S_QG_L_BO*10^-9*Fsw*10^3)/10^-3</f>
        <v>#REF!</v>
      </c>
      <c r="AZ206" s="152" t="e">
        <f aca="false">IF(VACnom&lt;Vbat, Table7[[#This Row],[Duty Cycle]]*Table7[[#This Row],[I_L RMS]]^2*TI_MOSFET_S_RDSON_H_BU*10^-3, (1-Table7[[#This Row],[Duty Cycle]])*Table7[[#This Row],[I_L RMS]]^2*TI_MOSFET_S_RDSON_H_BO*10^-3)/10^-3</f>
        <v>#REF!</v>
      </c>
      <c r="BA206" s="152" t="e">
        <f aca="false">IF(VACnom&gt;Vbat, Table7[[#This Row],[PIV (mW)]]+Table7[[#This Row],[Pqoss (mW)]]+Table7[[#This Row],[Pgate_top (mW)]], Table7[[#This Row],[PRR (mW)]]+Table7[[#This Row],[Pdead (mW)]]+Table7[[#This Row],[Pgate_top (mW)]])</f>
        <v>#REF!</v>
      </c>
      <c r="BB206" s="152" t="e">
        <f aca="false">Table7[[#This Row],[Pcon_top (mW)]]+Table7[[#This Row],[Psw_top (mW)]]</f>
        <v>#REF!</v>
      </c>
      <c r="BC206" s="152" t="e">
        <f aca="false">IF(VACnom&gt;Vbat, (1-Table7[[#This Row],[Duty Cycle]])*Table7[[#This Row],[I_L RMS]]^2*TI_MOSFET_S_RDSON_L_BU*10^-3, Table7[[#This Row],[Duty Cycle]]*Table7[[#This Row],[I_L RMS]]^2*TI_MOSFET_S_RDSON_L_BO*10^-3)/10^-3</f>
        <v>#REF!</v>
      </c>
      <c r="BD206" s="152" t="e">
        <f aca="false">IF(VACnom&gt;Vbat, Table7[[#This Row],[PRR (mW)]]+Table7[[#This Row],[Pdead (mW)]]+Table7[[#This Row],[Pgate_bottom (mW)]], Table7[[#This Row],[PIV (mW)]]+Table7[[#This Row],[Pqoss (mW)]]+Table7[[#This Row],[Pgate_bottom (mW)]])</f>
        <v>#REF!</v>
      </c>
      <c r="BE206" s="154" t="e">
        <f aca="false">Table7[[#This Row],[Pcon_bottom (mW)]]+Table7[[#This Row],[Psw_bottom (mW)]]</f>
        <v>#REF!</v>
      </c>
      <c r="BF206" s="152" t="e">
        <f aca="false">Table7[[#This Row],[Pbottom (mW)]]+Table7[[#This Row],[Ptop (mW)]]</f>
        <v>#REF!</v>
      </c>
      <c r="BG206" s="155"/>
      <c r="BH206" s="152" t="n">
        <f aca="false">MAX(0,Table7[[#This Row],[I_L]]-0.5*Table7[[#This Row],[I_L pkpk]])</f>
        <v>5.10714285714286</v>
      </c>
      <c r="BI206" s="152" t="n">
        <f aca="false">Table7[[#This Row],[I_L]]+0.5*Table7[[#This Row],[I_L pkpk]]</f>
        <v>5.39285714285714</v>
      </c>
      <c r="BJ206" s="152" t="n">
        <f aca="false">IF(VACnom&gt;Vbat, (VGS_S-(C_MOSFET_S_VTH_H_BU+Table7[[#This Row],[I_L]]/C_MOSFET_S_gFS_H_BU))/3.4, (VGS_S-(C_MOSFET_S_VTH_L_BO+Table7[[#This Row],[I_L]]/C_MOSFET_S_gFS_L_BO))/3.4 )</f>
        <v>2.34264705882353</v>
      </c>
      <c r="BK206" s="152" t="n">
        <f aca="false">IF(VACnom&gt;Vbat, ((C_MOSFET_S_VTH_H_BU+Table7[[#This Row],[I_L]]/C_MOSFET_S_gFS_H_BU))/1, ((C_MOSFET_S_VTH_L_BO+Table7[[#This Row],[I_L]]/C_MOSFET_S_gFS_L_BO))/1 )</f>
        <v>2.035</v>
      </c>
      <c r="BL206" s="152" t="n">
        <f aca="false">IF(VACnom&gt;Vbat, (C_MOSFET_S_QGD_H_BU+C_MOSFET_S_QGS_H_BU)*10^-9/Table7[[#This Row],[Ion (A) C]], (C_MOSFET_S_QGD_L_BO+C_MOSFET_S_QGS_L_BO)*10^-9/Table7[[#This Row],[Ion (A) C]])/10^-9</f>
        <v>2.77463904582549</v>
      </c>
      <c r="BM206" s="152" t="n">
        <f aca="false">IF(VACnom&gt;Vbat, (C_MOSFET_S_QGD_H_BU+C_MOSFET_S_QGS_H_BU)*10^-9/Table7[[#This Row],[Ioff (A) C]], (C_MOSFET_S_QGD_L_BO+C_MOSFET_S_QGS_L_BO)*10^-9/Table7[[#This Row],[Ioff (A) C]])/10^-9</f>
        <v>3.19410319410319</v>
      </c>
      <c r="BN206" s="152" t="n">
        <f aca="false">0.5*VACnom*Table7[[#This Row],[Ivalley (A) C]]*Table7[[#This Row],[ton (ns) C]]*10^-9*Fsw*10^3+0.5*VACnom*Table7[[#This Row],[Ipeak (A) C]]*Table7[[#This Row],[toff (ns) C]]*10^-9*Fsw*10^3/10^-3</f>
        <v>20.6874152439915</v>
      </c>
      <c r="BO206" s="152" t="n">
        <f aca="false">IF(VACnom&gt;Vbat, 0.5*VACnom*C_MOSFET_S_QOSS_H_BU*10^-9*Fsw*10^3,0.5*VACnom*C_MOSFET_S_QOSS_L_BO*10^-9*Fsw*10^3)/10^-3</f>
        <v>43.2</v>
      </c>
      <c r="BP206" s="152" t="e">
        <f aca="false">IF(VACnom&gt;Vbat, VACnom*C_MOSFET_S_QG_H_BU*10^-9*Fsw*10^3,VACnom*C_MOSFET_S_QG_H_BO*10^-9*Fsw*10^3)/10^-3</f>
        <v>#REF!</v>
      </c>
      <c r="BQ206" s="152" t="n">
        <f aca="false">IF(VACnom&gt;Vbat, VACnom*C_MOSFET_S_QRR_L_BU*10^-9*Fsw*10^3, VACnom*C_MOSFET_S_QRR_H_BO*10^-9*Fsw*10^3)/10^-3</f>
        <v>79.2</v>
      </c>
      <c r="BR206" s="152" t="n">
        <f aca="false">IF(VACnom&gt;Vbat, C_MOSFET_S_VSD_L_BU*Table7[[#This Row],[Ivalley (A) C]]*Fsw*10^3*40*10^-9+C_MOSFET_S_VSD_L_BU*Table7[[#This Row],[Ipeak (A) C]]*Fsw*10^3*30*10^-9, C_MOSFET_S_VSD_H_BO*Table7[[#This Row],[Ivalley (A) C]]*Fsw*10^3*40*10^-9+C_MOSFET_S_VSD_H_BO*Table7[[#This Row],[Ipeak (A) C]]*Fsw*10^3*30*10^-9)/10^-3</f>
        <v>58.5714285714286</v>
      </c>
      <c r="BS206" s="152" t="e">
        <f aca="false">IF(VACnom&gt;Vbat, VACnom*C_MOSFET_S_QG_L_BU*10^-9*Fsw*10^3, VACnom*C_MOSFET_S_QG_L_BO*10^-9*Fsw*10^3)/10^-3</f>
        <v>#REF!</v>
      </c>
      <c r="BT206" s="152" t="n">
        <f aca="false">IF(VACnom&lt;Vbat, Table7[[#This Row],[Duty Cycle]]*Table7[[#This Row],[I_L RMS]]^2*C_MOSFET_S_RDSON_H_BU*10^-3, (1-Table7[[#This Row],[Duty Cycle]])*Table7[[#This Row],[I_L RMS]]^2*C_MOSFET_S_RDSON_H_BO*10^-3)/10^-3</f>
        <v>7.48309645286686</v>
      </c>
      <c r="BU206" s="152" t="e">
        <f aca="false">IF(VACnom&gt;Vbat, Table7[[#This Row],[PIV (mW) C]]+Table7[[#This Row],[PQoss (mW) C]]+Table7[[#This Row],[Pgate_top (mW) C]], Table7[[#This Row],[PRR (mW) C]]+Table7[[#This Row],[Pdead (mW) C]]+Table7[[#This Row],[Pgate_top (mW) C]])</f>
        <v>#REF!</v>
      </c>
      <c r="BV206" s="152" t="e">
        <f aca="false">Table7[[#This Row],[Pcon_top (mW) C]]+Table7[[#This Row],[Psw_top (mW) C]]</f>
        <v>#REF!</v>
      </c>
      <c r="BW206" s="152" t="e">
        <f aca="false">IF(VACnom&gt;Vbat, (1-Table7[[#This Row],[Duty Cycle]])*Table7[[#This Row],[I_L RMS]]^2*C_MOSFET_S_RDSON_L_BU*10^-3, Table7[[#This Row],[Duty Cycle]]*Table7[[#This Row],[I_L RMS]]^2*C_MOSFET_S_RDSON_L_BO*10^-3)/10^-3</f>
        <v>#REF!</v>
      </c>
      <c r="BX206" s="152" t="e">
        <f aca="false">IF(VACnom&gt;Vbat, Table7[[#This Row],[PRR (mW) C]]+Table7[[#This Row],[Pdead (mW) C]]+Table7[[#This Row],[Pgate_bottom (mW) C]], Table7[[#This Row],[PIV (mW) C]]+Table7[[#This Row],[PQoss (mW) C]]+Table7[[#This Row],[Pgate_bottom (mW) C]])</f>
        <v>#REF!</v>
      </c>
      <c r="BY206" s="152" t="e">
        <f aca="false">Table7[[#This Row],[Pcon_bottom (mW) C]]+Table7[[#This Row],[Psw_bottom (mV) C]]</f>
        <v>#REF!</v>
      </c>
      <c r="BZ206" s="152" t="e">
        <f aca="false">Table7[[#This Row],[Pbottom (mW) C]]+Table7[[#This Row],[Ptop (mW) C]]</f>
        <v>#REF!</v>
      </c>
      <c r="CA206" s="156"/>
      <c r="CB206" s="151" t="n">
        <f aca="false">(RAC_SNS*10^-3*(Table7[[#This Row],[IOUT (A)]]*Vbat/VACnom)^2/10^-3)</f>
        <v>137.8125</v>
      </c>
      <c r="CC206" s="151" t="n">
        <f aca="false">(RBAT_SNS*10^-3*Table7[[#This Row],[IOUT (A)]]^2)/10^-3</f>
        <v>125</v>
      </c>
      <c r="CD206" s="151" t="n">
        <f aca="false">IF(VACnom&gt;Vbat,(L_DRC*10^-3*(Table7[[#This Row],[IOUT (A)]])^2/10^-3),(L_DRC*10^-3*(Table7[[#This Row],[IOUT (A)]]*Vbat/VACnom)^2/10^-3))</f>
        <v>330.75</v>
      </c>
      <c r="CE206" s="157"/>
      <c r="CF206" s="152" t="n">
        <f aca="false">(Table7[[#This Row],[R_AC (mW)]]+Table7[[#This Row],[R_SR (mW)]]+Table7[[#This Row],[Inductor Loss (mW)]])/10^3</f>
        <v>0.5935625</v>
      </c>
      <c r="CG206" s="152" t="e">
        <f aca="false">Table7[[#This Row],[Total TI (mW)]]/10^3</f>
        <v>#REF!</v>
      </c>
      <c r="CH206" s="152" t="e">
        <f aca="false">Table7[[#This Row],[Total Sense Loss]]+Table7[[#This Row],[Total MOSFET Loss]]</f>
        <v>#REF!</v>
      </c>
      <c r="CI206" s="158" t="e">
        <f aca="false">IF(Table7[[#This Row],[POUT (W)]]=0,0,(Table7[[#This Row],[POUT (W)]])/(Table7[[#This Row],[POUT (W)]]+Table7[[#This Row],[Total Power Loss (W)]]))*100</f>
        <v>#REF!</v>
      </c>
      <c r="CJ206" s="159"/>
      <c r="CK206" s="152" t="n">
        <f aca="false">(Table7[[#This Row],[R_AC (mW)]]+Table7[[#This Row],[R_SR (mW)]]+Table7[[#This Row],[Inductor Loss (mW)]])/10^3</f>
        <v>0.5935625</v>
      </c>
      <c r="CL206" s="152" t="e">
        <f aca="false">Table7[[#This Row],[Total (mW) C]]/10^3</f>
        <v>#REF!</v>
      </c>
      <c r="CM206" s="152" t="e">
        <f aca="false">Table7[[#This Row],[Total Sense Loss C]]+Table7[[#This Row],[Total MOSFET Loss C]]</f>
        <v>#REF!</v>
      </c>
      <c r="CN206" s="158" t="e">
        <f aca="false">IF(Table7[[#This Row],[POUT (W)]]=0,0,(Table7[[#This Row],[POUT (W)]])/(Table7[[#This Row],[POUT (W)]]+Table7[[#This Row],[Total Power Loss (W) C]]))*100</f>
        <v>#REF!</v>
      </c>
      <c r="CO206" s="159"/>
      <c r="CP206" s="158" t="n">
        <f aca="false">IF(MOSFET_S=Custom_MOSFET,Table7[[#This Row],[Total Sense Loss C]],Table7[[#This Row],[Total Sense Loss]])</f>
        <v>0.5935625</v>
      </c>
      <c r="CQ206" s="158" t="e">
        <f aca="false">IF(MOSFET_S=Custom_MOSFET,Table7[[#This Row],[Total MOSFET Loss C]],Table7[[#This Row],[Total MOSFET Loss]])</f>
        <v>#REF!</v>
      </c>
      <c r="CR206" s="158" t="e">
        <f aca="false">IF(MOSFET_S=Custom_MOSFET,Table7[[#This Row],[Efficiency C]],Table7[[#This Row],[Efficiency]])</f>
        <v>#REF!</v>
      </c>
      <c r="CS206" s="159"/>
      <c r="CT206" s="158" t="n">
        <f aca="false">IF(MOSFET_S=Compare_MOSFET, Table7[[#This Row],[Total Sense Loss C]], -100)</f>
        <v>-100</v>
      </c>
      <c r="CU206" s="158" t="n">
        <f aca="false">IF(MOSFET_S=Compare_MOSFET, Table7[[#This Row],[Total MOSFET Loss C]], -100)</f>
        <v>-100</v>
      </c>
      <c r="CV206" s="158" t="n">
        <f aca="false">IF(MOSFET_S=Compare_MOSFET, Table7[[#This Row],[Efficiency C]], -100)</f>
        <v>-100</v>
      </c>
      <c r="CW206" s="159"/>
      <c r="CX206" s="158" t="e">
        <f aca="false">IF(Save_Sel=CLR_Save,  Table7[[#This Row],[Total Sense Loss P1]], Table7[[#This Row],[Total Sense Loss P1 Saved]])</f>
        <v>#VALUE!</v>
      </c>
      <c r="CY206" s="158" t="e">
        <f aca="false">IF(Save_Sel=CLR_Save,  Table7[[#This Row],[Total MOSFET Loss P1]], Table7[[#This Row],[Total MOSFET Loss P1 Saved]] )</f>
        <v>#VALUE!</v>
      </c>
      <c r="CZ206" s="158" t="e">
        <f aca="false">IF(Save_Sel=CLR_Save, Table7[[#This Row],[Efficiency P1]], Table7[[#This Row],[Efficiency P1 Saved]])</f>
        <v>#VALUE!</v>
      </c>
      <c r="DA206" s="159"/>
      <c r="DB206" s="158" t="e">
        <f aca="false">IF(Save_Sel=CLR_Save,  Table7[[#This Row],[Total Sense Loss P2]], Table7[[#This Row],[Total Sense Loss P2 Saved]])</f>
        <v>#VALUE!</v>
      </c>
      <c r="DC206" s="158" t="e">
        <f aca="false">IF(Save_Sel=CLR_Save,  Table7[[#This Row],[Total MOSFET Loss P2]], Table7[[#This Row],[Total MOSFET Loss P2 Saved]] )</f>
        <v>#VALUE!</v>
      </c>
      <c r="DD206" s="158" t="e">
        <f aca="false">IF(Save_Sel=CLR_Save, Table7[[#This Row],[Efficiency P2]], Table7[[#This Row],[Efficiency P2 Saved]])</f>
        <v>#VALUE!</v>
      </c>
      <c r="DE206" s="159"/>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row>
    <row r="207" customFormat="false" ht="16.4" hidden="false" customHeight="false" outlineLevel="0" collapsed="false">
      <c r="A207" s="28"/>
      <c r="B207" s="84"/>
      <c r="C207" s="84"/>
      <c r="D207" s="28"/>
      <c r="E207" s="168"/>
      <c r="F207" s="168"/>
      <c r="G207" s="84"/>
      <c r="H207" s="24"/>
      <c r="I207" s="24"/>
      <c r="J207" s="24"/>
      <c r="K207" s="24"/>
      <c r="L207" s="24"/>
      <c r="M207" s="24"/>
      <c r="N207" s="24"/>
      <c r="O207" s="24"/>
      <c r="P207" s="24"/>
      <c r="Q207" s="24"/>
      <c r="R207" s="24"/>
      <c r="S207" s="25"/>
      <c r="T207" s="6"/>
      <c r="U207" s="7"/>
      <c r="V207" s="7"/>
      <c r="W207" s="7"/>
      <c r="X207" s="7"/>
      <c r="Y207" s="7"/>
      <c r="Z207" s="7"/>
      <c r="AA207" s="7"/>
      <c r="AB207" s="7"/>
      <c r="AC207" s="7"/>
      <c r="AD207" s="7"/>
      <c r="AE207" s="7"/>
      <c r="AF207" s="150" t="n">
        <f aca="false">AF206+1</f>
        <v>51</v>
      </c>
      <c r="AG207" s="150" t="n">
        <f aca="false">$AG$156+AF207*($AG$256-$AG$156)/$AF$256</f>
        <v>5.1</v>
      </c>
      <c r="AH207" s="151" t="n">
        <f aca="false">AG207*VACnom</f>
        <v>61.2</v>
      </c>
      <c r="AI207" s="152" t="n">
        <f aca="false">IF(VACnom&lt;Vbat, (Vbat-VACnom)/Vbat, Vbat/VACnom)</f>
        <v>0.0476190476190476</v>
      </c>
      <c r="AJ207" s="152" t="n">
        <f aca="false">IF(VACnom&lt;Vbat, AG207/(1-AI207), AG207*AI207)</f>
        <v>5.355</v>
      </c>
      <c r="AK207" s="152" t="n">
        <f aca="false">Ipkpk_VACnom</f>
        <v>0.285714285714285</v>
      </c>
      <c r="AL207" s="152" t="n">
        <f aca="false">SQRT(AJ207^2+AK207^2/12)</f>
        <v>5.35563513703916</v>
      </c>
      <c r="AM207" s="153"/>
      <c r="AN207" s="152" t="n">
        <f aca="false">MAX(0,Table7[[#This Row],[I_L]]-0.5*Table7[[#This Row],[I_L pkpk]])</f>
        <v>5.21214285714286</v>
      </c>
      <c r="AO207" s="152" t="n">
        <f aca="false">Table7[[#This Row],[I_L]]+0.5*Table7[[#This Row],[I_L pkpk]]</f>
        <v>5.49785714285714</v>
      </c>
      <c r="AP207" s="152" t="e">
        <f aca="false">IF(VACnom&gt;Vbat, (VGS_S-(TI_MOSFET_S_VTH_H_BU+Table7[[#This Row],[I_L]]/TI_MOSFET_S_gFS_H_BU))/3.4, (VGS_S-(TI_MOSFET_S_VTH_L_BO+Table7[[#This Row],[I_L]]/TI_MOSFET_S_gFS_L_BO))/3.4 )</f>
        <v>#REF!</v>
      </c>
      <c r="AQ207" s="152" t="e">
        <f aca="false">IF(VACnom&gt;Vbat, ((TI_MOSFET_S_VTH_H_BU+Table7[[#This Row],[I_L]]/TI_MOSFET_S_gFS_H_BU))/1, ((TI_MOSFET_S_VTH_L_BO+Table7[[#This Row],[I_L]]/TI_MOSFET_S_gFS_L_BO))/1 )</f>
        <v>#REF!</v>
      </c>
      <c r="AR207" s="152" t="e">
        <f aca="false">IF(VACnom&gt;Vbat, (TI_MOSFET_S_QGD_H_BU+TI_MOSFET_S_QGS_H_BU)*10^-9/Table7[[#This Row],[Ion (A)]], (TI_MOSFET_S_QGD_L_BO+TI_MOSFET_S_QGS_L_BO)*10^-9/Table7[[#This Row],[Ion (A)]])/10^-9</f>
        <v>#REF!</v>
      </c>
      <c r="AS207" s="152" t="e">
        <f aca="false">IF(VACnom&gt;Vbat, (TI_MOSFET_S_QGD_H_BU+TI_MOSFET_S_QGS_H_BU)*10^-9/Table7[[#This Row],[Ioff (A)]], (TI_MOSFET_S_QGD_L_BO+TI_MOSFET_S_QGS_L_BO)*10^-9/Table7[[#This Row],[Ioff (A)]])/10^-9</f>
        <v>#REF!</v>
      </c>
      <c r="AT207" s="152" t="e">
        <f aca="false">0.5*VACnom*Table7[[#This Row],[Ivalley (A)]]*Table7[[#This Row],[ton (ns)]]*10^-9*Fsw*10^3+0.5*VACnom*Table7[[#This Row],[Ipeak (A)]]*Table7[[#This Row],[toff (ns)]]*10^-9*Fsw*10^3/10^-3</f>
        <v>#REF!</v>
      </c>
      <c r="AU207" s="152" t="e">
        <f aca="false">IF(VACnom&gt;Vbat, 0.5*VACnom*TI_MOSFET_S_QOSS_H_BU*10^-9*Fsw*10^3,0.5*VACnom*TI_MOSFET_S_QOSS_L_BO*10^-9*Fsw*10^3)/10^-3</f>
        <v>#REF!</v>
      </c>
      <c r="AV207" s="152" t="e">
        <f aca="false">IF(VACnom&gt;Vbat, VACnom*TI_MOSFET_S_QG_H_BU*10^-9*Fsw*10^3,VACnom*TI_MOSFET_S_QG_H_BO*10^-9*Fsw*10^3)/10^-3</f>
        <v>#REF!</v>
      </c>
      <c r="AW207" s="152" t="e">
        <f aca="false">IF(VACnom&gt;Vbat, VACnom*TI_MOSFET_S_QRR_L_BU*10^-9*Fsw*10^3, VACnom*TI_MOSFET_S_QRR_H_BO*10^-9*Fsw*10^3)/10^-3</f>
        <v>#REF!</v>
      </c>
      <c r="AX207" s="152" t="e">
        <f aca="false">IF(VACnom&gt;Vbat, TI_MOSFET_S_VSD_L_BU*Table7[[#This Row],[Ivalley (A)]]*Fsw*10^3*40*10^-9+TI_MOSFET_S_VSD_L_BU*Table7[[#This Row],[Ipeak (A)]]*Fsw*10^3*30*10^-9, TI_MOSFET_S_VSD_H_BO*Table7[[#This Row],[Ivalley (A)]]*Fsw*10^3*40*10^-9+TI_MOSFET_S_VSD_H_BO*Table7[[#This Row],[Ipeak (A)]]*Fsw*10^3*30*10^-9)/10^-3</f>
        <v>#REF!</v>
      </c>
      <c r="AY207" s="152" t="e">
        <f aca="false">IF(VACnom&gt;Vbat, VACnom*TI_MOSFET_S_QG_L_BU*10^-9*Fsw*10^3, VACnom*TI_MOSFET_S_QG_L_BO*10^-9*Fsw*10^3)/10^-3</f>
        <v>#REF!</v>
      </c>
      <c r="AZ207" s="152" t="e">
        <f aca="false">IF(VACnom&lt;Vbat, Table7[[#This Row],[Duty Cycle]]*Table7[[#This Row],[I_L RMS]]^2*TI_MOSFET_S_RDSON_H_BU*10^-3, (1-Table7[[#This Row],[Duty Cycle]])*Table7[[#This Row],[I_L RMS]]^2*TI_MOSFET_S_RDSON_H_BO*10^-3)/10^-3</f>
        <v>#REF!</v>
      </c>
      <c r="BA207" s="152" t="e">
        <f aca="false">IF(VACnom&gt;Vbat, Table7[[#This Row],[PIV (mW)]]+Table7[[#This Row],[Pqoss (mW)]]+Table7[[#This Row],[Pgate_top (mW)]], Table7[[#This Row],[PRR (mW)]]+Table7[[#This Row],[Pdead (mW)]]+Table7[[#This Row],[Pgate_top (mW)]])</f>
        <v>#REF!</v>
      </c>
      <c r="BB207" s="152" t="e">
        <f aca="false">Table7[[#This Row],[Pcon_top (mW)]]+Table7[[#This Row],[Psw_top (mW)]]</f>
        <v>#REF!</v>
      </c>
      <c r="BC207" s="152" t="e">
        <f aca="false">IF(VACnom&gt;Vbat, (1-Table7[[#This Row],[Duty Cycle]])*Table7[[#This Row],[I_L RMS]]^2*TI_MOSFET_S_RDSON_L_BU*10^-3, Table7[[#This Row],[Duty Cycle]]*Table7[[#This Row],[I_L RMS]]^2*TI_MOSFET_S_RDSON_L_BO*10^-3)/10^-3</f>
        <v>#REF!</v>
      </c>
      <c r="BD207" s="152" t="e">
        <f aca="false">IF(VACnom&gt;Vbat, Table7[[#This Row],[PRR (mW)]]+Table7[[#This Row],[Pdead (mW)]]+Table7[[#This Row],[Pgate_bottom (mW)]], Table7[[#This Row],[PIV (mW)]]+Table7[[#This Row],[Pqoss (mW)]]+Table7[[#This Row],[Pgate_bottom (mW)]])</f>
        <v>#REF!</v>
      </c>
      <c r="BE207" s="154" t="e">
        <f aca="false">Table7[[#This Row],[Pcon_bottom (mW)]]+Table7[[#This Row],[Psw_bottom (mW)]]</f>
        <v>#REF!</v>
      </c>
      <c r="BF207" s="152" t="e">
        <f aca="false">Table7[[#This Row],[Pbottom (mW)]]+Table7[[#This Row],[Ptop (mW)]]</f>
        <v>#REF!</v>
      </c>
      <c r="BG207" s="155"/>
      <c r="BH207" s="152" t="n">
        <f aca="false">MAX(0,Table7[[#This Row],[I_L]]-0.5*Table7[[#This Row],[I_L pkpk]])</f>
        <v>5.21214285714286</v>
      </c>
      <c r="BI207" s="152" t="n">
        <f aca="false">Table7[[#This Row],[I_L]]+0.5*Table7[[#This Row],[I_L pkpk]]</f>
        <v>5.49785714285714</v>
      </c>
      <c r="BJ207" s="152" t="n">
        <f aca="false">IF(VACnom&gt;Vbat, (VGS_S-(C_MOSFET_S_VTH_H_BU+Table7[[#This Row],[I_L]]/C_MOSFET_S_gFS_H_BU))/3.4, (VGS_S-(C_MOSFET_S_VTH_L_BO+Table7[[#This Row],[I_L]]/C_MOSFET_S_gFS_L_BO))/3.4 )</f>
        <v>2.34244117647059</v>
      </c>
      <c r="BK207" s="152" t="n">
        <f aca="false">IF(VACnom&gt;Vbat, ((C_MOSFET_S_VTH_H_BU+Table7[[#This Row],[I_L]]/C_MOSFET_S_gFS_H_BU))/1, ((C_MOSFET_S_VTH_L_BO+Table7[[#This Row],[I_L]]/C_MOSFET_S_gFS_L_BO))/1 )</f>
        <v>2.0357</v>
      </c>
      <c r="BL207" s="152" t="n">
        <f aca="false">IF(VACnom&gt;Vbat, (C_MOSFET_S_QGD_H_BU+C_MOSFET_S_QGS_H_BU)*10^-9/Table7[[#This Row],[Ion (A) C]], (C_MOSFET_S_QGD_L_BO+C_MOSFET_S_QGS_L_BO)*10^-9/Table7[[#This Row],[Ion (A) C]])/10^-9</f>
        <v>2.77488291500822</v>
      </c>
      <c r="BM207" s="152" t="n">
        <f aca="false">IF(VACnom&gt;Vbat, (C_MOSFET_S_QGD_H_BU+C_MOSFET_S_QGS_H_BU)*10^-9/Table7[[#This Row],[Ioff (A) C]], (C_MOSFET_S_QGD_L_BO+C_MOSFET_S_QGS_L_BO)*10^-9/Table7[[#This Row],[Ioff (A) C]])/10^-9</f>
        <v>3.19300486319202</v>
      </c>
      <c r="BN207" s="152" t="n">
        <f aca="false">0.5*VACnom*Table7[[#This Row],[Ivalley (A) C]]*Table7[[#This Row],[ton (ns) C]]*10^-9*Fsw*10^3+0.5*VACnom*Table7[[#This Row],[Ipeak (A) C]]*Table7[[#This Row],[toff (ns) C]]*10^-9*Fsw*10^3/10^-3</f>
        <v>21.0829772165313</v>
      </c>
      <c r="BO207" s="152" t="n">
        <f aca="false">IF(VACnom&gt;Vbat, 0.5*VACnom*C_MOSFET_S_QOSS_H_BU*10^-9*Fsw*10^3,0.5*VACnom*C_MOSFET_S_QOSS_L_BO*10^-9*Fsw*10^3)/10^-3</f>
        <v>43.2</v>
      </c>
      <c r="BP207" s="152" t="e">
        <f aca="false">IF(VACnom&gt;Vbat, VACnom*C_MOSFET_S_QG_H_BU*10^-9*Fsw*10^3,VACnom*C_MOSFET_S_QG_H_BO*10^-9*Fsw*10^3)/10^-3</f>
        <v>#REF!</v>
      </c>
      <c r="BQ207" s="152" t="n">
        <f aca="false">IF(VACnom&gt;Vbat, VACnom*C_MOSFET_S_QRR_L_BU*10^-9*Fsw*10^3, VACnom*C_MOSFET_S_QRR_H_BO*10^-9*Fsw*10^3)/10^-3</f>
        <v>79.2</v>
      </c>
      <c r="BR207" s="152" t="n">
        <f aca="false">IF(VACnom&gt;Vbat, C_MOSFET_S_VSD_L_BU*Table7[[#This Row],[Ivalley (A) C]]*Fsw*10^3*40*10^-9+C_MOSFET_S_VSD_L_BU*Table7[[#This Row],[Ipeak (A) C]]*Fsw*10^3*30*10^-9, C_MOSFET_S_VSD_H_BO*Table7[[#This Row],[Ivalley (A) C]]*Fsw*10^3*40*10^-9+C_MOSFET_S_VSD_H_BO*Table7[[#This Row],[Ipeak (A) C]]*Fsw*10^3*30*10^-9)/10^-3</f>
        <v>59.7474285714286</v>
      </c>
      <c r="BS207" s="152" t="e">
        <f aca="false">IF(VACnom&gt;Vbat, VACnom*C_MOSFET_S_QG_L_BU*10^-9*Fsw*10^3, VACnom*C_MOSFET_S_QG_L_BO*10^-9*Fsw*10^3)/10^-3</f>
        <v>#REF!</v>
      </c>
      <c r="BT207" s="152" t="n">
        <f aca="false">IF(VACnom&lt;Vbat, Table7[[#This Row],[Duty Cycle]]*Table7[[#This Row],[I_L RMS]]^2*C_MOSFET_S_RDSON_H_BU*10^-3, (1-Table7[[#This Row],[Duty Cycle]])*Table7[[#This Row],[I_L RMS]]^2*C_MOSFET_S_RDSON_H_BO*10^-3)/10^-3</f>
        <v>7.78533895286686</v>
      </c>
      <c r="BU207" s="152" t="e">
        <f aca="false">IF(VACnom&gt;Vbat, Table7[[#This Row],[PIV (mW) C]]+Table7[[#This Row],[PQoss (mW) C]]+Table7[[#This Row],[Pgate_top (mW) C]], Table7[[#This Row],[PRR (mW) C]]+Table7[[#This Row],[Pdead (mW) C]]+Table7[[#This Row],[Pgate_top (mW) C]])</f>
        <v>#REF!</v>
      </c>
      <c r="BV207" s="152" t="e">
        <f aca="false">Table7[[#This Row],[Pcon_top (mW) C]]+Table7[[#This Row],[Psw_top (mW) C]]</f>
        <v>#REF!</v>
      </c>
      <c r="BW207" s="152" t="e">
        <f aca="false">IF(VACnom&gt;Vbat, (1-Table7[[#This Row],[Duty Cycle]])*Table7[[#This Row],[I_L RMS]]^2*C_MOSFET_S_RDSON_L_BU*10^-3, Table7[[#This Row],[Duty Cycle]]*Table7[[#This Row],[I_L RMS]]^2*C_MOSFET_S_RDSON_L_BO*10^-3)/10^-3</f>
        <v>#REF!</v>
      </c>
      <c r="BX207" s="152" t="e">
        <f aca="false">IF(VACnom&gt;Vbat, Table7[[#This Row],[PRR (mW) C]]+Table7[[#This Row],[Pdead (mW) C]]+Table7[[#This Row],[Pgate_bottom (mW) C]], Table7[[#This Row],[PIV (mW) C]]+Table7[[#This Row],[PQoss (mW) C]]+Table7[[#This Row],[Pgate_bottom (mW) C]])</f>
        <v>#REF!</v>
      </c>
      <c r="BY207" s="152" t="e">
        <f aca="false">Table7[[#This Row],[Pcon_bottom (mW) C]]+Table7[[#This Row],[Psw_bottom (mV) C]]</f>
        <v>#REF!</v>
      </c>
      <c r="BZ207" s="152" t="e">
        <f aca="false">Table7[[#This Row],[Pbottom (mW) C]]+Table7[[#This Row],[Ptop (mW) C]]</f>
        <v>#REF!</v>
      </c>
      <c r="CA207" s="156"/>
      <c r="CB207" s="151" t="n">
        <f aca="false">(RAC_SNS*10^-3*(Table7[[#This Row],[IOUT (A)]]*Vbat/VACnom)^2/10^-3)</f>
        <v>143.380125</v>
      </c>
      <c r="CC207" s="151" t="n">
        <f aca="false">(RBAT_SNS*10^-3*Table7[[#This Row],[IOUT (A)]]^2)/10^-3</f>
        <v>130.05</v>
      </c>
      <c r="CD207" s="151" t="n">
        <f aca="false">IF(VACnom&gt;Vbat,(L_DRC*10^-3*(Table7[[#This Row],[IOUT (A)]])^2/10^-3),(L_DRC*10^-3*(Table7[[#This Row],[IOUT (A)]]*Vbat/VACnom)^2/10^-3))</f>
        <v>344.1123</v>
      </c>
      <c r="CE207" s="157"/>
      <c r="CF207" s="152" t="n">
        <f aca="false">(Table7[[#This Row],[R_AC (mW)]]+Table7[[#This Row],[R_SR (mW)]]+Table7[[#This Row],[Inductor Loss (mW)]])/10^3</f>
        <v>0.617542425</v>
      </c>
      <c r="CG207" s="152" t="e">
        <f aca="false">Table7[[#This Row],[Total TI (mW)]]/10^3</f>
        <v>#REF!</v>
      </c>
      <c r="CH207" s="152" t="e">
        <f aca="false">Table7[[#This Row],[Total Sense Loss]]+Table7[[#This Row],[Total MOSFET Loss]]</f>
        <v>#REF!</v>
      </c>
      <c r="CI207" s="158" t="e">
        <f aca="false">IF(Table7[[#This Row],[POUT (W)]]=0,0,(Table7[[#This Row],[POUT (W)]])/(Table7[[#This Row],[POUT (W)]]+Table7[[#This Row],[Total Power Loss (W)]]))*100</f>
        <v>#REF!</v>
      </c>
      <c r="CJ207" s="159"/>
      <c r="CK207" s="152" t="n">
        <f aca="false">(Table7[[#This Row],[R_AC (mW)]]+Table7[[#This Row],[R_SR (mW)]]+Table7[[#This Row],[Inductor Loss (mW)]])/10^3</f>
        <v>0.617542425</v>
      </c>
      <c r="CL207" s="152" t="e">
        <f aca="false">Table7[[#This Row],[Total (mW) C]]/10^3</f>
        <v>#REF!</v>
      </c>
      <c r="CM207" s="152" t="e">
        <f aca="false">Table7[[#This Row],[Total Sense Loss C]]+Table7[[#This Row],[Total MOSFET Loss C]]</f>
        <v>#REF!</v>
      </c>
      <c r="CN207" s="158" t="e">
        <f aca="false">IF(Table7[[#This Row],[POUT (W)]]=0,0,(Table7[[#This Row],[POUT (W)]])/(Table7[[#This Row],[POUT (W)]]+Table7[[#This Row],[Total Power Loss (W) C]]))*100</f>
        <v>#REF!</v>
      </c>
      <c r="CO207" s="159"/>
      <c r="CP207" s="158" t="n">
        <f aca="false">IF(MOSFET_S=Custom_MOSFET,Table7[[#This Row],[Total Sense Loss C]],Table7[[#This Row],[Total Sense Loss]])</f>
        <v>0.617542425</v>
      </c>
      <c r="CQ207" s="158" t="e">
        <f aca="false">IF(MOSFET_S=Custom_MOSFET,Table7[[#This Row],[Total MOSFET Loss C]],Table7[[#This Row],[Total MOSFET Loss]])</f>
        <v>#REF!</v>
      </c>
      <c r="CR207" s="158" t="e">
        <f aca="false">IF(MOSFET_S=Custom_MOSFET,Table7[[#This Row],[Efficiency C]],Table7[[#This Row],[Efficiency]])</f>
        <v>#REF!</v>
      </c>
      <c r="CS207" s="159"/>
      <c r="CT207" s="158" t="n">
        <f aca="false">IF(MOSFET_S=Compare_MOSFET, Table7[[#This Row],[Total Sense Loss C]], -100)</f>
        <v>-100</v>
      </c>
      <c r="CU207" s="158" t="n">
        <f aca="false">IF(MOSFET_S=Compare_MOSFET, Table7[[#This Row],[Total MOSFET Loss C]], -100)</f>
        <v>-100</v>
      </c>
      <c r="CV207" s="158" t="n">
        <f aca="false">IF(MOSFET_S=Compare_MOSFET, Table7[[#This Row],[Efficiency C]], -100)</f>
        <v>-100</v>
      </c>
      <c r="CW207" s="159"/>
      <c r="CX207" s="158" t="e">
        <f aca="false">IF(Save_Sel=CLR_Save,  Table7[[#This Row],[Total Sense Loss P1]], Table7[[#This Row],[Total Sense Loss P1 Saved]])</f>
        <v>#VALUE!</v>
      </c>
      <c r="CY207" s="158" t="e">
        <f aca="false">IF(Save_Sel=CLR_Save,  Table7[[#This Row],[Total MOSFET Loss P1]], Table7[[#This Row],[Total MOSFET Loss P1 Saved]] )</f>
        <v>#VALUE!</v>
      </c>
      <c r="CZ207" s="158" t="e">
        <f aca="false">IF(Save_Sel=CLR_Save, Table7[[#This Row],[Efficiency P1]], Table7[[#This Row],[Efficiency P1 Saved]])</f>
        <v>#VALUE!</v>
      </c>
      <c r="DA207" s="159"/>
      <c r="DB207" s="158" t="e">
        <f aca="false">IF(Save_Sel=CLR_Save,  Table7[[#This Row],[Total Sense Loss P2]], Table7[[#This Row],[Total Sense Loss P2 Saved]])</f>
        <v>#VALUE!</v>
      </c>
      <c r="DC207" s="158" t="e">
        <f aca="false">IF(Save_Sel=CLR_Save,  Table7[[#This Row],[Total MOSFET Loss P2]], Table7[[#This Row],[Total MOSFET Loss P2 Saved]] )</f>
        <v>#VALUE!</v>
      </c>
      <c r="DD207" s="158" t="e">
        <f aca="false">IF(Save_Sel=CLR_Save, Table7[[#This Row],[Efficiency P2]], Table7[[#This Row],[Efficiency P2 Saved]])</f>
        <v>#VALUE!</v>
      </c>
      <c r="DE207" s="159"/>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row>
    <row r="208" customFormat="false" ht="16.4" hidden="false" customHeight="false" outlineLevel="0" collapsed="false">
      <c r="A208" s="28"/>
      <c r="B208" s="84"/>
      <c r="C208" s="84"/>
      <c r="D208" s="28"/>
      <c r="E208" s="168"/>
      <c r="F208" s="168"/>
      <c r="G208" s="84"/>
      <c r="H208" s="24"/>
      <c r="I208" s="24"/>
      <c r="J208" s="24"/>
      <c r="K208" s="24"/>
      <c r="L208" s="24"/>
      <c r="M208" s="24"/>
      <c r="N208" s="24"/>
      <c r="O208" s="24"/>
      <c r="P208" s="24"/>
      <c r="Q208" s="24"/>
      <c r="R208" s="24"/>
      <c r="S208" s="25"/>
      <c r="T208" s="6"/>
      <c r="U208" s="7"/>
      <c r="V208" s="7"/>
      <c r="W208" s="7"/>
      <c r="X208" s="7"/>
      <c r="Y208" s="7"/>
      <c r="Z208" s="7"/>
      <c r="AA208" s="7"/>
      <c r="AB208" s="7"/>
      <c r="AC208" s="7"/>
      <c r="AD208" s="7"/>
      <c r="AE208" s="7"/>
      <c r="AF208" s="150" t="n">
        <f aca="false">AF207+1</f>
        <v>52</v>
      </c>
      <c r="AG208" s="150" t="n">
        <f aca="false">$AG$156+AF208*($AG$256-$AG$156)/$AF$256</f>
        <v>5.2</v>
      </c>
      <c r="AH208" s="151" t="n">
        <f aca="false">AG208*VACnom</f>
        <v>62.4</v>
      </c>
      <c r="AI208" s="152" t="n">
        <f aca="false">IF(VACnom&lt;Vbat, (Vbat-VACnom)/Vbat, Vbat/VACnom)</f>
        <v>0.0476190476190476</v>
      </c>
      <c r="AJ208" s="152" t="n">
        <f aca="false">IF(VACnom&lt;Vbat, AG208/(1-AI208), AG208*AI208)</f>
        <v>5.46</v>
      </c>
      <c r="AK208" s="152" t="n">
        <f aca="false">Ipkpk_VACnom</f>
        <v>0.285714285714285</v>
      </c>
      <c r="AL208" s="152" t="n">
        <f aca="false">SQRT(AJ208^2+AK208^2/12)</f>
        <v>5.46062292427232</v>
      </c>
      <c r="AM208" s="153"/>
      <c r="AN208" s="152" t="n">
        <f aca="false">MAX(0,Table7[[#This Row],[I_L]]-0.5*Table7[[#This Row],[I_L pkpk]])</f>
        <v>5.31714285714286</v>
      </c>
      <c r="AO208" s="152" t="n">
        <f aca="false">Table7[[#This Row],[I_L]]+0.5*Table7[[#This Row],[I_L pkpk]]</f>
        <v>5.60285714285714</v>
      </c>
      <c r="AP208" s="152" t="e">
        <f aca="false">IF(VACnom&gt;Vbat, (VGS_S-(TI_MOSFET_S_VTH_H_BU+Table7[[#This Row],[I_L]]/TI_MOSFET_S_gFS_H_BU))/3.4, (VGS_S-(TI_MOSFET_S_VTH_L_BO+Table7[[#This Row],[I_L]]/TI_MOSFET_S_gFS_L_BO))/3.4 )</f>
        <v>#REF!</v>
      </c>
      <c r="AQ208" s="152" t="e">
        <f aca="false">IF(VACnom&gt;Vbat, ((TI_MOSFET_S_VTH_H_BU+Table7[[#This Row],[I_L]]/TI_MOSFET_S_gFS_H_BU))/1, ((TI_MOSFET_S_VTH_L_BO+Table7[[#This Row],[I_L]]/TI_MOSFET_S_gFS_L_BO))/1 )</f>
        <v>#REF!</v>
      </c>
      <c r="AR208" s="152" t="e">
        <f aca="false">IF(VACnom&gt;Vbat, (TI_MOSFET_S_QGD_H_BU+TI_MOSFET_S_QGS_H_BU)*10^-9/Table7[[#This Row],[Ion (A)]], (TI_MOSFET_S_QGD_L_BO+TI_MOSFET_S_QGS_L_BO)*10^-9/Table7[[#This Row],[Ion (A)]])/10^-9</f>
        <v>#REF!</v>
      </c>
      <c r="AS208" s="152" t="e">
        <f aca="false">IF(VACnom&gt;Vbat, (TI_MOSFET_S_QGD_H_BU+TI_MOSFET_S_QGS_H_BU)*10^-9/Table7[[#This Row],[Ioff (A)]], (TI_MOSFET_S_QGD_L_BO+TI_MOSFET_S_QGS_L_BO)*10^-9/Table7[[#This Row],[Ioff (A)]])/10^-9</f>
        <v>#REF!</v>
      </c>
      <c r="AT208" s="152" t="e">
        <f aca="false">0.5*VACnom*Table7[[#This Row],[Ivalley (A)]]*Table7[[#This Row],[ton (ns)]]*10^-9*Fsw*10^3+0.5*VACnom*Table7[[#This Row],[Ipeak (A)]]*Table7[[#This Row],[toff (ns)]]*10^-9*Fsw*10^3/10^-3</f>
        <v>#REF!</v>
      </c>
      <c r="AU208" s="152" t="e">
        <f aca="false">IF(VACnom&gt;Vbat, 0.5*VACnom*TI_MOSFET_S_QOSS_H_BU*10^-9*Fsw*10^3,0.5*VACnom*TI_MOSFET_S_QOSS_L_BO*10^-9*Fsw*10^3)/10^-3</f>
        <v>#REF!</v>
      </c>
      <c r="AV208" s="152" t="e">
        <f aca="false">IF(VACnom&gt;Vbat, VACnom*TI_MOSFET_S_QG_H_BU*10^-9*Fsw*10^3,VACnom*TI_MOSFET_S_QG_H_BO*10^-9*Fsw*10^3)/10^-3</f>
        <v>#REF!</v>
      </c>
      <c r="AW208" s="152" t="e">
        <f aca="false">IF(VACnom&gt;Vbat, VACnom*TI_MOSFET_S_QRR_L_BU*10^-9*Fsw*10^3, VACnom*TI_MOSFET_S_QRR_H_BO*10^-9*Fsw*10^3)/10^-3</f>
        <v>#REF!</v>
      </c>
      <c r="AX208" s="152" t="e">
        <f aca="false">IF(VACnom&gt;Vbat, TI_MOSFET_S_VSD_L_BU*Table7[[#This Row],[Ivalley (A)]]*Fsw*10^3*40*10^-9+TI_MOSFET_S_VSD_L_BU*Table7[[#This Row],[Ipeak (A)]]*Fsw*10^3*30*10^-9, TI_MOSFET_S_VSD_H_BO*Table7[[#This Row],[Ivalley (A)]]*Fsw*10^3*40*10^-9+TI_MOSFET_S_VSD_H_BO*Table7[[#This Row],[Ipeak (A)]]*Fsw*10^3*30*10^-9)/10^-3</f>
        <v>#REF!</v>
      </c>
      <c r="AY208" s="152" t="e">
        <f aca="false">IF(VACnom&gt;Vbat, VACnom*TI_MOSFET_S_QG_L_BU*10^-9*Fsw*10^3, VACnom*TI_MOSFET_S_QG_L_BO*10^-9*Fsw*10^3)/10^-3</f>
        <v>#REF!</v>
      </c>
      <c r="AZ208" s="152" t="e">
        <f aca="false">IF(VACnom&lt;Vbat, Table7[[#This Row],[Duty Cycle]]*Table7[[#This Row],[I_L RMS]]^2*TI_MOSFET_S_RDSON_H_BU*10^-3, (1-Table7[[#This Row],[Duty Cycle]])*Table7[[#This Row],[I_L RMS]]^2*TI_MOSFET_S_RDSON_H_BO*10^-3)/10^-3</f>
        <v>#REF!</v>
      </c>
      <c r="BA208" s="152" t="e">
        <f aca="false">IF(VACnom&gt;Vbat, Table7[[#This Row],[PIV (mW)]]+Table7[[#This Row],[Pqoss (mW)]]+Table7[[#This Row],[Pgate_top (mW)]], Table7[[#This Row],[PRR (mW)]]+Table7[[#This Row],[Pdead (mW)]]+Table7[[#This Row],[Pgate_top (mW)]])</f>
        <v>#REF!</v>
      </c>
      <c r="BB208" s="152" t="e">
        <f aca="false">Table7[[#This Row],[Pcon_top (mW)]]+Table7[[#This Row],[Psw_top (mW)]]</f>
        <v>#REF!</v>
      </c>
      <c r="BC208" s="152" t="e">
        <f aca="false">IF(VACnom&gt;Vbat, (1-Table7[[#This Row],[Duty Cycle]])*Table7[[#This Row],[I_L RMS]]^2*TI_MOSFET_S_RDSON_L_BU*10^-3, Table7[[#This Row],[Duty Cycle]]*Table7[[#This Row],[I_L RMS]]^2*TI_MOSFET_S_RDSON_L_BO*10^-3)/10^-3</f>
        <v>#REF!</v>
      </c>
      <c r="BD208" s="152" t="e">
        <f aca="false">IF(VACnom&gt;Vbat, Table7[[#This Row],[PRR (mW)]]+Table7[[#This Row],[Pdead (mW)]]+Table7[[#This Row],[Pgate_bottom (mW)]], Table7[[#This Row],[PIV (mW)]]+Table7[[#This Row],[Pqoss (mW)]]+Table7[[#This Row],[Pgate_bottom (mW)]])</f>
        <v>#REF!</v>
      </c>
      <c r="BE208" s="154" t="e">
        <f aca="false">Table7[[#This Row],[Pcon_bottom (mW)]]+Table7[[#This Row],[Psw_bottom (mW)]]</f>
        <v>#REF!</v>
      </c>
      <c r="BF208" s="152" t="e">
        <f aca="false">Table7[[#This Row],[Pbottom (mW)]]+Table7[[#This Row],[Ptop (mW)]]</f>
        <v>#REF!</v>
      </c>
      <c r="BG208" s="155"/>
      <c r="BH208" s="152" t="n">
        <f aca="false">MAX(0,Table7[[#This Row],[I_L]]-0.5*Table7[[#This Row],[I_L pkpk]])</f>
        <v>5.31714285714286</v>
      </c>
      <c r="BI208" s="152" t="n">
        <f aca="false">Table7[[#This Row],[I_L]]+0.5*Table7[[#This Row],[I_L pkpk]]</f>
        <v>5.60285714285714</v>
      </c>
      <c r="BJ208" s="152" t="n">
        <f aca="false">IF(VACnom&gt;Vbat, (VGS_S-(C_MOSFET_S_VTH_H_BU+Table7[[#This Row],[I_L]]/C_MOSFET_S_gFS_H_BU))/3.4, (VGS_S-(C_MOSFET_S_VTH_L_BO+Table7[[#This Row],[I_L]]/C_MOSFET_S_gFS_L_BO))/3.4 )</f>
        <v>2.34223529411765</v>
      </c>
      <c r="BK208" s="152" t="n">
        <f aca="false">IF(VACnom&gt;Vbat, ((C_MOSFET_S_VTH_H_BU+Table7[[#This Row],[I_L]]/C_MOSFET_S_gFS_H_BU))/1, ((C_MOSFET_S_VTH_L_BO+Table7[[#This Row],[I_L]]/C_MOSFET_S_gFS_L_BO))/1 )</f>
        <v>2.0364</v>
      </c>
      <c r="BL208" s="152" t="n">
        <f aca="false">IF(VACnom&gt;Vbat, (C_MOSFET_S_QGD_H_BU+C_MOSFET_S_QGS_H_BU)*10^-9/Table7[[#This Row],[Ion (A) C]], (C_MOSFET_S_QGD_L_BO+C_MOSFET_S_QGS_L_BO)*10^-9/Table7[[#This Row],[Ion (A) C]])/10^-9</f>
        <v>2.77512682706314</v>
      </c>
      <c r="BM208" s="152" t="n">
        <f aca="false">IF(VACnom&gt;Vbat, (C_MOSFET_S_QGD_H_BU+C_MOSFET_S_QGS_H_BU)*10^-9/Table7[[#This Row],[Ioff (A) C]], (C_MOSFET_S_QGD_L_BO+C_MOSFET_S_QGS_L_BO)*10^-9/Table7[[#This Row],[Ioff (A) C]])/10^-9</f>
        <v>3.19190728736987</v>
      </c>
      <c r="BN208" s="152" t="n">
        <f aca="false">0.5*VACnom*Table7[[#This Row],[Ivalley (A) C]]*Table7[[#This Row],[ton (ns) C]]*10^-9*Fsw*10^3+0.5*VACnom*Table7[[#This Row],[Ipeak (A) C]]*Table7[[#This Row],[toff (ns) C]]*10^-9*Fsw*10^3/10^-3</f>
        <v>21.4782675481971</v>
      </c>
      <c r="BO208" s="152" t="n">
        <f aca="false">IF(VACnom&gt;Vbat, 0.5*VACnom*C_MOSFET_S_QOSS_H_BU*10^-9*Fsw*10^3,0.5*VACnom*C_MOSFET_S_QOSS_L_BO*10^-9*Fsw*10^3)/10^-3</f>
        <v>43.2</v>
      </c>
      <c r="BP208" s="152" t="e">
        <f aca="false">IF(VACnom&gt;Vbat, VACnom*C_MOSFET_S_QG_H_BU*10^-9*Fsw*10^3,VACnom*C_MOSFET_S_QG_H_BO*10^-9*Fsw*10^3)/10^-3</f>
        <v>#REF!</v>
      </c>
      <c r="BQ208" s="152" t="n">
        <f aca="false">IF(VACnom&gt;Vbat, VACnom*C_MOSFET_S_QRR_L_BU*10^-9*Fsw*10^3, VACnom*C_MOSFET_S_QRR_H_BO*10^-9*Fsw*10^3)/10^-3</f>
        <v>79.2</v>
      </c>
      <c r="BR208" s="152" t="n">
        <f aca="false">IF(VACnom&gt;Vbat, C_MOSFET_S_VSD_L_BU*Table7[[#This Row],[Ivalley (A) C]]*Fsw*10^3*40*10^-9+C_MOSFET_S_VSD_L_BU*Table7[[#This Row],[Ipeak (A) C]]*Fsw*10^3*30*10^-9, C_MOSFET_S_VSD_H_BO*Table7[[#This Row],[Ivalley (A) C]]*Fsw*10^3*40*10^-9+C_MOSFET_S_VSD_H_BO*Table7[[#This Row],[Ipeak (A) C]]*Fsw*10^3*30*10^-9)/10^-3</f>
        <v>60.9234285714286</v>
      </c>
      <c r="BS208" s="152" t="e">
        <f aca="false">IF(VACnom&gt;Vbat, VACnom*C_MOSFET_S_QG_L_BU*10^-9*Fsw*10^3, VACnom*C_MOSFET_S_QG_L_BO*10^-9*Fsw*10^3)/10^-3</f>
        <v>#REF!</v>
      </c>
      <c r="BT208" s="152" t="n">
        <f aca="false">IF(VACnom&lt;Vbat, Table7[[#This Row],[Duty Cycle]]*Table7[[#This Row],[I_L RMS]]^2*C_MOSFET_S_RDSON_H_BU*10^-3, (1-Table7[[#This Row],[Duty Cycle]])*Table7[[#This Row],[I_L RMS]]^2*C_MOSFET_S_RDSON_H_BO*10^-3)/10^-3</f>
        <v>8.09356645286686</v>
      </c>
      <c r="BU208" s="152" t="e">
        <f aca="false">IF(VACnom&gt;Vbat, Table7[[#This Row],[PIV (mW) C]]+Table7[[#This Row],[PQoss (mW) C]]+Table7[[#This Row],[Pgate_top (mW) C]], Table7[[#This Row],[PRR (mW) C]]+Table7[[#This Row],[Pdead (mW) C]]+Table7[[#This Row],[Pgate_top (mW) C]])</f>
        <v>#REF!</v>
      </c>
      <c r="BV208" s="152" t="e">
        <f aca="false">Table7[[#This Row],[Pcon_top (mW) C]]+Table7[[#This Row],[Psw_top (mW) C]]</f>
        <v>#REF!</v>
      </c>
      <c r="BW208" s="152" t="e">
        <f aca="false">IF(VACnom&gt;Vbat, (1-Table7[[#This Row],[Duty Cycle]])*Table7[[#This Row],[I_L RMS]]^2*C_MOSFET_S_RDSON_L_BU*10^-3, Table7[[#This Row],[Duty Cycle]]*Table7[[#This Row],[I_L RMS]]^2*C_MOSFET_S_RDSON_L_BO*10^-3)/10^-3</f>
        <v>#REF!</v>
      </c>
      <c r="BX208" s="152" t="e">
        <f aca="false">IF(VACnom&gt;Vbat, Table7[[#This Row],[PRR (mW) C]]+Table7[[#This Row],[Pdead (mW) C]]+Table7[[#This Row],[Pgate_bottom (mW) C]], Table7[[#This Row],[PIV (mW) C]]+Table7[[#This Row],[PQoss (mW) C]]+Table7[[#This Row],[Pgate_bottom (mW) C]])</f>
        <v>#REF!</v>
      </c>
      <c r="BY208" s="152" t="e">
        <f aca="false">Table7[[#This Row],[Pcon_bottom (mW) C]]+Table7[[#This Row],[Psw_bottom (mV) C]]</f>
        <v>#REF!</v>
      </c>
      <c r="BZ208" s="152" t="e">
        <f aca="false">Table7[[#This Row],[Pbottom (mW) C]]+Table7[[#This Row],[Ptop (mW) C]]</f>
        <v>#REF!</v>
      </c>
      <c r="CA208" s="156"/>
      <c r="CB208" s="151" t="n">
        <f aca="false">(RAC_SNS*10^-3*(Table7[[#This Row],[IOUT (A)]]*Vbat/VACnom)^2/10^-3)</f>
        <v>149.058</v>
      </c>
      <c r="CC208" s="151" t="n">
        <f aca="false">(RBAT_SNS*10^-3*Table7[[#This Row],[IOUT (A)]]^2)/10^-3</f>
        <v>135.2</v>
      </c>
      <c r="CD208" s="151" t="n">
        <f aca="false">IF(VACnom&gt;Vbat,(L_DRC*10^-3*(Table7[[#This Row],[IOUT (A)]])^2/10^-3),(L_DRC*10^-3*(Table7[[#This Row],[IOUT (A)]]*Vbat/VACnom)^2/10^-3))</f>
        <v>357.7392</v>
      </c>
      <c r="CE208" s="157"/>
      <c r="CF208" s="152" t="n">
        <f aca="false">(Table7[[#This Row],[R_AC (mW)]]+Table7[[#This Row],[R_SR (mW)]]+Table7[[#This Row],[Inductor Loss (mW)]])/10^3</f>
        <v>0.6419972</v>
      </c>
      <c r="CG208" s="152" t="e">
        <f aca="false">Table7[[#This Row],[Total TI (mW)]]/10^3</f>
        <v>#REF!</v>
      </c>
      <c r="CH208" s="152" t="e">
        <f aca="false">Table7[[#This Row],[Total Sense Loss]]+Table7[[#This Row],[Total MOSFET Loss]]</f>
        <v>#REF!</v>
      </c>
      <c r="CI208" s="158" t="e">
        <f aca="false">IF(Table7[[#This Row],[POUT (W)]]=0,0,(Table7[[#This Row],[POUT (W)]])/(Table7[[#This Row],[POUT (W)]]+Table7[[#This Row],[Total Power Loss (W)]]))*100</f>
        <v>#REF!</v>
      </c>
      <c r="CJ208" s="159"/>
      <c r="CK208" s="152" t="n">
        <f aca="false">(Table7[[#This Row],[R_AC (mW)]]+Table7[[#This Row],[R_SR (mW)]]+Table7[[#This Row],[Inductor Loss (mW)]])/10^3</f>
        <v>0.6419972</v>
      </c>
      <c r="CL208" s="152" t="e">
        <f aca="false">Table7[[#This Row],[Total (mW) C]]/10^3</f>
        <v>#REF!</v>
      </c>
      <c r="CM208" s="152" t="e">
        <f aca="false">Table7[[#This Row],[Total Sense Loss C]]+Table7[[#This Row],[Total MOSFET Loss C]]</f>
        <v>#REF!</v>
      </c>
      <c r="CN208" s="158" t="e">
        <f aca="false">IF(Table7[[#This Row],[POUT (W)]]=0,0,(Table7[[#This Row],[POUT (W)]])/(Table7[[#This Row],[POUT (W)]]+Table7[[#This Row],[Total Power Loss (W) C]]))*100</f>
        <v>#REF!</v>
      </c>
      <c r="CO208" s="159"/>
      <c r="CP208" s="158" t="n">
        <f aca="false">IF(MOSFET_S=Custom_MOSFET,Table7[[#This Row],[Total Sense Loss C]],Table7[[#This Row],[Total Sense Loss]])</f>
        <v>0.6419972</v>
      </c>
      <c r="CQ208" s="158" t="e">
        <f aca="false">IF(MOSFET_S=Custom_MOSFET,Table7[[#This Row],[Total MOSFET Loss C]],Table7[[#This Row],[Total MOSFET Loss]])</f>
        <v>#REF!</v>
      </c>
      <c r="CR208" s="158" t="e">
        <f aca="false">IF(MOSFET_S=Custom_MOSFET,Table7[[#This Row],[Efficiency C]],Table7[[#This Row],[Efficiency]])</f>
        <v>#REF!</v>
      </c>
      <c r="CS208" s="159"/>
      <c r="CT208" s="158" t="n">
        <f aca="false">IF(MOSFET_S=Compare_MOSFET, Table7[[#This Row],[Total Sense Loss C]], -100)</f>
        <v>-100</v>
      </c>
      <c r="CU208" s="158" t="n">
        <f aca="false">IF(MOSFET_S=Compare_MOSFET, Table7[[#This Row],[Total MOSFET Loss C]], -100)</f>
        <v>-100</v>
      </c>
      <c r="CV208" s="158" t="n">
        <f aca="false">IF(MOSFET_S=Compare_MOSFET, Table7[[#This Row],[Efficiency C]], -100)</f>
        <v>-100</v>
      </c>
      <c r="CW208" s="159"/>
      <c r="CX208" s="158" t="e">
        <f aca="false">IF(Save_Sel=CLR_Save,  Table7[[#This Row],[Total Sense Loss P1]], Table7[[#This Row],[Total Sense Loss P1 Saved]])</f>
        <v>#VALUE!</v>
      </c>
      <c r="CY208" s="158" t="e">
        <f aca="false">IF(Save_Sel=CLR_Save,  Table7[[#This Row],[Total MOSFET Loss P1]], Table7[[#This Row],[Total MOSFET Loss P1 Saved]] )</f>
        <v>#VALUE!</v>
      </c>
      <c r="CZ208" s="158" t="e">
        <f aca="false">IF(Save_Sel=CLR_Save, Table7[[#This Row],[Efficiency P1]], Table7[[#This Row],[Efficiency P1 Saved]])</f>
        <v>#VALUE!</v>
      </c>
      <c r="DA208" s="159"/>
      <c r="DB208" s="158" t="e">
        <f aca="false">IF(Save_Sel=CLR_Save,  Table7[[#This Row],[Total Sense Loss P2]], Table7[[#This Row],[Total Sense Loss P2 Saved]])</f>
        <v>#VALUE!</v>
      </c>
      <c r="DC208" s="158" t="e">
        <f aca="false">IF(Save_Sel=CLR_Save,  Table7[[#This Row],[Total MOSFET Loss P2]], Table7[[#This Row],[Total MOSFET Loss P2 Saved]] )</f>
        <v>#VALUE!</v>
      </c>
      <c r="DD208" s="158" t="e">
        <f aca="false">IF(Save_Sel=CLR_Save, Table7[[#This Row],[Efficiency P2]], Table7[[#This Row],[Efficiency P2 Saved]])</f>
        <v>#VALUE!</v>
      </c>
      <c r="DE208" s="159"/>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row>
    <row r="209" customFormat="false" ht="16.4" hidden="false" customHeight="false" outlineLevel="0" collapsed="false">
      <c r="A209" s="28"/>
      <c r="B209" s="84"/>
      <c r="C209" s="84"/>
      <c r="D209" s="28"/>
      <c r="E209" s="168"/>
      <c r="F209" s="168"/>
      <c r="G209" s="84"/>
      <c r="H209" s="24"/>
      <c r="I209" s="24"/>
      <c r="J209" s="24"/>
      <c r="K209" s="24"/>
      <c r="L209" s="24"/>
      <c r="M209" s="24"/>
      <c r="N209" s="24"/>
      <c r="O209" s="24"/>
      <c r="P209" s="24"/>
      <c r="Q209" s="24"/>
      <c r="R209" s="24"/>
      <c r="S209" s="25"/>
      <c r="T209" s="6"/>
      <c r="U209" s="7"/>
      <c r="V209" s="7"/>
      <c r="W209" s="7"/>
      <c r="X209" s="7"/>
      <c r="Y209" s="7"/>
      <c r="Z209" s="7"/>
      <c r="AA209" s="7"/>
      <c r="AB209" s="7"/>
      <c r="AC209" s="7"/>
      <c r="AD209" s="7"/>
      <c r="AE209" s="7"/>
      <c r="AF209" s="150" t="n">
        <f aca="false">AF208+1</f>
        <v>53</v>
      </c>
      <c r="AG209" s="150" t="n">
        <f aca="false">$AG$156+AF209*($AG$256-$AG$156)/$AF$256</f>
        <v>5.3</v>
      </c>
      <c r="AH209" s="151" t="n">
        <f aca="false">AG209*VACnom</f>
        <v>63.6</v>
      </c>
      <c r="AI209" s="152" t="n">
        <f aca="false">IF(VACnom&lt;Vbat, (Vbat-VACnom)/Vbat, Vbat/VACnom)</f>
        <v>0.0476190476190476</v>
      </c>
      <c r="AJ209" s="152" t="n">
        <f aca="false">IF(VACnom&lt;Vbat, AG209/(1-AI209), AG209*AI209)</f>
        <v>5.565</v>
      </c>
      <c r="AK209" s="152" t="n">
        <f aca="false">Ipkpk_VACnom</f>
        <v>0.285714285714285</v>
      </c>
      <c r="AL209" s="152" t="n">
        <f aca="false">SQRT(AJ209^2+AK209^2/12)</f>
        <v>5.56561117228723</v>
      </c>
      <c r="AM209" s="153"/>
      <c r="AN209" s="152" t="n">
        <f aca="false">MAX(0,Table7[[#This Row],[I_L]]-0.5*Table7[[#This Row],[I_L pkpk]])</f>
        <v>5.42214285714286</v>
      </c>
      <c r="AO209" s="152" t="n">
        <f aca="false">Table7[[#This Row],[I_L]]+0.5*Table7[[#This Row],[I_L pkpk]]</f>
        <v>5.70785714285714</v>
      </c>
      <c r="AP209" s="152" t="e">
        <f aca="false">IF(VACnom&gt;Vbat, (VGS_S-(TI_MOSFET_S_VTH_H_BU+Table7[[#This Row],[I_L]]/TI_MOSFET_S_gFS_H_BU))/3.4, (VGS_S-(TI_MOSFET_S_VTH_L_BO+Table7[[#This Row],[I_L]]/TI_MOSFET_S_gFS_L_BO))/3.4 )</f>
        <v>#REF!</v>
      </c>
      <c r="AQ209" s="152" t="e">
        <f aca="false">IF(VACnom&gt;Vbat, ((TI_MOSFET_S_VTH_H_BU+Table7[[#This Row],[I_L]]/TI_MOSFET_S_gFS_H_BU))/1, ((TI_MOSFET_S_VTH_L_BO+Table7[[#This Row],[I_L]]/TI_MOSFET_S_gFS_L_BO))/1 )</f>
        <v>#REF!</v>
      </c>
      <c r="AR209" s="152" t="e">
        <f aca="false">IF(VACnom&gt;Vbat, (TI_MOSFET_S_QGD_H_BU+TI_MOSFET_S_QGS_H_BU)*10^-9/Table7[[#This Row],[Ion (A)]], (TI_MOSFET_S_QGD_L_BO+TI_MOSFET_S_QGS_L_BO)*10^-9/Table7[[#This Row],[Ion (A)]])/10^-9</f>
        <v>#REF!</v>
      </c>
      <c r="AS209" s="152" t="e">
        <f aca="false">IF(VACnom&gt;Vbat, (TI_MOSFET_S_QGD_H_BU+TI_MOSFET_S_QGS_H_BU)*10^-9/Table7[[#This Row],[Ioff (A)]], (TI_MOSFET_S_QGD_L_BO+TI_MOSFET_S_QGS_L_BO)*10^-9/Table7[[#This Row],[Ioff (A)]])/10^-9</f>
        <v>#REF!</v>
      </c>
      <c r="AT209" s="152" t="e">
        <f aca="false">0.5*VACnom*Table7[[#This Row],[Ivalley (A)]]*Table7[[#This Row],[ton (ns)]]*10^-9*Fsw*10^3+0.5*VACnom*Table7[[#This Row],[Ipeak (A)]]*Table7[[#This Row],[toff (ns)]]*10^-9*Fsw*10^3/10^-3</f>
        <v>#REF!</v>
      </c>
      <c r="AU209" s="152" t="e">
        <f aca="false">IF(VACnom&gt;Vbat, 0.5*VACnom*TI_MOSFET_S_QOSS_H_BU*10^-9*Fsw*10^3,0.5*VACnom*TI_MOSFET_S_QOSS_L_BO*10^-9*Fsw*10^3)/10^-3</f>
        <v>#REF!</v>
      </c>
      <c r="AV209" s="152" t="e">
        <f aca="false">IF(VACnom&gt;Vbat, VACnom*TI_MOSFET_S_QG_H_BU*10^-9*Fsw*10^3,VACnom*TI_MOSFET_S_QG_H_BO*10^-9*Fsw*10^3)/10^-3</f>
        <v>#REF!</v>
      </c>
      <c r="AW209" s="152" t="e">
        <f aca="false">IF(VACnom&gt;Vbat, VACnom*TI_MOSFET_S_QRR_L_BU*10^-9*Fsw*10^3, VACnom*TI_MOSFET_S_QRR_H_BO*10^-9*Fsw*10^3)/10^-3</f>
        <v>#REF!</v>
      </c>
      <c r="AX209" s="152" t="e">
        <f aca="false">IF(VACnom&gt;Vbat, TI_MOSFET_S_VSD_L_BU*Table7[[#This Row],[Ivalley (A)]]*Fsw*10^3*40*10^-9+TI_MOSFET_S_VSD_L_BU*Table7[[#This Row],[Ipeak (A)]]*Fsw*10^3*30*10^-9, TI_MOSFET_S_VSD_H_BO*Table7[[#This Row],[Ivalley (A)]]*Fsw*10^3*40*10^-9+TI_MOSFET_S_VSD_H_BO*Table7[[#This Row],[Ipeak (A)]]*Fsw*10^3*30*10^-9)/10^-3</f>
        <v>#REF!</v>
      </c>
      <c r="AY209" s="152" t="e">
        <f aca="false">IF(VACnom&gt;Vbat, VACnom*TI_MOSFET_S_QG_L_BU*10^-9*Fsw*10^3, VACnom*TI_MOSFET_S_QG_L_BO*10^-9*Fsw*10^3)/10^-3</f>
        <v>#REF!</v>
      </c>
      <c r="AZ209" s="152" t="e">
        <f aca="false">IF(VACnom&lt;Vbat, Table7[[#This Row],[Duty Cycle]]*Table7[[#This Row],[I_L RMS]]^2*TI_MOSFET_S_RDSON_H_BU*10^-3, (1-Table7[[#This Row],[Duty Cycle]])*Table7[[#This Row],[I_L RMS]]^2*TI_MOSFET_S_RDSON_H_BO*10^-3)/10^-3</f>
        <v>#REF!</v>
      </c>
      <c r="BA209" s="152" t="e">
        <f aca="false">IF(VACnom&gt;Vbat, Table7[[#This Row],[PIV (mW)]]+Table7[[#This Row],[Pqoss (mW)]]+Table7[[#This Row],[Pgate_top (mW)]], Table7[[#This Row],[PRR (mW)]]+Table7[[#This Row],[Pdead (mW)]]+Table7[[#This Row],[Pgate_top (mW)]])</f>
        <v>#REF!</v>
      </c>
      <c r="BB209" s="152" t="e">
        <f aca="false">Table7[[#This Row],[Pcon_top (mW)]]+Table7[[#This Row],[Psw_top (mW)]]</f>
        <v>#REF!</v>
      </c>
      <c r="BC209" s="152" t="e">
        <f aca="false">IF(VACnom&gt;Vbat, (1-Table7[[#This Row],[Duty Cycle]])*Table7[[#This Row],[I_L RMS]]^2*TI_MOSFET_S_RDSON_L_BU*10^-3, Table7[[#This Row],[Duty Cycle]]*Table7[[#This Row],[I_L RMS]]^2*TI_MOSFET_S_RDSON_L_BO*10^-3)/10^-3</f>
        <v>#REF!</v>
      </c>
      <c r="BD209" s="152" t="e">
        <f aca="false">IF(VACnom&gt;Vbat, Table7[[#This Row],[PRR (mW)]]+Table7[[#This Row],[Pdead (mW)]]+Table7[[#This Row],[Pgate_bottom (mW)]], Table7[[#This Row],[PIV (mW)]]+Table7[[#This Row],[Pqoss (mW)]]+Table7[[#This Row],[Pgate_bottom (mW)]])</f>
        <v>#REF!</v>
      </c>
      <c r="BE209" s="154" t="e">
        <f aca="false">Table7[[#This Row],[Pcon_bottom (mW)]]+Table7[[#This Row],[Psw_bottom (mW)]]</f>
        <v>#REF!</v>
      </c>
      <c r="BF209" s="152" t="e">
        <f aca="false">Table7[[#This Row],[Pbottom (mW)]]+Table7[[#This Row],[Ptop (mW)]]</f>
        <v>#REF!</v>
      </c>
      <c r="BG209" s="155"/>
      <c r="BH209" s="152" t="n">
        <f aca="false">MAX(0,Table7[[#This Row],[I_L]]-0.5*Table7[[#This Row],[I_L pkpk]])</f>
        <v>5.42214285714286</v>
      </c>
      <c r="BI209" s="152" t="n">
        <f aca="false">Table7[[#This Row],[I_L]]+0.5*Table7[[#This Row],[I_L pkpk]]</f>
        <v>5.70785714285714</v>
      </c>
      <c r="BJ209" s="152" t="n">
        <f aca="false">IF(VACnom&gt;Vbat, (VGS_S-(C_MOSFET_S_VTH_H_BU+Table7[[#This Row],[I_L]]/C_MOSFET_S_gFS_H_BU))/3.4, (VGS_S-(C_MOSFET_S_VTH_L_BO+Table7[[#This Row],[I_L]]/C_MOSFET_S_gFS_L_BO))/3.4 )</f>
        <v>2.34202941176471</v>
      </c>
      <c r="BK209" s="152" t="n">
        <f aca="false">IF(VACnom&gt;Vbat, ((C_MOSFET_S_VTH_H_BU+Table7[[#This Row],[I_L]]/C_MOSFET_S_gFS_H_BU))/1, ((C_MOSFET_S_VTH_L_BO+Table7[[#This Row],[I_L]]/C_MOSFET_S_gFS_L_BO))/1 )</f>
        <v>2.0371</v>
      </c>
      <c r="BL209" s="152" t="n">
        <f aca="false">IF(VACnom&gt;Vbat, (C_MOSFET_S_QGD_H_BU+C_MOSFET_S_QGS_H_BU)*10^-9/Table7[[#This Row],[Ion (A) C]], (C_MOSFET_S_QGD_L_BO+C_MOSFET_S_QGS_L_BO)*10^-9/Table7[[#This Row],[Ion (A) C]])/10^-9</f>
        <v>2.77537078200153</v>
      </c>
      <c r="BM209" s="152" t="n">
        <f aca="false">IF(VACnom&gt;Vbat, (C_MOSFET_S_QGD_H_BU+C_MOSFET_S_QGS_H_BU)*10^-9/Table7[[#This Row],[Ioff (A) C]], (C_MOSFET_S_QGD_L_BO+C_MOSFET_S_QGS_L_BO)*10^-9/Table7[[#This Row],[Ioff (A) C]])/10^-9</f>
        <v>3.19081046585833</v>
      </c>
      <c r="BN209" s="152" t="n">
        <f aca="false">0.5*VACnom*Table7[[#This Row],[Ivalley (A) C]]*Table7[[#This Row],[ton (ns) C]]*10^-9*Fsw*10^3+0.5*VACnom*Table7[[#This Row],[Ipeak (A) C]]*Table7[[#This Row],[toff (ns) C]]*10^-9*Fsw*10^3/10^-3</f>
        <v>21.8732865190972</v>
      </c>
      <c r="BO209" s="152" t="n">
        <f aca="false">IF(VACnom&gt;Vbat, 0.5*VACnom*C_MOSFET_S_QOSS_H_BU*10^-9*Fsw*10^3,0.5*VACnom*C_MOSFET_S_QOSS_L_BO*10^-9*Fsw*10^3)/10^-3</f>
        <v>43.2</v>
      </c>
      <c r="BP209" s="152" t="e">
        <f aca="false">IF(VACnom&gt;Vbat, VACnom*C_MOSFET_S_QG_H_BU*10^-9*Fsw*10^3,VACnom*C_MOSFET_S_QG_H_BO*10^-9*Fsw*10^3)/10^-3</f>
        <v>#REF!</v>
      </c>
      <c r="BQ209" s="152" t="n">
        <f aca="false">IF(VACnom&gt;Vbat, VACnom*C_MOSFET_S_QRR_L_BU*10^-9*Fsw*10^3, VACnom*C_MOSFET_S_QRR_H_BO*10^-9*Fsw*10^3)/10^-3</f>
        <v>79.2</v>
      </c>
      <c r="BR209" s="152" t="n">
        <f aca="false">IF(VACnom&gt;Vbat, C_MOSFET_S_VSD_L_BU*Table7[[#This Row],[Ivalley (A) C]]*Fsw*10^3*40*10^-9+C_MOSFET_S_VSD_L_BU*Table7[[#This Row],[Ipeak (A) C]]*Fsw*10^3*30*10^-9, C_MOSFET_S_VSD_H_BO*Table7[[#This Row],[Ivalley (A) C]]*Fsw*10^3*40*10^-9+C_MOSFET_S_VSD_H_BO*Table7[[#This Row],[Ipeak (A) C]]*Fsw*10^3*30*10^-9)/10^-3</f>
        <v>62.0994285714286</v>
      </c>
      <c r="BS209" s="152" t="e">
        <f aca="false">IF(VACnom&gt;Vbat, VACnom*C_MOSFET_S_QG_L_BU*10^-9*Fsw*10^3, VACnom*C_MOSFET_S_QG_L_BO*10^-9*Fsw*10^3)/10^-3</f>
        <v>#REF!</v>
      </c>
      <c r="BT209" s="152" t="n">
        <f aca="false">IF(VACnom&lt;Vbat, Table7[[#This Row],[Duty Cycle]]*Table7[[#This Row],[I_L RMS]]^2*C_MOSFET_S_RDSON_H_BU*10^-3, (1-Table7[[#This Row],[Duty Cycle]])*Table7[[#This Row],[I_L RMS]]^2*C_MOSFET_S_RDSON_H_BO*10^-3)/10^-3</f>
        <v>8.40777895286686</v>
      </c>
      <c r="BU209" s="152" t="e">
        <f aca="false">IF(VACnom&gt;Vbat, Table7[[#This Row],[PIV (mW) C]]+Table7[[#This Row],[PQoss (mW) C]]+Table7[[#This Row],[Pgate_top (mW) C]], Table7[[#This Row],[PRR (mW) C]]+Table7[[#This Row],[Pdead (mW) C]]+Table7[[#This Row],[Pgate_top (mW) C]])</f>
        <v>#REF!</v>
      </c>
      <c r="BV209" s="152" t="e">
        <f aca="false">Table7[[#This Row],[Pcon_top (mW) C]]+Table7[[#This Row],[Psw_top (mW) C]]</f>
        <v>#REF!</v>
      </c>
      <c r="BW209" s="152" t="e">
        <f aca="false">IF(VACnom&gt;Vbat, (1-Table7[[#This Row],[Duty Cycle]])*Table7[[#This Row],[I_L RMS]]^2*C_MOSFET_S_RDSON_L_BU*10^-3, Table7[[#This Row],[Duty Cycle]]*Table7[[#This Row],[I_L RMS]]^2*C_MOSFET_S_RDSON_L_BO*10^-3)/10^-3</f>
        <v>#REF!</v>
      </c>
      <c r="BX209" s="152" t="e">
        <f aca="false">IF(VACnom&gt;Vbat, Table7[[#This Row],[PRR (mW) C]]+Table7[[#This Row],[Pdead (mW) C]]+Table7[[#This Row],[Pgate_bottom (mW) C]], Table7[[#This Row],[PIV (mW) C]]+Table7[[#This Row],[PQoss (mW) C]]+Table7[[#This Row],[Pgate_bottom (mW) C]])</f>
        <v>#REF!</v>
      </c>
      <c r="BY209" s="152" t="e">
        <f aca="false">Table7[[#This Row],[Pcon_bottom (mW) C]]+Table7[[#This Row],[Psw_bottom (mV) C]]</f>
        <v>#REF!</v>
      </c>
      <c r="BZ209" s="152" t="e">
        <f aca="false">Table7[[#This Row],[Pbottom (mW) C]]+Table7[[#This Row],[Ptop (mW) C]]</f>
        <v>#REF!</v>
      </c>
      <c r="CA209" s="156"/>
      <c r="CB209" s="151" t="n">
        <f aca="false">(RAC_SNS*10^-3*(Table7[[#This Row],[IOUT (A)]]*Vbat/VACnom)^2/10^-3)</f>
        <v>154.846125</v>
      </c>
      <c r="CC209" s="151" t="n">
        <f aca="false">(RBAT_SNS*10^-3*Table7[[#This Row],[IOUT (A)]]^2)/10^-3</f>
        <v>140.45</v>
      </c>
      <c r="CD209" s="151" t="n">
        <f aca="false">IF(VACnom&gt;Vbat,(L_DRC*10^-3*(Table7[[#This Row],[IOUT (A)]])^2/10^-3),(L_DRC*10^-3*(Table7[[#This Row],[IOUT (A)]]*Vbat/VACnom)^2/10^-3))</f>
        <v>371.6307</v>
      </c>
      <c r="CE209" s="157"/>
      <c r="CF209" s="152" t="n">
        <f aca="false">(Table7[[#This Row],[R_AC (mW)]]+Table7[[#This Row],[R_SR (mW)]]+Table7[[#This Row],[Inductor Loss (mW)]])/10^3</f>
        <v>0.666926825</v>
      </c>
      <c r="CG209" s="152" t="e">
        <f aca="false">Table7[[#This Row],[Total TI (mW)]]/10^3</f>
        <v>#REF!</v>
      </c>
      <c r="CH209" s="152" t="e">
        <f aca="false">Table7[[#This Row],[Total Sense Loss]]+Table7[[#This Row],[Total MOSFET Loss]]</f>
        <v>#REF!</v>
      </c>
      <c r="CI209" s="158" t="e">
        <f aca="false">IF(Table7[[#This Row],[POUT (W)]]=0,0,(Table7[[#This Row],[POUT (W)]])/(Table7[[#This Row],[POUT (W)]]+Table7[[#This Row],[Total Power Loss (W)]]))*100</f>
        <v>#REF!</v>
      </c>
      <c r="CJ209" s="159"/>
      <c r="CK209" s="152" t="n">
        <f aca="false">(Table7[[#This Row],[R_AC (mW)]]+Table7[[#This Row],[R_SR (mW)]]+Table7[[#This Row],[Inductor Loss (mW)]])/10^3</f>
        <v>0.666926825</v>
      </c>
      <c r="CL209" s="152" t="e">
        <f aca="false">Table7[[#This Row],[Total (mW) C]]/10^3</f>
        <v>#REF!</v>
      </c>
      <c r="CM209" s="152" t="e">
        <f aca="false">Table7[[#This Row],[Total Sense Loss C]]+Table7[[#This Row],[Total MOSFET Loss C]]</f>
        <v>#REF!</v>
      </c>
      <c r="CN209" s="158" t="e">
        <f aca="false">IF(Table7[[#This Row],[POUT (W)]]=0,0,(Table7[[#This Row],[POUT (W)]])/(Table7[[#This Row],[POUT (W)]]+Table7[[#This Row],[Total Power Loss (W) C]]))*100</f>
        <v>#REF!</v>
      </c>
      <c r="CO209" s="159"/>
      <c r="CP209" s="158" t="n">
        <f aca="false">IF(MOSFET_S=Custom_MOSFET,Table7[[#This Row],[Total Sense Loss C]],Table7[[#This Row],[Total Sense Loss]])</f>
        <v>0.666926825</v>
      </c>
      <c r="CQ209" s="158" t="e">
        <f aca="false">IF(MOSFET_S=Custom_MOSFET,Table7[[#This Row],[Total MOSFET Loss C]],Table7[[#This Row],[Total MOSFET Loss]])</f>
        <v>#REF!</v>
      </c>
      <c r="CR209" s="158" t="e">
        <f aca="false">IF(MOSFET_S=Custom_MOSFET,Table7[[#This Row],[Efficiency C]],Table7[[#This Row],[Efficiency]])</f>
        <v>#REF!</v>
      </c>
      <c r="CS209" s="159"/>
      <c r="CT209" s="158" t="n">
        <f aca="false">IF(MOSFET_S=Compare_MOSFET, Table7[[#This Row],[Total Sense Loss C]], -100)</f>
        <v>-100</v>
      </c>
      <c r="CU209" s="158" t="n">
        <f aca="false">IF(MOSFET_S=Compare_MOSFET, Table7[[#This Row],[Total MOSFET Loss C]], -100)</f>
        <v>-100</v>
      </c>
      <c r="CV209" s="158" t="n">
        <f aca="false">IF(MOSFET_S=Compare_MOSFET, Table7[[#This Row],[Efficiency C]], -100)</f>
        <v>-100</v>
      </c>
      <c r="CW209" s="159"/>
      <c r="CX209" s="158" t="e">
        <f aca="false">IF(Save_Sel=CLR_Save,  Table7[[#This Row],[Total Sense Loss P1]], Table7[[#This Row],[Total Sense Loss P1 Saved]])</f>
        <v>#VALUE!</v>
      </c>
      <c r="CY209" s="158" t="e">
        <f aca="false">IF(Save_Sel=CLR_Save,  Table7[[#This Row],[Total MOSFET Loss P1]], Table7[[#This Row],[Total MOSFET Loss P1 Saved]] )</f>
        <v>#VALUE!</v>
      </c>
      <c r="CZ209" s="158" t="e">
        <f aca="false">IF(Save_Sel=CLR_Save, Table7[[#This Row],[Efficiency P1]], Table7[[#This Row],[Efficiency P1 Saved]])</f>
        <v>#VALUE!</v>
      </c>
      <c r="DA209" s="159"/>
      <c r="DB209" s="158" t="e">
        <f aca="false">IF(Save_Sel=CLR_Save,  Table7[[#This Row],[Total Sense Loss P2]], Table7[[#This Row],[Total Sense Loss P2 Saved]])</f>
        <v>#VALUE!</v>
      </c>
      <c r="DC209" s="158" t="e">
        <f aca="false">IF(Save_Sel=CLR_Save,  Table7[[#This Row],[Total MOSFET Loss P2]], Table7[[#This Row],[Total MOSFET Loss P2 Saved]] )</f>
        <v>#VALUE!</v>
      </c>
      <c r="DD209" s="158" t="e">
        <f aca="false">IF(Save_Sel=CLR_Save, Table7[[#This Row],[Efficiency P2]], Table7[[#This Row],[Efficiency P2 Saved]])</f>
        <v>#VALUE!</v>
      </c>
      <c r="DE209" s="159"/>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row>
    <row r="210" customFormat="false" ht="16.4" hidden="false" customHeight="false" outlineLevel="0" collapsed="false">
      <c r="A210" s="28"/>
      <c r="B210" s="84"/>
      <c r="C210" s="84"/>
      <c r="D210" s="28"/>
      <c r="E210" s="168"/>
      <c r="F210" s="168"/>
      <c r="G210" s="84"/>
      <c r="H210" s="24"/>
      <c r="I210" s="24"/>
      <c r="J210" s="24"/>
      <c r="K210" s="24"/>
      <c r="L210" s="24"/>
      <c r="M210" s="24"/>
      <c r="N210" s="24"/>
      <c r="O210" s="24"/>
      <c r="P210" s="24"/>
      <c r="Q210" s="24"/>
      <c r="R210" s="24"/>
      <c r="S210" s="25"/>
      <c r="T210" s="6"/>
      <c r="U210" s="7"/>
      <c r="V210" s="7"/>
      <c r="W210" s="7"/>
      <c r="X210" s="7"/>
      <c r="Y210" s="7"/>
      <c r="Z210" s="7"/>
      <c r="AA210" s="7"/>
      <c r="AB210" s="7"/>
      <c r="AC210" s="7"/>
      <c r="AD210" s="7"/>
      <c r="AE210" s="7"/>
      <c r="AF210" s="150" t="n">
        <f aca="false">AF209+1</f>
        <v>54</v>
      </c>
      <c r="AG210" s="150" t="n">
        <f aca="false">$AG$156+AF210*($AG$256-$AG$156)/$AF$256</f>
        <v>5.4</v>
      </c>
      <c r="AH210" s="151" t="n">
        <f aca="false">AG210*VACnom</f>
        <v>64.8</v>
      </c>
      <c r="AI210" s="152" t="n">
        <f aca="false">IF(VACnom&lt;Vbat, (Vbat-VACnom)/Vbat, Vbat/VACnom)</f>
        <v>0.0476190476190476</v>
      </c>
      <c r="AJ210" s="152" t="n">
        <f aca="false">IF(VACnom&lt;Vbat, AG210/(1-AI210), AG210*AI210)</f>
        <v>5.67</v>
      </c>
      <c r="AK210" s="152" t="n">
        <f aca="false">Ipkpk_VACnom</f>
        <v>0.285714285714285</v>
      </c>
      <c r="AL210" s="152" t="n">
        <f aca="false">SQRT(AJ210^2+AK210^2/12)</f>
        <v>5.67059985549046</v>
      </c>
      <c r="AM210" s="153"/>
      <c r="AN210" s="152" t="n">
        <f aca="false">MAX(0,Table7[[#This Row],[I_L]]-0.5*Table7[[#This Row],[I_L pkpk]])</f>
        <v>5.52714285714286</v>
      </c>
      <c r="AO210" s="152" t="n">
        <f aca="false">Table7[[#This Row],[I_L]]+0.5*Table7[[#This Row],[I_L pkpk]]</f>
        <v>5.81285714285714</v>
      </c>
      <c r="AP210" s="152" t="e">
        <f aca="false">IF(VACnom&gt;Vbat, (VGS_S-(TI_MOSFET_S_VTH_H_BU+Table7[[#This Row],[I_L]]/TI_MOSFET_S_gFS_H_BU))/3.4, (VGS_S-(TI_MOSFET_S_VTH_L_BO+Table7[[#This Row],[I_L]]/TI_MOSFET_S_gFS_L_BO))/3.4 )</f>
        <v>#REF!</v>
      </c>
      <c r="AQ210" s="152" t="e">
        <f aca="false">IF(VACnom&gt;Vbat, ((TI_MOSFET_S_VTH_H_BU+Table7[[#This Row],[I_L]]/TI_MOSFET_S_gFS_H_BU))/1, ((TI_MOSFET_S_VTH_L_BO+Table7[[#This Row],[I_L]]/TI_MOSFET_S_gFS_L_BO))/1 )</f>
        <v>#REF!</v>
      </c>
      <c r="AR210" s="152" t="e">
        <f aca="false">IF(VACnom&gt;Vbat, (TI_MOSFET_S_QGD_H_BU+TI_MOSFET_S_QGS_H_BU)*10^-9/Table7[[#This Row],[Ion (A)]], (TI_MOSFET_S_QGD_L_BO+TI_MOSFET_S_QGS_L_BO)*10^-9/Table7[[#This Row],[Ion (A)]])/10^-9</f>
        <v>#REF!</v>
      </c>
      <c r="AS210" s="152" t="e">
        <f aca="false">IF(VACnom&gt;Vbat, (TI_MOSFET_S_QGD_H_BU+TI_MOSFET_S_QGS_H_BU)*10^-9/Table7[[#This Row],[Ioff (A)]], (TI_MOSFET_S_QGD_L_BO+TI_MOSFET_S_QGS_L_BO)*10^-9/Table7[[#This Row],[Ioff (A)]])/10^-9</f>
        <v>#REF!</v>
      </c>
      <c r="AT210" s="152" t="e">
        <f aca="false">0.5*VACnom*Table7[[#This Row],[Ivalley (A)]]*Table7[[#This Row],[ton (ns)]]*10^-9*Fsw*10^3+0.5*VACnom*Table7[[#This Row],[Ipeak (A)]]*Table7[[#This Row],[toff (ns)]]*10^-9*Fsw*10^3/10^-3</f>
        <v>#REF!</v>
      </c>
      <c r="AU210" s="152" t="e">
        <f aca="false">IF(VACnom&gt;Vbat, 0.5*VACnom*TI_MOSFET_S_QOSS_H_BU*10^-9*Fsw*10^3,0.5*VACnom*TI_MOSFET_S_QOSS_L_BO*10^-9*Fsw*10^3)/10^-3</f>
        <v>#REF!</v>
      </c>
      <c r="AV210" s="152" t="e">
        <f aca="false">IF(VACnom&gt;Vbat, VACnom*TI_MOSFET_S_QG_H_BU*10^-9*Fsw*10^3,VACnom*TI_MOSFET_S_QG_H_BO*10^-9*Fsw*10^3)/10^-3</f>
        <v>#REF!</v>
      </c>
      <c r="AW210" s="152" t="e">
        <f aca="false">IF(VACnom&gt;Vbat, VACnom*TI_MOSFET_S_QRR_L_BU*10^-9*Fsw*10^3, VACnom*TI_MOSFET_S_QRR_H_BO*10^-9*Fsw*10^3)/10^-3</f>
        <v>#REF!</v>
      </c>
      <c r="AX210" s="152" t="e">
        <f aca="false">IF(VACnom&gt;Vbat, TI_MOSFET_S_VSD_L_BU*Table7[[#This Row],[Ivalley (A)]]*Fsw*10^3*40*10^-9+TI_MOSFET_S_VSD_L_BU*Table7[[#This Row],[Ipeak (A)]]*Fsw*10^3*30*10^-9, TI_MOSFET_S_VSD_H_BO*Table7[[#This Row],[Ivalley (A)]]*Fsw*10^3*40*10^-9+TI_MOSFET_S_VSD_H_BO*Table7[[#This Row],[Ipeak (A)]]*Fsw*10^3*30*10^-9)/10^-3</f>
        <v>#REF!</v>
      </c>
      <c r="AY210" s="152" t="e">
        <f aca="false">IF(VACnom&gt;Vbat, VACnom*TI_MOSFET_S_QG_L_BU*10^-9*Fsw*10^3, VACnom*TI_MOSFET_S_QG_L_BO*10^-9*Fsw*10^3)/10^-3</f>
        <v>#REF!</v>
      </c>
      <c r="AZ210" s="152" t="e">
        <f aca="false">IF(VACnom&lt;Vbat, Table7[[#This Row],[Duty Cycle]]*Table7[[#This Row],[I_L RMS]]^2*TI_MOSFET_S_RDSON_H_BU*10^-3, (1-Table7[[#This Row],[Duty Cycle]])*Table7[[#This Row],[I_L RMS]]^2*TI_MOSFET_S_RDSON_H_BO*10^-3)/10^-3</f>
        <v>#REF!</v>
      </c>
      <c r="BA210" s="152" t="e">
        <f aca="false">IF(VACnom&gt;Vbat, Table7[[#This Row],[PIV (mW)]]+Table7[[#This Row],[Pqoss (mW)]]+Table7[[#This Row],[Pgate_top (mW)]], Table7[[#This Row],[PRR (mW)]]+Table7[[#This Row],[Pdead (mW)]]+Table7[[#This Row],[Pgate_top (mW)]])</f>
        <v>#REF!</v>
      </c>
      <c r="BB210" s="152" t="e">
        <f aca="false">Table7[[#This Row],[Pcon_top (mW)]]+Table7[[#This Row],[Psw_top (mW)]]</f>
        <v>#REF!</v>
      </c>
      <c r="BC210" s="152" t="e">
        <f aca="false">IF(VACnom&gt;Vbat, (1-Table7[[#This Row],[Duty Cycle]])*Table7[[#This Row],[I_L RMS]]^2*TI_MOSFET_S_RDSON_L_BU*10^-3, Table7[[#This Row],[Duty Cycle]]*Table7[[#This Row],[I_L RMS]]^2*TI_MOSFET_S_RDSON_L_BO*10^-3)/10^-3</f>
        <v>#REF!</v>
      </c>
      <c r="BD210" s="152" t="e">
        <f aca="false">IF(VACnom&gt;Vbat, Table7[[#This Row],[PRR (mW)]]+Table7[[#This Row],[Pdead (mW)]]+Table7[[#This Row],[Pgate_bottom (mW)]], Table7[[#This Row],[PIV (mW)]]+Table7[[#This Row],[Pqoss (mW)]]+Table7[[#This Row],[Pgate_bottom (mW)]])</f>
        <v>#REF!</v>
      </c>
      <c r="BE210" s="154" t="e">
        <f aca="false">Table7[[#This Row],[Pcon_bottom (mW)]]+Table7[[#This Row],[Psw_bottom (mW)]]</f>
        <v>#REF!</v>
      </c>
      <c r="BF210" s="152" t="e">
        <f aca="false">Table7[[#This Row],[Pbottom (mW)]]+Table7[[#This Row],[Ptop (mW)]]</f>
        <v>#REF!</v>
      </c>
      <c r="BG210" s="155"/>
      <c r="BH210" s="152" t="n">
        <f aca="false">MAX(0,Table7[[#This Row],[I_L]]-0.5*Table7[[#This Row],[I_L pkpk]])</f>
        <v>5.52714285714286</v>
      </c>
      <c r="BI210" s="152" t="n">
        <f aca="false">Table7[[#This Row],[I_L]]+0.5*Table7[[#This Row],[I_L pkpk]]</f>
        <v>5.81285714285714</v>
      </c>
      <c r="BJ210" s="152" t="n">
        <f aca="false">IF(VACnom&gt;Vbat, (VGS_S-(C_MOSFET_S_VTH_H_BU+Table7[[#This Row],[I_L]]/C_MOSFET_S_gFS_H_BU))/3.4, (VGS_S-(C_MOSFET_S_VTH_L_BO+Table7[[#This Row],[I_L]]/C_MOSFET_S_gFS_L_BO))/3.4 )</f>
        <v>2.34182352941177</v>
      </c>
      <c r="BK210" s="152" t="n">
        <f aca="false">IF(VACnom&gt;Vbat, ((C_MOSFET_S_VTH_H_BU+Table7[[#This Row],[I_L]]/C_MOSFET_S_gFS_H_BU))/1, ((C_MOSFET_S_VTH_L_BO+Table7[[#This Row],[I_L]]/C_MOSFET_S_gFS_L_BO))/1 )</f>
        <v>2.0378</v>
      </c>
      <c r="BL210" s="152" t="n">
        <f aca="false">IF(VACnom&gt;Vbat, (C_MOSFET_S_QGD_H_BU+C_MOSFET_S_QGS_H_BU)*10^-9/Table7[[#This Row],[Ion (A) C]], (C_MOSFET_S_QGD_L_BO+C_MOSFET_S_QGS_L_BO)*10^-9/Table7[[#This Row],[Ion (A) C]])/10^-9</f>
        <v>2.77561477983472</v>
      </c>
      <c r="BM210" s="152" t="n">
        <f aca="false">IF(VACnom&gt;Vbat, (C_MOSFET_S_QGD_H_BU+C_MOSFET_S_QGS_H_BU)*10^-9/Table7[[#This Row],[Ioff (A) C]], (C_MOSFET_S_QGD_L_BO+C_MOSFET_S_QGS_L_BO)*10^-9/Table7[[#This Row],[Ioff (A) C]])/10^-9</f>
        <v>3.18971439788007</v>
      </c>
      <c r="BN210" s="152" t="n">
        <f aca="false">0.5*VACnom*Table7[[#This Row],[Ivalley (A) C]]*Table7[[#This Row],[ton (ns) C]]*10^-9*Fsw*10^3+0.5*VACnom*Table7[[#This Row],[Ipeak (A) C]]*Table7[[#This Row],[toff (ns) C]]*10^-9*Fsw*10^3/10^-3</f>
        <v>22.2680344089552</v>
      </c>
      <c r="BO210" s="152" t="n">
        <f aca="false">IF(VACnom&gt;Vbat, 0.5*VACnom*C_MOSFET_S_QOSS_H_BU*10^-9*Fsw*10^3,0.5*VACnom*C_MOSFET_S_QOSS_L_BO*10^-9*Fsw*10^3)/10^-3</f>
        <v>43.2</v>
      </c>
      <c r="BP210" s="152" t="e">
        <f aca="false">IF(VACnom&gt;Vbat, VACnom*C_MOSFET_S_QG_H_BU*10^-9*Fsw*10^3,VACnom*C_MOSFET_S_QG_H_BO*10^-9*Fsw*10^3)/10^-3</f>
        <v>#REF!</v>
      </c>
      <c r="BQ210" s="152" t="n">
        <f aca="false">IF(VACnom&gt;Vbat, VACnom*C_MOSFET_S_QRR_L_BU*10^-9*Fsw*10^3, VACnom*C_MOSFET_S_QRR_H_BO*10^-9*Fsw*10^3)/10^-3</f>
        <v>79.2</v>
      </c>
      <c r="BR210" s="152" t="n">
        <f aca="false">IF(VACnom&gt;Vbat, C_MOSFET_S_VSD_L_BU*Table7[[#This Row],[Ivalley (A) C]]*Fsw*10^3*40*10^-9+C_MOSFET_S_VSD_L_BU*Table7[[#This Row],[Ipeak (A) C]]*Fsw*10^3*30*10^-9, C_MOSFET_S_VSD_H_BO*Table7[[#This Row],[Ivalley (A) C]]*Fsw*10^3*40*10^-9+C_MOSFET_S_VSD_H_BO*Table7[[#This Row],[Ipeak (A) C]]*Fsw*10^3*30*10^-9)/10^-3</f>
        <v>63.2754285714286</v>
      </c>
      <c r="BS210" s="152" t="e">
        <f aca="false">IF(VACnom&gt;Vbat, VACnom*C_MOSFET_S_QG_L_BU*10^-9*Fsw*10^3, VACnom*C_MOSFET_S_QG_L_BO*10^-9*Fsw*10^3)/10^-3</f>
        <v>#REF!</v>
      </c>
      <c r="BT210" s="152" t="n">
        <f aca="false">IF(VACnom&lt;Vbat, Table7[[#This Row],[Duty Cycle]]*Table7[[#This Row],[I_L RMS]]^2*C_MOSFET_S_RDSON_H_BU*10^-3, (1-Table7[[#This Row],[Duty Cycle]])*Table7[[#This Row],[I_L RMS]]^2*C_MOSFET_S_RDSON_H_BO*10^-3)/10^-3</f>
        <v>8.72797645286686</v>
      </c>
      <c r="BU210" s="152" t="e">
        <f aca="false">IF(VACnom&gt;Vbat, Table7[[#This Row],[PIV (mW) C]]+Table7[[#This Row],[PQoss (mW) C]]+Table7[[#This Row],[Pgate_top (mW) C]], Table7[[#This Row],[PRR (mW) C]]+Table7[[#This Row],[Pdead (mW) C]]+Table7[[#This Row],[Pgate_top (mW) C]])</f>
        <v>#REF!</v>
      </c>
      <c r="BV210" s="152" t="e">
        <f aca="false">Table7[[#This Row],[Pcon_top (mW) C]]+Table7[[#This Row],[Psw_top (mW) C]]</f>
        <v>#REF!</v>
      </c>
      <c r="BW210" s="152" t="e">
        <f aca="false">IF(VACnom&gt;Vbat, (1-Table7[[#This Row],[Duty Cycle]])*Table7[[#This Row],[I_L RMS]]^2*C_MOSFET_S_RDSON_L_BU*10^-3, Table7[[#This Row],[Duty Cycle]]*Table7[[#This Row],[I_L RMS]]^2*C_MOSFET_S_RDSON_L_BO*10^-3)/10^-3</f>
        <v>#REF!</v>
      </c>
      <c r="BX210" s="152" t="e">
        <f aca="false">IF(VACnom&gt;Vbat, Table7[[#This Row],[PRR (mW) C]]+Table7[[#This Row],[Pdead (mW) C]]+Table7[[#This Row],[Pgate_bottom (mW) C]], Table7[[#This Row],[PIV (mW) C]]+Table7[[#This Row],[PQoss (mW) C]]+Table7[[#This Row],[Pgate_bottom (mW) C]])</f>
        <v>#REF!</v>
      </c>
      <c r="BY210" s="152" t="e">
        <f aca="false">Table7[[#This Row],[Pcon_bottom (mW) C]]+Table7[[#This Row],[Psw_bottom (mV) C]]</f>
        <v>#REF!</v>
      </c>
      <c r="BZ210" s="152" t="e">
        <f aca="false">Table7[[#This Row],[Pbottom (mW) C]]+Table7[[#This Row],[Ptop (mW) C]]</f>
        <v>#REF!</v>
      </c>
      <c r="CA210" s="156"/>
      <c r="CB210" s="151" t="n">
        <f aca="false">(RAC_SNS*10^-3*(Table7[[#This Row],[IOUT (A)]]*Vbat/VACnom)^2/10^-3)</f>
        <v>160.7445</v>
      </c>
      <c r="CC210" s="151" t="n">
        <f aca="false">(RBAT_SNS*10^-3*Table7[[#This Row],[IOUT (A)]]^2)/10^-3</f>
        <v>145.8</v>
      </c>
      <c r="CD210" s="151" t="n">
        <f aca="false">IF(VACnom&gt;Vbat,(L_DRC*10^-3*(Table7[[#This Row],[IOUT (A)]])^2/10^-3),(L_DRC*10^-3*(Table7[[#This Row],[IOUT (A)]]*Vbat/VACnom)^2/10^-3))</f>
        <v>385.7868</v>
      </c>
      <c r="CE210" s="157"/>
      <c r="CF210" s="152" t="n">
        <f aca="false">(Table7[[#This Row],[R_AC (mW)]]+Table7[[#This Row],[R_SR (mW)]]+Table7[[#This Row],[Inductor Loss (mW)]])/10^3</f>
        <v>0.6923313</v>
      </c>
      <c r="CG210" s="152" t="e">
        <f aca="false">Table7[[#This Row],[Total TI (mW)]]/10^3</f>
        <v>#REF!</v>
      </c>
      <c r="CH210" s="152" t="e">
        <f aca="false">Table7[[#This Row],[Total Sense Loss]]+Table7[[#This Row],[Total MOSFET Loss]]</f>
        <v>#REF!</v>
      </c>
      <c r="CI210" s="158" t="e">
        <f aca="false">IF(Table7[[#This Row],[POUT (W)]]=0,0,(Table7[[#This Row],[POUT (W)]])/(Table7[[#This Row],[POUT (W)]]+Table7[[#This Row],[Total Power Loss (W)]]))*100</f>
        <v>#REF!</v>
      </c>
      <c r="CJ210" s="159"/>
      <c r="CK210" s="152" t="n">
        <f aca="false">(Table7[[#This Row],[R_AC (mW)]]+Table7[[#This Row],[R_SR (mW)]]+Table7[[#This Row],[Inductor Loss (mW)]])/10^3</f>
        <v>0.6923313</v>
      </c>
      <c r="CL210" s="152" t="e">
        <f aca="false">Table7[[#This Row],[Total (mW) C]]/10^3</f>
        <v>#REF!</v>
      </c>
      <c r="CM210" s="152" t="e">
        <f aca="false">Table7[[#This Row],[Total Sense Loss C]]+Table7[[#This Row],[Total MOSFET Loss C]]</f>
        <v>#REF!</v>
      </c>
      <c r="CN210" s="158" t="e">
        <f aca="false">IF(Table7[[#This Row],[POUT (W)]]=0,0,(Table7[[#This Row],[POUT (W)]])/(Table7[[#This Row],[POUT (W)]]+Table7[[#This Row],[Total Power Loss (W) C]]))*100</f>
        <v>#REF!</v>
      </c>
      <c r="CO210" s="159"/>
      <c r="CP210" s="158" t="n">
        <f aca="false">IF(MOSFET_S=Custom_MOSFET,Table7[[#This Row],[Total Sense Loss C]],Table7[[#This Row],[Total Sense Loss]])</f>
        <v>0.6923313</v>
      </c>
      <c r="CQ210" s="158" t="e">
        <f aca="false">IF(MOSFET_S=Custom_MOSFET,Table7[[#This Row],[Total MOSFET Loss C]],Table7[[#This Row],[Total MOSFET Loss]])</f>
        <v>#REF!</v>
      </c>
      <c r="CR210" s="158" t="e">
        <f aca="false">IF(MOSFET_S=Custom_MOSFET,Table7[[#This Row],[Efficiency C]],Table7[[#This Row],[Efficiency]])</f>
        <v>#REF!</v>
      </c>
      <c r="CS210" s="159"/>
      <c r="CT210" s="158" t="n">
        <f aca="false">IF(MOSFET_S=Compare_MOSFET, Table7[[#This Row],[Total Sense Loss C]], -100)</f>
        <v>-100</v>
      </c>
      <c r="CU210" s="158" t="n">
        <f aca="false">IF(MOSFET_S=Compare_MOSFET, Table7[[#This Row],[Total MOSFET Loss C]], -100)</f>
        <v>-100</v>
      </c>
      <c r="CV210" s="158" t="n">
        <f aca="false">IF(MOSFET_S=Compare_MOSFET, Table7[[#This Row],[Efficiency C]], -100)</f>
        <v>-100</v>
      </c>
      <c r="CW210" s="159"/>
      <c r="CX210" s="158" t="e">
        <f aca="false">IF(Save_Sel=CLR_Save,  Table7[[#This Row],[Total Sense Loss P1]], Table7[[#This Row],[Total Sense Loss P1 Saved]])</f>
        <v>#VALUE!</v>
      </c>
      <c r="CY210" s="158" t="e">
        <f aca="false">IF(Save_Sel=CLR_Save,  Table7[[#This Row],[Total MOSFET Loss P1]], Table7[[#This Row],[Total MOSFET Loss P1 Saved]] )</f>
        <v>#VALUE!</v>
      </c>
      <c r="CZ210" s="158" t="e">
        <f aca="false">IF(Save_Sel=CLR_Save, Table7[[#This Row],[Efficiency P1]], Table7[[#This Row],[Efficiency P1 Saved]])</f>
        <v>#VALUE!</v>
      </c>
      <c r="DA210" s="159"/>
      <c r="DB210" s="158" t="e">
        <f aca="false">IF(Save_Sel=CLR_Save,  Table7[[#This Row],[Total Sense Loss P2]], Table7[[#This Row],[Total Sense Loss P2 Saved]])</f>
        <v>#VALUE!</v>
      </c>
      <c r="DC210" s="158" t="e">
        <f aca="false">IF(Save_Sel=CLR_Save,  Table7[[#This Row],[Total MOSFET Loss P2]], Table7[[#This Row],[Total MOSFET Loss P2 Saved]] )</f>
        <v>#VALUE!</v>
      </c>
      <c r="DD210" s="158" t="e">
        <f aca="false">IF(Save_Sel=CLR_Save, Table7[[#This Row],[Efficiency P2]], Table7[[#This Row],[Efficiency P2 Saved]])</f>
        <v>#VALUE!</v>
      </c>
      <c r="DE210" s="159"/>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row>
    <row r="211" customFormat="false" ht="16.4" hidden="false" customHeight="false" outlineLevel="0" collapsed="false">
      <c r="A211" s="28"/>
      <c r="B211" s="84"/>
      <c r="C211" s="84"/>
      <c r="D211" s="28"/>
      <c r="E211" s="168"/>
      <c r="F211" s="168"/>
      <c r="G211" s="84"/>
      <c r="H211" s="24"/>
      <c r="I211" s="24"/>
      <c r="J211" s="24"/>
      <c r="K211" s="24"/>
      <c r="L211" s="24"/>
      <c r="M211" s="24"/>
      <c r="N211" s="24"/>
      <c r="O211" s="24"/>
      <c r="P211" s="24"/>
      <c r="Q211" s="24"/>
      <c r="R211" s="24"/>
      <c r="S211" s="25"/>
      <c r="T211" s="6"/>
      <c r="U211" s="7"/>
      <c r="V211" s="7"/>
      <c r="W211" s="7"/>
      <c r="X211" s="7"/>
      <c r="Y211" s="7"/>
      <c r="Z211" s="7"/>
      <c r="AA211" s="7"/>
      <c r="AB211" s="7"/>
      <c r="AC211" s="7"/>
      <c r="AD211" s="7"/>
      <c r="AE211" s="7"/>
      <c r="AF211" s="150" t="n">
        <f aca="false">AF210+1</f>
        <v>55</v>
      </c>
      <c r="AG211" s="150" t="n">
        <f aca="false">$AG$156+AF211*($AG$256-$AG$156)/$AF$256</f>
        <v>5.5</v>
      </c>
      <c r="AH211" s="151" t="n">
        <f aca="false">AG211*VACnom</f>
        <v>66</v>
      </c>
      <c r="AI211" s="152" t="n">
        <f aca="false">IF(VACnom&lt;Vbat, (Vbat-VACnom)/Vbat, Vbat/VACnom)</f>
        <v>0.0476190476190476</v>
      </c>
      <c r="AJ211" s="152" t="n">
        <f aca="false">IF(VACnom&lt;Vbat, AG211/(1-AI211), AG211*AI211)</f>
        <v>5.775</v>
      </c>
      <c r="AK211" s="152" t="n">
        <f aca="false">Ipkpk_VACnom</f>
        <v>0.285714285714285</v>
      </c>
      <c r="AL211" s="152" t="n">
        <f aca="false">SQRT(AJ211^2+AK211^2/12)</f>
        <v>5.77558895014945</v>
      </c>
      <c r="AM211" s="153"/>
      <c r="AN211" s="152" t="n">
        <f aca="false">MAX(0,Table7[[#This Row],[I_L]]-0.5*Table7[[#This Row],[I_L pkpk]])</f>
        <v>5.63214285714286</v>
      </c>
      <c r="AO211" s="152" t="n">
        <f aca="false">Table7[[#This Row],[I_L]]+0.5*Table7[[#This Row],[I_L pkpk]]</f>
        <v>5.91785714285714</v>
      </c>
      <c r="AP211" s="152" t="e">
        <f aca="false">IF(VACnom&gt;Vbat, (VGS_S-(TI_MOSFET_S_VTH_H_BU+Table7[[#This Row],[I_L]]/TI_MOSFET_S_gFS_H_BU))/3.4, (VGS_S-(TI_MOSFET_S_VTH_L_BO+Table7[[#This Row],[I_L]]/TI_MOSFET_S_gFS_L_BO))/3.4 )</f>
        <v>#REF!</v>
      </c>
      <c r="AQ211" s="152" t="e">
        <f aca="false">IF(VACnom&gt;Vbat, ((TI_MOSFET_S_VTH_H_BU+Table7[[#This Row],[I_L]]/TI_MOSFET_S_gFS_H_BU))/1, ((TI_MOSFET_S_VTH_L_BO+Table7[[#This Row],[I_L]]/TI_MOSFET_S_gFS_L_BO))/1 )</f>
        <v>#REF!</v>
      </c>
      <c r="AR211" s="152" t="e">
        <f aca="false">IF(VACnom&gt;Vbat, (TI_MOSFET_S_QGD_H_BU+TI_MOSFET_S_QGS_H_BU)*10^-9/Table7[[#This Row],[Ion (A)]], (TI_MOSFET_S_QGD_L_BO+TI_MOSFET_S_QGS_L_BO)*10^-9/Table7[[#This Row],[Ion (A)]])/10^-9</f>
        <v>#REF!</v>
      </c>
      <c r="AS211" s="152" t="e">
        <f aca="false">IF(VACnom&gt;Vbat, (TI_MOSFET_S_QGD_H_BU+TI_MOSFET_S_QGS_H_BU)*10^-9/Table7[[#This Row],[Ioff (A)]], (TI_MOSFET_S_QGD_L_BO+TI_MOSFET_S_QGS_L_BO)*10^-9/Table7[[#This Row],[Ioff (A)]])/10^-9</f>
        <v>#REF!</v>
      </c>
      <c r="AT211" s="152" t="e">
        <f aca="false">0.5*VACnom*Table7[[#This Row],[Ivalley (A)]]*Table7[[#This Row],[ton (ns)]]*10^-9*Fsw*10^3+0.5*VACnom*Table7[[#This Row],[Ipeak (A)]]*Table7[[#This Row],[toff (ns)]]*10^-9*Fsw*10^3/10^-3</f>
        <v>#REF!</v>
      </c>
      <c r="AU211" s="152" t="e">
        <f aca="false">IF(VACnom&gt;Vbat, 0.5*VACnom*TI_MOSFET_S_QOSS_H_BU*10^-9*Fsw*10^3,0.5*VACnom*TI_MOSFET_S_QOSS_L_BO*10^-9*Fsw*10^3)/10^-3</f>
        <v>#REF!</v>
      </c>
      <c r="AV211" s="152" t="e">
        <f aca="false">IF(VACnom&gt;Vbat, VACnom*TI_MOSFET_S_QG_H_BU*10^-9*Fsw*10^3,VACnom*TI_MOSFET_S_QG_H_BO*10^-9*Fsw*10^3)/10^-3</f>
        <v>#REF!</v>
      </c>
      <c r="AW211" s="152" t="e">
        <f aca="false">IF(VACnom&gt;Vbat, VACnom*TI_MOSFET_S_QRR_L_BU*10^-9*Fsw*10^3, VACnom*TI_MOSFET_S_QRR_H_BO*10^-9*Fsw*10^3)/10^-3</f>
        <v>#REF!</v>
      </c>
      <c r="AX211" s="152" t="e">
        <f aca="false">IF(VACnom&gt;Vbat, TI_MOSFET_S_VSD_L_BU*Table7[[#This Row],[Ivalley (A)]]*Fsw*10^3*40*10^-9+TI_MOSFET_S_VSD_L_BU*Table7[[#This Row],[Ipeak (A)]]*Fsw*10^3*30*10^-9, TI_MOSFET_S_VSD_H_BO*Table7[[#This Row],[Ivalley (A)]]*Fsw*10^3*40*10^-9+TI_MOSFET_S_VSD_H_BO*Table7[[#This Row],[Ipeak (A)]]*Fsw*10^3*30*10^-9)/10^-3</f>
        <v>#REF!</v>
      </c>
      <c r="AY211" s="152" t="e">
        <f aca="false">IF(VACnom&gt;Vbat, VACnom*TI_MOSFET_S_QG_L_BU*10^-9*Fsw*10^3, VACnom*TI_MOSFET_S_QG_L_BO*10^-9*Fsw*10^3)/10^-3</f>
        <v>#REF!</v>
      </c>
      <c r="AZ211" s="152" t="e">
        <f aca="false">IF(VACnom&lt;Vbat, Table7[[#This Row],[Duty Cycle]]*Table7[[#This Row],[I_L RMS]]^2*TI_MOSFET_S_RDSON_H_BU*10^-3, (1-Table7[[#This Row],[Duty Cycle]])*Table7[[#This Row],[I_L RMS]]^2*TI_MOSFET_S_RDSON_H_BO*10^-3)/10^-3</f>
        <v>#REF!</v>
      </c>
      <c r="BA211" s="152" t="e">
        <f aca="false">IF(VACnom&gt;Vbat, Table7[[#This Row],[PIV (mW)]]+Table7[[#This Row],[Pqoss (mW)]]+Table7[[#This Row],[Pgate_top (mW)]], Table7[[#This Row],[PRR (mW)]]+Table7[[#This Row],[Pdead (mW)]]+Table7[[#This Row],[Pgate_top (mW)]])</f>
        <v>#REF!</v>
      </c>
      <c r="BB211" s="152" t="e">
        <f aca="false">Table7[[#This Row],[Pcon_top (mW)]]+Table7[[#This Row],[Psw_top (mW)]]</f>
        <v>#REF!</v>
      </c>
      <c r="BC211" s="152" t="e">
        <f aca="false">IF(VACnom&gt;Vbat, (1-Table7[[#This Row],[Duty Cycle]])*Table7[[#This Row],[I_L RMS]]^2*TI_MOSFET_S_RDSON_L_BU*10^-3, Table7[[#This Row],[Duty Cycle]]*Table7[[#This Row],[I_L RMS]]^2*TI_MOSFET_S_RDSON_L_BO*10^-3)/10^-3</f>
        <v>#REF!</v>
      </c>
      <c r="BD211" s="152" t="e">
        <f aca="false">IF(VACnom&gt;Vbat, Table7[[#This Row],[PRR (mW)]]+Table7[[#This Row],[Pdead (mW)]]+Table7[[#This Row],[Pgate_bottom (mW)]], Table7[[#This Row],[PIV (mW)]]+Table7[[#This Row],[Pqoss (mW)]]+Table7[[#This Row],[Pgate_bottom (mW)]])</f>
        <v>#REF!</v>
      </c>
      <c r="BE211" s="154" t="e">
        <f aca="false">Table7[[#This Row],[Pcon_bottom (mW)]]+Table7[[#This Row],[Psw_bottom (mW)]]</f>
        <v>#REF!</v>
      </c>
      <c r="BF211" s="152" t="e">
        <f aca="false">Table7[[#This Row],[Pbottom (mW)]]+Table7[[#This Row],[Ptop (mW)]]</f>
        <v>#REF!</v>
      </c>
      <c r="BG211" s="155"/>
      <c r="BH211" s="152" t="n">
        <f aca="false">MAX(0,Table7[[#This Row],[I_L]]-0.5*Table7[[#This Row],[I_L pkpk]])</f>
        <v>5.63214285714286</v>
      </c>
      <c r="BI211" s="152" t="n">
        <f aca="false">Table7[[#This Row],[I_L]]+0.5*Table7[[#This Row],[I_L pkpk]]</f>
        <v>5.91785714285714</v>
      </c>
      <c r="BJ211" s="152" t="n">
        <f aca="false">IF(VACnom&gt;Vbat, (VGS_S-(C_MOSFET_S_VTH_H_BU+Table7[[#This Row],[I_L]]/C_MOSFET_S_gFS_H_BU))/3.4, (VGS_S-(C_MOSFET_S_VTH_L_BO+Table7[[#This Row],[I_L]]/C_MOSFET_S_gFS_L_BO))/3.4 )</f>
        <v>2.34161764705882</v>
      </c>
      <c r="BK211" s="152" t="n">
        <f aca="false">IF(VACnom&gt;Vbat, ((C_MOSFET_S_VTH_H_BU+Table7[[#This Row],[I_L]]/C_MOSFET_S_gFS_H_BU))/1, ((C_MOSFET_S_VTH_L_BO+Table7[[#This Row],[I_L]]/C_MOSFET_S_gFS_L_BO))/1 )</f>
        <v>2.0385</v>
      </c>
      <c r="BL211" s="152" t="n">
        <f aca="false">IF(VACnom&gt;Vbat, (C_MOSFET_S_QGD_H_BU+C_MOSFET_S_QGS_H_BU)*10^-9/Table7[[#This Row],[Ion (A) C]], (C_MOSFET_S_QGD_L_BO+C_MOSFET_S_QGS_L_BO)*10^-9/Table7[[#This Row],[Ion (A) C]])/10^-9</f>
        <v>2.77585882057401</v>
      </c>
      <c r="BM211" s="152" t="n">
        <f aca="false">IF(VACnom&gt;Vbat, (C_MOSFET_S_QGD_H_BU+C_MOSFET_S_QGS_H_BU)*10^-9/Table7[[#This Row],[Ioff (A) C]], (C_MOSFET_S_QGD_L_BO+C_MOSFET_S_QGS_L_BO)*10^-9/Table7[[#This Row],[Ioff (A) C]])/10^-9</f>
        <v>3.18861908265882</v>
      </c>
      <c r="BN211" s="152" t="n">
        <f aca="false">0.5*VACnom*Table7[[#This Row],[Ivalley (A) C]]*Table7[[#This Row],[ton (ns) C]]*10^-9*Fsw*10^3+0.5*VACnom*Table7[[#This Row],[Ipeak (A) C]]*Table7[[#This Row],[toff (ns) C]]*10^-9*Fsw*10^3/10^-3</f>
        <v>22.6625114971102</v>
      </c>
      <c r="BO211" s="152" t="n">
        <f aca="false">IF(VACnom&gt;Vbat, 0.5*VACnom*C_MOSFET_S_QOSS_H_BU*10^-9*Fsw*10^3,0.5*VACnom*C_MOSFET_S_QOSS_L_BO*10^-9*Fsw*10^3)/10^-3</f>
        <v>43.2</v>
      </c>
      <c r="BP211" s="152" t="e">
        <f aca="false">IF(VACnom&gt;Vbat, VACnom*C_MOSFET_S_QG_H_BU*10^-9*Fsw*10^3,VACnom*C_MOSFET_S_QG_H_BO*10^-9*Fsw*10^3)/10^-3</f>
        <v>#REF!</v>
      </c>
      <c r="BQ211" s="152" t="n">
        <f aca="false">IF(VACnom&gt;Vbat, VACnom*C_MOSFET_S_QRR_L_BU*10^-9*Fsw*10^3, VACnom*C_MOSFET_S_QRR_H_BO*10^-9*Fsw*10^3)/10^-3</f>
        <v>79.2</v>
      </c>
      <c r="BR211" s="152" t="n">
        <f aca="false">IF(VACnom&gt;Vbat, C_MOSFET_S_VSD_L_BU*Table7[[#This Row],[Ivalley (A) C]]*Fsw*10^3*40*10^-9+C_MOSFET_S_VSD_L_BU*Table7[[#This Row],[Ipeak (A) C]]*Fsw*10^3*30*10^-9, C_MOSFET_S_VSD_H_BO*Table7[[#This Row],[Ivalley (A) C]]*Fsw*10^3*40*10^-9+C_MOSFET_S_VSD_H_BO*Table7[[#This Row],[Ipeak (A) C]]*Fsw*10^3*30*10^-9)/10^-3</f>
        <v>64.4514285714286</v>
      </c>
      <c r="BS211" s="152" t="e">
        <f aca="false">IF(VACnom&gt;Vbat, VACnom*C_MOSFET_S_QG_L_BU*10^-9*Fsw*10^3, VACnom*C_MOSFET_S_QG_L_BO*10^-9*Fsw*10^3)/10^-3</f>
        <v>#REF!</v>
      </c>
      <c r="BT211" s="152" t="n">
        <f aca="false">IF(VACnom&lt;Vbat, Table7[[#This Row],[Duty Cycle]]*Table7[[#This Row],[I_L RMS]]^2*C_MOSFET_S_RDSON_H_BU*10^-3, (1-Table7[[#This Row],[Duty Cycle]])*Table7[[#This Row],[I_L RMS]]^2*C_MOSFET_S_RDSON_H_BO*10^-3)/10^-3</f>
        <v>9.05415895286685</v>
      </c>
      <c r="BU211" s="152" t="e">
        <f aca="false">IF(VACnom&gt;Vbat, Table7[[#This Row],[PIV (mW) C]]+Table7[[#This Row],[PQoss (mW) C]]+Table7[[#This Row],[Pgate_top (mW) C]], Table7[[#This Row],[PRR (mW) C]]+Table7[[#This Row],[Pdead (mW) C]]+Table7[[#This Row],[Pgate_top (mW) C]])</f>
        <v>#REF!</v>
      </c>
      <c r="BV211" s="152" t="e">
        <f aca="false">Table7[[#This Row],[Pcon_top (mW) C]]+Table7[[#This Row],[Psw_top (mW) C]]</f>
        <v>#REF!</v>
      </c>
      <c r="BW211" s="152" t="e">
        <f aca="false">IF(VACnom&gt;Vbat, (1-Table7[[#This Row],[Duty Cycle]])*Table7[[#This Row],[I_L RMS]]^2*C_MOSFET_S_RDSON_L_BU*10^-3, Table7[[#This Row],[Duty Cycle]]*Table7[[#This Row],[I_L RMS]]^2*C_MOSFET_S_RDSON_L_BO*10^-3)/10^-3</f>
        <v>#REF!</v>
      </c>
      <c r="BX211" s="152" t="e">
        <f aca="false">IF(VACnom&gt;Vbat, Table7[[#This Row],[PRR (mW) C]]+Table7[[#This Row],[Pdead (mW) C]]+Table7[[#This Row],[Pgate_bottom (mW) C]], Table7[[#This Row],[PIV (mW) C]]+Table7[[#This Row],[PQoss (mW) C]]+Table7[[#This Row],[Pgate_bottom (mW) C]])</f>
        <v>#REF!</v>
      </c>
      <c r="BY211" s="152" t="e">
        <f aca="false">Table7[[#This Row],[Pcon_bottom (mW) C]]+Table7[[#This Row],[Psw_bottom (mV) C]]</f>
        <v>#REF!</v>
      </c>
      <c r="BZ211" s="152" t="e">
        <f aca="false">Table7[[#This Row],[Pbottom (mW) C]]+Table7[[#This Row],[Ptop (mW) C]]</f>
        <v>#REF!</v>
      </c>
      <c r="CA211" s="156"/>
      <c r="CB211" s="151" t="n">
        <f aca="false">(RAC_SNS*10^-3*(Table7[[#This Row],[IOUT (A)]]*Vbat/VACnom)^2/10^-3)</f>
        <v>166.753125</v>
      </c>
      <c r="CC211" s="151" t="n">
        <f aca="false">(RBAT_SNS*10^-3*Table7[[#This Row],[IOUT (A)]]^2)/10^-3</f>
        <v>151.25</v>
      </c>
      <c r="CD211" s="151" t="n">
        <f aca="false">IF(VACnom&gt;Vbat,(L_DRC*10^-3*(Table7[[#This Row],[IOUT (A)]])^2/10^-3),(L_DRC*10^-3*(Table7[[#This Row],[IOUT (A)]]*Vbat/VACnom)^2/10^-3))</f>
        <v>400.2075</v>
      </c>
      <c r="CE211" s="157"/>
      <c r="CF211" s="152" t="n">
        <f aca="false">(Table7[[#This Row],[R_AC (mW)]]+Table7[[#This Row],[R_SR (mW)]]+Table7[[#This Row],[Inductor Loss (mW)]])/10^3</f>
        <v>0.718210625</v>
      </c>
      <c r="CG211" s="152" t="e">
        <f aca="false">Table7[[#This Row],[Total TI (mW)]]/10^3</f>
        <v>#REF!</v>
      </c>
      <c r="CH211" s="152" t="e">
        <f aca="false">Table7[[#This Row],[Total Sense Loss]]+Table7[[#This Row],[Total MOSFET Loss]]</f>
        <v>#REF!</v>
      </c>
      <c r="CI211" s="158" t="e">
        <f aca="false">IF(Table7[[#This Row],[POUT (W)]]=0,0,(Table7[[#This Row],[POUT (W)]])/(Table7[[#This Row],[POUT (W)]]+Table7[[#This Row],[Total Power Loss (W)]]))*100</f>
        <v>#REF!</v>
      </c>
      <c r="CJ211" s="159"/>
      <c r="CK211" s="152" t="n">
        <f aca="false">(Table7[[#This Row],[R_AC (mW)]]+Table7[[#This Row],[R_SR (mW)]]+Table7[[#This Row],[Inductor Loss (mW)]])/10^3</f>
        <v>0.718210625</v>
      </c>
      <c r="CL211" s="152" t="e">
        <f aca="false">Table7[[#This Row],[Total (mW) C]]/10^3</f>
        <v>#REF!</v>
      </c>
      <c r="CM211" s="152" t="e">
        <f aca="false">Table7[[#This Row],[Total Sense Loss C]]+Table7[[#This Row],[Total MOSFET Loss C]]</f>
        <v>#REF!</v>
      </c>
      <c r="CN211" s="158" t="e">
        <f aca="false">IF(Table7[[#This Row],[POUT (W)]]=0,0,(Table7[[#This Row],[POUT (W)]])/(Table7[[#This Row],[POUT (W)]]+Table7[[#This Row],[Total Power Loss (W) C]]))*100</f>
        <v>#REF!</v>
      </c>
      <c r="CO211" s="159"/>
      <c r="CP211" s="158" t="n">
        <f aca="false">IF(MOSFET_S=Custom_MOSFET,Table7[[#This Row],[Total Sense Loss C]],Table7[[#This Row],[Total Sense Loss]])</f>
        <v>0.718210625</v>
      </c>
      <c r="CQ211" s="158" t="e">
        <f aca="false">IF(MOSFET_S=Custom_MOSFET,Table7[[#This Row],[Total MOSFET Loss C]],Table7[[#This Row],[Total MOSFET Loss]])</f>
        <v>#REF!</v>
      </c>
      <c r="CR211" s="158" t="e">
        <f aca="false">IF(MOSFET_S=Custom_MOSFET,Table7[[#This Row],[Efficiency C]],Table7[[#This Row],[Efficiency]])</f>
        <v>#REF!</v>
      </c>
      <c r="CS211" s="159"/>
      <c r="CT211" s="158" t="n">
        <f aca="false">IF(MOSFET_S=Compare_MOSFET, Table7[[#This Row],[Total Sense Loss C]], -100)</f>
        <v>-100</v>
      </c>
      <c r="CU211" s="158" t="n">
        <f aca="false">IF(MOSFET_S=Compare_MOSFET, Table7[[#This Row],[Total MOSFET Loss C]], -100)</f>
        <v>-100</v>
      </c>
      <c r="CV211" s="158" t="n">
        <f aca="false">IF(MOSFET_S=Compare_MOSFET, Table7[[#This Row],[Efficiency C]], -100)</f>
        <v>-100</v>
      </c>
      <c r="CW211" s="159"/>
      <c r="CX211" s="158" t="e">
        <f aca="false">IF(Save_Sel=CLR_Save,  Table7[[#This Row],[Total Sense Loss P1]], Table7[[#This Row],[Total Sense Loss P1 Saved]])</f>
        <v>#VALUE!</v>
      </c>
      <c r="CY211" s="158" t="e">
        <f aca="false">IF(Save_Sel=CLR_Save,  Table7[[#This Row],[Total MOSFET Loss P1]], Table7[[#This Row],[Total MOSFET Loss P1 Saved]] )</f>
        <v>#VALUE!</v>
      </c>
      <c r="CZ211" s="158" t="e">
        <f aca="false">IF(Save_Sel=CLR_Save, Table7[[#This Row],[Efficiency P1]], Table7[[#This Row],[Efficiency P1 Saved]])</f>
        <v>#VALUE!</v>
      </c>
      <c r="DA211" s="159"/>
      <c r="DB211" s="158" t="e">
        <f aca="false">IF(Save_Sel=CLR_Save,  Table7[[#This Row],[Total Sense Loss P2]], Table7[[#This Row],[Total Sense Loss P2 Saved]])</f>
        <v>#VALUE!</v>
      </c>
      <c r="DC211" s="158" t="e">
        <f aca="false">IF(Save_Sel=CLR_Save,  Table7[[#This Row],[Total MOSFET Loss P2]], Table7[[#This Row],[Total MOSFET Loss P2 Saved]] )</f>
        <v>#VALUE!</v>
      </c>
      <c r="DD211" s="158" t="e">
        <f aca="false">IF(Save_Sel=CLR_Save, Table7[[#This Row],[Efficiency P2]], Table7[[#This Row],[Efficiency P2 Saved]])</f>
        <v>#VALUE!</v>
      </c>
      <c r="DE211" s="159"/>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row>
    <row r="212" customFormat="false" ht="16.4" hidden="false" customHeight="false" outlineLevel="0" collapsed="false">
      <c r="A212" s="28"/>
      <c r="B212" s="84"/>
      <c r="C212" s="84"/>
      <c r="D212" s="28"/>
      <c r="E212" s="168"/>
      <c r="F212" s="168"/>
      <c r="G212" s="84"/>
      <c r="H212" s="24"/>
      <c r="I212" s="24"/>
      <c r="J212" s="24"/>
      <c r="K212" s="24"/>
      <c r="L212" s="24"/>
      <c r="M212" s="24"/>
      <c r="N212" s="24"/>
      <c r="O212" s="24"/>
      <c r="P212" s="24"/>
      <c r="Q212" s="24"/>
      <c r="R212" s="24"/>
      <c r="S212" s="25"/>
      <c r="T212" s="6"/>
      <c r="U212" s="7"/>
      <c r="V212" s="7"/>
      <c r="W212" s="7"/>
      <c r="X212" s="7"/>
      <c r="Y212" s="7"/>
      <c r="Z212" s="7"/>
      <c r="AA212" s="7"/>
      <c r="AB212" s="7"/>
      <c r="AC212" s="7"/>
      <c r="AD212" s="7"/>
      <c r="AE212" s="7"/>
      <c r="AF212" s="150" t="n">
        <f aca="false">AF211+1</f>
        <v>56</v>
      </c>
      <c r="AG212" s="150" t="n">
        <f aca="false">$AG$156+AF212*($AG$256-$AG$156)/$AF$256</f>
        <v>5.6</v>
      </c>
      <c r="AH212" s="151" t="n">
        <f aca="false">AG212*VACnom</f>
        <v>67.2</v>
      </c>
      <c r="AI212" s="152" t="n">
        <f aca="false">IF(VACnom&lt;Vbat, (Vbat-VACnom)/Vbat, Vbat/VACnom)</f>
        <v>0.0476190476190476</v>
      </c>
      <c r="AJ212" s="152" t="n">
        <f aca="false">IF(VACnom&lt;Vbat, AG212/(1-AI212), AG212*AI212)</f>
        <v>5.88</v>
      </c>
      <c r="AK212" s="152" t="n">
        <f aca="false">Ipkpk_VACnom</f>
        <v>0.285714285714285</v>
      </c>
      <c r="AL212" s="152" t="n">
        <f aca="false">SQRT(AJ212^2+AK212^2/12)</f>
        <v>5.88057843422638</v>
      </c>
      <c r="AM212" s="153"/>
      <c r="AN212" s="152" t="n">
        <f aca="false">MAX(0,Table7[[#This Row],[I_L]]-0.5*Table7[[#This Row],[I_L pkpk]])</f>
        <v>5.73714285714286</v>
      </c>
      <c r="AO212" s="152" t="n">
        <f aca="false">Table7[[#This Row],[I_L]]+0.5*Table7[[#This Row],[I_L pkpk]]</f>
        <v>6.02285714285714</v>
      </c>
      <c r="AP212" s="152" t="e">
        <f aca="false">IF(VACnom&gt;Vbat, (VGS_S-(TI_MOSFET_S_VTH_H_BU+Table7[[#This Row],[I_L]]/TI_MOSFET_S_gFS_H_BU))/3.4, (VGS_S-(TI_MOSFET_S_VTH_L_BO+Table7[[#This Row],[I_L]]/TI_MOSFET_S_gFS_L_BO))/3.4 )</f>
        <v>#REF!</v>
      </c>
      <c r="AQ212" s="152" t="e">
        <f aca="false">IF(VACnom&gt;Vbat, ((TI_MOSFET_S_VTH_H_BU+Table7[[#This Row],[I_L]]/TI_MOSFET_S_gFS_H_BU))/1, ((TI_MOSFET_S_VTH_L_BO+Table7[[#This Row],[I_L]]/TI_MOSFET_S_gFS_L_BO))/1 )</f>
        <v>#REF!</v>
      </c>
      <c r="AR212" s="152" t="e">
        <f aca="false">IF(VACnom&gt;Vbat, (TI_MOSFET_S_QGD_H_BU+TI_MOSFET_S_QGS_H_BU)*10^-9/Table7[[#This Row],[Ion (A)]], (TI_MOSFET_S_QGD_L_BO+TI_MOSFET_S_QGS_L_BO)*10^-9/Table7[[#This Row],[Ion (A)]])/10^-9</f>
        <v>#REF!</v>
      </c>
      <c r="AS212" s="152" t="e">
        <f aca="false">IF(VACnom&gt;Vbat, (TI_MOSFET_S_QGD_H_BU+TI_MOSFET_S_QGS_H_BU)*10^-9/Table7[[#This Row],[Ioff (A)]], (TI_MOSFET_S_QGD_L_BO+TI_MOSFET_S_QGS_L_BO)*10^-9/Table7[[#This Row],[Ioff (A)]])/10^-9</f>
        <v>#REF!</v>
      </c>
      <c r="AT212" s="152" t="e">
        <f aca="false">0.5*VACnom*Table7[[#This Row],[Ivalley (A)]]*Table7[[#This Row],[ton (ns)]]*10^-9*Fsw*10^3+0.5*VACnom*Table7[[#This Row],[Ipeak (A)]]*Table7[[#This Row],[toff (ns)]]*10^-9*Fsw*10^3/10^-3</f>
        <v>#REF!</v>
      </c>
      <c r="AU212" s="152" t="e">
        <f aca="false">IF(VACnom&gt;Vbat, 0.5*VACnom*TI_MOSFET_S_QOSS_H_BU*10^-9*Fsw*10^3,0.5*VACnom*TI_MOSFET_S_QOSS_L_BO*10^-9*Fsw*10^3)/10^-3</f>
        <v>#REF!</v>
      </c>
      <c r="AV212" s="152" t="e">
        <f aca="false">IF(VACnom&gt;Vbat, VACnom*TI_MOSFET_S_QG_H_BU*10^-9*Fsw*10^3,VACnom*TI_MOSFET_S_QG_H_BO*10^-9*Fsw*10^3)/10^-3</f>
        <v>#REF!</v>
      </c>
      <c r="AW212" s="152" t="e">
        <f aca="false">IF(VACnom&gt;Vbat, VACnom*TI_MOSFET_S_QRR_L_BU*10^-9*Fsw*10^3, VACnom*TI_MOSFET_S_QRR_H_BO*10^-9*Fsw*10^3)/10^-3</f>
        <v>#REF!</v>
      </c>
      <c r="AX212" s="152" t="e">
        <f aca="false">IF(VACnom&gt;Vbat, TI_MOSFET_S_VSD_L_BU*Table7[[#This Row],[Ivalley (A)]]*Fsw*10^3*40*10^-9+TI_MOSFET_S_VSD_L_BU*Table7[[#This Row],[Ipeak (A)]]*Fsw*10^3*30*10^-9, TI_MOSFET_S_VSD_H_BO*Table7[[#This Row],[Ivalley (A)]]*Fsw*10^3*40*10^-9+TI_MOSFET_S_VSD_H_BO*Table7[[#This Row],[Ipeak (A)]]*Fsw*10^3*30*10^-9)/10^-3</f>
        <v>#REF!</v>
      </c>
      <c r="AY212" s="152" t="e">
        <f aca="false">IF(VACnom&gt;Vbat, VACnom*TI_MOSFET_S_QG_L_BU*10^-9*Fsw*10^3, VACnom*TI_MOSFET_S_QG_L_BO*10^-9*Fsw*10^3)/10^-3</f>
        <v>#REF!</v>
      </c>
      <c r="AZ212" s="152" t="e">
        <f aca="false">IF(VACnom&lt;Vbat, Table7[[#This Row],[Duty Cycle]]*Table7[[#This Row],[I_L RMS]]^2*TI_MOSFET_S_RDSON_H_BU*10^-3, (1-Table7[[#This Row],[Duty Cycle]])*Table7[[#This Row],[I_L RMS]]^2*TI_MOSFET_S_RDSON_H_BO*10^-3)/10^-3</f>
        <v>#REF!</v>
      </c>
      <c r="BA212" s="152" t="e">
        <f aca="false">IF(VACnom&gt;Vbat, Table7[[#This Row],[PIV (mW)]]+Table7[[#This Row],[Pqoss (mW)]]+Table7[[#This Row],[Pgate_top (mW)]], Table7[[#This Row],[PRR (mW)]]+Table7[[#This Row],[Pdead (mW)]]+Table7[[#This Row],[Pgate_top (mW)]])</f>
        <v>#REF!</v>
      </c>
      <c r="BB212" s="152" t="e">
        <f aca="false">Table7[[#This Row],[Pcon_top (mW)]]+Table7[[#This Row],[Psw_top (mW)]]</f>
        <v>#REF!</v>
      </c>
      <c r="BC212" s="152" t="e">
        <f aca="false">IF(VACnom&gt;Vbat, (1-Table7[[#This Row],[Duty Cycle]])*Table7[[#This Row],[I_L RMS]]^2*TI_MOSFET_S_RDSON_L_BU*10^-3, Table7[[#This Row],[Duty Cycle]]*Table7[[#This Row],[I_L RMS]]^2*TI_MOSFET_S_RDSON_L_BO*10^-3)/10^-3</f>
        <v>#REF!</v>
      </c>
      <c r="BD212" s="152" t="e">
        <f aca="false">IF(VACnom&gt;Vbat, Table7[[#This Row],[PRR (mW)]]+Table7[[#This Row],[Pdead (mW)]]+Table7[[#This Row],[Pgate_bottom (mW)]], Table7[[#This Row],[PIV (mW)]]+Table7[[#This Row],[Pqoss (mW)]]+Table7[[#This Row],[Pgate_bottom (mW)]])</f>
        <v>#REF!</v>
      </c>
      <c r="BE212" s="154" t="e">
        <f aca="false">Table7[[#This Row],[Pcon_bottom (mW)]]+Table7[[#This Row],[Psw_bottom (mW)]]</f>
        <v>#REF!</v>
      </c>
      <c r="BF212" s="152" t="e">
        <f aca="false">Table7[[#This Row],[Pbottom (mW)]]+Table7[[#This Row],[Ptop (mW)]]</f>
        <v>#REF!</v>
      </c>
      <c r="BG212" s="155"/>
      <c r="BH212" s="152" t="n">
        <f aca="false">MAX(0,Table7[[#This Row],[I_L]]-0.5*Table7[[#This Row],[I_L pkpk]])</f>
        <v>5.73714285714286</v>
      </c>
      <c r="BI212" s="152" t="n">
        <f aca="false">Table7[[#This Row],[I_L]]+0.5*Table7[[#This Row],[I_L pkpk]]</f>
        <v>6.02285714285714</v>
      </c>
      <c r="BJ212" s="152" t="n">
        <f aca="false">IF(VACnom&gt;Vbat, (VGS_S-(C_MOSFET_S_VTH_H_BU+Table7[[#This Row],[I_L]]/C_MOSFET_S_gFS_H_BU))/3.4, (VGS_S-(C_MOSFET_S_VTH_L_BO+Table7[[#This Row],[I_L]]/C_MOSFET_S_gFS_L_BO))/3.4 )</f>
        <v>2.34141176470588</v>
      </c>
      <c r="BK212" s="152" t="n">
        <f aca="false">IF(VACnom&gt;Vbat, ((C_MOSFET_S_VTH_H_BU+Table7[[#This Row],[I_L]]/C_MOSFET_S_gFS_H_BU))/1, ((C_MOSFET_S_VTH_L_BO+Table7[[#This Row],[I_L]]/C_MOSFET_S_gFS_L_BO))/1 )</f>
        <v>2.0392</v>
      </c>
      <c r="BL212" s="152" t="n">
        <f aca="false">IF(VACnom&gt;Vbat, (C_MOSFET_S_QGD_H_BU+C_MOSFET_S_QGS_H_BU)*10^-9/Table7[[#This Row],[Ion (A) C]], (C_MOSFET_S_QGD_L_BO+C_MOSFET_S_QGS_L_BO)*10^-9/Table7[[#This Row],[Ion (A) C]])/10^-9</f>
        <v>2.77610290423073</v>
      </c>
      <c r="BM212" s="152" t="n">
        <f aca="false">IF(VACnom&gt;Vbat, (C_MOSFET_S_QGD_H_BU+C_MOSFET_S_QGS_H_BU)*10^-9/Table7[[#This Row],[Ioff (A) C]], (C_MOSFET_S_QGD_L_BO+C_MOSFET_S_QGS_L_BO)*10^-9/Table7[[#This Row],[Ioff (A) C]])/10^-9</f>
        <v>3.18752451941938</v>
      </c>
      <c r="BN212" s="152" t="n">
        <f aca="false">0.5*VACnom*Table7[[#This Row],[Ivalley (A) C]]*Table7[[#This Row],[ton (ns) C]]*10^-9*Fsw*10^3+0.5*VACnom*Table7[[#This Row],[Ipeak (A) C]]*Table7[[#This Row],[toff (ns) C]]*10^-9*Fsw*10^3/10^-3</f>
        <v>23.056718062518</v>
      </c>
      <c r="BO212" s="152" t="n">
        <f aca="false">IF(VACnom&gt;Vbat, 0.5*VACnom*C_MOSFET_S_QOSS_H_BU*10^-9*Fsw*10^3,0.5*VACnom*C_MOSFET_S_QOSS_L_BO*10^-9*Fsw*10^3)/10^-3</f>
        <v>43.2</v>
      </c>
      <c r="BP212" s="152" t="e">
        <f aca="false">IF(VACnom&gt;Vbat, VACnom*C_MOSFET_S_QG_H_BU*10^-9*Fsw*10^3,VACnom*C_MOSFET_S_QG_H_BO*10^-9*Fsw*10^3)/10^-3</f>
        <v>#REF!</v>
      </c>
      <c r="BQ212" s="152" t="n">
        <f aca="false">IF(VACnom&gt;Vbat, VACnom*C_MOSFET_S_QRR_L_BU*10^-9*Fsw*10^3, VACnom*C_MOSFET_S_QRR_H_BO*10^-9*Fsw*10^3)/10^-3</f>
        <v>79.2</v>
      </c>
      <c r="BR212" s="152" t="n">
        <f aca="false">IF(VACnom&gt;Vbat, C_MOSFET_S_VSD_L_BU*Table7[[#This Row],[Ivalley (A) C]]*Fsw*10^3*40*10^-9+C_MOSFET_S_VSD_L_BU*Table7[[#This Row],[Ipeak (A) C]]*Fsw*10^3*30*10^-9, C_MOSFET_S_VSD_H_BO*Table7[[#This Row],[Ivalley (A) C]]*Fsw*10^3*40*10^-9+C_MOSFET_S_VSD_H_BO*Table7[[#This Row],[Ipeak (A) C]]*Fsw*10^3*30*10^-9)/10^-3</f>
        <v>65.6274285714286</v>
      </c>
      <c r="BS212" s="152" t="e">
        <f aca="false">IF(VACnom&gt;Vbat, VACnom*C_MOSFET_S_QG_L_BU*10^-9*Fsw*10^3, VACnom*C_MOSFET_S_QG_L_BO*10^-9*Fsw*10^3)/10^-3</f>
        <v>#REF!</v>
      </c>
      <c r="BT212" s="152" t="n">
        <f aca="false">IF(VACnom&lt;Vbat, Table7[[#This Row],[Duty Cycle]]*Table7[[#This Row],[I_L RMS]]^2*C_MOSFET_S_RDSON_H_BU*10^-3, (1-Table7[[#This Row],[Duty Cycle]])*Table7[[#This Row],[I_L RMS]]^2*C_MOSFET_S_RDSON_H_BO*10^-3)/10^-3</f>
        <v>9.38632645286685</v>
      </c>
      <c r="BU212" s="152" t="e">
        <f aca="false">IF(VACnom&gt;Vbat, Table7[[#This Row],[PIV (mW) C]]+Table7[[#This Row],[PQoss (mW) C]]+Table7[[#This Row],[Pgate_top (mW) C]], Table7[[#This Row],[PRR (mW) C]]+Table7[[#This Row],[Pdead (mW) C]]+Table7[[#This Row],[Pgate_top (mW) C]])</f>
        <v>#REF!</v>
      </c>
      <c r="BV212" s="152" t="e">
        <f aca="false">Table7[[#This Row],[Pcon_top (mW) C]]+Table7[[#This Row],[Psw_top (mW) C]]</f>
        <v>#REF!</v>
      </c>
      <c r="BW212" s="152" t="e">
        <f aca="false">IF(VACnom&gt;Vbat, (1-Table7[[#This Row],[Duty Cycle]])*Table7[[#This Row],[I_L RMS]]^2*C_MOSFET_S_RDSON_L_BU*10^-3, Table7[[#This Row],[Duty Cycle]]*Table7[[#This Row],[I_L RMS]]^2*C_MOSFET_S_RDSON_L_BO*10^-3)/10^-3</f>
        <v>#REF!</v>
      </c>
      <c r="BX212" s="152" t="e">
        <f aca="false">IF(VACnom&gt;Vbat, Table7[[#This Row],[PRR (mW) C]]+Table7[[#This Row],[Pdead (mW) C]]+Table7[[#This Row],[Pgate_bottom (mW) C]], Table7[[#This Row],[PIV (mW) C]]+Table7[[#This Row],[PQoss (mW) C]]+Table7[[#This Row],[Pgate_bottom (mW) C]])</f>
        <v>#REF!</v>
      </c>
      <c r="BY212" s="152" t="e">
        <f aca="false">Table7[[#This Row],[Pcon_bottom (mW) C]]+Table7[[#This Row],[Psw_bottom (mV) C]]</f>
        <v>#REF!</v>
      </c>
      <c r="BZ212" s="152" t="e">
        <f aca="false">Table7[[#This Row],[Pbottom (mW) C]]+Table7[[#This Row],[Ptop (mW) C]]</f>
        <v>#REF!</v>
      </c>
      <c r="CA212" s="156"/>
      <c r="CB212" s="151" t="n">
        <f aca="false">(RAC_SNS*10^-3*(Table7[[#This Row],[IOUT (A)]]*Vbat/VACnom)^2/10^-3)</f>
        <v>172.872</v>
      </c>
      <c r="CC212" s="151" t="n">
        <f aca="false">(RBAT_SNS*10^-3*Table7[[#This Row],[IOUT (A)]]^2)/10^-3</f>
        <v>156.8</v>
      </c>
      <c r="CD212" s="151" t="n">
        <f aca="false">IF(VACnom&gt;Vbat,(L_DRC*10^-3*(Table7[[#This Row],[IOUT (A)]])^2/10^-3),(L_DRC*10^-3*(Table7[[#This Row],[IOUT (A)]]*Vbat/VACnom)^2/10^-3))</f>
        <v>414.8928</v>
      </c>
      <c r="CE212" s="157"/>
      <c r="CF212" s="152" t="n">
        <f aca="false">(Table7[[#This Row],[R_AC (mW)]]+Table7[[#This Row],[R_SR (mW)]]+Table7[[#This Row],[Inductor Loss (mW)]])/10^3</f>
        <v>0.7445648</v>
      </c>
      <c r="CG212" s="152" t="e">
        <f aca="false">Table7[[#This Row],[Total TI (mW)]]/10^3</f>
        <v>#REF!</v>
      </c>
      <c r="CH212" s="152" t="e">
        <f aca="false">Table7[[#This Row],[Total Sense Loss]]+Table7[[#This Row],[Total MOSFET Loss]]</f>
        <v>#REF!</v>
      </c>
      <c r="CI212" s="158" t="e">
        <f aca="false">IF(Table7[[#This Row],[POUT (W)]]=0,0,(Table7[[#This Row],[POUT (W)]])/(Table7[[#This Row],[POUT (W)]]+Table7[[#This Row],[Total Power Loss (W)]]))*100</f>
        <v>#REF!</v>
      </c>
      <c r="CJ212" s="159"/>
      <c r="CK212" s="152" t="n">
        <f aca="false">(Table7[[#This Row],[R_AC (mW)]]+Table7[[#This Row],[R_SR (mW)]]+Table7[[#This Row],[Inductor Loss (mW)]])/10^3</f>
        <v>0.7445648</v>
      </c>
      <c r="CL212" s="152" t="e">
        <f aca="false">Table7[[#This Row],[Total (mW) C]]/10^3</f>
        <v>#REF!</v>
      </c>
      <c r="CM212" s="152" t="e">
        <f aca="false">Table7[[#This Row],[Total Sense Loss C]]+Table7[[#This Row],[Total MOSFET Loss C]]</f>
        <v>#REF!</v>
      </c>
      <c r="CN212" s="158" t="e">
        <f aca="false">IF(Table7[[#This Row],[POUT (W)]]=0,0,(Table7[[#This Row],[POUT (W)]])/(Table7[[#This Row],[POUT (W)]]+Table7[[#This Row],[Total Power Loss (W) C]]))*100</f>
        <v>#REF!</v>
      </c>
      <c r="CO212" s="159"/>
      <c r="CP212" s="158" t="n">
        <f aca="false">IF(MOSFET_S=Custom_MOSFET,Table7[[#This Row],[Total Sense Loss C]],Table7[[#This Row],[Total Sense Loss]])</f>
        <v>0.7445648</v>
      </c>
      <c r="CQ212" s="158" t="e">
        <f aca="false">IF(MOSFET_S=Custom_MOSFET,Table7[[#This Row],[Total MOSFET Loss C]],Table7[[#This Row],[Total MOSFET Loss]])</f>
        <v>#REF!</v>
      </c>
      <c r="CR212" s="158" t="e">
        <f aca="false">IF(MOSFET_S=Custom_MOSFET,Table7[[#This Row],[Efficiency C]],Table7[[#This Row],[Efficiency]])</f>
        <v>#REF!</v>
      </c>
      <c r="CS212" s="159"/>
      <c r="CT212" s="158" t="n">
        <f aca="false">IF(MOSFET_S=Compare_MOSFET, Table7[[#This Row],[Total Sense Loss C]], -100)</f>
        <v>-100</v>
      </c>
      <c r="CU212" s="158" t="n">
        <f aca="false">IF(MOSFET_S=Compare_MOSFET, Table7[[#This Row],[Total MOSFET Loss C]], -100)</f>
        <v>-100</v>
      </c>
      <c r="CV212" s="158" t="n">
        <f aca="false">IF(MOSFET_S=Compare_MOSFET, Table7[[#This Row],[Efficiency C]], -100)</f>
        <v>-100</v>
      </c>
      <c r="CW212" s="159"/>
      <c r="CX212" s="158" t="e">
        <f aca="false">IF(Save_Sel=CLR_Save,  Table7[[#This Row],[Total Sense Loss P1]], Table7[[#This Row],[Total Sense Loss P1 Saved]])</f>
        <v>#VALUE!</v>
      </c>
      <c r="CY212" s="158" t="e">
        <f aca="false">IF(Save_Sel=CLR_Save,  Table7[[#This Row],[Total MOSFET Loss P1]], Table7[[#This Row],[Total MOSFET Loss P1 Saved]] )</f>
        <v>#VALUE!</v>
      </c>
      <c r="CZ212" s="158" t="e">
        <f aca="false">IF(Save_Sel=CLR_Save, Table7[[#This Row],[Efficiency P1]], Table7[[#This Row],[Efficiency P1 Saved]])</f>
        <v>#VALUE!</v>
      </c>
      <c r="DA212" s="159"/>
      <c r="DB212" s="158" t="e">
        <f aca="false">IF(Save_Sel=CLR_Save,  Table7[[#This Row],[Total Sense Loss P2]], Table7[[#This Row],[Total Sense Loss P2 Saved]])</f>
        <v>#VALUE!</v>
      </c>
      <c r="DC212" s="158" t="e">
        <f aca="false">IF(Save_Sel=CLR_Save,  Table7[[#This Row],[Total MOSFET Loss P2]], Table7[[#This Row],[Total MOSFET Loss P2 Saved]] )</f>
        <v>#VALUE!</v>
      </c>
      <c r="DD212" s="158" t="e">
        <f aca="false">IF(Save_Sel=CLR_Save, Table7[[#This Row],[Efficiency P2]], Table7[[#This Row],[Efficiency P2 Saved]])</f>
        <v>#VALUE!</v>
      </c>
      <c r="DE212" s="159"/>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row>
    <row r="213" customFormat="false" ht="16.4" hidden="false" customHeight="false" outlineLevel="0" collapsed="false">
      <c r="A213" s="28"/>
      <c r="B213" s="84"/>
      <c r="C213" s="84"/>
      <c r="D213" s="28"/>
      <c r="E213" s="168"/>
      <c r="F213" s="168"/>
      <c r="G213" s="84"/>
      <c r="H213" s="24"/>
      <c r="I213" s="24"/>
      <c r="J213" s="24"/>
      <c r="K213" s="24"/>
      <c r="L213" s="24"/>
      <c r="M213" s="24"/>
      <c r="N213" s="24"/>
      <c r="O213" s="24"/>
      <c r="P213" s="24"/>
      <c r="Q213" s="24"/>
      <c r="R213" s="24"/>
      <c r="S213" s="25"/>
      <c r="T213" s="6"/>
      <c r="U213" s="7"/>
      <c r="V213" s="7"/>
      <c r="W213" s="7"/>
      <c r="X213" s="7"/>
      <c r="Y213" s="7"/>
      <c r="Z213" s="7"/>
      <c r="AA213" s="7"/>
      <c r="AB213" s="7"/>
      <c r="AC213" s="7"/>
      <c r="AD213" s="7"/>
      <c r="AE213" s="7"/>
      <c r="AF213" s="150" t="n">
        <f aca="false">AF212+1</f>
        <v>57</v>
      </c>
      <c r="AG213" s="150" t="n">
        <f aca="false">$AG$156+AF213*($AG$256-$AG$156)/$AF$256</f>
        <v>5.7</v>
      </c>
      <c r="AH213" s="151" t="n">
        <f aca="false">AG213*VACnom</f>
        <v>68.4</v>
      </c>
      <c r="AI213" s="152" t="n">
        <f aca="false">IF(VACnom&lt;Vbat, (Vbat-VACnom)/Vbat, Vbat/VACnom)</f>
        <v>0.0476190476190476</v>
      </c>
      <c r="AJ213" s="152" t="n">
        <f aca="false">IF(VACnom&lt;Vbat, AG213/(1-AI213), AG213*AI213)</f>
        <v>5.985</v>
      </c>
      <c r="AK213" s="152" t="n">
        <f aca="false">Ipkpk_VACnom</f>
        <v>0.285714285714285</v>
      </c>
      <c r="AL213" s="152" t="n">
        <f aca="false">SQRT(AJ213^2+AK213^2/12)</f>
        <v>5.98556828722958</v>
      </c>
      <c r="AM213" s="153"/>
      <c r="AN213" s="152" t="n">
        <f aca="false">MAX(0,Table7[[#This Row],[I_L]]-0.5*Table7[[#This Row],[I_L pkpk]])</f>
        <v>5.84214285714286</v>
      </c>
      <c r="AO213" s="152" t="n">
        <f aca="false">Table7[[#This Row],[I_L]]+0.5*Table7[[#This Row],[I_L pkpk]]</f>
        <v>6.12785714285714</v>
      </c>
      <c r="AP213" s="152" t="e">
        <f aca="false">IF(VACnom&gt;Vbat, (VGS_S-(TI_MOSFET_S_VTH_H_BU+Table7[[#This Row],[I_L]]/TI_MOSFET_S_gFS_H_BU))/3.4, (VGS_S-(TI_MOSFET_S_VTH_L_BO+Table7[[#This Row],[I_L]]/TI_MOSFET_S_gFS_L_BO))/3.4 )</f>
        <v>#REF!</v>
      </c>
      <c r="AQ213" s="152" t="e">
        <f aca="false">IF(VACnom&gt;Vbat, ((TI_MOSFET_S_VTH_H_BU+Table7[[#This Row],[I_L]]/TI_MOSFET_S_gFS_H_BU))/1, ((TI_MOSFET_S_VTH_L_BO+Table7[[#This Row],[I_L]]/TI_MOSFET_S_gFS_L_BO))/1 )</f>
        <v>#REF!</v>
      </c>
      <c r="AR213" s="152" t="e">
        <f aca="false">IF(VACnom&gt;Vbat, (TI_MOSFET_S_QGD_H_BU+TI_MOSFET_S_QGS_H_BU)*10^-9/Table7[[#This Row],[Ion (A)]], (TI_MOSFET_S_QGD_L_BO+TI_MOSFET_S_QGS_L_BO)*10^-9/Table7[[#This Row],[Ion (A)]])/10^-9</f>
        <v>#REF!</v>
      </c>
      <c r="AS213" s="152" t="e">
        <f aca="false">IF(VACnom&gt;Vbat, (TI_MOSFET_S_QGD_H_BU+TI_MOSFET_S_QGS_H_BU)*10^-9/Table7[[#This Row],[Ioff (A)]], (TI_MOSFET_S_QGD_L_BO+TI_MOSFET_S_QGS_L_BO)*10^-9/Table7[[#This Row],[Ioff (A)]])/10^-9</f>
        <v>#REF!</v>
      </c>
      <c r="AT213" s="152" t="e">
        <f aca="false">0.5*VACnom*Table7[[#This Row],[Ivalley (A)]]*Table7[[#This Row],[ton (ns)]]*10^-9*Fsw*10^3+0.5*VACnom*Table7[[#This Row],[Ipeak (A)]]*Table7[[#This Row],[toff (ns)]]*10^-9*Fsw*10^3/10^-3</f>
        <v>#REF!</v>
      </c>
      <c r="AU213" s="152" t="e">
        <f aca="false">IF(VACnom&gt;Vbat, 0.5*VACnom*TI_MOSFET_S_QOSS_H_BU*10^-9*Fsw*10^3,0.5*VACnom*TI_MOSFET_S_QOSS_L_BO*10^-9*Fsw*10^3)/10^-3</f>
        <v>#REF!</v>
      </c>
      <c r="AV213" s="152" t="e">
        <f aca="false">IF(VACnom&gt;Vbat, VACnom*TI_MOSFET_S_QG_H_BU*10^-9*Fsw*10^3,VACnom*TI_MOSFET_S_QG_H_BO*10^-9*Fsw*10^3)/10^-3</f>
        <v>#REF!</v>
      </c>
      <c r="AW213" s="152" t="e">
        <f aca="false">IF(VACnom&gt;Vbat, VACnom*TI_MOSFET_S_QRR_L_BU*10^-9*Fsw*10^3, VACnom*TI_MOSFET_S_QRR_H_BO*10^-9*Fsw*10^3)/10^-3</f>
        <v>#REF!</v>
      </c>
      <c r="AX213" s="152" t="e">
        <f aca="false">IF(VACnom&gt;Vbat, TI_MOSFET_S_VSD_L_BU*Table7[[#This Row],[Ivalley (A)]]*Fsw*10^3*40*10^-9+TI_MOSFET_S_VSD_L_BU*Table7[[#This Row],[Ipeak (A)]]*Fsw*10^3*30*10^-9, TI_MOSFET_S_VSD_H_BO*Table7[[#This Row],[Ivalley (A)]]*Fsw*10^3*40*10^-9+TI_MOSFET_S_VSD_H_BO*Table7[[#This Row],[Ipeak (A)]]*Fsw*10^3*30*10^-9)/10^-3</f>
        <v>#REF!</v>
      </c>
      <c r="AY213" s="152" t="e">
        <f aca="false">IF(VACnom&gt;Vbat, VACnom*TI_MOSFET_S_QG_L_BU*10^-9*Fsw*10^3, VACnom*TI_MOSFET_S_QG_L_BO*10^-9*Fsw*10^3)/10^-3</f>
        <v>#REF!</v>
      </c>
      <c r="AZ213" s="152" t="e">
        <f aca="false">IF(VACnom&lt;Vbat, Table7[[#This Row],[Duty Cycle]]*Table7[[#This Row],[I_L RMS]]^2*TI_MOSFET_S_RDSON_H_BU*10^-3, (1-Table7[[#This Row],[Duty Cycle]])*Table7[[#This Row],[I_L RMS]]^2*TI_MOSFET_S_RDSON_H_BO*10^-3)/10^-3</f>
        <v>#REF!</v>
      </c>
      <c r="BA213" s="152" t="e">
        <f aca="false">IF(VACnom&gt;Vbat, Table7[[#This Row],[PIV (mW)]]+Table7[[#This Row],[Pqoss (mW)]]+Table7[[#This Row],[Pgate_top (mW)]], Table7[[#This Row],[PRR (mW)]]+Table7[[#This Row],[Pdead (mW)]]+Table7[[#This Row],[Pgate_top (mW)]])</f>
        <v>#REF!</v>
      </c>
      <c r="BB213" s="152" t="e">
        <f aca="false">Table7[[#This Row],[Pcon_top (mW)]]+Table7[[#This Row],[Psw_top (mW)]]</f>
        <v>#REF!</v>
      </c>
      <c r="BC213" s="152" t="e">
        <f aca="false">IF(VACnom&gt;Vbat, (1-Table7[[#This Row],[Duty Cycle]])*Table7[[#This Row],[I_L RMS]]^2*TI_MOSFET_S_RDSON_L_BU*10^-3, Table7[[#This Row],[Duty Cycle]]*Table7[[#This Row],[I_L RMS]]^2*TI_MOSFET_S_RDSON_L_BO*10^-3)/10^-3</f>
        <v>#REF!</v>
      </c>
      <c r="BD213" s="152" t="e">
        <f aca="false">IF(VACnom&gt;Vbat, Table7[[#This Row],[PRR (mW)]]+Table7[[#This Row],[Pdead (mW)]]+Table7[[#This Row],[Pgate_bottom (mW)]], Table7[[#This Row],[PIV (mW)]]+Table7[[#This Row],[Pqoss (mW)]]+Table7[[#This Row],[Pgate_bottom (mW)]])</f>
        <v>#REF!</v>
      </c>
      <c r="BE213" s="154" t="e">
        <f aca="false">Table7[[#This Row],[Pcon_bottom (mW)]]+Table7[[#This Row],[Psw_bottom (mW)]]</f>
        <v>#REF!</v>
      </c>
      <c r="BF213" s="152" t="e">
        <f aca="false">Table7[[#This Row],[Pbottom (mW)]]+Table7[[#This Row],[Ptop (mW)]]</f>
        <v>#REF!</v>
      </c>
      <c r="BG213" s="155"/>
      <c r="BH213" s="152" t="n">
        <f aca="false">MAX(0,Table7[[#This Row],[I_L]]-0.5*Table7[[#This Row],[I_L pkpk]])</f>
        <v>5.84214285714286</v>
      </c>
      <c r="BI213" s="152" t="n">
        <f aca="false">Table7[[#This Row],[I_L]]+0.5*Table7[[#This Row],[I_L pkpk]]</f>
        <v>6.12785714285714</v>
      </c>
      <c r="BJ213" s="152" t="n">
        <f aca="false">IF(VACnom&gt;Vbat, (VGS_S-(C_MOSFET_S_VTH_H_BU+Table7[[#This Row],[I_L]]/C_MOSFET_S_gFS_H_BU))/3.4, (VGS_S-(C_MOSFET_S_VTH_L_BO+Table7[[#This Row],[I_L]]/C_MOSFET_S_gFS_L_BO))/3.4 )</f>
        <v>2.34120588235294</v>
      </c>
      <c r="BK213" s="152" t="n">
        <f aca="false">IF(VACnom&gt;Vbat, ((C_MOSFET_S_VTH_H_BU+Table7[[#This Row],[I_L]]/C_MOSFET_S_gFS_H_BU))/1, ((C_MOSFET_S_VTH_L_BO+Table7[[#This Row],[I_L]]/C_MOSFET_S_gFS_L_BO))/1 )</f>
        <v>2.0399</v>
      </c>
      <c r="BL213" s="152" t="n">
        <f aca="false">IF(VACnom&gt;Vbat, (C_MOSFET_S_QGD_H_BU+C_MOSFET_S_QGS_H_BU)*10^-9/Table7[[#This Row],[Ion (A) C]], (C_MOSFET_S_QGD_L_BO+C_MOSFET_S_QGS_L_BO)*10^-9/Table7[[#This Row],[Ion (A) C]])/10^-9</f>
        <v>2.7763470308162</v>
      </c>
      <c r="BM213" s="152" t="n">
        <f aca="false">IF(VACnom&gt;Vbat, (C_MOSFET_S_QGD_H_BU+C_MOSFET_S_QGS_H_BU)*10^-9/Table7[[#This Row],[Ioff (A) C]], (C_MOSFET_S_QGD_L_BO+C_MOSFET_S_QGS_L_BO)*10^-9/Table7[[#This Row],[Ioff (A) C]])/10^-9</f>
        <v>3.18643070738762</v>
      </c>
      <c r="BN213" s="152" t="n">
        <f aca="false">0.5*VACnom*Table7[[#This Row],[Ivalley (A) C]]*Table7[[#This Row],[ton (ns) C]]*10^-9*Fsw*10^3+0.5*VACnom*Table7[[#This Row],[Ipeak (A) C]]*Table7[[#This Row],[toff (ns) C]]*10^-9*Fsw*10^3/10^-3</f>
        <v>23.4506543837515</v>
      </c>
      <c r="BO213" s="152" t="n">
        <f aca="false">IF(VACnom&gt;Vbat, 0.5*VACnom*C_MOSFET_S_QOSS_H_BU*10^-9*Fsw*10^3,0.5*VACnom*C_MOSFET_S_QOSS_L_BO*10^-9*Fsw*10^3)/10^-3</f>
        <v>43.2</v>
      </c>
      <c r="BP213" s="152" t="e">
        <f aca="false">IF(VACnom&gt;Vbat, VACnom*C_MOSFET_S_QG_H_BU*10^-9*Fsw*10^3,VACnom*C_MOSFET_S_QG_H_BO*10^-9*Fsw*10^3)/10^-3</f>
        <v>#REF!</v>
      </c>
      <c r="BQ213" s="152" t="n">
        <f aca="false">IF(VACnom&gt;Vbat, VACnom*C_MOSFET_S_QRR_L_BU*10^-9*Fsw*10^3, VACnom*C_MOSFET_S_QRR_H_BO*10^-9*Fsw*10^3)/10^-3</f>
        <v>79.2</v>
      </c>
      <c r="BR213" s="152" t="n">
        <f aca="false">IF(VACnom&gt;Vbat, C_MOSFET_S_VSD_L_BU*Table7[[#This Row],[Ivalley (A) C]]*Fsw*10^3*40*10^-9+C_MOSFET_S_VSD_L_BU*Table7[[#This Row],[Ipeak (A) C]]*Fsw*10^3*30*10^-9, C_MOSFET_S_VSD_H_BO*Table7[[#This Row],[Ivalley (A) C]]*Fsw*10^3*40*10^-9+C_MOSFET_S_VSD_H_BO*Table7[[#This Row],[Ipeak (A) C]]*Fsw*10^3*30*10^-9)/10^-3</f>
        <v>66.8034285714286</v>
      </c>
      <c r="BS213" s="152" t="e">
        <f aca="false">IF(VACnom&gt;Vbat, VACnom*C_MOSFET_S_QG_L_BU*10^-9*Fsw*10^3, VACnom*C_MOSFET_S_QG_L_BO*10^-9*Fsw*10^3)/10^-3</f>
        <v>#REF!</v>
      </c>
      <c r="BT213" s="152" t="n">
        <f aca="false">IF(VACnom&lt;Vbat, Table7[[#This Row],[Duty Cycle]]*Table7[[#This Row],[I_L RMS]]^2*C_MOSFET_S_RDSON_H_BU*10^-3, (1-Table7[[#This Row],[Duty Cycle]])*Table7[[#This Row],[I_L RMS]]^2*C_MOSFET_S_RDSON_H_BO*10^-3)/10^-3</f>
        <v>9.72447895286685</v>
      </c>
      <c r="BU213" s="152" t="e">
        <f aca="false">IF(VACnom&gt;Vbat, Table7[[#This Row],[PIV (mW) C]]+Table7[[#This Row],[PQoss (mW) C]]+Table7[[#This Row],[Pgate_top (mW) C]], Table7[[#This Row],[PRR (mW) C]]+Table7[[#This Row],[Pdead (mW) C]]+Table7[[#This Row],[Pgate_top (mW) C]])</f>
        <v>#REF!</v>
      </c>
      <c r="BV213" s="152" t="e">
        <f aca="false">Table7[[#This Row],[Pcon_top (mW) C]]+Table7[[#This Row],[Psw_top (mW) C]]</f>
        <v>#REF!</v>
      </c>
      <c r="BW213" s="152" t="e">
        <f aca="false">IF(VACnom&gt;Vbat, (1-Table7[[#This Row],[Duty Cycle]])*Table7[[#This Row],[I_L RMS]]^2*C_MOSFET_S_RDSON_L_BU*10^-3, Table7[[#This Row],[Duty Cycle]]*Table7[[#This Row],[I_L RMS]]^2*C_MOSFET_S_RDSON_L_BO*10^-3)/10^-3</f>
        <v>#REF!</v>
      </c>
      <c r="BX213" s="152" t="e">
        <f aca="false">IF(VACnom&gt;Vbat, Table7[[#This Row],[PRR (mW) C]]+Table7[[#This Row],[Pdead (mW) C]]+Table7[[#This Row],[Pgate_bottom (mW) C]], Table7[[#This Row],[PIV (mW) C]]+Table7[[#This Row],[PQoss (mW) C]]+Table7[[#This Row],[Pgate_bottom (mW) C]])</f>
        <v>#REF!</v>
      </c>
      <c r="BY213" s="152" t="e">
        <f aca="false">Table7[[#This Row],[Pcon_bottom (mW) C]]+Table7[[#This Row],[Psw_bottom (mV) C]]</f>
        <v>#REF!</v>
      </c>
      <c r="BZ213" s="152" t="e">
        <f aca="false">Table7[[#This Row],[Pbottom (mW) C]]+Table7[[#This Row],[Ptop (mW) C]]</f>
        <v>#REF!</v>
      </c>
      <c r="CA213" s="156"/>
      <c r="CB213" s="151" t="n">
        <f aca="false">(RAC_SNS*10^-3*(Table7[[#This Row],[IOUT (A)]]*Vbat/VACnom)^2/10^-3)</f>
        <v>179.101125</v>
      </c>
      <c r="CC213" s="151" t="n">
        <f aca="false">(RBAT_SNS*10^-3*Table7[[#This Row],[IOUT (A)]]^2)/10^-3</f>
        <v>162.45</v>
      </c>
      <c r="CD213" s="151" t="n">
        <f aca="false">IF(VACnom&gt;Vbat,(L_DRC*10^-3*(Table7[[#This Row],[IOUT (A)]])^2/10^-3),(L_DRC*10^-3*(Table7[[#This Row],[IOUT (A)]]*Vbat/VACnom)^2/10^-3))</f>
        <v>429.8427</v>
      </c>
      <c r="CE213" s="157"/>
      <c r="CF213" s="152" t="n">
        <f aca="false">(Table7[[#This Row],[R_AC (mW)]]+Table7[[#This Row],[R_SR (mW)]]+Table7[[#This Row],[Inductor Loss (mW)]])/10^3</f>
        <v>0.771393825</v>
      </c>
      <c r="CG213" s="152" t="e">
        <f aca="false">Table7[[#This Row],[Total TI (mW)]]/10^3</f>
        <v>#REF!</v>
      </c>
      <c r="CH213" s="152" t="e">
        <f aca="false">Table7[[#This Row],[Total Sense Loss]]+Table7[[#This Row],[Total MOSFET Loss]]</f>
        <v>#REF!</v>
      </c>
      <c r="CI213" s="158" t="e">
        <f aca="false">IF(Table7[[#This Row],[POUT (W)]]=0,0,(Table7[[#This Row],[POUT (W)]])/(Table7[[#This Row],[POUT (W)]]+Table7[[#This Row],[Total Power Loss (W)]]))*100</f>
        <v>#REF!</v>
      </c>
      <c r="CJ213" s="159"/>
      <c r="CK213" s="152" t="n">
        <f aca="false">(Table7[[#This Row],[R_AC (mW)]]+Table7[[#This Row],[R_SR (mW)]]+Table7[[#This Row],[Inductor Loss (mW)]])/10^3</f>
        <v>0.771393825</v>
      </c>
      <c r="CL213" s="152" t="e">
        <f aca="false">Table7[[#This Row],[Total (mW) C]]/10^3</f>
        <v>#REF!</v>
      </c>
      <c r="CM213" s="152" t="e">
        <f aca="false">Table7[[#This Row],[Total Sense Loss C]]+Table7[[#This Row],[Total MOSFET Loss C]]</f>
        <v>#REF!</v>
      </c>
      <c r="CN213" s="158" t="e">
        <f aca="false">IF(Table7[[#This Row],[POUT (W)]]=0,0,(Table7[[#This Row],[POUT (W)]])/(Table7[[#This Row],[POUT (W)]]+Table7[[#This Row],[Total Power Loss (W) C]]))*100</f>
        <v>#REF!</v>
      </c>
      <c r="CO213" s="159"/>
      <c r="CP213" s="158" t="n">
        <f aca="false">IF(MOSFET_S=Custom_MOSFET,Table7[[#This Row],[Total Sense Loss C]],Table7[[#This Row],[Total Sense Loss]])</f>
        <v>0.771393825</v>
      </c>
      <c r="CQ213" s="158" t="e">
        <f aca="false">IF(MOSFET_S=Custom_MOSFET,Table7[[#This Row],[Total MOSFET Loss C]],Table7[[#This Row],[Total MOSFET Loss]])</f>
        <v>#REF!</v>
      </c>
      <c r="CR213" s="158" t="e">
        <f aca="false">IF(MOSFET_S=Custom_MOSFET,Table7[[#This Row],[Efficiency C]],Table7[[#This Row],[Efficiency]])</f>
        <v>#REF!</v>
      </c>
      <c r="CS213" s="159"/>
      <c r="CT213" s="158" t="n">
        <f aca="false">IF(MOSFET_S=Compare_MOSFET, Table7[[#This Row],[Total Sense Loss C]], -100)</f>
        <v>-100</v>
      </c>
      <c r="CU213" s="158" t="n">
        <f aca="false">IF(MOSFET_S=Compare_MOSFET, Table7[[#This Row],[Total MOSFET Loss C]], -100)</f>
        <v>-100</v>
      </c>
      <c r="CV213" s="158" t="n">
        <f aca="false">IF(MOSFET_S=Compare_MOSFET, Table7[[#This Row],[Efficiency C]], -100)</f>
        <v>-100</v>
      </c>
      <c r="CW213" s="159"/>
      <c r="CX213" s="158" t="e">
        <f aca="false">IF(Save_Sel=CLR_Save,  Table7[[#This Row],[Total Sense Loss P1]], Table7[[#This Row],[Total Sense Loss P1 Saved]])</f>
        <v>#VALUE!</v>
      </c>
      <c r="CY213" s="158" t="e">
        <f aca="false">IF(Save_Sel=CLR_Save,  Table7[[#This Row],[Total MOSFET Loss P1]], Table7[[#This Row],[Total MOSFET Loss P1 Saved]] )</f>
        <v>#VALUE!</v>
      </c>
      <c r="CZ213" s="158" t="e">
        <f aca="false">IF(Save_Sel=CLR_Save, Table7[[#This Row],[Efficiency P1]], Table7[[#This Row],[Efficiency P1 Saved]])</f>
        <v>#VALUE!</v>
      </c>
      <c r="DA213" s="159"/>
      <c r="DB213" s="158" t="e">
        <f aca="false">IF(Save_Sel=CLR_Save,  Table7[[#This Row],[Total Sense Loss P2]], Table7[[#This Row],[Total Sense Loss P2 Saved]])</f>
        <v>#VALUE!</v>
      </c>
      <c r="DC213" s="158" t="e">
        <f aca="false">IF(Save_Sel=CLR_Save,  Table7[[#This Row],[Total MOSFET Loss P2]], Table7[[#This Row],[Total MOSFET Loss P2 Saved]] )</f>
        <v>#VALUE!</v>
      </c>
      <c r="DD213" s="158" t="e">
        <f aca="false">IF(Save_Sel=CLR_Save, Table7[[#This Row],[Efficiency P2]], Table7[[#This Row],[Efficiency P2 Saved]])</f>
        <v>#VALUE!</v>
      </c>
      <c r="DE213" s="159"/>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row>
    <row r="214" customFormat="false" ht="16.4" hidden="false" customHeight="false" outlineLevel="0" collapsed="false">
      <c r="A214" s="28"/>
      <c r="B214" s="84"/>
      <c r="C214" s="84"/>
      <c r="D214" s="28"/>
      <c r="E214" s="168"/>
      <c r="F214" s="168"/>
      <c r="G214" s="84"/>
      <c r="H214" s="24"/>
      <c r="I214" s="24"/>
      <c r="J214" s="24"/>
      <c r="K214" s="24"/>
      <c r="L214" s="24"/>
      <c r="M214" s="24"/>
      <c r="N214" s="24"/>
      <c r="O214" s="24"/>
      <c r="P214" s="24"/>
      <c r="Q214" s="24"/>
      <c r="R214" s="24"/>
      <c r="S214" s="25"/>
      <c r="T214" s="6"/>
      <c r="U214" s="7"/>
      <c r="V214" s="7"/>
      <c r="W214" s="7"/>
      <c r="X214" s="7"/>
      <c r="Y214" s="7"/>
      <c r="Z214" s="7"/>
      <c r="AA214" s="7"/>
      <c r="AB214" s="7"/>
      <c r="AC214" s="7"/>
      <c r="AD214" s="7"/>
      <c r="AE214" s="7"/>
      <c r="AF214" s="150" t="n">
        <f aca="false">AF213+1</f>
        <v>58</v>
      </c>
      <c r="AG214" s="150" t="n">
        <f aca="false">$AG$156+AF214*($AG$256-$AG$156)/$AF$256</f>
        <v>5.8</v>
      </c>
      <c r="AH214" s="151" t="n">
        <f aca="false">AG214*VACnom</f>
        <v>69.6</v>
      </c>
      <c r="AI214" s="152" t="n">
        <f aca="false">IF(VACnom&lt;Vbat, (Vbat-VACnom)/Vbat, Vbat/VACnom)</f>
        <v>0.0476190476190476</v>
      </c>
      <c r="AJ214" s="152" t="n">
        <f aca="false">IF(VACnom&lt;Vbat, AG214/(1-AI214), AG214*AI214)</f>
        <v>6.09</v>
      </c>
      <c r="AK214" s="152" t="n">
        <f aca="false">Ipkpk_VACnom</f>
        <v>0.285714285714285</v>
      </c>
      <c r="AL214" s="152" t="n">
        <f aca="false">SQRT(AJ214^2+AK214^2/12)</f>
        <v>6.09055849008024</v>
      </c>
      <c r="AM214" s="153"/>
      <c r="AN214" s="152" t="n">
        <f aca="false">MAX(0,Table7[[#This Row],[I_L]]-0.5*Table7[[#This Row],[I_L pkpk]])</f>
        <v>5.94714285714286</v>
      </c>
      <c r="AO214" s="152" t="n">
        <f aca="false">Table7[[#This Row],[I_L]]+0.5*Table7[[#This Row],[I_L pkpk]]</f>
        <v>6.23285714285714</v>
      </c>
      <c r="AP214" s="152" t="e">
        <f aca="false">IF(VACnom&gt;Vbat, (VGS_S-(TI_MOSFET_S_VTH_H_BU+Table7[[#This Row],[I_L]]/TI_MOSFET_S_gFS_H_BU))/3.4, (VGS_S-(TI_MOSFET_S_VTH_L_BO+Table7[[#This Row],[I_L]]/TI_MOSFET_S_gFS_L_BO))/3.4 )</f>
        <v>#REF!</v>
      </c>
      <c r="AQ214" s="152" t="e">
        <f aca="false">IF(VACnom&gt;Vbat, ((TI_MOSFET_S_VTH_H_BU+Table7[[#This Row],[I_L]]/TI_MOSFET_S_gFS_H_BU))/1, ((TI_MOSFET_S_VTH_L_BO+Table7[[#This Row],[I_L]]/TI_MOSFET_S_gFS_L_BO))/1 )</f>
        <v>#REF!</v>
      </c>
      <c r="AR214" s="152" t="e">
        <f aca="false">IF(VACnom&gt;Vbat, (TI_MOSFET_S_QGD_H_BU+TI_MOSFET_S_QGS_H_BU)*10^-9/Table7[[#This Row],[Ion (A)]], (TI_MOSFET_S_QGD_L_BO+TI_MOSFET_S_QGS_L_BO)*10^-9/Table7[[#This Row],[Ion (A)]])/10^-9</f>
        <v>#REF!</v>
      </c>
      <c r="AS214" s="152" t="e">
        <f aca="false">IF(VACnom&gt;Vbat, (TI_MOSFET_S_QGD_H_BU+TI_MOSFET_S_QGS_H_BU)*10^-9/Table7[[#This Row],[Ioff (A)]], (TI_MOSFET_S_QGD_L_BO+TI_MOSFET_S_QGS_L_BO)*10^-9/Table7[[#This Row],[Ioff (A)]])/10^-9</f>
        <v>#REF!</v>
      </c>
      <c r="AT214" s="152" t="e">
        <f aca="false">0.5*VACnom*Table7[[#This Row],[Ivalley (A)]]*Table7[[#This Row],[ton (ns)]]*10^-9*Fsw*10^3+0.5*VACnom*Table7[[#This Row],[Ipeak (A)]]*Table7[[#This Row],[toff (ns)]]*10^-9*Fsw*10^3/10^-3</f>
        <v>#REF!</v>
      </c>
      <c r="AU214" s="152" t="e">
        <f aca="false">IF(VACnom&gt;Vbat, 0.5*VACnom*TI_MOSFET_S_QOSS_H_BU*10^-9*Fsw*10^3,0.5*VACnom*TI_MOSFET_S_QOSS_L_BO*10^-9*Fsw*10^3)/10^-3</f>
        <v>#REF!</v>
      </c>
      <c r="AV214" s="152" t="e">
        <f aca="false">IF(VACnom&gt;Vbat, VACnom*TI_MOSFET_S_QG_H_BU*10^-9*Fsw*10^3,VACnom*TI_MOSFET_S_QG_H_BO*10^-9*Fsw*10^3)/10^-3</f>
        <v>#REF!</v>
      </c>
      <c r="AW214" s="152" t="e">
        <f aca="false">IF(VACnom&gt;Vbat, VACnom*TI_MOSFET_S_QRR_L_BU*10^-9*Fsw*10^3, VACnom*TI_MOSFET_S_QRR_H_BO*10^-9*Fsw*10^3)/10^-3</f>
        <v>#REF!</v>
      </c>
      <c r="AX214" s="152" t="e">
        <f aca="false">IF(VACnom&gt;Vbat, TI_MOSFET_S_VSD_L_BU*Table7[[#This Row],[Ivalley (A)]]*Fsw*10^3*40*10^-9+TI_MOSFET_S_VSD_L_BU*Table7[[#This Row],[Ipeak (A)]]*Fsw*10^3*30*10^-9, TI_MOSFET_S_VSD_H_BO*Table7[[#This Row],[Ivalley (A)]]*Fsw*10^3*40*10^-9+TI_MOSFET_S_VSD_H_BO*Table7[[#This Row],[Ipeak (A)]]*Fsw*10^3*30*10^-9)/10^-3</f>
        <v>#REF!</v>
      </c>
      <c r="AY214" s="152" t="e">
        <f aca="false">IF(VACnom&gt;Vbat, VACnom*TI_MOSFET_S_QG_L_BU*10^-9*Fsw*10^3, VACnom*TI_MOSFET_S_QG_L_BO*10^-9*Fsw*10^3)/10^-3</f>
        <v>#REF!</v>
      </c>
      <c r="AZ214" s="152" t="e">
        <f aca="false">IF(VACnom&lt;Vbat, Table7[[#This Row],[Duty Cycle]]*Table7[[#This Row],[I_L RMS]]^2*TI_MOSFET_S_RDSON_H_BU*10^-3, (1-Table7[[#This Row],[Duty Cycle]])*Table7[[#This Row],[I_L RMS]]^2*TI_MOSFET_S_RDSON_H_BO*10^-3)/10^-3</f>
        <v>#REF!</v>
      </c>
      <c r="BA214" s="152" t="e">
        <f aca="false">IF(VACnom&gt;Vbat, Table7[[#This Row],[PIV (mW)]]+Table7[[#This Row],[Pqoss (mW)]]+Table7[[#This Row],[Pgate_top (mW)]], Table7[[#This Row],[PRR (mW)]]+Table7[[#This Row],[Pdead (mW)]]+Table7[[#This Row],[Pgate_top (mW)]])</f>
        <v>#REF!</v>
      </c>
      <c r="BB214" s="152" t="e">
        <f aca="false">Table7[[#This Row],[Pcon_top (mW)]]+Table7[[#This Row],[Psw_top (mW)]]</f>
        <v>#REF!</v>
      </c>
      <c r="BC214" s="152" t="e">
        <f aca="false">IF(VACnom&gt;Vbat, (1-Table7[[#This Row],[Duty Cycle]])*Table7[[#This Row],[I_L RMS]]^2*TI_MOSFET_S_RDSON_L_BU*10^-3, Table7[[#This Row],[Duty Cycle]]*Table7[[#This Row],[I_L RMS]]^2*TI_MOSFET_S_RDSON_L_BO*10^-3)/10^-3</f>
        <v>#REF!</v>
      </c>
      <c r="BD214" s="152" t="e">
        <f aca="false">IF(VACnom&gt;Vbat, Table7[[#This Row],[PRR (mW)]]+Table7[[#This Row],[Pdead (mW)]]+Table7[[#This Row],[Pgate_bottom (mW)]], Table7[[#This Row],[PIV (mW)]]+Table7[[#This Row],[Pqoss (mW)]]+Table7[[#This Row],[Pgate_bottom (mW)]])</f>
        <v>#REF!</v>
      </c>
      <c r="BE214" s="154" t="e">
        <f aca="false">Table7[[#This Row],[Pcon_bottom (mW)]]+Table7[[#This Row],[Psw_bottom (mW)]]</f>
        <v>#REF!</v>
      </c>
      <c r="BF214" s="152" t="e">
        <f aca="false">Table7[[#This Row],[Pbottom (mW)]]+Table7[[#This Row],[Ptop (mW)]]</f>
        <v>#REF!</v>
      </c>
      <c r="BG214" s="155"/>
      <c r="BH214" s="152" t="n">
        <f aca="false">MAX(0,Table7[[#This Row],[I_L]]-0.5*Table7[[#This Row],[I_L pkpk]])</f>
        <v>5.94714285714286</v>
      </c>
      <c r="BI214" s="152" t="n">
        <f aca="false">Table7[[#This Row],[I_L]]+0.5*Table7[[#This Row],[I_L pkpk]]</f>
        <v>6.23285714285714</v>
      </c>
      <c r="BJ214" s="152" t="n">
        <f aca="false">IF(VACnom&gt;Vbat, (VGS_S-(C_MOSFET_S_VTH_H_BU+Table7[[#This Row],[I_L]]/C_MOSFET_S_gFS_H_BU))/3.4, (VGS_S-(C_MOSFET_S_VTH_L_BO+Table7[[#This Row],[I_L]]/C_MOSFET_S_gFS_L_BO))/3.4 )</f>
        <v>2.341</v>
      </c>
      <c r="BK214" s="152" t="n">
        <f aca="false">IF(VACnom&gt;Vbat, ((C_MOSFET_S_VTH_H_BU+Table7[[#This Row],[I_L]]/C_MOSFET_S_gFS_H_BU))/1, ((C_MOSFET_S_VTH_L_BO+Table7[[#This Row],[I_L]]/C_MOSFET_S_gFS_L_BO))/1 )</f>
        <v>2.0406</v>
      </c>
      <c r="BL214" s="152" t="n">
        <f aca="false">IF(VACnom&gt;Vbat, (C_MOSFET_S_QGD_H_BU+C_MOSFET_S_QGS_H_BU)*10^-9/Table7[[#This Row],[Ion (A) C]], (C_MOSFET_S_QGD_L_BO+C_MOSFET_S_QGS_L_BO)*10^-9/Table7[[#This Row],[Ion (A) C]])/10^-9</f>
        <v>2.77659120034173</v>
      </c>
      <c r="BM214" s="152" t="n">
        <f aca="false">IF(VACnom&gt;Vbat, (C_MOSFET_S_QGD_H_BU+C_MOSFET_S_QGS_H_BU)*10^-9/Table7[[#This Row],[Ioff (A) C]], (C_MOSFET_S_QGD_L_BO+C_MOSFET_S_QGS_L_BO)*10^-9/Table7[[#This Row],[Ioff (A) C]])/10^-9</f>
        <v>3.18533764579045</v>
      </c>
      <c r="BN214" s="152" t="n">
        <f aca="false">0.5*VACnom*Table7[[#This Row],[Ivalley (A) C]]*Table7[[#This Row],[ton (ns) C]]*10^-9*Fsw*10^3+0.5*VACnom*Table7[[#This Row],[Ipeak (A) C]]*Table7[[#This Row],[toff (ns) C]]*10^-9*Fsw*10^3/10^-3</f>
        <v>23.8443207390013</v>
      </c>
      <c r="BO214" s="152" t="n">
        <f aca="false">IF(VACnom&gt;Vbat, 0.5*VACnom*C_MOSFET_S_QOSS_H_BU*10^-9*Fsw*10^3,0.5*VACnom*C_MOSFET_S_QOSS_L_BO*10^-9*Fsw*10^3)/10^-3</f>
        <v>43.2</v>
      </c>
      <c r="BP214" s="152" t="e">
        <f aca="false">IF(VACnom&gt;Vbat, VACnom*C_MOSFET_S_QG_H_BU*10^-9*Fsw*10^3,VACnom*C_MOSFET_S_QG_H_BO*10^-9*Fsw*10^3)/10^-3</f>
        <v>#REF!</v>
      </c>
      <c r="BQ214" s="152" t="n">
        <f aca="false">IF(VACnom&gt;Vbat, VACnom*C_MOSFET_S_QRR_L_BU*10^-9*Fsw*10^3, VACnom*C_MOSFET_S_QRR_H_BO*10^-9*Fsw*10^3)/10^-3</f>
        <v>79.2</v>
      </c>
      <c r="BR214" s="152" t="n">
        <f aca="false">IF(VACnom&gt;Vbat, C_MOSFET_S_VSD_L_BU*Table7[[#This Row],[Ivalley (A) C]]*Fsw*10^3*40*10^-9+C_MOSFET_S_VSD_L_BU*Table7[[#This Row],[Ipeak (A) C]]*Fsw*10^3*30*10^-9, C_MOSFET_S_VSD_H_BO*Table7[[#This Row],[Ivalley (A) C]]*Fsw*10^3*40*10^-9+C_MOSFET_S_VSD_H_BO*Table7[[#This Row],[Ipeak (A) C]]*Fsw*10^3*30*10^-9)/10^-3</f>
        <v>67.9794285714286</v>
      </c>
      <c r="BS214" s="152" t="e">
        <f aca="false">IF(VACnom&gt;Vbat, VACnom*C_MOSFET_S_QG_L_BU*10^-9*Fsw*10^3, VACnom*C_MOSFET_S_QG_L_BO*10^-9*Fsw*10^3)/10^-3</f>
        <v>#REF!</v>
      </c>
      <c r="BT214" s="152" t="n">
        <f aca="false">IF(VACnom&lt;Vbat, Table7[[#This Row],[Duty Cycle]]*Table7[[#This Row],[I_L RMS]]^2*C_MOSFET_S_RDSON_H_BU*10^-3, (1-Table7[[#This Row],[Duty Cycle]])*Table7[[#This Row],[I_L RMS]]^2*C_MOSFET_S_RDSON_H_BO*10^-3)/10^-3</f>
        <v>10.0686164528669</v>
      </c>
      <c r="BU214" s="152" t="e">
        <f aca="false">IF(VACnom&gt;Vbat, Table7[[#This Row],[PIV (mW) C]]+Table7[[#This Row],[PQoss (mW) C]]+Table7[[#This Row],[Pgate_top (mW) C]], Table7[[#This Row],[PRR (mW) C]]+Table7[[#This Row],[Pdead (mW) C]]+Table7[[#This Row],[Pgate_top (mW) C]])</f>
        <v>#REF!</v>
      </c>
      <c r="BV214" s="152" t="e">
        <f aca="false">Table7[[#This Row],[Pcon_top (mW) C]]+Table7[[#This Row],[Psw_top (mW) C]]</f>
        <v>#REF!</v>
      </c>
      <c r="BW214" s="152" t="e">
        <f aca="false">IF(VACnom&gt;Vbat, (1-Table7[[#This Row],[Duty Cycle]])*Table7[[#This Row],[I_L RMS]]^2*C_MOSFET_S_RDSON_L_BU*10^-3, Table7[[#This Row],[Duty Cycle]]*Table7[[#This Row],[I_L RMS]]^2*C_MOSFET_S_RDSON_L_BO*10^-3)/10^-3</f>
        <v>#REF!</v>
      </c>
      <c r="BX214" s="152" t="e">
        <f aca="false">IF(VACnom&gt;Vbat, Table7[[#This Row],[PRR (mW) C]]+Table7[[#This Row],[Pdead (mW) C]]+Table7[[#This Row],[Pgate_bottom (mW) C]], Table7[[#This Row],[PIV (mW) C]]+Table7[[#This Row],[PQoss (mW) C]]+Table7[[#This Row],[Pgate_bottom (mW) C]])</f>
        <v>#REF!</v>
      </c>
      <c r="BY214" s="152" t="e">
        <f aca="false">Table7[[#This Row],[Pcon_bottom (mW) C]]+Table7[[#This Row],[Psw_bottom (mV) C]]</f>
        <v>#REF!</v>
      </c>
      <c r="BZ214" s="152" t="e">
        <f aca="false">Table7[[#This Row],[Pbottom (mW) C]]+Table7[[#This Row],[Ptop (mW) C]]</f>
        <v>#REF!</v>
      </c>
      <c r="CA214" s="156"/>
      <c r="CB214" s="151" t="n">
        <f aca="false">(RAC_SNS*10^-3*(Table7[[#This Row],[IOUT (A)]]*Vbat/VACnom)^2/10^-3)</f>
        <v>185.4405</v>
      </c>
      <c r="CC214" s="151" t="n">
        <f aca="false">(RBAT_SNS*10^-3*Table7[[#This Row],[IOUT (A)]]^2)/10^-3</f>
        <v>168.2</v>
      </c>
      <c r="CD214" s="151" t="n">
        <f aca="false">IF(VACnom&gt;Vbat,(L_DRC*10^-3*(Table7[[#This Row],[IOUT (A)]])^2/10^-3),(L_DRC*10^-3*(Table7[[#This Row],[IOUT (A)]]*Vbat/VACnom)^2/10^-3))</f>
        <v>445.0572</v>
      </c>
      <c r="CE214" s="157"/>
      <c r="CF214" s="152" t="n">
        <f aca="false">(Table7[[#This Row],[R_AC (mW)]]+Table7[[#This Row],[R_SR (mW)]]+Table7[[#This Row],[Inductor Loss (mW)]])/10^3</f>
        <v>0.7986977</v>
      </c>
      <c r="CG214" s="152" t="e">
        <f aca="false">Table7[[#This Row],[Total TI (mW)]]/10^3</f>
        <v>#REF!</v>
      </c>
      <c r="CH214" s="152" t="e">
        <f aca="false">Table7[[#This Row],[Total Sense Loss]]+Table7[[#This Row],[Total MOSFET Loss]]</f>
        <v>#REF!</v>
      </c>
      <c r="CI214" s="158" t="e">
        <f aca="false">IF(Table7[[#This Row],[POUT (W)]]=0,0,(Table7[[#This Row],[POUT (W)]])/(Table7[[#This Row],[POUT (W)]]+Table7[[#This Row],[Total Power Loss (W)]]))*100</f>
        <v>#REF!</v>
      </c>
      <c r="CJ214" s="159"/>
      <c r="CK214" s="152" t="n">
        <f aca="false">(Table7[[#This Row],[R_AC (mW)]]+Table7[[#This Row],[R_SR (mW)]]+Table7[[#This Row],[Inductor Loss (mW)]])/10^3</f>
        <v>0.7986977</v>
      </c>
      <c r="CL214" s="152" t="e">
        <f aca="false">Table7[[#This Row],[Total (mW) C]]/10^3</f>
        <v>#REF!</v>
      </c>
      <c r="CM214" s="152" t="e">
        <f aca="false">Table7[[#This Row],[Total Sense Loss C]]+Table7[[#This Row],[Total MOSFET Loss C]]</f>
        <v>#REF!</v>
      </c>
      <c r="CN214" s="158" t="e">
        <f aca="false">IF(Table7[[#This Row],[POUT (W)]]=0,0,(Table7[[#This Row],[POUT (W)]])/(Table7[[#This Row],[POUT (W)]]+Table7[[#This Row],[Total Power Loss (W) C]]))*100</f>
        <v>#REF!</v>
      </c>
      <c r="CO214" s="159"/>
      <c r="CP214" s="158" t="n">
        <f aca="false">IF(MOSFET_S=Custom_MOSFET,Table7[[#This Row],[Total Sense Loss C]],Table7[[#This Row],[Total Sense Loss]])</f>
        <v>0.7986977</v>
      </c>
      <c r="CQ214" s="158" t="e">
        <f aca="false">IF(MOSFET_S=Custom_MOSFET,Table7[[#This Row],[Total MOSFET Loss C]],Table7[[#This Row],[Total MOSFET Loss]])</f>
        <v>#REF!</v>
      </c>
      <c r="CR214" s="158" t="e">
        <f aca="false">IF(MOSFET_S=Custom_MOSFET,Table7[[#This Row],[Efficiency C]],Table7[[#This Row],[Efficiency]])</f>
        <v>#REF!</v>
      </c>
      <c r="CS214" s="159"/>
      <c r="CT214" s="158" t="n">
        <f aca="false">IF(MOSFET_S=Compare_MOSFET, Table7[[#This Row],[Total Sense Loss C]], -100)</f>
        <v>-100</v>
      </c>
      <c r="CU214" s="158" t="n">
        <f aca="false">IF(MOSFET_S=Compare_MOSFET, Table7[[#This Row],[Total MOSFET Loss C]], -100)</f>
        <v>-100</v>
      </c>
      <c r="CV214" s="158" t="n">
        <f aca="false">IF(MOSFET_S=Compare_MOSFET, Table7[[#This Row],[Efficiency C]], -100)</f>
        <v>-100</v>
      </c>
      <c r="CW214" s="159"/>
      <c r="CX214" s="158" t="e">
        <f aca="false">IF(Save_Sel=CLR_Save,  Table7[[#This Row],[Total Sense Loss P1]], Table7[[#This Row],[Total Sense Loss P1 Saved]])</f>
        <v>#VALUE!</v>
      </c>
      <c r="CY214" s="158" t="e">
        <f aca="false">IF(Save_Sel=CLR_Save,  Table7[[#This Row],[Total MOSFET Loss P1]], Table7[[#This Row],[Total MOSFET Loss P1 Saved]] )</f>
        <v>#VALUE!</v>
      </c>
      <c r="CZ214" s="158" t="e">
        <f aca="false">IF(Save_Sel=CLR_Save, Table7[[#This Row],[Efficiency P1]], Table7[[#This Row],[Efficiency P1 Saved]])</f>
        <v>#VALUE!</v>
      </c>
      <c r="DA214" s="159"/>
      <c r="DB214" s="158" t="e">
        <f aca="false">IF(Save_Sel=CLR_Save,  Table7[[#This Row],[Total Sense Loss P2]], Table7[[#This Row],[Total Sense Loss P2 Saved]])</f>
        <v>#VALUE!</v>
      </c>
      <c r="DC214" s="158" t="e">
        <f aca="false">IF(Save_Sel=CLR_Save,  Table7[[#This Row],[Total MOSFET Loss P2]], Table7[[#This Row],[Total MOSFET Loss P2 Saved]] )</f>
        <v>#VALUE!</v>
      </c>
      <c r="DD214" s="158" t="e">
        <f aca="false">IF(Save_Sel=CLR_Save, Table7[[#This Row],[Efficiency P2]], Table7[[#This Row],[Efficiency P2 Saved]])</f>
        <v>#VALUE!</v>
      </c>
      <c r="DE214" s="159"/>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row>
    <row r="215" customFormat="false" ht="16.4" hidden="false" customHeight="false" outlineLevel="0" collapsed="false">
      <c r="A215" s="28"/>
      <c r="B215" s="84"/>
      <c r="C215" s="84"/>
      <c r="D215" s="28"/>
      <c r="E215" s="168"/>
      <c r="F215" s="168"/>
      <c r="G215" s="84"/>
      <c r="H215" s="24"/>
      <c r="I215" s="24"/>
      <c r="J215" s="24"/>
      <c r="K215" s="24"/>
      <c r="L215" s="24"/>
      <c r="M215" s="24"/>
      <c r="N215" s="24"/>
      <c r="O215" s="24"/>
      <c r="P215" s="24"/>
      <c r="Q215" s="24"/>
      <c r="R215" s="24"/>
      <c r="S215" s="25"/>
      <c r="T215" s="6"/>
      <c r="U215" s="7"/>
      <c r="V215" s="7"/>
      <c r="W215" s="7"/>
      <c r="X215" s="7"/>
      <c r="Y215" s="7"/>
      <c r="Z215" s="7"/>
      <c r="AA215" s="7"/>
      <c r="AB215" s="7"/>
      <c r="AC215" s="7"/>
      <c r="AD215" s="7"/>
      <c r="AE215" s="7"/>
      <c r="AF215" s="150" t="n">
        <f aca="false">AF214+1</f>
        <v>59</v>
      </c>
      <c r="AG215" s="150" t="n">
        <f aca="false">$AG$156+AF215*($AG$256-$AG$156)/$AF$256</f>
        <v>5.9</v>
      </c>
      <c r="AH215" s="151" t="n">
        <f aca="false">AG215*VACnom</f>
        <v>70.8</v>
      </c>
      <c r="AI215" s="152" t="n">
        <f aca="false">IF(VACnom&lt;Vbat, (Vbat-VACnom)/Vbat, Vbat/VACnom)</f>
        <v>0.0476190476190476</v>
      </c>
      <c r="AJ215" s="152" t="n">
        <f aca="false">IF(VACnom&lt;Vbat, AG215/(1-AI215), AG215*AI215)</f>
        <v>6.195</v>
      </c>
      <c r="AK215" s="152" t="n">
        <f aca="false">Ipkpk_VACnom</f>
        <v>0.285714285714285</v>
      </c>
      <c r="AL215" s="152" t="n">
        <f aca="false">SQRT(AJ215^2+AK215^2/12)</f>
        <v>6.19554902499274</v>
      </c>
      <c r="AM215" s="153"/>
      <c r="AN215" s="152" t="n">
        <f aca="false">MAX(0,Table7[[#This Row],[I_L]]-0.5*Table7[[#This Row],[I_L pkpk]])</f>
        <v>6.05214285714286</v>
      </c>
      <c r="AO215" s="152" t="n">
        <f aca="false">Table7[[#This Row],[I_L]]+0.5*Table7[[#This Row],[I_L pkpk]]</f>
        <v>6.33785714285714</v>
      </c>
      <c r="AP215" s="152" t="e">
        <f aca="false">IF(VACnom&gt;Vbat, (VGS_S-(TI_MOSFET_S_VTH_H_BU+Table7[[#This Row],[I_L]]/TI_MOSFET_S_gFS_H_BU))/3.4, (VGS_S-(TI_MOSFET_S_VTH_L_BO+Table7[[#This Row],[I_L]]/TI_MOSFET_S_gFS_L_BO))/3.4 )</f>
        <v>#REF!</v>
      </c>
      <c r="AQ215" s="152" t="e">
        <f aca="false">IF(VACnom&gt;Vbat, ((TI_MOSFET_S_VTH_H_BU+Table7[[#This Row],[I_L]]/TI_MOSFET_S_gFS_H_BU))/1, ((TI_MOSFET_S_VTH_L_BO+Table7[[#This Row],[I_L]]/TI_MOSFET_S_gFS_L_BO))/1 )</f>
        <v>#REF!</v>
      </c>
      <c r="AR215" s="152" t="e">
        <f aca="false">IF(VACnom&gt;Vbat, (TI_MOSFET_S_QGD_H_BU+TI_MOSFET_S_QGS_H_BU)*10^-9/Table7[[#This Row],[Ion (A)]], (TI_MOSFET_S_QGD_L_BO+TI_MOSFET_S_QGS_L_BO)*10^-9/Table7[[#This Row],[Ion (A)]])/10^-9</f>
        <v>#REF!</v>
      </c>
      <c r="AS215" s="152" t="e">
        <f aca="false">IF(VACnom&gt;Vbat, (TI_MOSFET_S_QGD_H_BU+TI_MOSFET_S_QGS_H_BU)*10^-9/Table7[[#This Row],[Ioff (A)]], (TI_MOSFET_S_QGD_L_BO+TI_MOSFET_S_QGS_L_BO)*10^-9/Table7[[#This Row],[Ioff (A)]])/10^-9</f>
        <v>#REF!</v>
      </c>
      <c r="AT215" s="152" t="e">
        <f aca="false">0.5*VACnom*Table7[[#This Row],[Ivalley (A)]]*Table7[[#This Row],[ton (ns)]]*10^-9*Fsw*10^3+0.5*VACnom*Table7[[#This Row],[Ipeak (A)]]*Table7[[#This Row],[toff (ns)]]*10^-9*Fsw*10^3/10^-3</f>
        <v>#REF!</v>
      </c>
      <c r="AU215" s="152" t="e">
        <f aca="false">IF(VACnom&gt;Vbat, 0.5*VACnom*TI_MOSFET_S_QOSS_H_BU*10^-9*Fsw*10^3,0.5*VACnom*TI_MOSFET_S_QOSS_L_BO*10^-9*Fsw*10^3)/10^-3</f>
        <v>#REF!</v>
      </c>
      <c r="AV215" s="152" t="e">
        <f aca="false">IF(VACnom&gt;Vbat, VACnom*TI_MOSFET_S_QG_H_BU*10^-9*Fsw*10^3,VACnom*TI_MOSFET_S_QG_H_BO*10^-9*Fsw*10^3)/10^-3</f>
        <v>#REF!</v>
      </c>
      <c r="AW215" s="152" t="e">
        <f aca="false">IF(VACnom&gt;Vbat, VACnom*TI_MOSFET_S_QRR_L_BU*10^-9*Fsw*10^3, VACnom*TI_MOSFET_S_QRR_H_BO*10^-9*Fsw*10^3)/10^-3</f>
        <v>#REF!</v>
      </c>
      <c r="AX215" s="152" t="e">
        <f aca="false">IF(VACnom&gt;Vbat, TI_MOSFET_S_VSD_L_BU*Table7[[#This Row],[Ivalley (A)]]*Fsw*10^3*40*10^-9+TI_MOSFET_S_VSD_L_BU*Table7[[#This Row],[Ipeak (A)]]*Fsw*10^3*30*10^-9, TI_MOSFET_S_VSD_H_BO*Table7[[#This Row],[Ivalley (A)]]*Fsw*10^3*40*10^-9+TI_MOSFET_S_VSD_H_BO*Table7[[#This Row],[Ipeak (A)]]*Fsw*10^3*30*10^-9)/10^-3</f>
        <v>#REF!</v>
      </c>
      <c r="AY215" s="152" t="e">
        <f aca="false">IF(VACnom&gt;Vbat, VACnom*TI_MOSFET_S_QG_L_BU*10^-9*Fsw*10^3, VACnom*TI_MOSFET_S_QG_L_BO*10^-9*Fsw*10^3)/10^-3</f>
        <v>#REF!</v>
      </c>
      <c r="AZ215" s="152" t="e">
        <f aca="false">IF(VACnom&lt;Vbat, Table7[[#This Row],[Duty Cycle]]*Table7[[#This Row],[I_L RMS]]^2*TI_MOSFET_S_RDSON_H_BU*10^-3, (1-Table7[[#This Row],[Duty Cycle]])*Table7[[#This Row],[I_L RMS]]^2*TI_MOSFET_S_RDSON_H_BO*10^-3)/10^-3</f>
        <v>#REF!</v>
      </c>
      <c r="BA215" s="152" t="e">
        <f aca="false">IF(VACnom&gt;Vbat, Table7[[#This Row],[PIV (mW)]]+Table7[[#This Row],[Pqoss (mW)]]+Table7[[#This Row],[Pgate_top (mW)]], Table7[[#This Row],[PRR (mW)]]+Table7[[#This Row],[Pdead (mW)]]+Table7[[#This Row],[Pgate_top (mW)]])</f>
        <v>#REF!</v>
      </c>
      <c r="BB215" s="152" t="e">
        <f aca="false">Table7[[#This Row],[Pcon_top (mW)]]+Table7[[#This Row],[Psw_top (mW)]]</f>
        <v>#REF!</v>
      </c>
      <c r="BC215" s="152" t="e">
        <f aca="false">IF(VACnom&gt;Vbat, (1-Table7[[#This Row],[Duty Cycle]])*Table7[[#This Row],[I_L RMS]]^2*TI_MOSFET_S_RDSON_L_BU*10^-3, Table7[[#This Row],[Duty Cycle]]*Table7[[#This Row],[I_L RMS]]^2*TI_MOSFET_S_RDSON_L_BO*10^-3)/10^-3</f>
        <v>#REF!</v>
      </c>
      <c r="BD215" s="152" t="e">
        <f aca="false">IF(VACnom&gt;Vbat, Table7[[#This Row],[PRR (mW)]]+Table7[[#This Row],[Pdead (mW)]]+Table7[[#This Row],[Pgate_bottom (mW)]], Table7[[#This Row],[PIV (mW)]]+Table7[[#This Row],[Pqoss (mW)]]+Table7[[#This Row],[Pgate_bottom (mW)]])</f>
        <v>#REF!</v>
      </c>
      <c r="BE215" s="154" t="e">
        <f aca="false">Table7[[#This Row],[Pcon_bottom (mW)]]+Table7[[#This Row],[Psw_bottom (mW)]]</f>
        <v>#REF!</v>
      </c>
      <c r="BF215" s="152" t="e">
        <f aca="false">Table7[[#This Row],[Pbottom (mW)]]+Table7[[#This Row],[Ptop (mW)]]</f>
        <v>#REF!</v>
      </c>
      <c r="BG215" s="155"/>
      <c r="BH215" s="152" t="n">
        <f aca="false">MAX(0,Table7[[#This Row],[I_L]]-0.5*Table7[[#This Row],[I_L pkpk]])</f>
        <v>6.05214285714286</v>
      </c>
      <c r="BI215" s="152" t="n">
        <f aca="false">Table7[[#This Row],[I_L]]+0.5*Table7[[#This Row],[I_L pkpk]]</f>
        <v>6.33785714285714</v>
      </c>
      <c r="BJ215" s="152" t="n">
        <f aca="false">IF(VACnom&gt;Vbat, (VGS_S-(C_MOSFET_S_VTH_H_BU+Table7[[#This Row],[I_L]]/C_MOSFET_S_gFS_H_BU))/3.4, (VGS_S-(C_MOSFET_S_VTH_L_BO+Table7[[#This Row],[I_L]]/C_MOSFET_S_gFS_L_BO))/3.4 )</f>
        <v>2.34079411764706</v>
      </c>
      <c r="BK215" s="152" t="n">
        <f aca="false">IF(VACnom&gt;Vbat, ((C_MOSFET_S_VTH_H_BU+Table7[[#This Row],[I_L]]/C_MOSFET_S_gFS_H_BU))/1, ((C_MOSFET_S_VTH_L_BO+Table7[[#This Row],[I_L]]/C_MOSFET_S_gFS_L_BO))/1 )</f>
        <v>2.0413</v>
      </c>
      <c r="BL215" s="152" t="n">
        <f aca="false">IF(VACnom&gt;Vbat, (C_MOSFET_S_QGD_H_BU+C_MOSFET_S_QGS_H_BU)*10^-9/Table7[[#This Row],[Ion (A) C]], (C_MOSFET_S_QGD_L_BO+C_MOSFET_S_QGS_L_BO)*10^-9/Table7[[#This Row],[Ion (A) C]])/10^-9</f>
        <v>2.77683541281868</v>
      </c>
      <c r="BM215" s="152" t="n">
        <f aca="false">IF(VACnom&gt;Vbat, (C_MOSFET_S_QGD_H_BU+C_MOSFET_S_QGS_H_BU)*10^-9/Table7[[#This Row],[Ioff (A) C]], (C_MOSFET_S_QGD_L_BO+C_MOSFET_S_QGS_L_BO)*10^-9/Table7[[#This Row],[Ioff (A) C]])/10^-9</f>
        <v>3.18424533385588</v>
      </c>
      <c r="BN215" s="152" t="n">
        <f aca="false">0.5*VACnom*Table7[[#This Row],[Ivalley (A) C]]*Table7[[#This Row],[ton (ns) C]]*10^-9*Fsw*10^3+0.5*VACnom*Table7[[#This Row],[Ipeak (A) C]]*Table7[[#This Row],[toff (ns) C]]*10^-9*Fsw*10^3/10^-3</f>
        <v>24.2377174060766</v>
      </c>
      <c r="BO215" s="152" t="n">
        <f aca="false">IF(VACnom&gt;Vbat, 0.5*VACnom*C_MOSFET_S_QOSS_H_BU*10^-9*Fsw*10^3,0.5*VACnom*C_MOSFET_S_QOSS_L_BO*10^-9*Fsw*10^3)/10^-3</f>
        <v>43.2</v>
      </c>
      <c r="BP215" s="152" t="e">
        <f aca="false">IF(VACnom&gt;Vbat, VACnom*C_MOSFET_S_QG_H_BU*10^-9*Fsw*10^3,VACnom*C_MOSFET_S_QG_H_BO*10^-9*Fsw*10^3)/10^-3</f>
        <v>#REF!</v>
      </c>
      <c r="BQ215" s="152" t="n">
        <f aca="false">IF(VACnom&gt;Vbat, VACnom*C_MOSFET_S_QRR_L_BU*10^-9*Fsw*10^3, VACnom*C_MOSFET_S_QRR_H_BO*10^-9*Fsw*10^3)/10^-3</f>
        <v>79.2</v>
      </c>
      <c r="BR215" s="152" t="n">
        <f aca="false">IF(VACnom&gt;Vbat, C_MOSFET_S_VSD_L_BU*Table7[[#This Row],[Ivalley (A) C]]*Fsw*10^3*40*10^-9+C_MOSFET_S_VSD_L_BU*Table7[[#This Row],[Ipeak (A) C]]*Fsw*10^3*30*10^-9, C_MOSFET_S_VSD_H_BO*Table7[[#This Row],[Ivalley (A) C]]*Fsw*10^3*40*10^-9+C_MOSFET_S_VSD_H_BO*Table7[[#This Row],[Ipeak (A) C]]*Fsw*10^3*30*10^-9)/10^-3</f>
        <v>69.1554285714286</v>
      </c>
      <c r="BS215" s="152" t="e">
        <f aca="false">IF(VACnom&gt;Vbat, VACnom*C_MOSFET_S_QG_L_BU*10^-9*Fsw*10^3, VACnom*C_MOSFET_S_QG_L_BO*10^-9*Fsw*10^3)/10^-3</f>
        <v>#REF!</v>
      </c>
      <c r="BT215" s="152" t="n">
        <f aca="false">IF(VACnom&lt;Vbat, Table7[[#This Row],[Duty Cycle]]*Table7[[#This Row],[I_L RMS]]^2*C_MOSFET_S_RDSON_H_BU*10^-3, (1-Table7[[#This Row],[Duty Cycle]])*Table7[[#This Row],[I_L RMS]]^2*C_MOSFET_S_RDSON_H_BO*10^-3)/10^-3</f>
        <v>10.4187389528669</v>
      </c>
      <c r="BU215" s="152" t="e">
        <f aca="false">IF(VACnom&gt;Vbat, Table7[[#This Row],[PIV (mW) C]]+Table7[[#This Row],[PQoss (mW) C]]+Table7[[#This Row],[Pgate_top (mW) C]], Table7[[#This Row],[PRR (mW) C]]+Table7[[#This Row],[Pdead (mW) C]]+Table7[[#This Row],[Pgate_top (mW) C]])</f>
        <v>#REF!</v>
      </c>
      <c r="BV215" s="152" t="e">
        <f aca="false">Table7[[#This Row],[Pcon_top (mW) C]]+Table7[[#This Row],[Psw_top (mW) C]]</f>
        <v>#REF!</v>
      </c>
      <c r="BW215" s="152" t="e">
        <f aca="false">IF(VACnom&gt;Vbat, (1-Table7[[#This Row],[Duty Cycle]])*Table7[[#This Row],[I_L RMS]]^2*C_MOSFET_S_RDSON_L_BU*10^-3, Table7[[#This Row],[Duty Cycle]]*Table7[[#This Row],[I_L RMS]]^2*C_MOSFET_S_RDSON_L_BO*10^-3)/10^-3</f>
        <v>#REF!</v>
      </c>
      <c r="BX215" s="152" t="e">
        <f aca="false">IF(VACnom&gt;Vbat, Table7[[#This Row],[PRR (mW) C]]+Table7[[#This Row],[Pdead (mW) C]]+Table7[[#This Row],[Pgate_bottom (mW) C]], Table7[[#This Row],[PIV (mW) C]]+Table7[[#This Row],[PQoss (mW) C]]+Table7[[#This Row],[Pgate_bottom (mW) C]])</f>
        <v>#REF!</v>
      </c>
      <c r="BY215" s="152" t="e">
        <f aca="false">Table7[[#This Row],[Pcon_bottom (mW) C]]+Table7[[#This Row],[Psw_bottom (mV) C]]</f>
        <v>#REF!</v>
      </c>
      <c r="BZ215" s="152" t="e">
        <f aca="false">Table7[[#This Row],[Pbottom (mW) C]]+Table7[[#This Row],[Ptop (mW) C]]</f>
        <v>#REF!</v>
      </c>
      <c r="CA215" s="156"/>
      <c r="CB215" s="151" t="n">
        <f aca="false">(RAC_SNS*10^-3*(Table7[[#This Row],[IOUT (A)]]*Vbat/VACnom)^2/10^-3)</f>
        <v>191.890125</v>
      </c>
      <c r="CC215" s="151" t="n">
        <f aca="false">(RBAT_SNS*10^-3*Table7[[#This Row],[IOUT (A)]]^2)/10^-3</f>
        <v>174.05</v>
      </c>
      <c r="CD215" s="151" t="n">
        <f aca="false">IF(VACnom&gt;Vbat,(L_DRC*10^-3*(Table7[[#This Row],[IOUT (A)]])^2/10^-3),(L_DRC*10^-3*(Table7[[#This Row],[IOUT (A)]]*Vbat/VACnom)^2/10^-3))</f>
        <v>460.5363</v>
      </c>
      <c r="CE215" s="157"/>
      <c r="CF215" s="152" t="n">
        <f aca="false">(Table7[[#This Row],[R_AC (mW)]]+Table7[[#This Row],[R_SR (mW)]]+Table7[[#This Row],[Inductor Loss (mW)]])/10^3</f>
        <v>0.826476425</v>
      </c>
      <c r="CG215" s="152" t="e">
        <f aca="false">Table7[[#This Row],[Total TI (mW)]]/10^3</f>
        <v>#REF!</v>
      </c>
      <c r="CH215" s="152" t="e">
        <f aca="false">Table7[[#This Row],[Total Sense Loss]]+Table7[[#This Row],[Total MOSFET Loss]]</f>
        <v>#REF!</v>
      </c>
      <c r="CI215" s="158" t="e">
        <f aca="false">IF(Table7[[#This Row],[POUT (W)]]=0,0,(Table7[[#This Row],[POUT (W)]])/(Table7[[#This Row],[POUT (W)]]+Table7[[#This Row],[Total Power Loss (W)]]))*100</f>
        <v>#REF!</v>
      </c>
      <c r="CJ215" s="159"/>
      <c r="CK215" s="152" t="n">
        <f aca="false">(Table7[[#This Row],[R_AC (mW)]]+Table7[[#This Row],[R_SR (mW)]]+Table7[[#This Row],[Inductor Loss (mW)]])/10^3</f>
        <v>0.826476425</v>
      </c>
      <c r="CL215" s="152" t="e">
        <f aca="false">Table7[[#This Row],[Total (mW) C]]/10^3</f>
        <v>#REF!</v>
      </c>
      <c r="CM215" s="152" t="e">
        <f aca="false">Table7[[#This Row],[Total Sense Loss C]]+Table7[[#This Row],[Total MOSFET Loss C]]</f>
        <v>#REF!</v>
      </c>
      <c r="CN215" s="158" t="e">
        <f aca="false">IF(Table7[[#This Row],[POUT (W)]]=0,0,(Table7[[#This Row],[POUT (W)]])/(Table7[[#This Row],[POUT (W)]]+Table7[[#This Row],[Total Power Loss (W) C]]))*100</f>
        <v>#REF!</v>
      </c>
      <c r="CO215" s="159"/>
      <c r="CP215" s="158" t="n">
        <f aca="false">IF(MOSFET_S=Custom_MOSFET,Table7[[#This Row],[Total Sense Loss C]],Table7[[#This Row],[Total Sense Loss]])</f>
        <v>0.826476425</v>
      </c>
      <c r="CQ215" s="158" t="e">
        <f aca="false">IF(MOSFET_S=Custom_MOSFET,Table7[[#This Row],[Total MOSFET Loss C]],Table7[[#This Row],[Total MOSFET Loss]])</f>
        <v>#REF!</v>
      </c>
      <c r="CR215" s="158" t="e">
        <f aca="false">IF(MOSFET_S=Custom_MOSFET,Table7[[#This Row],[Efficiency C]],Table7[[#This Row],[Efficiency]])</f>
        <v>#REF!</v>
      </c>
      <c r="CS215" s="159"/>
      <c r="CT215" s="158" t="n">
        <f aca="false">IF(MOSFET_S=Compare_MOSFET, Table7[[#This Row],[Total Sense Loss C]], -100)</f>
        <v>-100</v>
      </c>
      <c r="CU215" s="158" t="n">
        <f aca="false">IF(MOSFET_S=Compare_MOSFET, Table7[[#This Row],[Total MOSFET Loss C]], -100)</f>
        <v>-100</v>
      </c>
      <c r="CV215" s="158" t="n">
        <f aca="false">IF(MOSFET_S=Compare_MOSFET, Table7[[#This Row],[Efficiency C]], -100)</f>
        <v>-100</v>
      </c>
      <c r="CW215" s="159"/>
      <c r="CX215" s="158" t="e">
        <f aca="false">IF(Save_Sel=CLR_Save,  Table7[[#This Row],[Total Sense Loss P1]], Table7[[#This Row],[Total Sense Loss P1 Saved]])</f>
        <v>#VALUE!</v>
      </c>
      <c r="CY215" s="158" t="e">
        <f aca="false">IF(Save_Sel=CLR_Save,  Table7[[#This Row],[Total MOSFET Loss P1]], Table7[[#This Row],[Total MOSFET Loss P1 Saved]] )</f>
        <v>#VALUE!</v>
      </c>
      <c r="CZ215" s="158" t="e">
        <f aca="false">IF(Save_Sel=CLR_Save, Table7[[#This Row],[Efficiency P1]], Table7[[#This Row],[Efficiency P1 Saved]])</f>
        <v>#VALUE!</v>
      </c>
      <c r="DA215" s="159"/>
      <c r="DB215" s="158" t="e">
        <f aca="false">IF(Save_Sel=CLR_Save,  Table7[[#This Row],[Total Sense Loss P2]], Table7[[#This Row],[Total Sense Loss P2 Saved]])</f>
        <v>#VALUE!</v>
      </c>
      <c r="DC215" s="158" t="e">
        <f aca="false">IF(Save_Sel=CLR_Save,  Table7[[#This Row],[Total MOSFET Loss P2]], Table7[[#This Row],[Total MOSFET Loss P2 Saved]] )</f>
        <v>#VALUE!</v>
      </c>
      <c r="DD215" s="158" t="e">
        <f aca="false">IF(Save_Sel=CLR_Save, Table7[[#This Row],[Efficiency P2]], Table7[[#This Row],[Efficiency P2 Saved]])</f>
        <v>#VALUE!</v>
      </c>
      <c r="DE215" s="159"/>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row>
    <row r="216" customFormat="false" ht="16.4" hidden="false" customHeight="false" outlineLevel="0" collapsed="false">
      <c r="A216" s="28"/>
      <c r="B216" s="84"/>
      <c r="C216" s="84"/>
      <c r="D216" s="28"/>
      <c r="E216" s="168"/>
      <c r="F216" s="168"/>
      <c r="G216" s="84"/>
      <c r="H216" s="24"/>
      <c r="I216" s="24"/>
      <c r="J216" s="24"/>
      <c r="K216" s="24"/>
      <c r="L216" s="24"/>
      <c r="M216" s="24"/>
      <c r="N216" s="24"/>
      <c r="O216" s="24"/>
      <c r="P216" s="24"/>
      <c r="Q216" s="24"/>
      <c r="R216" s="24"/>
      <c r="S216" s="25"/>
      <c r="T216" s="6"/>
      <c r="U216" s="7"/>
      <c r="V216" s="7"/>
      <c r="W216" s="7"/>
      <c r="X216" s="7"/>
      <c r="Y216" s="7"/>
      <c r="Z216" s="7"/>
      <c r="AA216" s="7"/>
      <c r="AB216" s="7"/>
      <c r="AC216" s="7"/>
      <c r="AD216" s="7"/>
      <c r="AE216" s="7"/>
      <c r="AF216" s="150" t="n">
        <f aca="false">AF215+1</f>
        <v>60</v>
      </c>
      <c r="AG216" s="150" t="n">
        <f aca="false">$AG$156+AF216*($AG$256-$AG$156)/$AF$256</f>
        <v>6</v>
      </c>
      <c r="AH216" s="151" t="n">
        <f aca="false">AG216*VACnom</f>
        <v>72</v>
      </c>
      <c r="AI216" s="152" t="n">
        <f aca="false">IF(VACnom&lt;Vbat, (Vbat-VACnom)/Vbat, Vbat/VACnom)</f>
        <v>0.0476190476190476</v>
      </c>
      <c r="AJ216" s="152" t="n">
        <f aca="false">IF(VACnom&lt;Vbat, AG216/(1-AI216), AG216*AI216)</f>
        <v>6.3</v>
      </c>
      <c r="AK216" s="152" t="n">
        <f aca="false">Ipkpk_VACnom</f>
        <v>0.285714285714285</v>
      </c>
      <c r="AL216" s="152" t="n">
        <f aca="false">SQRT(AJ216^2+AK216^2/12)</f>
        <v>6.30053987536691</v>
      </c>
      <c r="AM216" s="153"/>
      <c r="AN216" s="152" t="n">
        <f aca="false">MAX(0,Table7[[#This Row],[I_L]]-0.5*Table7[[#This Row],[I_L pkpk]])</f>
        <v>6.15714285714286</v>
      </c>
      <c r="AO216" s="152" t="n">
        <f aca="false">Table7[[#This Row],[I_L]]+0.5*Table7[[#This Row],[I_L pkpk]]</f>
        <v>6.44285714285714</v>
      </c>
      <c r="AP216" s="152" t="e">
        <f aca="false">IF(VACnom&gt;Vbat, (VGS_S-(TI_MOSFET_S_VTH_H_BU+Table7[[#This Row],[I_L]]/TI_MOSFET_S_gFS_H_BU))/3.4, (VGS_S-(TI_MOSFET_S_VTH_L_BO+Table7[[#This Row],[I_L]]/TI_MOSFET_S_gFS_L_BO))/3.4 )</f>
        <v>#REF!</v>
      </c>
      <c r="AQ216" s="152" t="e">
        <f aca="false">IF(VACnom&gt;Vbat, ((TI_MOSFET_S_VTH_H_BU+Table7[[#This Row],[I_L]]/TI_MOSFET_S_gFS_H_BU))/1, ((TI_MOSFET_S_VTH_L_BO+Table7[[#This Row],[I_L]]/TI_MOSFET_S_gFS_L_BO))/1 )</f>
        <v>#REF!</v>
      </c>
      <c r="AR216" s="152" t="e">
        <f aca="false">IF(VACnom&gt;Vbat, (TI_MOSFET_S_QGD_H_BU+TI_MOSFET_S_QGS_H_BU)*10^-9/Table7[[#This Row],[Ion (A)]], (TI_MOSFET_S_QGD_L_BO+TI_MOSFET_S_QGS_L_BO)*10^-9/Table7[[#This Row],[Ion (A)]])/10^-9</f>
        <v>#REF!</v>
      </c>
      <c r="AS216" s="152" t="e">
        <f aca="false">IF(VACnom&gt;Vbat, (TI_MOSFET_S_QGD_H_BU+TI_MOSFET_S_QGS_H_BU)*10^-9/Table7[[#This Row],[Ioff (A)]], (TI_MOSFET_S_QGD_L_BO+TI_MOSFET_S_QGS_L_BO)*10^-9/Table7[[#This Row],[Ioff (A)]])/10^-9</f>
        <v>#REF!</v>
      </c>
      <c r="AT216" s="152" t="e">
        <f aca="false">0.5*VACnom*Table7[[#This Row],[Ivalley (A)]]*Table7[[#This Row],[ton (ns)]]*10^-9*Fsw*10^3+0.5*VACnom*Table7[[#This Row],[Ipeak (A)]]*Table7[[#This Row],[toff (ns)]]*10^-9*Fsw*10^3/10^-3</f>
        <v>#REF!</v>
      </c>
      <c r="AU216" s="152" t="e">
        <f aca="false">IF(VACnom&gt;Vbat, 0.5*VACnom*TI_MOSFET_S_QOSS_H_BU*10^-9*Fsw*10^3,0.5*VACnom*TI_MOSFET_S_QOSS_L_BO*10^-9*Fsw*10^3)/10^-3</f>
        <v>#REF!</v>
      </c>
      <c r="AV216" s="152" t="e">
        <f aca="false">IF(VACnom&gt;Vbat, VACnom*TI_MOSFET_S_QG_H_BU*10^-9*Fsw*10^3,VACnom*TI_MOSFET_S_QG_H_BO*10^-9*Fsw*10^3)/10^-3</f>
        <v>#REF!</v>
      </c>
      <c r="AW216" s="152" t="e">
        <f aca="false">IF(VACnom&gt;Vbat, VACnom*TI_MOSFET_S_QRR_L_BU*10^-9*Fsw*10^3, VACnom*TI_MOSFET_S_QRR_H_BO*10^-9*Fsw*10^3)/10^-3</f>
        <v>#REF!</v>
      </c>
      <c r="AX216" s="152" t="e">
        <f aca="false">IF(VACnom&gt;Vbat, TI_MOSFET_S_VSD_L_BU*Table7[[#This Row],[Ivalley (A)]]*Fsw*10^3*40*10^-9+TI_MOSFET_S_VSD_L_BU*Table7[[#This Row],[Ipeak (A)]]*Fsw*10^3*30*10^-9, TI_MOSFET_S_VSD_H_BO*Table7[[#This Row],[Ivalley (A)]]*Fsw*10^3*40*10^-9+TI_MOSFET_S_VSD_H_BO*Table7[[#This Row],[Ipeak (A)]]*Fsw*10^3*30*10^-9)/10^-3</f>
        <v>#REF!</v>
      </c>
      <c r="AY216" s="152" t="e">
        <f aca="false">IF(VACnom&gt;Vbat, VACnom*TI_MOSFET_S_QG_L_BU*10^-9*Fsw*10^3, VACnom*TI_MOSFET_S_QG_L_BO*10^-9*Fsw*10^3)/10^-3</f>
        <v>#REF!</v>
      </c>
      <c r="AZ216" s="152" t="e">
        <f aca="false">IF(VACnom&lt;Vbat, Table7[[#This Row],[Duty Cycle]]*Table7[[#This Row],[I_L RMS]]^2*TI_MOSFET_S_RDSON_H_BU*10^-3, (1-Table7[[#This Row],[Duty Cycle]])*Table7[[#This Row],[I_L RMS]]^2*TI_MOSFET_S_RDSON_H_BO*10^-3)/10^-3</f>
        <v>#REF!</v>
      </c>
      <c r="BA216" s="152" t="e">
        <f aca="false">IF(VACnom&gt;Vbat, Table7[[#This Row],[PIV (mW)]]+Table7[[#This Row],[Pqoss (mW)]]+Table7[[#This Row],[Pgate_top (mW)]], Table7[[#This Row],[PRR (mW)]]+Table7[[#This Row],[Pdead (mW)]]+Table7[[#This Row],[Pgate_top (mW)]])</f>
        <v>#REF!</v>
      </c>
      <c r="BB216" s="152" t="e">
        <f aca="false">Table7[[#This Row],[Pcon_top (mW)]]+Table7[[#This Row],[Psw_top (mW)]]</f>
        <v>#REF!</v>
      </c>
      <c r="BC216" s="152" t="e">
        <f aca="false">IF(VACnom&gt;Vbat, (1-Table7[[#This Row],[Duty Cycle]])*Table7[[#This Row],[I_L RMS]]^2*TI_MOSFET_S_RDSON_L_BU*10^-3, Table7[[#This Row],[Duty Cycle]]*Table7[[#This Row],[I_L RMS]]^2*TI_MOSFET_S_RDSON_L_BO*10^-3)/10^-3</f>
        <v>#REF!</v>
      </c>
      <c r="BD216" s="152" t="e">
        <f aca="false">IF(VACnom&gt;Vbat, Table7[[#This Row],[PRR (mW)]]+Table7[[#This Row],[Pdead (mW)]]+Table7[[#This Row],[Pgate_bottom (mW)]], Table7[[#This Row],[PIV (mW)]]+Table7[[#This Row],[Pqoss (mW)]]+Table7[[#This Row],[Pgate_bottom (mW)]])</f>
        <v>#REF!</v>
      </c>
      <c r="BE216" s="154" t="e">
        <f aca="false">Table7[[#This Row],[Pcon_bottom (mW)]]+Table7[[#This Row],[Psw_bottom (mW)]]</f>
        <v>#REF!</v>
      </c>
      <c r="BF216" s="152" t="e">
        <f aca="false">Table7[[#This Row],[Pbottom (mW)]]+Table7[[#This Row],[Ptop (mW)]]</f>
        <v>#REF!</v>
      </c>
      <c r="BG216" s="155"/>
      <c r="BH216" s="152" t="n">
        <f aca="false">MAX(0,Table7[[#This Row],[I_L]]-0.5*Table7[[#This Row],[I_L pkpk]])</f>
        <v>6.15714285714286</v>
      </c>
      <c r="BI216" s="152" t="n">
        <f aca="false">Table7[[#This Row],[I_L]]+0.5*Table7[[#This Row],[I_L pkpk]]</f>
        <v>6.44285714285714</v>
      </c>
      <c r="BJ216" s="152" t="n">
        <f aca="false">IF(VACnom&gt;Vbat, (VGS_S-(C_MOSFET_S_VTH_H_BU+Table7[[#This Row],[I_L]]/C_MOSFET_S_gFS_H_BU))/3.4, (VGS_S-(C_MOSFET_S_VTH_L_BO+Table7[[#This Row],[I_L]]/C_MOSFET_S_gFS_L_BO))/3.4 )</f>
        <v>2.34058823529412</v>
      </c>
      <c r="BK216" s="152" t="n">
        <f aca="false">IF(VACnom&gt;Vbat, ((C_MOSFET_S_VTH_H_BU+Table7[[#This Row],[I_L]]/C_MOSFET_S_gFS_H_BU))/1, ((C_MOSFET_S_VTH_L_BO+Table7[[#This Row],[I_L]]/C_MOSFET_S_gFS_L_BO))/1 )</f>
        <v>2.042</v>
      </c>
      <c r="BL216" s="152" t="n">
        <f aca="false">IF(VACnom&gt;Vbat, (C_MOSFET_S_QGD_H_BU+C_MOSFET_S_QGS_H_BU)*10^-9/Table7[[#This Row],[Ion (A) C]], (C_MOSFET_S_QGD_L_BO+C_MOSFET_S_QGS_L_BO)*10^-9/Table7[[#This Row],[Ion (A) C]])/10^-9</f>
        <v>2.77707966825836</v>
      </c>
      <c r="BM216" s="152" t="n">
        <f aca="false">IF(VACnom&gt;Vbat, (C_MOSFET_S_QGD_H_BU+C_MOSFET_S_QGS_H_BU)*10^-9/Table7[[#This Row],[Ioff (A) C]], (C_MOSFET_S_QGD_L_BO+C_MOSFET_S_QGS_L_BO)*10^-9/Table7[[#This Row],[Ioff (A) C]])/10^-9</f>
        <v>3.18315377081293</v>
      </c>
      <c r="BN216" s="152" t="n">
        <f aca="false">0.5*VACnom*Table7[[#This Row],[Ivalley (A) C]]*Table7[[#This Row],[ton (ns) C]]*10^-9*Fsw*10^3+0.5*VACnom*Table7[[#This Row],[Ipeak (A) C]]*Table7[[#This Row],[toff (ns) C]]*10^-9*Fsw*10^3/10^-3</f>
        <v>24.6308446624054</v>
      </c>
      <c r="BO216" s="152" t="n">
        <f aca="false">IF(VACnom&gt;Vbat, 0.5*VACnom*C_MOSFET_S_QOSS_H_BU*10^-9*Fsw*10^3,0.5*VACnom*C_MOSFET_S_QOSS_L_BO*10^-9*Fsw*10^3)/10^-3</f>
        <v>43.2</v>
      </c>
      <c r="BP216" s="152" t="e">
        <f aca="false">IF(VACnom&gt;Vbat, VACnom*C_MOSFET_S_QG_H_BU*10^-9*Fsw*10^3,VACnom*C_MOSFET_S_QG_H_BO*10^-9*Fsw*10^3)/10^-3</f>
        <v>#REF!</v>
      </c>
      <c r="BQ216" s="152" t="n">
        <f aca="false">IF(VACnom&gt;Vbat, VACnom*C_MOSFET_S_QRR_L_BU*10^-9*Fsw*10^3, VACnom*C_MOSFET_S_QRR_H_BO*10^-9*Fsw*10^3)/10^-3</f>
        <v>79.2</v>
      </c>
      <c r="BR216" s="152" t="n">
        <f aca="false">IF(VACnom&gt;Vbat, C_MOSFET_S_VSD_L_BU*Table7[[#This Row],[Ivalley (A) C]]*Fsw*10^3*40*10^-9+C_MOSFET_S_VSD_L_BU*Table7[[#This Row],[Ipeak (A) C]]*Fsw*10^3*30*10^-9, C_MOSFET_S_VSD_H_BO*Table7[[#This Row],[Ivalley (A) C]]*Fsw*10^3*40*10^-9+C_MOSFET_S_VSD_H_BO*Table7[[#This Row],[Ipeak (A) C]]*Fsw*10^3*30*10^-9)/10^-3</f>
        <v>70.3314285714286</v>
      </c>
      <c r="BS216" s="152" t="e">
        <f aca="false">IF(VACnom&gt;Vbat, VACnom*C_MOSFET_S_QG_L_BU*10^-9*Fsw*10^3, VACnom*C_MOSFET_S_QG_L_BO*10^-9*Fsw*10^3)/10^-3</f>
        <v>#REF!</v>
      </c>
      <c r="BT216" s="152" t="n">
        <f aca="false">IF(VACnom&lt;Vbat, Table7[[#This Row],[Duty Cycle]]*Table7[[#This Row],[I_L RMS]]^2*C_MOSFET_S_RDSON_H_BU*10^-3, (1-Table7[[#This Row],[Duty Cycle]])*Table7[[#This Row],[I_L RMS]]^2*C_MOSFET_S_RDSON_H_BO*10^-3)/10^-3</f>
        <v>10.7748464528669</v>
      </c>
      <c r="BU216" s="152" t="e">
        <f aca="false">IF(VACnom&gt;Vbat, Table7[[#This Row],[PIV (mW) C]]+Table7[[#This Row],[PQoss (mW) C]]+Table7[[#This Row],[Pgate_top (mW) C]], Table7[[#This Row],[PRR (mW) C]]+Table7[[#This Row],[Pdead (mW) C]]+Table7[[#This Row],[Pgate_top (mW) C]])</f>
        <v>#REF!</v>
      </c>
      <c r="BV216" s="152" t="e">
        <f aca="false">Table7[[#This Row],[Pcon_top (mW) C]]+Table7[[#This Row],[Psw_top (mW) C]]</f>
        <v>#REF!</v>
      </c>
      <c r="BW216" s="152" t="e">
        <f aca="false">IF(VACnom&gt;Vbat, (1-Table7[[#This Row],[Duty Cycle]])*Table7[[#This Row],[I_L RMS]]^2*C_MOSFET_S_RDSON_L_BU*10^-3, Table7[[#This Row],[Duty Cycle]]*Table7[[#This Row],[I_L RMS]]^2*C_MOSFET_S_RDSON_L_BO*10^-3)/10^-3</f>
        <v>#REF!</v>
      </c>
      <c r="BX216" s="152" t="e">
        <f aca="false">IF(VACnom&gt;Vbat, Table7[[#This Row],[PRR (mW) C]]+Table7[[#This Row],[Pdead (mW) C]]+Table7[[#This Row],[Pgate_bottom (mW) C]], Table7[[#This Row],[PIV (mW) C]]+Table7[[#This Row],[PQoss (mW) C]]+Table7[[#This Row],[Pgate_bottom (mW) C]])</f>
        <v>#REF!</v>
      </c>
      <c r="BY216" s="152" t="e">
        <f aca="false">Table7[[#This Row],[Pcon_bottom (mW) C]]+Table7[[#This Row],[Psw_bottom (mV) C]]</f>
        <v>#REF!</v>
      </c>
      <c r="BZ216" s="152" t="e">
        <f aca="false">Table7[[#This Row],[Pbottom (mW) C]]+Table7[[#This Row],[Ptop (mW) C]]</f>
        <v>#REF!</v>
      </c>
      <c r="CA216" s="156"/>
      <c r="CB216" s="151" t="n">
        <f aca="false">(RAC_SNS*10^-3*(Table7[[#This Row],[IOUT (A)]]*Vbat/VACnom)^2/10^-3)</f>
        <v>198.45</v>
      </c>
      <c r="CC216" s="151" t="n">
        <f aca="false">(RBAT_SNS*10^-3*Table7[[#This Row],[IOUT (A)]]^2)/10^-3</f>
        <v>180</v>
      </c>
      <c r="CD216" s="151" t="n">
        <f aca="false">IF(VACnom&gt;Vbat,(L_DRC*10^-3*(Table7[[#This Row],[IOUT (A)]])^2/10^-3),(L_DRC*10^-3*(Table7[[#This Row],[IOUT (A)]]*Vbat/VACnom)^2/10^-3))</f>
        <v>476.28</v>
      </c>
      <c r="CE216" s="157"/>
      <c r="CF216" s="152" t="n">
        <f aca="false">(Table7[[#This Row],[R_AC (mW)]]+Table7[[#This Row],[R_SR (mW)]]+Table7[[#This Row],[Inductor Loss (mW)]])/10^3</f>
        <v>0.85473</v>
      </c>
      <c r="CG216" s="152" t="e">
        <f aca="false">Table7[[#This Row],[Total TI (mW)]]/10^3</f>
        <v>#REF!</v>
      </c>
      <c r="CH216" s="152" t="e">
        <f aca="false">Table7[[#This Row],[Total Sense Loss]]+Table7[[#This Row],[Total MOSFET Loss]]</f>
        <v>#REF!</v>
      </c>
      <c r="CI216" s="158" t="e">
        <f aca="false">IF(Table7[[#This Row],[POUT (W)]]=0,0,(Table7[[#This Row],[POUT (W)]])/(Table7[[#This Row],[POUT (W)]]+Table7[[#This Row],[Total Power Loss (W)]]))*100</f>
        <v>#REF!</v>
      </c>
      <c r="CJ216" s="159"/>
      <c r="CK216" s="152" t="n">
        <f aca="false">(Table7[[#This Row],[R_AC (mW)]]+Table7[[#This Row],[R_SR (mW)]]+Table7[[#This Row],[Inductor Loss (mW)]])/10^3</f>
        <v>0.85473</v>
      </c>
      <c r="CL216" s="152" t="e">
        <f aca="false">Table7[[#This Row],[Total (mW) C]]/10^3</f>
        <v>#REF!</v>
      </c>
      <c r="CM216" s="152" t="e">
        <f aca="false">Table7[[#This Row],[Total Sense Loss C]]+Table7[[#This Row],[Total MOSFET Loss C]]</f>
        <v>#REF!</v>
      </c>
      <c r="CN216" s="158" t="e">
        <f aca="false">IF(Table7[[#This Row],[POUT (W)]]=0,0,(Table7[[#This Row],[POUT (W)]])/(Table7[[#This Row],[POUT (W)]]+Table7[[#This Row],[Total Power Loss (W) C]]))*100</f>
        <v>#REF!</v>
      </c>
      <c r="CO216" s="159"/>
      <c r="CP216" s="158" t="n">
        <f aca="false">IF(MOSFET_S=Custom_MOSFET,Table7[[#This Row],[Total Sense Loss C]],Table7[[#This Row],[Total Sense Loss]])</f>
        <v>0.85473</v>
      </c>
      <c r="CQ216" s="158" t="e">
        <f aca="false">IF(MOSFET_S=Custom_MOSFET,Table7[[#This Row],[Total MOSFET Loss C]],Table7[[#This Row],[Total MOSFET Loss]])</f>
        <v>#REF!</v>
      </c>
      <c r="CR216" s="158" t="e">
        <f aca="false">IF(MOSFET_S=Custom_MOSFET,Table7[[#This Row],[Efficiency C]],Table7[[#This Row],[Efficiency]])</f>
        <v>#REF!</v>
      </c>
      <c r="CS216" s="159"/>
      <c r="CT216" s="158" t="n">
        <f aca="false">IF(MOSFET_S=Compare_MOSFET, Table7[[#This Row],[Total Sense Loss C]], -100)</f>
        <v>-100</v>
      </c>
      <c r="CU216" s="158" t="n">
        <f aca="false">IF(MOSFET_S=Compare_MOSFET, Table7[[#This Row],[Total MOSFET Loss C]], -100)</f>
        <v>-100</v>
      </c>
      <c r="CV216" s="158" t="n">
        <f aca="false">IF(MOSFET_S=Compare_MOSFET, Table7[[#This Row],[Efficiency C]], -100)</f>
        <v>-100</v>
      </c>
      <c r="CW216" s="159"/>
      <c r="CX216" s="158" t="e">
        <f aca="false">IF(Save_Sel=CLR_Save,  Table7[[#This Row],[Total Sense Loss P1]], Table7[[#This Row],[Total Sense Loss P1 Saved]])</f>
        <v>#VALUE!</v>
      </c>
      <c r="CY216" s="158" t="e">
        <f aca="false">IF(Save_Sel=CLR_Save,  Table7[[#This Row],[Total MOSFET Loss P1]], Table7[[#This Row],[Total MOSFET Loss P1 Saved]] )</f>
        <v>#VALUE!</v>
      </c>
      <c r="CZ216" s="158" t="e">
        <f aca="false">IF(Save_Sel=CLR_Save, Table7[[#This Row],[Efficiency P1]], Table7[[#This Row],[Efficiency P1 Saved]])</f>
        <v>#VALUE!</v>
      </c>
      <c r="DA216" s="159"/>
      <c r="DB216" s="158" t="e">
        <f aca="false">IF(Save_Sel=CLR_Save,  Table7[[#This Row],[Total Sense Loss P2]], Table7[[#This Row],[Total Sense Loss P2 Saved]])</f>
        <v>#VALUE!</v>
      </c>
      <c r="DC216" s="158" t="e">
        <f aca="false">IF(Save_Sel=CLR_Save,  Table7[[#This Row],[Total MOSFET Loss P2]], Table7[[#This Row],[Total MOSFET Loss P2 Saved]] )</f>
        <v>#VALUE!</v>
      </c>
      <c r="DD216" s="158" t="e">
        <f aca="false">IF(Save_Sel=CLR_Save, Table7[[#This Row],[Efficiency P2]], Table7[[#This Row],[Efficiency P2 Saved]])</f>
        <v>#VALUE!</v>
      </c>
      <c r="DE216" s="159"/>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row>
    <row r="217" customFormat="false" ht="16.4" hidden="false" customHeight="false" outlineLevel="0" collapsed="false">
      <c r="A217" s="28"/>
      <c r="B217" s="84"/>
      <c r="C217" s="84"/>
      <c r="D217" s="28"/>
      <c r="E217" s="168"/>
      <c r="F217" s="168"/>
      <c r="G217" s="84"/>
      <c r="H217" s="24"/>
      <c r="I217" s="24"/>
      <c r="J217" s="24"/>
      <c r="K217" s="24"/>
      <c r="L217" s="24"/>
      <c r="M217" s="24"/>
      <c r="N217" s="24"/>
      <c r="O217" s="24"/>
      <c r="P217" s="24"/>
      <c r="Q217" s="24"/>
      <c r="R217" s="24"/>
      <c r="S217" s="25"/>
      <c r="T217" s="6"/>
      <c r="U217" s="7"/>
      <c r="V217" s="7"/>
      <c r="W217" s="7"/>
      <c r="X217" s="7"/>
      <c r="Y217" s="7"/>
      <c r="Z217" s="7"/>
      <c r="AA217" s="7"/>
      <c r="AB217" s="7"/>
      <c r="AC217" s="7"/>
      <c r="AD217" s="7"/>
      <c r="AE217" s="7"/>
      <c r="AF217" s="150" t="n">
        <f aca="false">AF216+1</f>
        <v>61</v>
      </c>
      <c r="AG217" s="150" t="n">
        <f aca="false">$AG$156+AF217*($AG$256-$AG$156)/$AF$256</f>
        <v>6.1</v>
      </c>
      <c r="AH217" s="151" t="n">
        <f aca="false">AG217*VACnom</f>
        <v>73.2</v>
      </c>
      <c r="AI217" s="152" t="n">
        <f aca="false">IF(VACnom&lt;Vbat, (Vbat-VACnom)/Vbat, Vbat/VACnom)</f>
        <v>0.0476190476190476</v>
      </c>
      <c r="AJ217" s="152" t="n">
        <f aca="false">IF(VACnom&lt;Vbat, AG217/(1-AI217), AG217*AI217)</f>
        <v>6.405</v>
      </c>
      <c r="AK217" s="152" t="n">
        <f aca="false">Ipkpk_VACnom</f>
        <v>0.285714285714285</v>
      </c>
      <c r="AL217" s="152" t="n">
        <f aca="false">SQRT(AJ217^2+AK217^2/12)</f>
        <v>6.40553102569088</v>
      </c>
      <c r="AM217" s="153"/>
      <c r="AN217" s="152" t="n">
        <f aca="false">MAX(0,Table7[[#This Row],[I_L]]-0.5*Table7[[#This Row],[I_L pkpk]])</f>
        <v>6.26214285714286</v>
      </c>
      <c r="AO217" s="152" t="n">
        <f aca="false">Table7[[#This Row],[I_L]]+0.5*Table7[[#This Row],[I_L pkpk]]</f>
        <v>6.54785714285714</v>
      </c>
      <c r="AP217" s="152" t="e">
        <f aca="false">IF(VACnom&gt;Vbat, (VGS_S-(TI_MOSFET_S_VTH_H_BU+Table7[[#This Row],[I_L]]/TI_MOSFET_S_gFS_H_BU))/3.4, (VGS_S-(TI_MOSFET_S_VTH_L_BO+Table7[[#This Row],[I_L]]/TI_MOSFET_S_gFS_L_BO))/3.4 )</f>
        <v>#REF!</v>
      </c>
      <c r="AQ217" s="152" t="e">
        <f aca="false">IF(VACnom&gt;Vbat, ((TI_MOSFET_S_VTH_H_BU+Table7[[#This Row],[I_L]]/TI_MOSFET_S_gFS_H_BU))/1, ((TI_MOSFET_S_VTH_L_BO+Table7[[#This Row],[I_L]]/TI_MOSFET_S_gFS_L_BO))/1 )</f>
        <v>#REF!</v>
      </c>
      <c r="AR217" s="152" t="e">
        <f aca="false">IF(VACnom&gt;Vbat, (TI_MOSFET_S_QGD_H_BU+TI_MOSFET_S_QGS_H_BU)*10^-9/Table7[[#This Row],[Ion (A)]], (TI_MOSFET_S_QGD_L_BO+TI_MOSFET_S_QGS_L_BO)*10^-9/Table7[[#This Row],[Ion (A)]])/10^-9</f>
        <v>#REF!</v>
      </c>
      <c r="AS217" s="152" t="e">
        <f aca="false">IF(VACnom&gt;Vbat, (TI_MOSFET_S_QGD_H_BU+TI_MOSFET_S_QGS_H_BU)*10^-9/Table7[[#This Row],[Ioff (A)]], (TI_MOSFET_S_QGD_L_BO+TI_MOSFET_S_QGS_L_BO)*10^-9/Table7[[#This Row],[Ioff (A)]])/10^-9</f>
        <v>#REF!</v>
      </c>
      <c r="AT217" s="152" t="e">
        <f aca="false">0.5*VACnom*Table7[[#This Row],[Ivalley (A)]]*Table7[[#This Row],[ton (ns)]]*10^-9*Fsw*10^3+0.5*VACnom*Table7[[#This Row],[Ipeak (A)]]*Table7[[#This Row],[toff (ns)]]*10^-9*Fsw*10^3/10^-3</f>
        <v>#REF!</v>
      </c>
      <c r="AU217" s="152" t="e">
        <f aca="false">IF(VACnom&gt;Vbat, 0.5*VACnom*TI_MOSFET_S_QOSS_H_BU*10^-9*Fsw*10^3,0.5*VACnom*TI_MOSFET_S_QOSS_L_BO*10^-9*Fsw*10^3)/10^-3</f>
        <v>#REF!</v>
      </c>
      <c r="AV217" s="152" t="e">
        <f aca="false">IF(VACnom&gt;Vbat, VACnom*TI_MOSFET_S_QG_H_BU*10^-9*Fsw*10^3,VACnom*TI_MOSFET_S_QG_H_BO*10^-9*Fsw*10^3)/10^-3</f>
        <v>#REF!</v>
      </c>
      <c r="AW217" s="152" t="e">
        <f aca="false">IF(VACnom&gt;Vbat, VACnom*TI_MOSFET_S_QRR_L_BU*10^-9*Fsw*10^3, VACnom*TI_MOSFET_S_QRR_H_BO*10^-9*Fsw*10^3)/10^-3</f>
        <v>#REF!</v>
      </c>
      <c r="AX217" s="152" t="e">
        <f aca="false">IF(VACnom&gt;Vbat, TI_MOSFET_S_VSD_L_BU*Table7[[#This Row],[Ivalley (A)]]*Fsw*10^3*40*10^-9+TI_MOSFET_S_VSD_L_BU*Table7[[#This Row],[Ipeak (A)]]*Fsw*10^3*30*10^-9, TI_MOSFET_S_VSD_H_BO*Table7[[#This Row],[Ivalley (A)]]*Fsw*10^3*40*10^-9+TI_MOSFET_S_VSD_H_BO*Table7[[#This Row],[Ipeak (A)]]*Fsw*10^3*30*10^-9)/10^-3</f>
        <v>#REF!</v>
      </c>
      <c r="AY217" s="152" t="e">
        <f aca="false">IF(VACnom&gt;Vbat, VACnom*TI_MOSFET_S_QG_L_BU*10^-9*Fsw*10^3, VACnom*TI_MOSFET_S_QG_L_BO*10^-9*Fsw*10^3)/10^-3</f>
        <v>#REF!</v>
      </c>
      <c r="AZ217" s="152" t="e">
        <f aca="false">IF(VACnom&lt;Vbat, Table7[[#This Row],[Duty Cycle]]*Table7[[#This Row],[I_L RMS]]^2*TI_MOSFET_S_RDSON_H_BU*10^-3, (1-Table7[[#This Row],[Duty Cycle]])*Table7[[#This Row],[I_L RMS]]^2*TI_MOSFET_S_RDSON_H_BO*10^-3)/10^-3</f>
        <v>#REF!</v>
      </c>
      <c r="BA217" s="152" t="e">
        <f aca="false">IF(VACnom&gt;Vbat, Table7[[#This Row],[PIV (mW)]]+Table7[[#This Row],[Pqoss (mW)]]+Table7[[#This Row],[Pgate_top (mW)]], Table7[[#This Row],[PRR (mW)]]+Table7[[#This Row],[Pdead (mW)]]+Table7[[#This Row],[Pgate_top (mW)]])</f>
        <v>#REF!</v>
      </c>
      <c r="BB217" s="152" t="e">
        <f aca="false">Table7[[#This Row],[Pcon_top (mW)]]+Table7[[#This Row],[Psw_top (mW)]]</f>
        <v>#REF!</v>
      </c>
      <c r="BC217" s="152" t="e">
        <f aca="false">IF(VACnom&gt;Vbat, (1-Table7[[#This Row],[Duty Cycle]])*Table7[[#This Row],[I_L RMS]]^2*TI_MOSFET_S_RDSON_L_BU*10^-3, Table7[[#This Row],[Duty Cycle]]*Table7[[#This Row],[I_L RMS]]^2*TI_MOSFET_S_RDSON_L_BO*10^-3)/10^-3</f>
        <v>#REF!</v>
      </c>
      <c r="BD217" s="152" t="e">
        <f aca="false">IF(VACnom&gt;Vbat, Table7[[#This Row],[PRR (mW)]]+Table7[[#This Row],[Pdead (mW)]]+Table7[[#This Row],[Pgate_bottom (mW)]], Table7[[#This Row],[PIV (mW)]]+Table7[[#This Row],[Pqoss (mW)]]+Table7[[#This Row],[Pgate_bottom (mW)]])</f>
        <v>#REF!</v>
      </c>
      <c r="BE217" s="154" t="e">
        <f aca="false">Table7[[#This Row],[Pcon_bottom (mW)]]+Table7[[#This Row],[Psw_bottom (mW)]]</f>
        <v>#REF!</v>
      </c>
      <c r="BF217" s="152" t="e">
        <f aca="false">Table7[[#This Row],[Pbottom (mW)]]+Table7[[#This Row],[Ptop (mW)]]</f>
        <v>#REF!</v>
      </c>
      <c r="BG217" s="155"/>
      <c r="BH217" s="152" t="n">
        <f aca="false">MAX(0,Table7[[#This Row],[I_L]]-0.5*Table7[[#This Row],[I_L pkpk]])</f>
        <v>6.26214285714286</v>
      </c>
      <c r="BI217" s="152" t="n">
        <f aca="false">Table7[[#This Row],[I_L]]+0.5*Table7[[#This Row],[I_L pkpk]]</f>
        <v>6.54785714285714</v>
      </c>
      <c r="BJ217" s="152" t="n">
        <f aca="false">IF(VACnom&gt;Vbat, (VGS_S-(C_MOSFET_S_VTH_H_BU+Table7[[#This Row],[I_L]]/C_MOSFET_S_gFS_H_BU))/3.4, (VGS_S-(C_MOSFET_S_VTH_L_BO+Table7[[#This Row],[I_L]]/C_MOSFET_S_gFS_L_BO))/3.4 )</f>
        <v>2.34038235294118</v>
      </c>
      <c r="BK217" s="152" t="n">
        <f aca="false">IF(VACnom&gt;Vbat, ((C_MOSFET_S_VTH_H_BU+Table7[[#This Row],[I_L]]/C_MOSFET_S_gFS_H_BU))/1, ((C_MOSFET_S_VTH_L_BO+Table7[[#This Row],[I_L]]/C_MOSFET_S_gFS_L_BO))/1 )</f>
        <v>2.0427</v>
      </c>
      <c r="BL217" s="152" t="n">
        <f aca="false">IF(VACnom&gt;Vbat, (C_MOSFET_S_QGD_H_BU+C_MOSFET_S_QGS_H_BU)*10^-9/Table7[[#This Row],[Ion (A) C]], (C_MOSFET_S_QGD_L_BO+C_MOSFET_S_QGS_L_BO)*10^-9/Table7[[#This Row],[Ion (A) C]])/10^-9</f>
        <v>2.77732396667211</v>
      </c>
      <c r="BM217" s="152" t="n">
        <f aca="false">IF(VACnom&gt;Vbat, (C_MOSFET_S_QGD_H_BU+C_MOSFET_S_QGS_H_BU)*10^-9/Table7[[#This Row],[Ioff (A) C]], (C_MOSFET_S_QGD_L_BO+C_MOSFET_S_QGS_L_BO)*10^-9/Table7[[#This Row],[Ioff (A) C]])/10^-9</f>
        <v>3.18206295589171</v>
      </c>
      <c r="BN217" s="152" t="n">
        <f aca="false">0.5*VACnom*Table7[[#This Row],[Ivalley (A) C]]*Table7[[#This Row],[ton (ns) C]]*10^-9*Fsw*10^3+0.5*VACnom*Table7[[#This Row],[Ipeak (A) C]]*Table7[[#This Row],[toff (ns) C]]*10^-9*Fsw*10^3/10^-3</f>
        <v>25.0237027850358</v>
      </c>
      <c r="BO217" s="152" t="n">
        <f aca="false">IF(VACnom&gt;Vbat, 0.5*VACnom*C_MOSFET_S_QOSS_H_BU*10^-9*Fsw*10^3,0.5*VACnom*C_MOSFET_S_QOSS_L_BO*10^-9*Fsw*10^3)/10^-3</f>
        <v>43.2</v>
      </c>
      <c r="BP217" s="152" t="e">
        <f aca="false">IF(VACnom&gt;Vbat, VACnom*C_MOSFET_S_QG_H_BU*10^-9*Fsw*10^3,VACnom*C_MOSFET_S_QG_H_BO*10^-9*Fsw*10^3)/10^-3</f>
        <v>#REF!</v>
      </c>
      <c r="BQ217" s="152" t="n">
        <f aca="false">IF(VACnom&gt;Vbat, VACnom*C_MOSFET_S_QRR_L_BU*10^-9*Fsw*10^3, VACnom*C_MOSFET_S_QRR_H_BO*10^-9*Fsw*10^3)/10^-3</f>
        <v>79.2</v>
      </c>
      <c r="BR217" s="152" t="n">
        <f aca="false">IF(VACnom&gt;Vbat, C_MOSFET_S_VSD_L_BU*Table7[[#This Row],[Ivalley (A) C]]*Fsw*10^3*40*10^-9+C_MOSFET_S_VSD_L_BU*Table7[[#This Row],[Ipeak (A) C]]*Fsw*10^3*30*10^-9, C_MOSFET_S_VSD_H_BO*Table7[[#This Row],[Ivalley (A) C]]*Fsw*10^3*40*10^-9+C_MOSFET_S_VSD_H_BO*Table7[[#This Row],[Ipeak (A) C]]*Fsw*10^3*30*10^-9)/10^-3</f>
        <v>71.5074285714286</v>
      </c>
      <c r="BS217" s="152" t="e">
        <f aca="false">IF(VACnom&gt;Vbat, VACnom*C_MOSFET_S_QG_L_BU*10^-9*Fsw*10^3, VACnom*C_MOSFET_S_QG_L_BO*10^-9*Fsw*10^3)/10^-3</f>
        <v>#REF!</v>
      </c>
      <c r="BT217" s="152" t="n">
        <f aca="false">IF(VACnom&lt;Vbat, Table7[[#This Row],[Duty Cycle]]*Table7[[#This Row],[I_L RMS]]^2*C_MOSFET_S_RDSON_H_BU*10^-3, (1-Table7[[#This Row],[Duty Cycle]])*Table7[[#This Row],[I_L RMS]]^2*C_MOSFET_S_RDSON_H_BO*10^-3)/10^-3</f>
        <v>11.1369389528669</v>
      </c>
      <c r="BU217" s="152" t="e">
        <f aca="false">IF(VACnom&gt;Vbat, Table7[[#This Row],[PIV (mW) C]]+Table7[[#This Row],[PQoss (mW) C]]+Table7[[#This Row],[Pgate_top (mW) C]], Table7[[#This Row],[PRR (mW) C]]+Table7[[#This Row],[Pdead (mW) C]]+Table7[[#This Row],[Pgate_top (mW) C]])</f>
        <v>#REF!</v>
      </c>
      <c r="BV217" s="152" t="e">
        <f aca="false">Table7[[#This Row],[Pcon_top (mW) C]]+Table7[[#This Row],[Psw_top (mW) C]]</f>
        <v>#REF!</v>
      </c>
      <c r="BW217" s="152" t="e">
        <f aca="false">IF(VACnom&gt;Vbat, (1-Table7[[#This Row],[Duty Cycle]])*Table7[[#This Row],[I_L RMS]]^2*C_MOSFET_S_RDSON_L_BU*10^-3, Table7[[#This Row],[Duty Cycle]]*Table7[[#This Row],[I_L RMS]]^2*C_MOSFET_S_RDSON_L_BO*10^-3)/10^-3</f>
        <v>#REF!</v>
      </c>
      <c r="BX217" s="152" t="e">
        <f aca="false">IF(VACnom&gt;Vbat, Table7[[#This Row],[PRR (mW) C]]+Table7[[#This Row],[Pdead (mW) C]]+Table7[[#This Row],[Pgate_bottom (mW) C]], Table7[[#This Row],[PIV (mW) C]]+Table7[[#This Row],[PQoss (mW) C]]+Table7[[#This Row],[Pgate_bottom (mW) C]])</f>
        <v>#REF!</v>
      </c>
      <c r="BY217" s="152" t="e">
        <f aca="false">Table7[[#This Row],[Pcon_bottom (mW) C]]+Table7[[#This Row],[Psw_bottom (mV) C]]</f>
        <v>#REF!</v>
      </c>
      <c r="BZ217" s="152" t="e">
        <f aca="false">Table7[[#This Row],[Pbottom (mW) C]]+Table7[[#This Row],[Ptop (mW) C]]</f>
        <v>#REF!</v>
      </c>
      <c r="CA217" s="156"/>
      <c r="CB217" s="151" t="n">
        <f aca="false">(RAC_SNS*10^-3*(Table7[[#This Row],[IOUT (A)]]*Vbat/VACnom)^2/10^-3)</f>
        <v>205.120125</v>
      </c>
      <c r="CC217" s="151" t="n">
        <f aca="false">(RBAT_SNS*10^-3*Table7[[#This Row],[IOUT (A)]]^2)/10^-3</f>
        <v>186.05</v>
      </c>
      <c r="CD217" s="151" t="n">
        <f aca="false">IF(VACnom&gt;Vbat,(L_DRC*10^-3*(Table7[[#This Row],[IOUT (A)]])^2/10^-3),(L_DRC*10^-3*(Table7[[#This Row],[IOUT (A)]]*Vbat/VACnom)^2/10^-3))</f>
        <v>492.2883</v>
      </c>
      <c r="CE217" s="157"/>
      <c r="CF217" s="152" t="n">
        <f aca="false">(Table7[[#This Row],[R_AC (mW)]]+Table7[[#This Row],[R_SR (mW)]]+Table7[[#This Row],[Inductor Loss (mW)]])/10^3</f>
        <v>0.883458425</v>
      </c>
      <c r="CG217" s="152" t="e">
        <f aca="false">Table7[[#This Row],[Total TI (mW)]]/10^3</f>
        <v>#REF!</v>
      </c>
      <c r="CH217" s="152" t="e">
        <f aca="false">Table7[[#This Row],[Total Sense Loss]]+Table7[[#This Row],[Total MOSFET Loss]]</f>
        <v>#REF!</v>
      </c>
      <c r="CI217" s="158" t="e">
        <f aca="false">IF(Table7[[#This Row],[POUT (W)]]=0,0,(Table7[[#This Row],[POUT (W)]])/(Table7[[#This Row],[POUT (W)]]+Table7[[#This Row],[Total Power Loss (W)]]))*100</f>
        <v>#REF!</v>
      </c>
      <c r="CJ217" s="159"/>
      <c r="CK217" s="152" t="n">
        <f aca="false">(Table7[[#This Row],[R_AC (mW)]]+Table7[[#This Row],[R_SR (mW)]]+Table7[[#This Row],[Inductor Loss (mW)]])/10^3</f>
        <v>0.883458425</v>
      </c>
      <c r="CL217" s="152" t="e">
        <f aca="false">Table7[[#This Row],[Total (mW) C]]/10^3</f>
        <v>#REF!</v>
      </c>
      <c r="CM217" s="152" t="e">
        <f aca="false">Table7[[#This Row],[Total Sense Loss C]]+Table7[[#This Row],[Total MOSFET Loss C]]</f>
        <v>#REF!</v>
      </c>
      <c r="CN217" s="158" t="e">
        <f aca="false">IF(Table7[[#This Row],[POUT (W)]]=0,0,(Table7[[#This Row],[POUT (W)]])/(Table7[[#This Row],[POUT (W)]]+Table7[[#This Row],[Total Power Loss (W) C]]))*100</f>
        <v>#REF!</v>
      </c>
      <c r="CO217" s="159"/>
      <c r="CP217" s="158" t="n">
        <f aca="false">IF(MOSFET_S=Custom_MOSFET,Table7[[#This Row],[Total Sense Loss C]],Table7[[#This Row],[Total Sense Loss]])</f>
        <v>0.883458425</v>
      </c>
      <c r="CQ217" s="158" t="e">
        <f aca="false">IF(MOSFET_S=Custom_MOSFET,Table7[[#This Row],[Total MOSFET Loss C]],Table7[[#This Row],[Total MOSFET Loss]])</f>
        <v>#REF!</v>
      </c>
      <c r="CR217" s="158" t="e">
        <f aca="false">IF(MOSFET_S=Custom_MOSFET,Table7[[#This Row],[Efficiency C]],Table7[[#This Row],[Efficiency]])</f>
        <v>#REF!</v>
      </c>
      <c r="CS217" s="159"/>
      <c r="CT217" s="158" t="n">
        <f aca="false">IF(MOSFET_S=Compare_MOSFET, Table7[[#This Row],[Total Sense Loss C]], -100)</f>
        <v>-100</v>
      </c>
      <c r="CU217" s="158" t="n">
        <f aca="false">IF(MOSFET_S=Compare_MOSFET, Table7[[#This Row],[Total MOSFET Loss C]], -100)</f>
        <v>-100</v>
      </c>
      <c r="CV217" s="158" t="n">
        <f aca="false">IF(MOSFET_S=Compare_MOSFET, Table7[[#This Row],[Efficiency C]], -100)</f>
        <v>-100</v>
      </c>
      <c r="CW217" s="159"/>
      <c r="CX217" s="158" t="e">
        <f aca="false">IF(Save_Sel=CLR_Save,  Table7[[#This Row],[Total Sense Loss P1]], Table7[[#This Row],[Total Sense Loss P1 Saved]])</f>
        <v>#VALUE!</v>
      </c>
      <c r="CY217" s="158" t="e">
        <f aca="false">IF(Save_Sel=CLR_Save,  Table7[[#This Row],[Total MOSFET Loss P1]], Table7[[#This Row],[Total MOSFET Loss P1 Saved]] )</f>
        <v>#VALUE!</v>
      </c>
      <c r="CZ217" s="158" t="e">
        <f aca="false">IF(Save_Sel=CLR_Save, Table7[[#This Row],[Efficiency P1]], Table7[[#This Row],[Efficiency P1 Saved]])</f>
        <v>#VALUE!</v>
      </c>
      <c r="DA217" s="159"/>
      <c r="DB217" s="158" t="e">
        <f aca="false">IF(Save_Sel=CLR_Save,  Table7[[#This Row],[Total Sense Loss P2]], Table7[[#This Row],[Total Sense Loss P2 Saved]])</f>
        <v>#VALUE!</v>
      </c>
      <c r="DC217" s="158" t="e">
        <f aca="false">IF(Save_Sel=CLR_Save,  Table7[[#This Row],[Total MOSFET Loss P2]], Table7[[#This Row],[Total MOSFET Loss P2 Saved]] )</f>
        <v>#VALUE!</v>
      </c>
      <c r="DD217" s="158" t="e">
        <f aca="false">IF(Save_Sel=CLR_Save, Table7[[#This Row],[Efficiency P2]], Table7[[#This Row],[Efficiency P2 Saved]])</f>
        <v>#VALUE!</v>
      </c>
      <c r="DE217" s="159"/>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row>
    <row r="218" customFormat="false" ht="16.4" hidden="false" customHeight="false" outlineLevel="0" collapsed="false">
      <c r="A218" s="28"/>
      <c r="B218" s="84"/>
      <c r="C218" s="84"/>
      <c r="D218" s="28"/>
      <c r="E218" s="168"/>
      <c r="F218" s="168"/>
      <c r="G218" s="84"/>
      <c r="H218" s="24"/>
      <c r="I218" s="24"/>
      <c r="J218" s="24"/>
      <c r="K218" s="24"/>
      <c r="L218" s="24"/>
      <c r="M218" s="24"/>
      <c r="N218" s="24"/>
      <c r="O218" s="24"/>
      <c r="P218" s="24"/>
      <c r="Q218" s="24"/>
      <c r="R218" s="24"/>
      <c r="S218" s="25"/>
      <c r="T218" s="6"/>
      <c r="U218" s="7"/>
      <c r="V218" s="7"/>
      <c r="W218" s="7"/>
      <c r="X218" s="7"/>
      <c r="Y218" s="7"/>
      <c r="Z218" s="7"/>
      <c r="AA218" s="7"/>
      <c r="AB218" s="7"/>
      <c r="AC218" s="7"/>
      <c r="AD218" s="7"/>
      <c r="AE218" s="7"/>
      <c r="AF218" s="150" t="n">
        <f aca="false">AF217+1</f>
        <v>62</v>
      </c>
      <c r="AG218" s="150" t="n">
        <f aca="false">$AG$156+AF218*($AG$256-$AG$156)/$AF$256</f>
        <v>6.2</v>
      </c>
      <c r="AH218" s="151" t="n">
        <f aca="false">AG218*VACnom</f>
        <v>74.4</v>
      </c>
      <c r="AI218" s="152" t="n">
        <f aca="false">IF(VACnom&lt;Vbat, (Vbat-VACnom)/Vbat, Vbat/VACnom)</f>
        <v>0.0476190476190476</v>
      </c>
      <c r="AJ218" s="152" t="n">
        <f aca="false">IF(VACnom&lt;Vbat, AG218/(1-AI218), AG218*AI218)</f>
        <v>6.51</v>
      </c>
      <c r="AK218" s="152" t="n">
        <f aca="false">Ipkpk_VACnom</f>
        <v>0.285714285714285</v>
      </c>
      <c r="AL218" s="152" t="n">
        <f aca="false">SQRT(AJ218^2+AK218^2/12)</f>
        <v>6.51052246145334</v>
      </c>
      <c r="AM218" s="153"/>
      <c r="AN218" s="152" t="n">
        <f aca="false">MAX(0,Table7[[#This Row],[I_L]]-0.5*Table7[[#This Row],[I_L pkpk]])</f>
        <v>6.36714285714286</v>
      </c>
      <c r="AO218" s="152" t="n">
        <f aca="false">Table7[[#This Row],[I_L]]+0.5*Table7[[#This Row],[I_L pkpk]]</f>
        <v>6.65285714285714</v>
      </c>
      <c r="AP218" s="152" t="e">
        <f aca="false">IF(VACnom&gt;Vbat, (VGS_S-(TI_MOSFET_S_VTH_H_BU+Table7[[#This Row],[I_L]]/TI_MOSFET_S_gFS_H_BU))/3.4, (VGS_S-(TI_MOSFET_S_VTH_L_BO+Table7[[#This Row],[I_L]]/TI_MOSFET_S_gFS_L_BO))/3.4 )</f>
        <v>#REF!</v>
      </c>
      <c r="AQ218" s="152" t="e">
        <f aca="false">IF(VACnom&gt;Vbat, ((TI_MOSFET_S_VTH_H_BU+Table7[[#This Row],[I_L]]/TI_MOSFET_S_gFS_H_BU))/1, ((TI_MOSFET_S_VTH_L_BO+Table7[[#This Row],[I_L]]/TI_MOSFET_S_gFS_L_BO))/1 )</f>
        <v>#REF!</v>
      </c>
      <c r="AR218" s="152" t="e">
        <f aca="false">IF(VACnom&gt;Vbat, (TI_MOSFET_S_QGD_H_BU+TI_MOSFET_S_QGS_H_BU)*10^-9/Table7[[#This Row],[Ion (A)]], (TI_MOSFET_S_QGD_L_BO+TI_MOSFET_S_QGS_L_BO)*10^-9/Table7[[#This Row],[Ion (A)]])/10^-9</f>
        <v>#REF!</v>
      </c>
      <c r="AS218" s="152" t="e">
        <f aca="false">IF(VACnom&gt;Vbat, (TI_MOSFET_S_QGD_H_BU+TI_MOSFET_S_QGS_H_BU)*10^-9/Table7[[#This Row],[Ioff (A)]], (TI_MOSFET_S_QGD_L_BO+TI_MOSFET_S_QGS_L_BO)*10^-9/Table7[[#This Row],[Ioff (A)]])/10^-9</f>
        <v>#REF!</v>
      </c>
      <c r="AT218" s="152" t="e">
        <f aca="false">0.5*VACnom*Table7[[#This Row],[Ivalley (A)]]*Table7[[#This Row],[ton (ns)]]*10^-9*Fsw*10^3+0.5*VACnom*Table7[[#This Row],[Ipeak (A)]]*Table7[[#This Row],[toff (ns)]]*10^-9*Fsw*10^3/10^-3</f>
        <v>#REF!</v>
      </c>
      <c r="AU218" s="152" t="e">
        <f aca="false">IF(VACnom&gt;Vbat, 0.5*VACnom*TI_MOSFET_S_QOSS_H_BU*10^-9*Fsw*10^3,0.5*VACnom*TI_MOSFET_S_QOSS_L_BO*10^-9*Fsw*10^3)/10^-3</f>
        <v>#REF!</v>
      </c>
      <c r="AV218" s="152" t="e">
        <f aca="false">IF(VACnom&gt;Vbat, VACnom*TI_MOSFET_S_QG_H_BU*10^-9*Fsw*10^3,VACnom*TI_MOSFET_S_QG_H_BO*10^-9*Fsw*10^3)/10^-3</f>
        <v>#REF!</v>
      </c>
      <c r="AW218" s="152" t="e">
        <f aca="false">IF(VACnom&gt;Vbat, VACnom*TI_MOSFET_S_QRR_L_BU*10^-9*Fsw*10^3, VACnom*TI_MOSFET_S_QRR_H_BO*10^-9*Fsw*10^3)/10^-3</f>
        <v>#REF!</v>
      </c>
      <c r="AX218" s="152" t="e">
        <f aca="false">IF(VACnom&gt;Vbat, TI_MOSFET_S_VSD_L_BU*Table7[[#This Row],[Ivalley (A)]]*Fsw*10^3*40*10^-9+TI_MOSFET_S_VSD_L_BU*Table7[[#This Row],[Ipeak (A)]]*Fsw*10^3*30*10^-9, TI_MOSFET_S_VSD_H_BO*Table7[[#This Row],[Ivalley (A)]]*Fsw*10^3*40*10^-9+TI_MOSFET_S_VSD_H_BO*Table7[[#This Row],[Ipeak (A)]]*Fsw*10^3*30*10^-9)/10^-3</f>
        <v>#REF!</v>
      </c>
      <c r="AY218" s="152" t="e">
        <f aca="false">IF(VACnom&gt;Vbat, VACnom*TI_MOSFET_S_QG_L_BU*10^-9*Fsw*10^3, VACnom*TI_MOSFET_S_QG_L_BO*10^-9*Fsw*10^3)/10^-3</f>
        <v>#REF!</v>
      </c>
      <c r="AZ218" s="152" t="e">
        <f aca="false">IF(VACnom&lt;Vbat, Table7[[#This Row],[Duty Cycle]]*Table7[[#This Row],[I_L RMS]]^2*TI_MOSFET_S_RDSON_H_BU*10^-3, (1-Table7[[#This Row],[Duty Cycle]])*Table7[[#This Row],[I_L RMS]]^2*TI_MOSFET_S_RDSON_H_BO*10^-3)/10^-3</f>
        <v>#REF!</v>
      </c>
      <c r="BA218" s="152" t="e">
        <f aca="false">IF(VACnom&gt;Vbat, Table7[[#This Row],[PIV (mW)]]+Table7[[#This Row],[Pqoss (mW)]]+Table7[[#This Row],[Pgate_top (mW)]], Table7[[#This Row],[PRR (mW)]]+Table7[[#This Row],[Pdead (mW)]]+Table7[[#This Row],[Pgate_top (mW)]])</f>
        <v>#REF!</v>
      </c>
      <c r="BB218" s="152" t="e">
        <f aca="false">Table7[[#This Row],[Pcon_top (mW)]]+Table7[[#This Row],[Psw_top (mW)]]</f>
        <v>#REF!</v>
      </c>
      <c r="BC218" s="152" t="e">
        <f aca="false">IF(VACnom&gt;Vbat, (1-Table7[[#This Row],[Duty Cycle]])*Table7[[#This Row],[I_L RMS]]^2*TI_MOSFET_S_RDSON_L_BU*10^-3, Table7[[#This Row],[Duty Cycle]]*Table7[[#This Row],[I_L RMS]]^2*TI_MOSFET_S_RDSON_L_BO*10^-3)/10^-3</f>
        <v>#REF!</v>
      </c>
      <c r="BD218" s="152" t="e">
        <f aca="false">IF(VACnom&gt;Vbat, Table7[[#This Row],[PRR (mW)]]+Table7[[#This Row],[Pdead (mW)]]+Table7[[#This Row],[Pgate_bottom (mW)]], Table7[[#This Row],[PIV (mW)]]+Table7[[#This Row],[Pqoss (mW)]]+Table7[[#This Row],[Pgate_bottom (mW)]])</f>
        <v>#REF!</v>
      </c>
      <c r="BE218" s="154" t="e">
        <f aca="false">Table7[[#This Row],[Pcon_bottom (mW)]]+Table7[[#This Row],[Psw_bottom (mW)]]</f>
        <v>#REF!</v>
      </c>
      <c r="BF218" s="152" t="e">
        <f aca="false">Table7[[#This Row],[Pbottom (mW)]]+Table7[[#This Row],[Ptop (mW)]]</f>
        <v>#REF!</v>
      </c>
      <c r="BG218" s="155"/>
      <c r="BH218" s="152" t="n">
        <f aca="false">MAX(0,Table7[[#This Row],[I_L]]-0.5*Table7[[#This Row],[I_L pkpk]])</f>
        <v>6.36714285714286</v>
      </c>
      <c r="BI218" s="152" t="n">
        <f aca="false">Table7[[#This Row],[I_L]]+0.5*Table7[[#This Row],[I_L pkpk]]</f>
        <v>6.65285714285714</v>
      </c>
      <c r="BJ218" s="152" t="n">
        <f aca="false">IF(VACnom&gt;Vbat, (VGS_S-(C_MOSFET_S_VTH_H_BU+Table7[[#This Row],[I_L]]/C_MOSFET_S_gFS_H_BU))/3.4, (VGS_S-(C_MOSFET_S_VTH_L_BO+Table7[[#This Row],[I_L]]/C_MOSFET_S_gFS_L_BO))/3.4 )</f>
        <v>2.34017647058824</v>
      </c>
      <c r="BK218" s="152" t="n">
        <f aca="false">IF(VACnom&gt;Vbat, ((C_MOSFET_S_VTH_H_BU+Table7[[#This Row],[I_L]]/C_MOSFET_S_gFS_H_BU))/1, ((C_MOSFET_S_VTH_L_BO+Table7[[#This Row],[I_L]]/C_MOSFET_S_gFS_L_BO))/1 )</f>
        <v>2.0434</v>
      </c>
      <c r="BL218" s="152" t="n">
        <f aca="false">IF(VACnom&gt;Vbat, (C_MOSFET_S_QGD_H_BU+C_MOSFET_S_QGS_H_BU)*10^-9/Table7[[#This Row],[Ion (A) C]], (C_MOSFET_S_QGD_L_BO+C_MOSFET_S_QGS_L_BO)*10^-9/Table7[[#This Row],[Ion (A) C]])/10^-9</f>
        <v>2.77756830807129</v>
      </c>
      <c r="BM218" s="152" t="n">
        <f aca="false">IF(VACnom&gt;Vbat, (C_MOSFET_S_QGD_H_BU+C_MOSFET_S_QGS_H_BU)*10^-9/Table7[[#This Row],[Ioff (A) C]], (C_MOSFET_S_QGD_L_BO+C_MOSFET_S_QGS_L_BO)*10^-9/Table7[[#This Row],[Ioff (A) C]])/10^-9</f>
        <v>3.18097288832338</v>
      </c>
      <c r="BN218" s="152" t="n">
        <f aca="false">0.5*VACnom*Table7[[#This Row],[Ivalley (A) C]]*Table7[[#This Row],[ton (ns) C]]*10^-9*Fsw*10^3+0.5*VACnom*Table7[[#This Row],[Ipeak (A) C]]*Table7[[#This Row],[toff (ns) C]]*10^-9*Fsw*10^3/10^-3</f>
        <v>25.4162920506361</v>
      </c>
      <c r="BO218" s="152" t="n">
        <f aca="false">IF(VACnom&gt;Vbat, 0.5*VACnom*C_MOSFET_S_QOSS_H_BU*10^-9*Fsw*10^3,0.5*VACnom*C_MOSFET_S_QOSS_L_BO*10^-9*Fsw*10^3)/10^-3</f>
        <v>43.2</v>
      </c>
      <c r="BP218" s="152" t="e">
        <f aca="false">IF(VACnom&gt;Vbat, VACnom*C_MOSFET_S_QG_H_BU*10^-9*Fsw*10^3,VACnom*C_MOSFET_S_QG_H_BO*10^-9*Fsw*10^3)/10^-3</f>
        <v>#REF!</v>
      </c>
      <c r="BQ218" s="152" t="n">
        <f aca="false">IF(VACnom&gt;Vbat, VACnom*C_MOSFET_S_QRR_L_BU*10^-9*Fsw*10^3, VACnom*C_MOSFET_S_QRR_H_BO*10^-9*Fsw*10^3)/10^-3</f>
        <v>79.2</v>
      </c>
      <c r="BR218" s="152" t="n">
        <f aca="false">IF(VACnom&gt;Vbat, C_MOSFET_S_VSD_L_BU*Table7[[#This Row],[Ivalley (A) C]]*Fsw*10^3*40*10^-9+C_MOSFET_S_VSD_L_BU*Table7[[#This Row],[Ipeak (A) C]]*Fsw*10^3*30*10^-9, C_MOSFET_S_VSD_H_BO*Table7[[#This Row],[Ivalley (A) C]]*Fsw*10^3*40*10^-9+C_MOSFET_S_VSD_H_BO*Table7[[#This Row],[Ipeak (A) C]]*Fsw*10^3*30*10^-9)/10^-3</f>
        <v>72.6834285714286</v>
      </c>
      <c r="BS218" s="152" t="e">
        <f aca="false">IF(VACnom&gt;Vbat, VACnom*C_MOSFET_S_QG_L_BU*10^-9*Fsw*10^3, VACnom*C_MOSFET_S_QG_L_BO*10^-9*Fsw*10^3)/10^-3</f>
        <v>#REF!</v>
      </c>
      <c r="BT218" s="152" t="n">
        <f aca="false">IF(VACnom&lt;Vbat, Table7[[#This Row],[Duty Cycle]]*Table7[[#This Row],[I_L RMS]]^2*C_MOSFET_S_RDSON_H_BU*10^-3, (1-Table7[[#This Row],[Duty Cycle]])*Table7[[#This Row],[I_L RMS]]^2*C_MOSFET_S_RDSON_H_BO*10^-3)/10^-3</f>
        <v>11.5050164528669</v>
      </c>
      <c r="BU218" s="152" t="e">
        <f aca="false">IF(VACnom&gt;Vbat, Table7[[#This Row],[PIV (mW) C]]+Table7[[#This Row],[PQoss (mW) C]]+Table7[[#This Row],[Pgate_top (mW) C]], Table7[[#This Row],[PRR (mW) C]]+Table7[[#This Row],[Pdead (mW) C]]+Table7[[#This Row],[Pgate_top (mW) C]])</f>
        <v>#REF!</v>
      </c>
      <c r="BV218" s="152" t="e">
        <f aca="false">Table7[[#This Row],[Pcon_top (mW) C]]+Table7[[#This Row],[Psw_top (mW) C]]</f>
        <v>#REF!</v>
      </c>
      <c r="BW218" s="152" t="e">
        <f aca="false">IF(VACnom&gt;Vbat, (1-Table7[[#This Row],[Duty Cycle]])*Table7[[#This Row],[I_L RMS]]^2*C_MOSFET_S_RDSON_L_BU*10^-3, Table7[[#This Row],[Duty Cycle]]*Table7[[#This Row],[I_L RMS]]^2*C_MOSFET_S_RDSON_L_BO*10^-3)/10^-3</f>
        <v>#REF!</v>
      </c>
      <c r="BX218" s="152" t="e">
        <f aca="false">IF(VACnom&gt;Vbat, Table7[[#This Row],[PRR (mW) C]]+Table7[[#This Row],[Pdead (mW) C]]+Table7[[#This Row],[Pgate_bottom (mW) C]], Table7[[#This Row],[PIV (mW) C]]+Table7[[#This Row],[PQoss (mW) C]]+Table7[[#This Row],[Pgate_bottom (mW) C]])</f>
        <v>#REF!</v>
      </c>
      <c r="BY218" s="152" t="e">
        <f aca="false">Table7[[#This Row],[Pcon_bottom (mW) C]]+Table7[[#This Row],[Psw_bottom (mV) C]]</f>
        <v>#REF!</v>
      </c>
      <c r="BZ218" s="152" t="e">
        <f aca="false">Table7[[#This Row],[Pbottom (mW) C]]+Table7[[#This Row],[Ptop (mW) C]]</f>
        <v>#REF!</v>
      </c>
      <c r="CA218" s="156"/>
      <c r="CB218" s="151" t="n">
        <f aca="false">(RAC_SNS*10^-3*(Table7[[#This Row],[IOUT (A)]]*Vbat/VACnom)^2/10^-3)</f>
        <v>211.9005</v>
      </c>
      <c r="CC218" s="151" t="n">
        <f aca="false">(RBAT_SNS*10^-3*Table7[[#This Row],[IOUT (A)]]^2)/10^-3</f>
        <v>192.2</v>
      </c>
      <c r="CD218" s="151" t="n">
        <f aca="false">IF(VACnom&gt;Vbat,(L_DRC*10^-3*(Table7[[#This Row],[IOUT (A)]])^2/10^-3),(L_DRC*10^-3*(Table7[[#This Row],[IOUT (A)]]*Vbat/VACnom)^2/10^-3))</f>
        <v>508.5612</v>
      </c>
      <c r="CE218" s="157"/>
      <c r="CF218" s="152" t="n">
        <f aca="false">(Table7[[#This Row],[R_AC (mW)]]+Table7[[#This Row],[R_SR (mW)]]+Table7[[#This Row],[Inductor Loss (mW)]])/10^3</f>
        <v>0.9126617</v>
      </c>
      <c r="CG218" s="152" t="e">
        <f aca="false">Table7[[#This Row],[Total TI (mW)]]/10^3</f>
        <v>#REF!</v>
      </c>
      <c r="CH218" s="152" t="e">
        <f aca="false">Table7[[#This Row],[Total Sense Loss]]+Table7[[#This Row],[Total MOSFET Loss]]</f>
        <v>#REF!</v>
      </c>
      <c r="CI218" s="158" t="e">
        <f aca="false">IF(Table7[[#This Row],[POUT (W)]]=0,0,(Table7[[#This Row],[POUT (W)]])/(Table7[[#This Row],[POUT (W)]]+Table7[[#This Row],[Total Power Loss (W)]]))*100</f>
        <v>#REF!</v>
      </c>
      <c r="CJ218" s="159"/>
      <c r="CK218" s="152" t="n">
        <f aca="false">(Table7[[#This Row],[R_AC (mW)]]+Table7[[#This Row],[R_SR (mW)]]+Table7[[#This Row],[Inductor Loss (mW)]])/10^3</f>
        <v>0.9126617</v>
      </c>
      <c r="CL218" s="152" t="e">
        <f aca="false">Table7[[#This Row],[Total (mW) C]]/10^3</f>
        <v>#REF!</v>
      </c>
      <c r="CM218" s="152" t="e">
        <f aca="false">Table7[[#This Row],[Total Sense Loss C]]+Table7[[#This Row],[Total MOSFET Loss C]]</f>
        <v>#REF!</v>
      </c>
      <c r="CN218" s="158" t="e">
        <f aca="false">IF(Table7[[#This Row],[POUT (W)]]=0,0,(Table7[[#This Row],[POUT (W)]])/(Table7[[#This Row],[POUT (W)]]+Table7[[#This Row],[Total Power Loss (W) C]]))*100</f>
        <v>#REF!</v>
      </c>
      <c r="CO218" s="159"/>
      <c r="CP218" s="158" t="n">
        <f aca="false">IF(MOSFET_S=Custom_MOSFET,Table7[[#This Row],[Total Sense Loss C]],Table7[[#This Row],[Total Sense Loss]])</f>
        <v>0.9126617</v>
      </c>
      <c r="CQ218" s="158" t="e">
        <f aca="false">IF(MOSFET_S=Custom_MOSFET,Table7[[#This Row],[Total MOSFET Loss C]],Table7[[#This Row],[Total MOSFET Loss]])</f>
        <v>#REF!</v>
      </c>
      <c r="CR218" s="158" t="e">
        <f aca="false">IF(MOSFET_S=Custom_MOSFET,Table7[[#This Row],[Efficiency C]],Table7[[#This Row],[Efficiency]])</f>
        <v>#REF!</v>
      </c>
      <c r="CS218" s="159"/>
      <c r="CT218" s="158" t="n">
        <f aca="false">IF(MOSFET_S=Compare_MOSFET, Table7[[#This Row],[Total Sense Loss C]], -100)</f>
        <v>-100</v>
      </c>
      <c r="CU218" s="158" t="n">
        <f aca="false">IF(MOSFET_S=Compare_MOSFET, Table7[[#This Row],[Total MOSFET Loss C]], -100)</f>
        <v>-100</v>
      </c>
      <c r="CV218" s="158" t="n">
        <f aca="false">IF(MOSFET_S=Compare_MOSFET, Table7[[#This Row],[Efficiency C]], -100)</f>
        <v>-100</v>
      </c>
      <c r="CW218" s="159"/>
      <c r="CX218" s="158" t="e">
        <f aca="false">IF(Save_Sel=CLR_Save,  Table7[[#This Row],[Total Sense Loss P1]], Table7[[#This Row],[Total Sense Loss P1 Saved]])</f>
        <v>#VALUE!</v>
      </c>
      <c r="CY218" s="158" t="e">
        <f aca="false">IF(Save_Sel=CLR_Save,  Table7[[#This Row],[Total MOSFET Loss P1]], Table7[[#This Row],[Total MOSFET Loss P1 Saved]] )</f>
        <v>#VALUE!</v>
      </c>
      <c r="CZ218" s="158" t="e">
        <f aca="false">IF(Save_Sel=CLR_Save, Table7[[#This Row],[Efficiency P1]], Table7[[#This Row],[Efficiency P1 Saved]])</f>
        <v>#VALUE!</v>
      </c>
      <c r="DA218" s="159"/>
      <c r="DB218" s="158" t="e">
        <f aca="false">IF(Save_Sel=CLR_Save,  Table7[[#This Row],[Total Sense Loss P2]], Table7[[#This Row],[Total Sense Loss P2 Saved]])</f>
        <v>#VALUE!</v>
      </c>
      <c r="DC218" s="158" t="e">
        <f aca="false">IF(Save_Sel=CLR_Save,  Table7[[#This Row],[Total MOSFET Loss P2]], Table7[[#This Row],[Total MOSFET Loss P2 Saved]] )</f>
        <v>#VALUE!</v>
      </c>
      <c r="DD218" s="158" t="e">
        <f aca="false">IF(Save_Sel=CLR_Save, Table7[[#This Row],[Efficiency P2]], Table7[[#This Row],[Efficiency P2 Saved]])</f>
        <v>#VALUE!</v>
      </c>
      <c r="DE218" s="159"/>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row>
    <row r="219" customFormat="false" ht="16.4" hidden="false" customHeight="false" outlineLevel="0" collapsed="false">
      <c r="A219" s="28"/>
      <c r="B219" s="84"/>
      <c r="C219" s="84"/>
      <c r="D219" s="28"/>
      <c r="E219" s="168"/>
      <c r="F219" s="168"/>
      <c r="G219" s="84"/>
      <c r="H219" s="24"/>
      <c r="I219" s="24"/>
      <c r="J219" s="24"/>
      <c r="K219" s="24"/>
      <c r="L219" s="24"/>
      <c r="M219" s="24"/>
      <c r="N219" s="24"/>
      <c r="O219" s="24"/>
      <c r="P219" s="24"/>
      <c r="Q219" s="24"/>
      <c r="R219" s="24"/>
      <c r="S219" s="25"/>
      <c r="T219" s="6"/>
      <c r="U219" s="7"/>
      <c r="V219" s="7"/>
      <c r="W219" s="7"/>
      <c r="X219" s="7"/>
      <c r="Y219" s="7"/>
      <c r="Z219" s="7"/>
      <c r="AA219" s="7"/>
      <c r="AB219" s="7"/>
      <c r="AC219" s="7"/>
      <c r="AD219" s="7"/>
      <c r="AE219" s="7"/>
      <c r="AF219" s="150" t="n">
        <f aca="false">AF218+1</f>
        <v>63</v>
      </c>
      <c r="AG219" s="150" t="n">
        <f aca="false">$AG$156+AF219*($AG$256-$AG$156)/$AF$256</f>
        <v>6.3</v>
      </c>
      <c r="AH219" s="151" t="n">
        <f aca="false">AG219*VACnom</f>
        <v>75.6</v>
      </c>
      <c r="AI219" s="152" t="n">
        <f aca="false">IF(VACnom&lt;Vbat, (Vbat-VACnom)/Vbat, Vbat/VACnom)</f>
        <v>0.0476190476190476</v>
      </c>
      <c r="AJ219" s="152" t="n">
        <f aca="false">IF(VACnom&lt;Vbat, AG219/(1-AI219), AG219*AI219)</f>
        <v>6.615</v>
      </c>
      <c r="AK219" s="152" t="n">
        <f aca="false">Ipkpk_VACnom</f>
        <v>0.285714285714285</v>
      </c>
      <c r="AL219" s="152" t="n">
        <f aca="false">SQRT(AJ219^2+AK219^2/12)</f>
        <v>6.61551416906414</v>
      </c>
      <c r="AM219" s="153"/>
      <c r="AN219" s="152" t="n">
        <f aca="false">MAX(0,Table7[[#This Row],[I_L]]-0.5*Table7[[#This Row],[I_L pkpk]])</f>
        <v>6.47214285714286</v>
      </c>
      <c r="AO219" s="152" t="n">
        <f aca="false">Table7[[#This Row],[I_L]]+0.5*Table7[[#This Row],[I_L pkpk]]</f>
        <v>6.75785714285714</v>
      </c>
      <c r="AP219" s="152" t="e">
        <f aca="false">IF(VACnom&gt;Vbat, (VGS_S-(TI_MOSFET_S_VTH_H_BU+Table7[[#This Row],[I_L]]/TI_MOSFET_S_gFS_H_BU))/3.4, (VGS_S-(TI_MOSFET_S_VTH_L_BO+Table7[[#This Row],[I_L]]/TI_MOSFET_S_gFS_L_BO))/3.4 )</f>
        <v>#REF!</v>
      </c>
      <c r="AQ219" s="152" t="e">
        <f aca="false">IF(VACnom&gt;Vbat, ((TI_MOSFET_S_VTH_H_BU+Table7[[#This Row],[I_L]]/TI_MOSFET_S_gFS_H_BU))/1, ((TI_MOSFET_S_VTH_L_BO+Table7[[#This Row],[I_L]]/TI_MOSFET_S_gFS_L_BO))/1 )</f>
        <v>#REF!</v>
      </c>
      <c r="AR219" s="152" t="e">
        <f aca="false">IF(VACnom&gt;Vbat, (TI_MOSFET_S_QGD_H_BU+TI_MOSFET_S_QGS_H_BU)*10^-9/Table7[[#This Row],[Ion (A)]], (TI_MOSFET_S_QGD_L_BO+TI_MOSFET_S_QGS_L_BO)*10^-9/Table7[[#This Row],[Ion (A)]])/10^-9</f>
        <v>#REF!</v>
      </c>
      <c r="AS219" s="152" t="e">
        <f aca="false">IF(VACnom&gt;Vbat, (TI_MOSFET_S_QGD_H_BU+TI_MOSFET_S_QGS_H_BU)*10^-9/Table7[[#This Row],[Ioff (A)]], (TI_MOSFET_S_QGD_L_BO+TI_MOSFET_S_QGS_L_BO)*10^-9/Table7[[#This Row],[Ioff (A)]])/10^-9</f>
        <v>#REF!</v>
      </c>
      <c r="AT219" s="152" t="e">
        <f aca="false">0.5*VACnom*Table7[[#This Row],[Ivalley (A)]]*Table7[[#This Row],[ton (ns)]]*10^-9*Fsw*10^3+0.5*VACnom*Table7[[#This Row],[Ipeak (A)]]*Table7[[#This Row],[toff (ns)]]*10^-9*Fsw*10^3/10^-3</f>
        <v>#REF!</v>
      </c>
      <c r="AU219" s="152" t="e">
        <f aca="false">IF(VACnom&gt;Vbat, 0.5*VACnom*TI_MOSFET_S_QOSS_H_BU*10^-9*Fsw*10^3,0.5*VACnom*TI_MOSFET_S_QOSS_L_BO*10^-9*Fsw*10^3)/10^-3</f>
        <v>#REF!</v>
      </c>
      <c r="AV219" s="152" t="e">
        <f aca="false">IF(VACnom&gt;Vbat, VACnom*TI_MOSFET_S_QG_H_BU*10^-9*Fsw*10^3,VACnom*TI_MOSFET_S_QG_H_BO*10^-9*Fsw*10^3)/10^-3</f>
        <v>#REF!</v>
      </c>
      <c r="AW219" s="152" t="e">
        <f aca="false">IF(VACnom&gt;Vbat, VACnom*TI_MOSFET_S_QRR_L_BU*10^-9*Fsw*10^3, VACnom*TI_MOSFET_S_QRR_H_BO*10^-9*Fsw*10^3)/10^-3</f>
        <v>#REF!</v>
      </c>
      <c r="AX219" s="152" t="e">
        <f aca="false">IF(VACnom&gt;Vbat, TI_MOSFET_S_VSD_L_BU*Table7[[#This Row],[Ivalley (A)]]*Fsw*10^3*40*10^-9+TI_MOSFET_S_VSD_L_BU*Table7[[#This Row],[Ipeak (A)]]*Fsw*10^3*30*10^-9, TI_MOSFET_S_VSD_H_BO*Table7[[#This Row],[Ivalley (A)]]*Fsw*10^3*40*10^-9+TI_MOSFET_S_VSD_H_BO*Table7[[#This Row],[Ipeak (A)]]*Fsw*10^3*30*10^-9)/10^-3</f>
        <v>#REF!</v>
      </c>
      <c r="AY219" s="152" t="e">
        <f aca="false">IF(VACnom&gt;Vbat, VACnom*TI_MOSFET_S_QG_L_BU*10^-9*Fsw*10^3, VACnom*TI_MOSFET_S_QG_L_BO*10^-9*Fsw*10^3)/10^-3</f>
        <v>#REF!</v>
      </c>
      <c r="AZ219" s="152" t="e">
        <f aca="false">IF(VACnom&lt;Vbat, Table7[[#This Row],[Duty Cycle]]*Table7[[#This Row],[I_L RMS]]^2*TI_MOSFET_S_RDSON_H_BU*10^-3, (1-Table7[[#This Row],[Duty Cycle]])*Table7[[#This Row],[I_L RMS]]^2*TI_MOSFET_S_RDSON_H_BO*10^-3)/10^-3</f>
        <v>#REF!</v>
      </c>
      <c r="BA219" s="152" t="e">
        <f aca="false">IF(VACnom&gt;Vbat, Table7[[#This Row],[PIV (mW)]]+Table7[[#This Row],[Pqoss (mW)]]+Table7[[#This Row],[Pgate_top (mW)]], Table7[[#This Row],[PRR (mW)]]+Table7[[#This Row],[Pdead (mW)]]+Table7[[#This Row],[Pgate_top (mW)]])</f>
        <v>#REF!</v>
      </c>
      <c r="BB219" s="152" t="e">
        <f aca="false">Table7[[#This Row],[Pcon_top (mW)]]+Table7[[#This Row],[Psw_top (mW)]]</f>
        <v>#REF!</v>
      </c>
      <c r="BC219" s="152" t="e">
        <f aca="false">IF(VACnom&gt;Vbat, (1-Table7[[#This Row],[Duty Cycle]])*Table7[[#This Row],[I_L RMS]]^2*TI_MOSFET_S_RDSON_L_BU*10^-3, Table7[[#This Row],[Duty Cycle]]*Table7[[#This Row],[I_L RMS]]^2*TI_MOSFET_S_RDSON_L_BO*10^-3)/10^-3</f>
        <v>#REF!</v>
      </c>
      <c r="BD219" s="152" t="e">
        <f aca="false">IF(VACnom&gt;Vbat, Table7[[#This Row],[PRR (mW)]]+Table7[[#This Row],[Pdead (mW)]]+Table7[[#This Row],[Pgate_bottom (mW)]], Table7[[#This Row],[PIV (mW)]]+Table7[[#This Row],[Pqoss (mW)]]+Table7[[#This Row],[Pgate_bottom (mW)]])</f>
        <v>#REF!</v>
      </c>
      <c r="BE219" s="154" t="e">
        <f aca="false">Table7[[#This Row],[Pcon_bottom (mW)]]+Table7[[#This Row],[Psw_bottom (mW)]]</f>
        <v>#REF!</v>
      </c>
      <c r="BF219" s="152" t="e">
        <f aca="false">Table7[[#This Row],[Pbottom (mW)]]+Table7[[#This Row],[Ptop (mW)]]</f>
        <v>#REF!</v>
      </c>
      <c r="BG219" s="155"/>
      <c r="BH219" s="152" t="n">
        <f aca="false">MAX(0,Table7[[#This Row],[I_L]]-0.5*Table7[[#This Row],[I_L pkpk]])</f>
        <v>6.47214285714286</v>
      </c>
      <c r="BI219" s="152" t="n">
        <f aca="false">Table7[[#This Row],[I_L]]+0.5*Table7[[#This Row],[I_L pkpk]]</f>
        <v>6.75785714285714</v>
      </c>
      <c r="BJ219" s="152" t="n">
        <f aca="false">IF(VACnom&gt;Vbat, (VGS_S-(C_MOSFET_S_VTH_H_BU+Table7[[#This Row],[I_L]]/C_MOSFET_S_gFS_H_BU))/3.4, (VGS_S-(C_MOSFET_S_VTH_L_BO+Table7[[#This Row],[I_L]]/C_MOSFET_S_gFS_L_BO))/3.4 )</f>
        <v>2.33997058823529</v>
      </c>
      <c r="BK219" s="152" t="n">
        <f aca="false">IF(VACnom&gt;Vbat, ((C_MOSFET_S_VTH_H_BU+Table7[[#This Row],[I_L]]/C_MOSFET_S_gFS_H_BU))/1, ((C_MOSFET_S_VTH_L_BO+Table7[[#This Row],[I_L]]/C_MOSFET_S_gFS_L_BO))/1 )</f>
        <v>2.0441</v>
      </c>
      <c r="BL219" s="152" t="n">
        <f aca="false">IF(VACnom&gt;Vbat, (C_MOSFET_S_QGD_H_BU+C_MOSFET_S_QGS_H_BU)*10^-9/Table7[[#This Row],[Ion (A) C]], (C_MOSFET_S_QGD_L_BO+C_MOSFET_S_QGS_L_BO)*10^-9/Table7[[#This Row],[Ion (A) C]])/10^-9</f>
        <v>2.77781269246723</v>
      </c>
      <c r="BM219" s="152" t="n">
        <f aca="false">IF(VACnom&gt;Vbat, (C_MOSFET_S_QGD_H_BU+C_MOSFET_S_QGS_H_BU)*10^-9/Table7[[#This Row],[Ioff (A) C]], (C_MOSFET_S_QGD_L_BO+C_MOSFET_S_QGS_L_BO)*10^-9/Table7[[#This Row],[Ioff (A) C]])/10^-9</f>
        <v>3.17988356734015</v>
      </c>
      <c r="BN219" s="152" t="n">
        <f aca="false">0.5*VACnom*Table7[[#This Row],[Ivalley (A) C]]*Table7[[#This Row],[ton (ns) C]]*10^-9*Fsw*10^3+0.5*VACnom*Table7[[#This Row],[Ipeak (A) C]]*Table7[[#This Row],[toff (ns) C]]*10^-9*Fsw*10^3/10^-3</f>
        <v>25.8086127354957</v>
      </c>
      <c r="BO219" s="152" t="n">
        <f aca="false">IF(VACnom&gt;Vbat, 0.5*VACnom*C_MOSFET_S_QOSS_H_BU*10^-9*Fsw*10^3,0.5*VACnom*C_MOSFET_S_QOSS_L_BO*10^-9*Fsw*10^3)/10^-3</f>
        <v>43.2</v>
      </c>
      <c r="BP219" s="152" t="e">
        <f aca="false">IF(VACnom&gt;Vbat, VACnom*C_MOSFET_S_QG_H_BU*10^-9*Fsw*10^3,VACnom*C_MOSFET_S_QG_H_BO*10^-9*Fsw*10^3)/10^-3</f>
        <v>#REF!</v>
      </c>
      <c r="BQ219" s="152" t="n">
        <f aca="false">IF(VACnom&gt;Vbat, VACnom*C_MOSFET_S_QRR_L_BU*10^-9*Fsw*10^3, VACnom*C_MOSFET_S_QRR_H_BO*10^-9*Fsw*10^3)/10^-3</f>
        <v>79.2</v>
      </c>
      <c r="BR219" s="152" t="n">
        <f aca="false">IF(VACnom&gt;Vbat, C_MOSFET_S_VSD_L_BU*Table7[[#This Row],[Ivalley (A) C]]*Fsw*10^3*40*10^-9+C_MOSFET_S_VSD_L_BU*Table7[[#This Row],[Ipeak (A) C]]*Fsw*10^3*30*10^-9, C_MOSFET_S_VSD_H_BO*Table7[[#This Row],[Ivalley (A) C]]*Fsw*10^3*40*10^-9+C_MOSFET_S_VSD_H_BO*Table7[[#This Row],[Ipeak (A) C]]*Fsw*10^3*30*10^-9)/10^-3</f>
        <v>73.8594285714286</v>
      </c>
      <c r="BS219" s="152" t="e">
        <f aca="false">IF(VACnom&gt;Vbat, VACnom*C_MOSFET_S_QG_L_BU*10^-9*Fsw*10^3, VACnom*C_MOSFET_S_QG_L_BO*10^-9*Fsw*10^3)/10^-3</f>
        <v>#REF!</v>
      </c>
      <c r="BT219" s="152" t="n">
        <f aca="false">IF(VACnom&lt;Vbat, Table7[[#This Row],[Duty Cycle]]*Table7[[#This Row],[I_L RMS]]^2*C_MOSFET_S_RDSON_H_BU*10^-3, (1-Table7[[#This Row],[Duty Cycle]])*Table7[[#This Row],[I_L RMS]]^2*C_MOSFET_S_RDSON_H_BO*10^-3)/10^-3</f>
        <v>11.8790789528669</v>
      </c>
      <c r="BU219" s="152" t="e">
        <f aca="false">IF(VACnom&gt;Vbat, Table7[[#This Row],[PIV (mW) C]]+Table7[[#This Row],[PQoss (mW) C]]+Table7[[#This Row],[Pgate_top (mW) C]], Table7[[#This Row],[PRR (mW) C]]+Table7[[#This Row],[Pdead (mW) C]]+Table7[[#This Row],[Pgate_top (mW) C]])</f>
        <v>#REF!</v>
      </c>
      <c r="BV219" s="152" t="e">
        <f aca="false">Table7[[#This Row],[Pcon_top (mW) C]]+Table7[[#This Row],[Psw_top (mW) C]]</f>
        <v>#REF!</v>
      </c>
      <c r="BW219" s="152" t="e">
        <f aca="false">IF(VACnom&gt;Vbat, (1-Table7[[#This Row],[Duty Cycle]])*Table7[[#This Row],[I_L RMS]]^2*C_MOSFET_S_RDSON_L_BU*10^-3, Table7[[#This Row],[Duty Cycle]]*Table7[[#This Row],[I_L RMS]]^2*C_MOSFET_S_RDSON_L_BO*10^-3)/10^-3</f>
        <v>#REF!</v>
      </c>
      <c r="BX219" s="152" t="e">
        <f aca="false">IF(VACnom&gt;Vbat, Table7[[#This Row],[PRR (mW) C]]+Table7[[#This Row],[Pdead (mW) C]]+Table7[[#This Row],[Pgate_bottom (mW) C]], Table7[[#This Row],[PIV (mW) C]]+Table7[[#This Row],[PQoss (mW) C]]+Table7[[#This Row],[Pgate_bottom (mW) C]])</f>
        <v>#REF!</v>
      </c>
      <c r="BY219" s="152" t="e">
        <f aca="false">Table7[[#This Row],[Pcon_bottom (mW) C]]+Table7[[#This Row],[Psw_bottom (mV) C]]</f>
        <v>#REF!</v>
      </c>
      <c r="BZ219" s="152" t="e">
        <f aca="false">Table7[[#This Row],[Pbottom (mW) C]]+Table7[[#This Row],[Ptop (mW) C]]</f>
        <v>#REF!</v>
      </c>
      <c r="CA219" s="156"/>
      <c r="CB219" s="151" t="n">
        <f aca="false">(RAC_SNS*10^-3*(Table7[[#This Row],[IOUT (A)]]*Vbat/VACnom)^2/10^-3)</f>
        <v>218.791125</v>
      </c>
      <c r="CC219" s="151" t="n">
        <f aca="false">(RBAT_SNS*10^-3*Table7[[#This Row],[IOUT (A)]]^2)/10^-3</f>
        <v>198.45</v>
      </c>
      <c r="CD219" s="151" t="n">
        <f aca="false">IF(VACnom&gt;Vbat,(L_DRC*10^-3*(Table7[[#This Row],[IOUT (A)]])^2/10^-3),(L_DRC*10^-3*(Table7[[#This Row],[IOUT (A)]]*Vbat/VACnom)^2/10^-3))</f>
        <v>525.0987</v>
      </c>
      <c r="CE219" s="157"/>
      <c r="CF219" s="152" t="n">
        <f aca="false">(Table7[[#This Row],[R_AC (mW)]]+Table7[[#This Row],[R_SR (mW)]]+Table7[[#This Row],[Inductor Loss (mW)]])/10^3</f>
        <v>0.942339825</v>
      </c>
      <c r="CG219" s="152" t="e">
        <f aca="false">Table7[[#This Row],[Total TI (mW)]]/10^3</f>
        <v>#REF!</v>
      </c>
      <c r="CH219" s="152" t="e">
        <f aca="false">Table7[[#This Row],[Total Sense Loss]]+Table7[[#This Row],[Total MOSFET Loss]]</f>
        <v>#REF!</v>
      </c>
      <c r="CI219" s="158" t="e">
        <f aca="false">IF(Table7[[#This Row],[POUT (W)]]=0,0,(Table7[[#This Row],[POUT (W)]])/(Table7[[#This Row],[POUT (W)]]+Table7[[#This Row],[Total Power Loss (W)]]))*100</f>
        <v>#REF!</v>
      </c>
      <c r="CJ219" s="159"/>
      <c r="CK219" s="152" t="n">
        <f aca="false">(Table7[[#This Row],[R_AC (mW)]]+Table7[[#This Row],[R_SR (mW)]]+Table7[[#This Row],[Inductor Loss (mW)]])/10^3</f>
        <v>0.942339825</v>
      </c>
      <c r="CL219" s="152" t="e">
        <f aca="false">Table7[[#This Row],[Total (mW) C]]/10^3</f>
        <v>#REF!</v>
      </c>
      <c r="CM219" s="152" t="e">
        <f aca="false">Table7[[#This Row],[Total Sense Loss C]]+Table7[[#This Row],[Total MOSFET Loss C]]</f>
        <v>#REF!</v>
      </c>
      <c r="CN219" s="158" t="e">
        <f aca="false">IF(Table7[[#This Row],[POUT (W)]]=0,0,(Table7[[#This Row],[POUT (W)]])/(Table7[[#This Row],[POUT (W)]]+Table7[[#This Row],[Total Power Loss (W) C]]))*100</f>
        <v>#REF!</v>
      </c>
      <c r="CO219" s="159"/>
      <c r="CP219" s="158" t="n">
        <f aca="false">IF(MOSFET_S=Custom_MOSFET,Table7[[#This Row],[Total Sense Loss C]],Table7[[#This Row],[Total Sense Loss]])</f>
        <v>0.942339825</v>
      </c>
      <c r="CQ219" s="158" t="e">
        <f aca="false">IF(MOSFET_S=Custom_MOSFET,Table7[[#This Row],[Total MOSFET Loss C]],Table7[[#This Row],[Total MOSFET Loss]])</f>
        <v>#REF!</v>
      </c>
      <c r="CR219" s="158" t="e">
        <f aca="false">IF(MOSFET_S=Custom_MOSFET,Table7[[#This Row],[Efficiency C]],Table7[[#This Row],[Efficiency]])</f>
        <v>#REF!</v>
      </c>
      <c r="CS219" s="159"/>
      <c r="CT219" s="158" t="n">
        <f aca="false">IF(MOSFET_S=Compare_MOSFET, Table7[[#This Row],[Total Sense Loss C]], -100)</f>
        <v>-100</v>
      </c>
      <c r="CU219" s="158" t="n">
        <f aca="false">IF(MOSFET_S=Compare_MOSFET, Table7[[#This Row],[Total MOSFET Loss C]], -100)</f>
        <v>-100</v>
      </c>
      <c r="CV219" s="158" t="n">
        <f aca="false">IF(MOSFET_S=Compare_MOSFET, Table7[[#This Row],[Efficiency C]], -100)</f>
        <v>-100</v>
      </c>
      <c r="CW219" s="159"/>
      <c r="CX219" s="158" t="e">
        <f aca="false">IF(Save_Sel=CLR_Save,  Table7[[#This Row],[Total Sense Loss P1]], Table7[[#This Row],[Total Sense Loss P1 Saved]])</f>
        <v>#VALUE!</v>
      </c>
      <c r="CY219" s="158" t="e">
        <f aca="false">IF(Save_Sel=CLR_Save,  Table7[[#This Row],[Total MOSFET Loss P1]], Table7[[#This Row],[Total MOSFET Loss P1 Saved]] )</f>
        <v>#VALUE!</v>
      </c>
      <c r="CZ219" s="158" t="e">
        <f aca="false">IF(Save_Sel=CLR_Save, Table7[[#This Row],[Efficiency P1]], Table7[[#This Row],[Efficiency P1 Saved]])</f>
        <v>#VALUE!</v>
      </c>
      <c r="DA219" s="159"/>
      <c r="DB219" s="158" t="e">
        <f aca="false">IF(Save_Sel=CLR_Save,  Table7[[#This Row],[Total Sense Loss P2]], Table7[[#This Row],[Total Sense Loss P2 Saved]])</f>
        <v>#VALUE!</v>
      </c>
      <c r="DC219" s="158" t="e">
        <f aca="false">IF(Save_Sel=CLR_Save,  Table7[[#This Row],[Total MOSFET Loss P2]], Table7[[#This Row],[Total MOSFET Loss P2 Saved]] )</f>
        <v>#VALUE!</v>
      </c>
      <c r="DD219" s="158" t="e">
        <f aca="false">IF(Save_Sel=CLR_Save, Table7[[#This Row],[Efficiency P2]], Table7[[#This Row],[Efficiency P2 Saved]])</f>
        <v>#VALUE!</v>
      </c>
      <c r="DE219" s="159"/>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row>
    <row r="220" customFormat="false" ht="16.4" hidden="false" customHeight="false" outlineLevel="0" collapsed="false">
      <c r="A220" s="28"/>
      <c r="B220" s="84"/>
      <c r="C220" s="84"/>
      <c r="D220" s="28"/>
      <c r="E220" s="168"/>
      <c r="F220" s="168"/>
      <c r="G220" s="84"/>
      <c r="H220" s="24"/>
      <c r="I220" s="24"/>
      <c r="J220" s="24"/>
      <c r="K220" s="24"/>
      <c r="L220" s="24"/>
      <c r="M220" s="24"/>
      <c r="N220" s="24"/>
      <c r="O220" s="24"/>
      <c r="P220" s="24"/>
      <c r="Q220" s="24"/>
      <c r="R220" s="24"/>
      <c r="S220" s="25"/>
      <c r="T220" s="6"/>
      <c r="U220" s="7"/>
      <c r="V220" s="7"/>
      <c r="W220" s="7"/>
      <c r="X220" s="7"/>
      <c r="Y220" s="7"/>
      <c r="Z220" s="7"/>
      <c r="AA220" s="7"/>
      <c r="AB220" s="7"/>
      <c r="AC220" s="7"/>
      <c r="AD220" s="7"/>
      <c r="AE220" s="7"/>
      <c r="AF220" s="150" t="n">
        <f aca="false">AF219+1</f>
        <v>64</v>
      </c>
      <c r="AG220" s="150" t="n">
        <f aca="false">$AG$156+AF220*($AG$256-$AG$156)/$AF$256</f>
        <v>6.4</v>
      </c>
      <c r="AH220" s="151" t="n">
        <f aca="false">AG220*VACnom</f>
        <v>76.8</v>
      </c>
      <c r="AI220" s="152" t="n">
        <f aca="false">IF(VACnom&lt;Vbat, (Vbat-VACnom)/Vbat, Vbat/VACnom)</f>
        <v>0.0476190476190476</v>
      </c>
      <c r="AJ220" s="152" t="n">
        <f aca="false">IF(VACnom&lt;Vbat, AG220/(1-AI220), AG220*AI220)</f>
        <v>6.72</v>
      </c>
      <c r="AK220" s="152" t="n">
        <f aca="false">Ipkpk_VACnom</f>
        <v>0.285714285714285</v>
      </c>
      <c r="AL220" s="152" t="n">
        <f aca="false">SQRT(AJ220^2+AK220^2/12)</f>
        <v>6.72050613578237</v>
      </c>
      <c r="AM220" s="153"/>
      <c r="AN220" s="152" t="n">
        <f aca="false">MAX(0,Table7[[#This Row],[I_L]]-0.5*Table7[[#This Row],[I_L pkpk]])</f>
        <v>6.57714285714286</v>
      </c>
      <c r="AO220" s="152" t="n">
        <f aca="false">Table7[[#This Row],[I_L]]+0.5*Table7[[#This Row],[I_L pkpk]]</f>
        <v>6.86285714285714</v>
      </c>
      <c r="AP220" s="152" t="e">
        <f aca="false">IF(VACnom&gt;Vbat, (VGS_S-(TI_MOSFET_S_VTH_H_BU+Table7[[#This Row],[I_L]]/TI_MOSFET_S_gFS_H_BU))/3.4, (VGS_S-(TI_MOSFET_S_VTH_L_BO+Table7[[#This Row],[I_L]]/TI_MOSFET_S_gFS_L_BO))/3.4 )</f>
        <v>#REF!</v>
      </c>
      <c r="AQ220" s="152" t="e">
        <f aca="false">IF(VACnom&gt;Vbat, ((TI_MOSFET_S_VTH_H_BU+Table7[[#This Row],[I_L]]/TI_MOSFET_S_gFS_H_BU))/1, ((TI_MOSFET_S_VTH_L_BO+Table7[[#This Row],[I_L]]/TI_MOSFET_S_gFS_L_BO))/1 )</f>
        <v>#REF!</v>
      </c>
      <c r="AR220" s="152" t="e">
        <f aca="false">IF(VACnom&gt;Vbat, (TI_MOSFET_S_QGD_H_BU+TI_MOSFET_S_QGS_H_BU)*10^-9/Table7[[#This Row],[Ion (A)]], (TI_MOSFET_S_QGD_L_BO+TI_MOSFET_S_QGS_L_BO)*10^-9/Table7[[#This Row],[Ion (A)]])/10^-9</f>
        <v>#REF!</v>
      </c>
      <c r="AS220" s="152" t="e">
        <f aca="false">IF(VACnom&gt;Vbat, (TI_MOSFET_S_QGD_H_BU+TI_MOSFET_S_QGS_H_BU)*10^-9/Table7[[#This Row],[Ioff (A)]], (TI_MOSFET_S_QGD_L_BO+TI_MOSFET_S_QGS_L_BO)*10^-9/Table7[[#This Row],[Ioff (A)]])/10^-9</f>
        <v>#REF!</v>
      </c>
      <c r="AT220" s="152" t="e">
        <f aca="false">0.5*VACnom*Table7[[#This Row],[Ivalley (A)]]*Table7[[#This Row],[ton (ns)]]*10^-9*Fsw*10^3+0.5*VACnom*Table7[[#This Row],[Ipeak (A)]]*Table7[[#This Row],[toff (ns)]]*10^-9*Fsw*10^3/10^-3</f>
        <v>#REF!</v>
      </c>
      <c r="AU220" s="152" t="e">
        <f aca="false">IF(VACnom&gt;Vbat, 0.5*VACnom*TI_MOSFET_S_QOSS_H_BU*10^-9*Fsw*10^3,0.5*VACnom*TI_MOSFET_S_QOSS_L_BO*10^-9*Fsw*10^3)/10^-3</f>
        <v>#REF!</v>
      </c>
      <c r="AV220" s="152" t="e">
        <f aca="false">IF(VACnom&gt;Vbat, VACnom*TI_MOSFET_S_QG_H_BU*10^-9*Fsw*10^3,VACnom*TI_MOSFET_S_QG_H_BO*10^-9*Fsw*10^3)/10^-3</f>
        <v>#REF!</v>
      </c>
      <c r="AW220" s="152" t="e">
        <f aca="false">IF(VACnom&gt;Vbat, VACnom*TI_MOSFET_S_QRR_L_BU*10^-9*Fsw*10^3, VACnom*TI_MOSFET_S_QRR_H_BO*10^-9*Fsw*10^3)/10^-3</f>
        <v>#REF!</v>
      </c>
      <c r="AX220" s="152" t="e">
        <f aca="false">IF(VACnom&gt;Vbat, TI_MOSFET_S_VSD_L_BU*Table7[[#This Row],[Ivalley (A)]]*Fsw*10^3*40*10^-9+TI_MOSFET_S_VSD_L_BU*Table7[[#This Row],[Ipeak (A)]]*Fsw*10^3*30*10^-9, TI_MOSFET_S_VSD_H_BO*Table7[[#This Row],[Ivalley (A)]]*Fsw*10^3*40*10^-9+TI_MOSFET_S_VSD_H_BO*Table7[[#This Row],[Ipeak (A)]]*Fsw*10^3*30*10^-9)/10^-3</f>
        <v>#REF!</v>
      </c>
      <c r="AY220" s="152" t="e">
        <f aca="false">IF(VACnom&gt;Vbat, VACnom*TI_MOSFET_S_QG_L_BU*10^-9*Fsw*10^3, VACnom*TI_MOSFET_S_QG_L_BO*10^-9*Fsw*10^3)/10^-3</f>
        <v>#REF!</v>
      </c>
      <c r="AZ220" s="152" t="e">
        <f aca="false">IF(VACnom&lt;Vbat, Table7[[#This Row],[Duty Cycle]]*Table7[[#This Row],[I_L RMS]]^2*TI_MOSFET_S_RDSON_H_BU*10^-3, (1-Table7[[#This Row],[Duty Cycle]])*Table7[[#This Row],[I_L RMS]]^2*TI_MOSFET_S_RDSON_H_BO*10^-3)/10^-3</f>
        <v>#REF!</v>
      </c>
      <c r="BA220" s="152" t="e">
        <f aca="false">IF(VACnom&gt;Vbat, Table7[[#This Row],[PIV (mW)]]+Table7[[#This Row],[Pqoss (mW)]]+Table7[[#This Row],[Pgate_top (mW)]], Table7[[#This Row],[PRR (mW)]]+Table7[[#This Row],[Pdead (mW)]]+Table7[[#This Row],[Pgate_top (mW)]])</f>
        <v>#REF!</v>
      </c>
      <c r="BB220" s="152" t="e">
        <f aca="false">Table7[[#This Row],[Pcon_top (mW)]]+Table7[[#This Row],[Psw_top (mW)]]</f>
        <v>#REF!</v>
      </c>
      <c r="BC220" s="152" t="e">
        <f aca="false">IF(VACnom&gt;Vbat, (1-Table7[[#This Row],[Duty Cycle]])*Table7[[#This Row],[I_L RMS]]^2*TI_MOSFET_S_RDSON_L_BU*10^-3, Table7[[#This Row],[Duty Cycle]]*Table7[[#This Row],[I_L RMS]]^2*TI_MOSFET_S_RDSON_L_BO*10^-3)/10^-3</f>
        <v>#REF!</v>
      </c>
      <c r="BD220" s="152" t="e">
        <f aca="false">IF(VACnom&gt;Vbat, Table7[[#This Row],[PRR (mW)]]+Table7[[#This Row],[Pdead (mW)]]+Table7[[#This Row],[Pgate_bottom (mW)]], Table7[[#This Row],[PIV (mW)]]+Table7[[#This Row],[Pqoss (mW)]]+Table7[[#This Row],[Pgate_bottom (mW)]])</f>
        <v>#REF!</v>
      </c>
      <c r="BE220" s="154" t="e">
        <f aca="false">Table7[[#This Row],[Pcon_bottom (mW)]]+Table7[[#This Row],[Psw_bottom (mW)]]</f>
        <v>#REF!</v>
      </c>
      <c r="BF220" s="152" t="e">
        <f aca="false">Table7[[#This Row],[Pbottom (mW)]]+Table7[[#This Row],[Ptop (mW)]]</f>
        <v>#REF!</v>
      </c>
      <c r="BG220" s="155"/>
      <c r="BH220" s="152" t="n">
        <f aca="false">MAX(0,Table7[[#This Row],[I_L]]-0.5*Table7[[#This Row],[I_L pkpk]])</f>
        <v>6.57714285714286</v>
      </c>
      <c r="BI220" s="152" t="n">
        <f aca="false">Table7[[#This Row],[I_L]]+0.5*Table7[[#This Row],[I_L pkpk]]</f>
        <v>6.86285714285714</v>
      </c>
      <c r="BJ220" s="152" t="n">
        <f aca="false">IF(VACnom&gt;Vbat, (VGS_S-(C_MOSFET_S_VTH_H_BU+Table7[[#This Row],[I_L]]/C_MOSFET_S_gFS_H_BU))/3.4, (VGS_S-(C_MOSFET_S_VTH_L_BO+Table7[[#This Row],[I_L]]/C_MOSFET_S_gFS_L_BO))/3.4 )</f>
        <v>2.33976470588235</v>
      </c>
      <c r="BK220" s="152" t="n">
        <f aca="false">IF(VACnom&gt;Vbat, ((C_MOSFET_S_VTH_H_BU+Table7[[#This Row],[I_L]]/C_MOSFET_S_gFS_H_BU))/1, ((C_MOSFET_S_VTH_L_BO+Table7[[#This Row],[I_L]]/C_MOSFET_S_gFS_L_BO))/1 )</f>
        <v>2.0448</v>
      </c>
      <c r="BL220" s="152" t="n">
        <f aca="false">IF(VACnom&gt;Vbat, (C_MOSFET_S_QGD_H_BU+C_MOSFET_S_QGS_H_BU)*10^-9/Table7[[#This Row],[Ion (A) C]], (C_MOSFET_S_QGD_L_BO+C_MOSFET_S_QGS_L_BO)*10^-9/Table7[[#This Row],[Ion (A) C]])/10^-9</f>
        <v>2.77805711987128</v>
      </c>
      <c r="BM220" s="152" t="n">
        <f aca="false">IF(VACnom&gt;Vbat, (C_MOSFET_S_QGD_H_BU+C_MOSFET_S_QGS_H_BU)*10^-9/Table7[[#This Row],[Ioff (A) C]], (C_MOSFET_S_QGD_L_BO+C_MOSFET_S_QGS_L_BO)*10^-9/Table7[[#This Row],[Ioff (A) C]])/10^-9</f>
        <v>3.17879499217527</v>
      </c>
      <c r="BN220" s="152" t="n">
        <f aca="false">0.5*VACnom*Table7[[#This Row],[Ivalley (A) C]]*Table7[[#This Row],[ton (ns) C]]*10^-9*Fsw*10^3+0.5*VACnom*Table7[[#This Row],[Ipeak (A) C]]*Table7[[#This Row],[toff (ns) C]]*10^-9*Fsw*10^3/10^-3</f>
        <v>26.2006651155256</v>
      </c>
      <c r="BO220" s="152" t="n">
        <f aca="false">IF(VACnom&gt;Vbat, 0.5*VACnom*C_MOSFET_S_QOSS_H_BU*10^-9*Fsw*10^3,0.5*VACnom*C_MOSFET_S_QOSS_L_BO*10^-9*Fsw*10^3)/10^-3</f>
        <v>43.2</v>
      </c>
      <c r="BP220" s="152" t="e">
        <f aca="false">IF(VACnom&gt;Vbat, VACnom*C_MOSFET_S_QG_H_BU*10^-9*Fsw*10^3,VACnom*C_MOSFET_S_QG_H_BO*10^-9*Fsw*10^3)/10^-3</f>
        <v>#REF!</v>
      </c>
      <c r="BQ220" s="152" t="n">
        <f aca="false">IF(VACnom&gt;Vbat, VACnom*C_MOSFET_S_QRR_L_BU*10^-9*Fsw*10^3, VACnom*C_MOSFET_S_QRR_H_BO*10^-9*Fsw*10^3)/10^-3</f>
        <v>79.2</v>
      </c>
      <c r="BR220" s="152" t="n">
        <f aca="false">IF(VACnom&gt;Vbat, C_MOSFET_S_VSD_L_BU*Table7[[#This Row],[Ivalley (A) C]]*Fsw*10^3*40*10^-9+C_MOSFET_S_VSD_L_BU*Table7[[#This Row],[Ipeak (A) C]]*Fsw*10^3*30*10^-9, C_MOSFET_S_VSD_H_BO*Table7[[#This Row],[Ivalley (A) C]]*Fsw*10^3*40*10^-9+C_MOSFET_S_VSD_H_BO*Table7[[#This Row],[Ipeak (A) C]]*Fsw*10^3*30*10^-9)/10^-3</f>
        <v>75.0354285714286</v>
      </c>
      <c r="BS220" s="152" t="e">
        <f aca="false">IF(VACnom&gt;Vbat, VACnom*C_MOSFET_S_QG_L_BU*10^-9*Fsw*10^3, VACnom*C_MOSFET_S_QG_L_BO*10^-9*Fsw*10^3)/10^-3</f>
        <v>#REF!</v>
      </c>
      <c r="BT220" s="152" t="n">
        <f aca="false">IF(VACnom&lt;Vbat, Table7[[#This Row],[Duty Cycle]]*Table7[[#This Row],[I_L RMS]]^2*C_MOSFET_S_RDSON_H_BU*10^-3, (1-Table7[[#This Row],[Duty Cycle]])*Table7[[#This Row],[I_L RMS]]^2*C_MOSFET_S_RDSON_H_BO*10^-3)/10^-3</f>
        <v>12.2591264528669</v>
      </c>
      <c r="BU220" s="152" t="e">
        <f aca="false">IF(VACnom&gt;Vbat, Table7[[#This Row],[PIV (mW) C]]+Table7[[#This Row],[PQoss (mW) C]]+Table7[[#This Row],[Pgate_top (mW) C]], Table7[[#This Row],[PRR (mW) C]]+Table7[[#This Row],[Pdead (mW) C]]+Table7[[#This Row],[Pgate_top (mW) C]])</f>
        <v>#REF!</v>
      </c>
      <c r="BV220" s="152" t="e">
        <f aca="false">Table7[[#This Row],[Pcon_top (mW) C]]+Table7[[#This Row],[Psw_top (mW) C]]</f>
        <v>#REF!</v>
      </c>
      <c r="BW220" s="152" t="e">
        <f aca="false">IF(VACnom&gt;Vbat, (1-Table7[[#This Row],[Duty Cycle]])*Table7[[#This Row],[I_L RMS]]^2*C_MOSFET_S_RDSON_L_BU*10^-3, Table7[[#This Row],[Duty Cycle]]*Table7[[#This Row],[I_L RMS]]^2*C_MOSFET_S_RDSON_L_BO*10^-3)/10^-3</f>
        <v>#REF!</v>
      </c>
      <c r="BX220" s="152" t="e">
        <f aca="false">IF(VACnom&gt;Vbat, Table7[[#This Row],[PRR (mW) C]]+Table7[[#This Row],[Pdead (mW) C]]+Table7[[#This Row],[Pgate_bottom (mW) C]], Table7[[#This Row],[PIV (mW) C]]+Table7[[#This Row],[PQoss (mW) C]]+Table7[[#This Row],[Pgate_bottom (mW) C]])</f>
        <v>#REF!</v>
      </c>
      <c r="BY220" s="152" t="e">
        <f aca="false">Table7[[#This Row],[Pcon_bottom (mW) C]]+Table7[[#This Row],[Psw_bottom (mV) C]]</f>
        <v>#REF!</v>
      </c>
      <c r="BZ220" s="152" t="e">
        <f aca="false">Table7[[#This Row],[Pbottom (mW) C]]+Table7[[#This Row],[Ptop (mW) C]]</f>
        <v>#REF!</v>
      </c>
      <c r="CA220" s="156"/>
      <c r="CB220" s="151" t="n">
        <f aca="false">(RAC_SNS*10^-3*(Table7[[#This Row],[IOUT (A)]]*Vbat/VACnom)^2/10^-3)</f>
        <v>225.792</v>
      </c>
      <c r="CC220" s="151" t="n">
        <f aca="false">(RBAT_SNS*10^-3*Table7[[#This Row],[IOUT (A)]]^2)/10^-3</f>
        <v>204.8</v>
      </c>
      <c r="CD220" s="151" t="n">
        <f aca="false">IF(VACnom&gt;Vbat,(L_DRC*10^-3*(Table7[[#This Row],[IOUT (A)]])^2/10^-3),(L_DRC*10^-3*(Table7[[#This Row],[IOUT (A)]]*Vbat/VACnom)^2/10^-3))</f>
        <v>541.9008</v>
      </c>
      <c r="CE220" s="157"/>
      <c r="CF220" s="152" t="n">
        <f aca="false">(Table7[[#This Row],[R_AC (mW)]]+Table7[[#This Row],[R_SR (mW)]]+Table7[[#This Row],[Inductor Loss (mW)]])/10^3</f>
        <v>0.9724928</v>
      </c>
      <c r="CG220" s="152" t="e">
        <f aca="false">Table7[[#This Row],[Total TI (mW)]]/10^3</f>
        <v>#REF!</v>
      </c>
      <c r="CH220" s="152" t="e">
        <f aca="false">Table7[[#This Row],[Total Sense Loss]]+Table7[[#This Row],[Total MOSFET Loss]]</f>
        <v>#REF!</v>
      </c>
      <c r="CI220" s="158" t="e">
        <f aca="false">IF(Table7[[#This Row],[POUT (W)]]=0,0,(Table7[[#This Row],[POUT (W)]])/(Table7[[#This Row],[POUT (W)]]+Table7[[#This Row],[Total Power Loss (W)]]))*100</f>
        <v>#REF!</v>
      </c>
      <c r="CJ220" s="159"/>
      <c r="CK220" s="152" t="n">
        <f aca="false">(Table7[[#This Row],[R_AC (mW)]]+Table7[[#This Row],[R_SR (mW)]]+Table7[[#This Row],[Inductor Loss (mW)]])/10^3</f>
        <v>0.9724928</v>
      </c>
      <c r="CL220" s="152" t="e">
        <f aca="false">Table7[[#This Row],[Total (mW) C]]/10^3</f>
        <v>#REF!</v>
      </c>
      <c r="CM220" s="152" t="e">
        <f aca="false">Table7[[#This Row],[Total Sense Loss C]]+Table7[[#This Row],[Total MOSFET Loss C]]</f>
        <v>#REF!</v>
      </c>
      <c r="CN220" s="158" t="e">
        <f aca="false">IF(Table7[[#This Row],[POUT (W)]]=0,0,(Table7[[#This Row],[POUT (W)]])/(Table7[[#This Row],[POUT (W)]]+Table7[[#This Row],[Total Power Loss (W) C]]))*100</f>
        <v>#REF!</v>
      </c>
      <c r="CO220" s="159"/>
      <c r="CP220" s="158" t="n">
        <f aca="false">IF(MOSFET_S=Custom_MOSFET,Table7[[#This Row],[Total Sense Loss C]],Table7[[#This Row],[Total Sense Loss]])</f>
        <v>0.9724928</v>
      </c>
      <c r="CQ220" s="158" t="e">
        <f aca="false">IF(MOSFET_S=Custom_MOSFET,Table7[[#This Row],[Total MOSFET Loss C]],Table7[[#This Row],[Total MOSFET Loss]])</f>
        <v>#REF!</v>
      </c>
      <c r="CR220" s="158" t="e">
        <f aca="false">IF(MOSFET_S=Custom_MOSFET,Table7[[#This Row],[Efficiency C]],Table7[[#This Row],[Efficiency]])</f>
        <v>#REF!</v>
      </c>
      <c r="CS220" s="159"/>
      <c r="CT220" s="158" t="n">
        <f aca="false">IF(MOSFET_S=Compare_MOSFET, Table7[[#This Row],[Total Sense Loss C]], -100)</f>
        <v>-100</v>
      </c>
      <c r="CU220" s="158" t="n">
        <f aca="false">IF(MOSFET_S=Compare_MOSFET, Table7[[#This Row],[Total MOSFET Loss C]], -100)</f>
        <v>-100</v>
      </c>
      <c r="CV220" s="158" t="n">
        <f aca="false">IF(MOSFET_S=Compare_MOSFET, Table7[[#This Row],[Efficiency C]], -100)</f>
        <v>-100</v>
      </c>
      <c r="CW220" s="159"/>
      <c r="CX220" s="158" t="e">
        <f aca="false">IF(Save_Sel=CLR_Save,  Table7[[#This Row],[Total Sense Loss P1]], Table7[[#This Row],[Total Sense Loss P1 Saved]])</f>
        <v>#VALUE!</v>
      </c>
      <c r="CY220" s="158" t="e">
        <f aca="false">IF(Save_Sel=CLR_Save,  Table7[[#This Row],[Total MOSFET Loss P1]], Table7[[#This Row],[Total MOSFET Loss P1 Saved]] )</f>
        <v>#VALUE!</v>
      </c>
      <c r="CZ220" s="158" t="e">
        <f aca="false">IF(Save_Sel=CLR_Save, Table7[[#This Row],[Efficiency P1]], Table7[[#This Row],[Efficiency P1 Saved]])</f>
        <v>#VALUE!</v>
      </c>
      <c r="DA220" s="159"/>
      <c r="DB220" s="158" t="e">
        <f aca="false">IF(Save_Sel=CLR_Save,  Table7[[#This Row],[Total Sense Loss P2]], Table7[[#This Row],[Total Sense Loss P2 Saved]])</f>
        <v>#VALUE!</v>
      </c>
      <c r="DC220" s="158" t="e">
        <f aca="false">IF(Save_Sel=CLR_Save,  Table7[[#This Row],[Total MOSFET Loss P2]], Table7[[#This Row],[Total MOSFET Loss P2 Saved]] )</f>
        <v>#VALUE!</v>
      </c>
      <c r="DD220" s="158" t="e">
        <f aca="false">IF(Save_Sel=CLR_Save, Table7[[#This Row],[Efficiency P2]], Table7[[#This Row],[Efficiency P2 Saved]])</f>
        <v>#VALUE!</v>
      </c>
      <c r="DE220" s="159"/>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row>
    <row r="221" customFormat="false" ht="16.4" hidden="false" customHeight="false" outlineLevel="0" collapsed="false">
      <c r="A221" s="77"/>
      <c r="B221" s="84"/>
      <c r="C221" s="84"/>
      <c r="D221" s="28"/>
      <c r="E221" s="168"/>
      <c r="F221" s="168"/>
      <c r="G221" s="84"/>
      <c r="H221" s="24"/>
      <c r="I221" s="24"/>
      <c r="J221" s="24"/>
      <c r="K221" s="24"/>
      <c r="L221" s="24"/>
      <c r="M221" s="24"/>
      <c r="N221" s="24"/>
      <c r="O221" s="24"/>
      <c r="P221" s="24"/>
      <c r="Q221" s="24"/>
      <c r="R221" s="24"/>
      <c r="S221" s="25"/>
      <c r="T221" s="6"/>
      <c r="U221" s="7"/>
      <c r="V221" s="7"/>
      <c r="W221" s="7"/>
      <c r="X221" s="7"/>
      <c r="Y221" s="7"/>
      <c r="Z221" s="7"/>
      <c r="AA221" s="7"/>
      <c r="AB221" s="7"/>
      <c r="AC221" s="7"/>
      <c r="AD221" s="7"/>
      <c r="AE221" s="7"/>
      <c r="AF221" s="150" t="n">
        <f aca="false">AF220+1</f>
        <v>65</v>
      </c>
      <c r="AG221" s="150" t="n">
        <f aca="false">$AG$156+AF221*($AG$256-$AG$156)/$AF$256</f>
        <v>6.5</v>
      </c>
      <c r="AH221" s="151" t="n">
        <f aca="false">AG221*VACnom</f>
        <v>78</v>
      </c>
      <c r="AI221" s="152" t="n">
        <f aca="false">IF(VACnom&lt;Vbat, (Vbat-VACnom)/Vbat, Vbat/VACnom)</f>
        <v>0.0476190476190476</v>
      </c>
      <c r="AJ221" s="152" t="n">
        <f aca="false">IF(VACnom&lt;Vbat, AG221/(1-AI221), AG221*AI221)</f>
        <v>6.825</v>
      </c>
      <c r="AK221" s="152" t="n">
        <f aca="false">Ipkpk_VACnom</f>
        <v>0.285714285714285</v>
      </c>
      <c r="AL221" s="152" t="n">
        <f aca="false">SQRT(AJ221^2+AK221^2/12)</f>
        <v>6.82549834965099</v>
      </c>
      <c r="AM221" s="153"/>
      <c r="AN221" s="152" t="n">
        <f aca="false">MAX(0,Table7[[#This Row],[I_L]]-0.5*Table7[[#This Row],[I_L pkpk]])</f>
        <v>6.68214285714286</v>
      </c>
      <c r="AO221" s="152" t="n">
        <f aca="false">Table7[[#This Row],[I_L]]+0.5*Table7[[#This Row],[I_L pkpk]]</f>
        <v>6.96785714285714</v>
      </c>
      <c r="AP221" s="152" t="e">
        <f aca="false">IF(VACnom&gt;Vbat, (VGS_S-(TI_MOSFET_S_VTH_H_BU+Table7[[#This Row],[I_L]]/TI_MOSFET_S_gFS_H_BU))/3.4, (VGS_S-(TI_MOSFET_S_VTH_L_BO+Table7[[#This Row],[I_L]]/TI_MOSFET_S_gFS_L_BO))/3.4 )</f>
        <v>#REF!</v>
      </c>
      <c r="AQ221" s="152" t="e">
        <f aca="false">IF(VACnom&gt;Vbat, ((TI_MOSFET_S_VTH_H_BU+Table7[[#This Row],[I_L]]/TI_MOSFET_S_gFS_H_BU))/1, ((TI_MOSFET_S_VTH_L_BO+Table7[[#This Row],[I_L]]/TI_MOSFET_S_gFS_L_BO))/1 )</f>
        <v>#REF!</v>
      </c>
      <c r="AR221" s="152" t="e">
        <f aca="false">IF(VACnom&gt;Vbat, (TI_MOSFET_S_QGD_H_BU+TI_MOSFET_S_QGS_H_BU)*10^-9/Table7[[#This Row],[Ion (A)]], (TI_MOSFET_S_QGD_L_BO+TI_MOSFET_S_QGS_L_BO)*10^-9/Table7[[#This Row],[Ion (A)]])/10^-9</f>
        <v>#REF!</v>
      </c>
      <c r="AS221" s="152" t="e">
        <f aca="false">IF(VACnom&gt;Vbat, (TI_MOSFET_S_QGD_H_BU+TI_MOSFET_S_QGS_H_BU)*10^-9/Table7[[#This Row],[Ioff (A)]], (TI_MOSFET_S_QGD_L_BO+TI_MOSFET_S_QGS_L_BO)*10^-9/Table7[[#This Row],[Ioff (A)]])/10^-9</f>
        <v>#REF!</v>
      </c>
      <c r="AT221" s="152" t="e">
        <f aca="false">0.5*VACnom*Table7[[#This Row],[Ivalley (A)]]*Table7[[#This Row],[ton (ns)]]*10^-9*Fsw*10^3+0.5*VACnom*Table7[[#This Row],[Ipeak (A)]]*Table7[[#This Row],[toff (ns)]]*10^-9*Fsw*10^3/10^-3</f>
        <v>#REF!</v>
      </c>
      <c r="AU221" s="152" t="e">
        <f aca="false">IF(VACnom&gt;Vbat, 0.5*VACnom*TI_MOSFET_S_QOSS_H_BU*10^-9*Fsw*10^3,0.5*VACnom*TI_MOSFET_S_QOSS_L_BO*10^-9*Fsw*10^3)/10^-3</f>
        <v>#REF!</v>
      </c>
      <c r="AV221" s="152" t="e">
        <f aca="false">IF(VACnom&gt;Vbat, VACnom*TI_MOSFET_S_QG_H_BU*10^-9*Fsw*10^3,VACnom*TI_MOSFET_S_QG_H_BO*10^-9*Fsw*10^3)/10^-3</f>
        <v>#REF!</v>
      </c>
      <c r="AW221" s="152" t="e">
        <f aca="false">IF(VACnom&gt;Vbat, VACnom*TI_MOSFET_S_QRR_L_BU*10^-9*Fsw*10^3, VACnom*TI_MOSFET_S_QRR_H_BO*10^-9*Fsw*10^3)/10^-3</f>
        <v>#REF!</v>
      </c>
      <c r="AX221" s="152" t="e">
        <f aca="false">IF(VACnom&gt;Vbat, TI_MOSFET_S_VSD_L_BU*Table7[[#This Row],[Ivalley (A)]]*Fsw*10^3*40*10^-9+TI_MOSFET_S_VSD_L_BU*Table7[[#This Row],[Ipeak (A)]]*Fsw*10^3*30*10^-9, TI_MOSFET_S_VSD_H_BO*Table7[[#This Row],[Ivalley (A)]]*Fsw*10^3*40*10^-9+TI_MOSFET_S_VSD_H_BO*Table7[[#This Row],[Ipeak (A)]]*Fsw*10^3*30*10^-9)/10^-3</f>
        <v>#REF!</v>
      </c>
      <c r="AY221" s="152" t="e">
        <f aca="false">IF(VACnom&gt;Vbat, VACnom*TI_MOSFET_S_QG_L_BU*10^-9*Fsw*10^3, VACnom*TI_MOSFET_S_QG_L_BO*10^-9*Fsw*10^3)/10^-3</f>
        <v>#REF!</v>
      </c>
      <c r="AZ221" s="152" t="e">
        <f aca="false">IF(VACnom&lt;Vbat, Table7[[#This Row],[Duty Cycle]]*Table7[[#This Row],[I_L RMS]]^2*TI_MOSFET_S_RDSON_H_BU*10^-3, (1-Table7[[#This Row],[Duty Cycle]])*Table7[[#This Row],[I_L RMS]]^2*TI_MOSFET_S_RDSON_H_BO*10^-3)/10^-3</f>
        <v>#REF!</v>
      </c>
      <c r="BA221" s="152" t="e">
        <f aca="false">IF(VACnom&gt;Vbat, Table7[[#This Row],[PIV (mW)]]+Table7[[#This Row],[Pqoss (mW)]]+Table7[[#This Row],[Pgate_top (mW)]], Table7[[#This Row],[PRR (mW)]]+Table7[[#This Row],[Pdead (mW)]]+Table7[[#This Row],[Pgate_top (mW)]])</f>
        <v>#REF!</v>
      </c>
      <c r="BB221" s="152" t="e">
        <f aca="false">Table7[[#This Row],[Pcon_top (mW)]]+Table7[[#This Row],[Psw_top (mW)]]</f>
        <v>#REF!</v>
      </c>
      <c r="BC221" s="152" t="e">
        <f aca="false">IF(VACnom&gt;Vbat, (1-Table7[[#This Row],[Duty Cycle]])*Table7[[#This Row],[I_L RMS]]^2*TI_MOSFET_S_RDSON_L_BU*10^-3, Table7[[#This Row],[Duty Cycle]]*Table7[[#This Row],[I_L RMS]]^2*TI_MOSFET_S_RDSON_L_BO*10^-3)/10^-3</f>
        <v>#REF!</v>
      </c>
      <c r="BD221" s="152" t="e">
        <f aca="false">IF(VACnom&gt;Vbat, Table7[[#This Row],[PRR (mW)]]+Table7[[#This Row],[Pdead (mW)]]+Table7[[#This Row],[Pgate_bottom (mW)]], Table7[[#This Row],[PIV (mW)]]+Table7[[#This Row],[Pqoss (mW)]]+Table7[[#This Row],[Pgate_bottom (mW)]])</f>
        <v>#REF!</v>
      </c>
      <c r="BE221" s="154" t="e">
        <f aca="false">Table7[[#This Row],[Pcon_bottom (mW)]]+Table7[[#This Row],[Psw_bottom (mW)]]</f>
        <v>#REF!</v>
      </c>
      <c r="BF221" s="152" t="e">
        <f aca="false">Table7[[#This Row],[Pbottom (mW)]]+Table7[[#This Row],[Ptop (mW)]]</f>
        <v>#REF!</v>
      </c>
      <c r="BG221" s="155"/>
      <c r="BH221" s="152" t="n">
        <f aca="false">MAX(0,Table7[[#This Row],[I_L]]-0.5*Table7[[#This Row],[I_L pkpk]])</f>
        <v>6.68214285714286</v>
      </c>
      <c r="BI221" s="152" t="n">
        <f aca="false">Table7[[#This Row],[I_L]]+0.5*Table7[[#This Row],[I_L pkpk]]</f>
        <v>6.96785714285714</v>
      </c>
      <c r="BJ221" s="152" t="n">
        <f aca="false">IF(VACnom&gt;Vbat, (VGS_S-(C_MOSFET_S_VTH_H_BU+Table7[[#This Row],[I_L]]/C_MOSFET_S_gFS_H_BU))/3.4, (VGS_S-(C_MOSFET_S_VTH_L_BO+Table7[[#This Row],[I_L]]/C_MOSFET_S_gFS_L_BO))/3.4 )</f>
        <v>2.33955882352941</v>
      </c>
      <c r="BK221" s="152" t="n">
        <f aca="false">IF(VACnom&gt;Vbat, ((C_MOSFET_S_VTH_H_BU+Table7[[#This Row],[I_L]]/C_MOSFET_S_gFS_H_BU))/1, ((C_MOSFET_S_VTH_L_BO+Table7[[#This Row],[I_L]]/C_MOSFET_S_gFS_L_BO))/1 )</f>
        <v>2.0455</v>
      </c>
      <c r="BL221" s="152" t="n">
        <f aca="false">IF(VACnom&gt;Vbat, (C_MOSFET_S_QGD_H_BU+C_MOSFET_S_QGS_H_BU)*10^-9/Table7[[#This Row],[Ion (A) C]], (C_MOSFET_S_QGD_L_BO+C_MOSFET_S_QGS_L_BO)*10^-9/Table7[[#This Row],[Ion (A) C]])/10^-9</f>
        <v>2.7783015902948</v>
      </c>
      <c r="BM221" s="152" t="n">
        <f aca="false">IF(VACnom&gt;Vbat, (C_MOSFET_S_QGD_H_BU+C_MOSFET_S_QGS_H_BU)*10^-9/Table7[[#This Row],[Ioff (A) C]], (C_MOSFET_S_QGD_L_BO+C_MOSFET_S_QGS_L_BO)*10^-9/Table7[[#This Row],[Ioff (A) C]])/10^-9</f>
        <v>3.17770716206307</v>
      </c>
      <c r="BN221" s="152" t="n">
        <f aca="false">0.5*VACnom*Table7[[#This Row],[Ivalley (A) C]]*Table7[[#This Row],[ton (ns) C]]*10^-9*Fsw*10^3+0.5*VACnom*Table7[[#This Row],[Ipeak (A) C]]*Table7[[#This Row],[toff (ns) C]]*10^-9*Fsw*10^3/10^-3</f>
        <v>26.5924494662592</v>
      </c>
      <c r="BO221" s="152" t="n">
        <f aca="false">IF(VACnom&gt;Vbat, 0.5*VACnom*C_MOSFET_S_QOSS_H_BU*10^-9*Fsw*10^3,0.5*VACnom*C_MOSFET_S_QOSS_L_BO*10^-9*Fsw*10^3)/10^-3</f>
        <v>43.2</v>
      </c>
      <c r="BP221" s="152" t="e">
        <f aca="false">IF(VACnom&gt;Vbat, VACnom*C_MOSFET_S_QG_H_BU*10^-9*Fsw*10^3,VACnom*C_MOSFET_S_QG_H_BO*10^-9*Fsw*10^3)/10^-3</f>
        <v>#REF!</v>
      </c>
      <c r="BQ221" s="152" t="n">
        <f aca="false">IF(VACnom&gt;Vbat, VACnom*C_MOSFET_S_QRR_L_BU*10^-9*Fsw*10^3, VACnom*C_MOSFET_S_QRR_H_BO*10^-9*Fsw*10^3)/10^-3</f>
        <v>79.2</v>
      </c>
      <c r="BR221" s="152" t="n">
        <f aca="false">IF(VACnom&gt;Vbat, C_MOSFET_S_VSD_L_BU*Table7[[#This Row],[Ivalley (A) C]]*Fsw*10^3*40*10^-9+C_MOSFET_S_VSD_L_BU*Table7[[#This Row],[Ipeak (A) C]]*Fsw*10^3*30*10^-9, C_MOSFET_S_VSD_H_BO*Table7[[#This Row],[Ivalley (A) C]]*Fsw*10^3*40*10^-9+C_MOSFET_S_VSD_H_BO*Table7[[#This Row],[Ipeak (A) C]]*Fsw*10^3*30*10^-9)/10^-3</f>
        <v>76.2114285714286</v>
      </c>
      <c r="BS221" s="152" t="e">
        <f aca="false">IF(VACnom&gt;Vbat, VACnom*C_MOSFET_S_QG_L_BU*10^-9*Fsw*10^3, VACnom*C_MOSFET_S_QG_L_BO*10^-9*Fsw*10^3)/10^-3</f>
        <v>#REF!</v>
      </c>
      <c r="BT221" s="152" t="n">
        <f aca="false">IF(VACnom&lt;Vbat, Table7[[#This Row],[Duty Cycle]]*Table7[[#This Row],[I_L RMS]]^2*C_MOSFET_S_RDSON_H_BU*10^-3, (1-Table7[[#This Row],[Duty Cycle]])*Table7[[#This Row],[I_L RMS]]^2*C_MOSFET_S_RDSON_H_BO*10^-3)/10^-3</f>
        <v>12.6451589528669</v>
      </c>
      <c r="BU221" s="152" t="e">
        <f aca="false">IF(VACnom&gt;Vbat, Table7[[#This Row],[PIV (mW) C]]+Table7[[#This Row],[PQoss (mW) C]]+Table7[[#This Row],[Pgate_top (mW) C]], Table7[[#This Row],[PRR (mW) C]]+Table7[[#This Row],[Pdead (mW) C]]+Table7[[#This Row],[Pgate_top (mW) C]])</f>
        <v>#REF!</v>
      </c>
      <c r="BV221" s="152" t="e">
        <f aca="false">Table7[[#This Row],[Pcon_top (mW) C]]+Table7[[#This Row],[Psw_top (mW) C]]</f>
        <v>#REF!</v>
      </c>
      <c r="BW221" s="152" t="e">
        <f aca="false">IF(VACnom&gt;Vbat, (1-Table7[[#This Row],[Duty Cycle]])*Table7[[#This Row],[I_L RMS]]^2*C_MOSFET_S_RDSON_L_BU*10^-3, Table7[[#This Row],[Duty Cycle]]*Table7[[#This Row],[I_L RMS]]^2*C_MOSFET_S_RDSON_L_BO*10^-3)/10^-3</f>
        <v>#REF!</v>
      </c>
      <c r="BX221" s="152" t="e">
        <f aca="false">IF(VACnom&gt;Vbat, Table7[[#This Row],[PRR (mW) C]]+Table7[[#This Row],[Pdead (mW) C]]+Table7[[#This Row],[Pgate_bottom (mW) C]], Table7[[#This Row],[PIV (mW) C]]+Table7[[#This Row],[PQoss (mW) C]]+Table7[[#This Row],[Pgate_bottom (mW) C]])</f>
        <v>#REF!</v>
      </c>
      <c r="BY221" s="152" t="e">
        <f aca="false">Table7[[#This Row],[Pcon_bottom (mW) C]]+Table7[[#This Row],[Psw_bottom (mV) C]]</f>
        <v>#REF!</v>
      </c>
      <c r="BZ221" s="152" t="e">
        <f aca="false">Table7[[#This Row],[Pbottom (mW) C]]+Table7[[#This Row],[Ptop (mW) C]]</f>
        <v>#REF!</v>
      </c>
      <c r="CA221" s="156"/>
      <c r="CB221" s="151" t="n">
        <f aca="false">(RAC_SNS*10^-3*(Table7[[#This Row],[IOUT (A)]]*Vbat/VACnom)^2/10^-3)</f>
        <v>232.903125</v>
      </c>
      <c r="CC221" s="151" t="n">
        <f aca="false">(RBAT_SNS*10^-3*Table7[[#This Row],[IOUT (A)]]^2)/10^-3</f>
        <v>211.25</v>
      </c>
      <c r="CD221" s="151" t="n">
        <f aca="false">IF(VACnom&gt;Vbat,(L_DRC*10^-3*(Table7[[#This Row],[IOUT (A)]])^2/10^-3),(L_DRC*10^-3*(Table7[[#This Row],[IOUT (A)]]*Vbat/VACnom)^2/10^-3))</f>
        <v>558.9675</v>
      </c>
      <c r="CE221" s="157"/>
      <c r="CF221" s="152" t="n">
        <f aca="false">(Table7[[#This Row],[R_AC (mW)]]+Table7[[#This Row],[R_SR (mW)]]+Table7[[#This Row],[Inductor Loss (mW)]])/10^3</f>
        <v>1.003120625</v>
      </c>
      <c r="CG221" s="152" t="e">
        <f aca="false">Table7[[#This Row],[Total TI (mW)]]/10^3</f>
        <v>#REF!</v>
      </c>
      <c r="CH221" s="152" t="e">
        <f aca="false">Table7[[#This Row],[Total Sense Loss]]+Table7[[#This Row],[Total MOSFET Loss]]</f>
        <v>#REF!</v>
      </c>
      <c r="CI221" s="158" t="e">
        <f aca="false">IF(Table7[[#This Row],[POUT (W)]]=0,0,(Table7[[#This Row],[POUT (W)]])/(Table7[[#This Row],[POUT (W)]]+Table7[[#This Row],[Total Power Loss (W)]]))*100</f>
        <v>#REF!</v>
      </c>
      <c r="CJ221" s="159"/>
      <c r="CK221" s="152" t="n">
        <f aca="false">(Table7[[#This Row],[R_AC (mW)]]+Table7[[#This Row],[R_SR (mW)]]+Table7[[#This Row],[Inductor Loss (mW)]])/10^3</f>
        <v>1.003120625</v>
      </c>
      <c r="CL221" s="152" t="e">
        <f aca="false">Table7[[#This Row],[Total (mW) C]]/10^3</f>
        <v>#REF!</v>
      </c>
      <c r="CM221" s="152" t="e">
        <f aca="false">Table7[[#This Row],[Total Sense Loss C]]+Table7[[#This Row],[Total MOSFET Loss C]]</f>
        <v>#REF!</v>
      </c>
      <c r="CN221" s="158" t="e">
        <f aca="false">IF(Table7[[#This Row],[POUT (W)]]=0,0,(Table7[[#This Row],[POUT (W)]])/(Table7[[#This Row],[POUT (W)]]+Table7[[#This Row],[Total Power Loss (W) C]]))*100</f>
        <v>#REF!</v>
      </c>
      <c r="CO221" s="159"/>
      <c r="CP221" s="158" t="n">
        <f aca="false">IF(MOSFET_S=Custom_MOSFET,Table7[[#This Row],[Total Sense Loss C]],Table7[[#This Row],[Total Sense Loss]])</f>
        <v>1.003120625</v>
      </c>
      <c r="CQ221" s="158" t="e">
        <f aca="false">IF(MOSFET_S=Custom_MOSFET,Table7[[#This Row],[Total MOSFET Loss C]],Table7[[#This Row],[Total MOSFET Loss]])</f>
        <v>#REF!</v>
      </c>
      <c r="CR221" s="158" t="e">
        <f aca="false">IF(MOSFET_S=Custom_MOSFET,Table7[[#This Row],[Efficiency C]],Table7[[#This Row],[Efficiency]])</f>
        <v>#REF!</v>
      </c>
      <c r="CS221" s="159"/>
      <c r="CT221" s="158" t="n">
        <f aca="false">IF(MOSFET_S=Compare_MOSFET, Table7[[#This Row],[Total Sense Loss C]], -100)</f>
        <v>-100</v>
      </c>
      <c r="CU221" s="158" t="n">
        <f aca="false">IF(MOSFET_S=Compare_MOSFET, Table7[[#This Row],[Total MOSFET Loss C]], -100)</f>
        <v>-100</v>
      </c>
      <c r="CV221" s="158" t="n">
        <f aca="false">IF(MOSFET_S=Compare_MOSFET, Table7[[#This Row],[Efficiency C]], -100)</f>
        <v>-100</v>
      </c>
      <c r="CW221" s="159"/>
      <c r="CX221" s="158" t="e">
        <f aca="false">IF(Save_Sel=CLR_Save,  Table7[[#This Row],[Total Sense Loss P1]], Table7[[#This Row],[Total Sense Loss P1 Saved]])</f>
        <v>#VALUE!</v>
      </c>
      <c r="CY221" s="158" t="e">
        <f aca="false">IF(Save_Sel=CLR_Save,  Table7[[#This Row],[Total MOSFET Loss P1]], Table7[[#This Row],[Total MOSFET Loss P1 Saved]] )</f>
        <v>#VALUE!</v>
      </c>
      <c r="CZ221" s="158" t="e">
        <f aca="false">IF(Save_Sel=CLR_Save, Table7[[#This Row],[Efficiency P1]], Table7[[#This Row],[Efficiency P1 Saved]])</f>
        <v>#VALUE!</v>
      </c>
      <c r="DA221" s="159"/>
      <c r="DB221" s="158" t="e">
        <f aca="false">IF(Save_Sel=CLR_Save,  Table7[[#This Row],[Total Sense Loss P2]], Table7[[#This Row],[Total Sense Loss P2 Saved]])</f>
        <v>#VALUE!</v>
      </c>
      <c r="DC221" s="158" t="e">
        <f aca="false">IF(Save_Sel=CLR_Save,  Table7[[#This Row],[Total MOSFET Loss P2]], Table7[[#This Row],[Total MOSFET Loss P2 Saved]] )</f>
        <v>#VALUE!</v>
      </c>
      <c r="DD221" s="158" t="e">
        <f aca="false">IF(Save_Sel=CLR_Save, Table7[[#This Row],[Efficiency P2]], Table7[[#This Row],[Efficiency P2 Saved]])</f>
        <v>#VALUE!</v>
      </c>
      <c r="DE221" s="159"/>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row>
    <row r="222" customFormat="false" ht="16.4" hidden="false" customHeight="false" outlineLevel="0" collapsed="false">
      <c r="A222" s="100"/>
      <c r="B222" s="84"/>
      <c r="C222" s="84"/>
      <c r="D222" s="28"/>
      <c r="E222" s="168"/>
      <c r="F222" s="168"/>
      <c r="G222" s="84"/>
      <c r="H222" s="24"/>
      <c r="I222" s="24"/>
      <c r="J222" s="24"/>
      <c r="K222" s="24"/>
      <c r="L222" s="24"/>
      <c r="M222" s="24"/>
      <c r="N222" s="24"/>
      <c r="O222" s="24"/>
      <c r="P222" s="24"/>
      <c r="Q222" s="24"/>
      <c r="R222" s="24"/>
      <c r="S222" s="25"/>
      <c r="T222" s="6"/>
      <c r="U222" s="7"/>
      <c r="V222" s="7"/>
      <c r="W222" s="7"/>
      <c r="X222" s="7"/>
      <c r="Y222" s="7"/>
      <c r="Z222" s="7"/>
      <c r="AA222" s="7"/>
      <c r="AB222" s="7"/>
      <c r="AC222" s="7"/>
      <c r="AD222" s="7"/>
      <c r="AE222" s="7"/>
      <c r="AF222" s="150" t="n">
        <f aca="false">AF221+1</f>
        <v>66</v>
      </c>
      <c r="AG222" s="150" t="n">
        <f aca="false">$AG$156+AF222*($AG$256-$AG$156)/$AF$256</f>
        <v>6.6</v>
      </c>
      <c r="AH222" s="151" t="n">
        <f aca="false">AG222*VACnom</f>
        <v>79.2</v>
      </c>
      <c r="AI222" s="152" t="n">
        <f aca="false">IF(VACnom&lt;Vbat, (Vbat-VACnom)/Vbat, Vbat/VACnom)</f>
        <v>0.0476190476190476</v>
      </c>
      <c r="AJ222" s="152" t="n">
        <f aca="false">IF(VACnom&lt;Vbat, AG222/(1-AI222), AG222*AI222)</f>
        <v>6.93</v>
      </c>
      <c r="AK222" s="152" t="n">
        <f aca="false">Ipkpk_VACnom</f>
        <v>0.285714285714285</v>
      </c>
      <c r="AL222" s="152" t="n">
        <f aca="false">SQRT(AJ222^2+AK222^2/12)</f>
        <v>6.93049079943754</v>
      </c>
      <c r="AM222" s="153"/>
      <c r="AN222" s="152" t="n">
        <f aca="false">MAX(0,Table7[[#This Row],[I_L]]-0.5*Table7[[#This Row],[I_L pkpk]])</f>
        <v>6.78714285714286</v>
      </c>
      <c r="AO222" s="152" t="n">
        <f aca="false">Table7[[#This Row],[I_L]]+0.5*Table7[[#This Row],[I_L pkpk]]</f>
        <v>7.07285714285714</v>
      </c>
      <c r="AP222" s="152" t="e">
        <f aca="false">IF(VACnom&gt;Vbat, (VGS_S-(TI_MOSFET_S_VTH_H_BU+Table7[[#This Row],[I_L]]/TI_MOSFET_S_gFS_H_BU))/3.4, (VGS_S-(TI_MOSFET_S_VTH_L_BO+Table7[[#This Row],[I_L]]/TI_MOSFET_S_gFS_L_BO))/3.4 )</f>
        <v>#REF!</v>
      </c>
      <c r="AQ222" s="152" t="e">
        <f aca="false">IF(VACnom&gt;Vbat, ((TI_MOSFET_S_VTH_H_BU+Table7[[#This Row],[I_L]]/TI_MOSFET_S_gFS_H_BU))/1, ((TI_MOSFET_S_VTH_L_BO+Table7[[#This Row],[I_L]]/TI_MOSFET_S_gFS_L_BO))/1 )</f>
        <v>#REF!</v>
      </c>
      <c r="AR222" s="152" t="e">
        <f aca="false">IF(VACnom&gt;Vbat, (TI_MOSFET_S_QGD_H_BU+TI_MOSFET_S_QGS_H_BU)*10^-9/Table7[[#This Row],[Ion (A)]], (TI_MOSFET_S_QGD_L_BO+TI_MOSFET_S_QGS_L_BO)*10^-9/Table7[[#This Row],[Ion (A)]])/10^-9</f>
        <v>#REF!</v>
      </c>
      <c r="AS222" s="152" t="e">
        <f aca="false">IF(VACnom&gt;Vbat, (TI_MOSFET_S_QGD_H_BU+TI_MOSFET_S_QGS_H_BU)*10^-9/Table7[[#This Row],[Ioff (A)]], (TI_MOSFET_S_QGD_L_BO+TI_MOSFET_S_QGS_L_BO)*10^-9/Table7[[#This Row],[Ioff (A)]])/10^-9</f>
        <v>#REF!</v>
      </c>
      <c r="AT222" s="152" t="e">
        <f aca="false">0.5*VACnom*Table7[[#This Row],[Ivalley (A)]]*Table7[[#This Row],[ton (ns)]]*10^-9*Fsw*10^3+0.5*VACnom*Table7[[#This Row],[Ipeak (A)]]*Table7[[#This Row],[toff (ns)]]*10^-9*Fsw*10^3/10^-3</f>
        <v>#REF!</v>
      </c>
      <c r="AU222" s="152" t="e">
        <f aca="false">IF(VACnom&gt;Vbat, 0.5*VACnom*TI_MOSFET_S_QOSS_H_BU*10^-9*Fsw*10^3,0.5*VACnom*TI_MOSFET_S_QOSS_L_BO*10^-9*Fsw*10^3)/10^-3</f>
        <v>#REF!</v>
      </c>
      <c r="AV222" s="152" t="e">
        <f aca="false">IF(VACnom&gt;Vbat, VACnom*TI_MOSFET_S_QG_H_BU*10^-9*Fsw*10^3,VACnom*TI_MOSFET_S_QG_H_BO*10^-9*Fsw*10^3)/10^-3</f>
        <v>#REF!</v>
      </c>
      <c r="AW222" s="152" t="e">
        <f aca="false">IF(VACnom&gt;Vbat, VACnom*TI_MOSFET_S_QRR_L_BU*10^-9*Fsw*10^3, VACnom*TI_MOSFET_S_QRR_H_BO*10^-9*Fsw*10^3)/10^-3</f>
        <v>#REF!</v>
      </c>
      <c r="AX222" s="152" t="e">
        <f aca="false">IF(VACnom&gt;Vbat, TI_MOSFET_S_VSD_L_BU*Table7[[#This Row],[Ivalley (A)]]*Fsw*10^3*40*10^-9+TI_MOSFET_S_VSD_L_BU*Table7[[#This Row],[Ipeak (A)]]*Fsw*10^3*30*10^-9, TI_MOSFET_S_VSD_H_BO*Table7[[#This Row],[Ivalley (A)]]*Fsw*10^3*40*10^-9+TI_MOSFET_S_VSD_H_BO*Table7[[#This Row],[Ipeak (A)]]*Fsw*10^3*30*10^-9)/10^-3</f>
        <v>#REF!</v>
      </c>
      <c r="AY222" s="152" t="e">
        <f aca="false">IF(VACnom&gt;Vbat, VACnom*TI_MOSFET_S_QG_L_BU*10^-9*Fsw*10^3, VACnom*TI_MOSFET_S_QG_L_BO*10^-9*Fsw*10^3)/10^-3</f>
        <v>#REF!</v>
      </c>
      <c r="AZ222" s="152" t="e">
        <f aca="false">IF(VACnom&lt;Vbat, Table7[[#This Row],[Duty Cycle]]*Table7[[#This Row],[I_L RMS]]^2*TI_MOSFET_S_RDSON_H_BU*10^-3, (1-Table7[[#This Row],[Duty Cycle]])*Table7[[#This Row],[I_L RMS]]^2*TI_MOSFET_S_RDSON_H_BO*10^-3)/10^-3</f>
        <v>#REF!</v>
      </c>
      <c r="BA222" s="152" t="e">
        <f aca="false">IF(VACnom&gt;Vbat, Table7[[#This Row],[PIV (mW)]]+Table7[[#This Row],[Pqoss (mW)]]+Table7[[#This Row],[Pgate_top (mW)]], Table7[[#This Row],[PRR (mW)]]+Table7[[#This Row],[Pdead (mW)]]+Table7[[#This Row],[Pgate_top (mW)]])</f>
        <v>#REF!</v>
      </c>
      <c r="BB222" s="152" t="e">
        <f aca="false">Table7[[#This Row],[Pcon_top (mW)]]+Table7[[#This Row],[Psw_top (mW)]]</f>
        <v>#REF!</v>
      </c>
      <c r="BC222" s="152" t="e">
        <f aca="false">IF(VACnom&gt;Vbat, (1-Table7[[#This Row],[Duty Cycle]])*Table7[[#This Row],[I_L RMS]]^2*TI_MOSFET_S_RDSON_L_BU*10^-3, Table7[[#This Row],[Duty Cycle]]*Table7[[#This Row],[I_L RMS]]^2*TI_MOSFET_S_RDSON_L_BO*10^-3)/10^-3</f>
        <v>#REF!</v>
      </c>
      <c r="BD222" s="152" t="e">
        <f aca="false">IF(VACnom&gt;Vbat, Table7[[#This Row],[PRR (mW)]]+Table7[[#This Row],[Pdead (mW)]]+Table7[[#This Row],[Pgate_bottom (mW)]], Table7[[#This Row],[PIV (mW)]]+Table7[[#This Row],[Pqoss (mW)]]+Table7[[#This Row],[Pgate_bottom (mW)]])</f>
        <v>#REF!</v>
      </c>
      <c r="BE222" s="154" t="e">
        <f aca="false">Table7[[#This Row],[Pcon_bottom (mW)]]+Table7[[#This Row],[Psw_bottom (mW)]]</f>
        <v>#REF!</v>
      </c>
      <c r="BF222" s="152" t="e">
        <f aca="false">Table7[[#This Row],[Pbottom (mW)]]+Table7[[#This Row],[Ptop (mW)]]</f>
        <v>#REF!</v>
      </c>
      <c r="BG222" s="155"/>
      <c r="BH222" s="152" t="n">
        <f aca="false">MAX(0,Table7[[#This Row],[I_L]]-0.5*Table7[[#This Row],[I_L pkpk]])</f>
        <v>6.78714285714286</v>
      </c>
      <c r="BI222" s="152" t="n">
        <f aca="false">Table7[[#This Row],[I_L]]+0.5*Table7[[#This Row],[I_L pkpk]]</f>
        <v>7.07285714285714</v>
      </c>
      <c r="BJ222" s="152" t="n">
        <f aca="false">IF(VACnom&gt;Vbat, (VGS_S-(C_MOSFET_S_VTH_H_BU+Table7[[#This Row],[I_L]]/C_MOSFET_S_gFS_H_BU))/3.4, (VGS_S-(C_MOSFET_S_VTH_L_BO+Table7[[#This Row],[I_L]]/C_MOSFET_S_gFS_L_BO))/3.4 )</f>
        <v>2.33935294117647</v>
      </c>
      <c r="BK222" s="152" t="n">
        <f aca="false">IF(VACnom&gt;Vbat, ((C_MOSFET_S_VTH_H_BU+Table7[[#This Row],[I_L]]/C_MOSFET_S_gFS_H_BU))/1, ((C_MOSFET_S_VTH_L_BO+Table7[[#This Row],[I_L]]/C_MOSFET_S_gFS_L_BO))/1 )</f>
        <v>2.0462</v>
      </c>
      <c r="BL222" s="152" t="n">
        <f aca="false">IF(VACnom&gt;Vbat, (C_MOSFET_S_QGD_H_BU+C_MOSFET_S_QGS_H_BU)*10^-9/Table7[[#This Row],[Ion (A) C]], (C_MOSFET_S_QGD_L_BO+C_MOSFET_S_QGS_L_BO)*10^-9/Table7[[#This Row],[Ion (A) C]])/10^-9</f>
        <v>2.77854610374915</v>
      </c>
      <c r="BM222" s="152" t="n">
        <f aca="false">IF(VACnom&gt;Vbat, (C_MOSFET_S_QGD_H_BU+C_MOSFET_S_QGS_H_BU)*10^-9/Table7[[#This Row],[Ioff (A) C]], (C_MOSFET_S_QGD_L_BO+C_MOSFET_S_QGS_L_BO)*10^-9/Table7[[#This Row],[Ioff (A) C]])/10^-9</f>
        <v>3.17662007623888</v>
      </c>
      <c r="BN222" s="152" t="n">
        <f aca="false">0.5*VACnom*Table7[[#This Row],[Ivalley (A) C]]*Table7[[#This Row],[ton (ns) C]]*10^-9*Fsw*10^3+0.5*VACnom*Table7[[#This Row],[Ipeak (A) C]]*Table7[[#This Row],[toff (ns) C]]*10^-9*Fsw*10^3/10^-3</f>
        <v>26.9839660628531</v>
      </c>
      <c r="BO222" s="152" t="n">
        <f aca="false">IF(VACnom&gt;Vbat, 0.5*VACnom*C_MOSFET_S_QOSS_H_BU*10^-9*Fsw*10^3,0.5*VACnom*C_MOSFET_S_QOSS_L_BO*10^-9*Fsw*10^3)/10^-3</f>
        <v>43.2</v>
      </c>
      <c r="BP222" s="152" t="e">
        <f aca="false">IF(VACnom&gt;Vbat, VACnom*C_MOSFET_S_QG_H_BU*10^-9*Fsw*10^3,VACnom*C_MOSFET_S_QG_H_BO*10^-9*Fsw*10^3)/10^-3</f>
        <v>#REF!</v>
      </c>
      <c r="BQ222" s="152" t="n">
        <f aca="false">IF(VACnom&gt;Vbat, VACnom*C_MOSFET_S_QRR_L_BU*10^-9*Fsw*10^3, VACnom*C_MOSFET_S_QRR_H_BO*10^-9*Fsw*10^3)/10^-3</f>
        <v>79.2</v>
      </c>
      <c r="BR222" s="152" t="n">
        <f aca="false">IF(VACnom&gt;Vbat, C_MOSFET_S_VSD_L_BU*Table7[[#This Row],[Ivalley (A) C]]*Fsw*10^3*40*10^-9+C_MOSFET_S_VSD_L_BU*Table7[[#This Row],[Ipeak (A) C]]*Fsw*10^3*30*10^-9, C_MOSFET_S_VSD_H_BO*Table7[[#This Row],[Ivalley (A) C]]*Fsw*10^3*40*10^-9+C_MOSFET_S_VSD_H_BO*Table7[[#This Row],[Ipeak (A) C]]*Fsw*10^3*30*10^-9)/10^-3</f>
        <v>77.3874285714286</v>
      </c>
      <c r="BS222" s="152" t="e">
        <f aca="false">IF(VACnom&gt;Vbat, VACnom*C_MOSFET_S_QG_L_BU*10^-9*Fsw*10^3, VACnom*C_MOSFET_S_QG_L_BO*10^-9*Fsw*10^3)/10^-3</f>
        <v>#REF!</v>
      </c>
      <c r="BT222" s="152" t="n">
        <f aca="false">IF(VACnom&lt;Vbat, Table7[[#This Row],[Duty Cycle]]*Table7[[#This Row],[I_L RMS]]^2*C_MOSFET_S_RDSON_H_BU*10^-3, (1-Table7[[#This Row],[Duty Cycle]])*Table7[[#This Row],[I_L RMS]]^2*C_MOSFET_S_RDSON_H_BO*10^-3)/10^-3</f>
        <v>13.0371764528668</v>
      </c>
      <c r="BU222" s="152" t="e">
        <f aca="false">IF(VACnom&gt;Vbat, Table7[[#This Row],[PIV (mW) C]]+Table7[[#This Row],[PQoss (mW) C]]+Table7[[#This Row],[Pgate_top (mW) C]], Table7[[#This Row],[PRR (mW) C]]+Table7[[#This Row],[Pdead (mW) C]]+Table7[[#This Row],[Pgate_top (mW) C]])</f>
        <v>#REF!</v>
      </c>
      <c r="BV222" s="152" t="e">
        <f aca="false">Table7[[#This Row],[Pcon_top (mW) C]]+Table7[[#This Row],[Psw_top (mW) C]]</f>
        <v>#REF!</v>
      </c>
      <c r="BW222" s="152" t="e">
        <f aca="false">IF(VACnom&gt;Vbat, (1-Table7[[#This Row],[Duty Cycle]])*Table7[[#This Row],[I_L RMS]]^2*C_MOSFET_S_RDSON_L_BU*10^-3, Table7[[#This Row],[Duty Cycle]]*Table7[[#This Row],[I_L RMS]]^2*C_MOSFET_S_RDSON_L_BO*10^-3)/10^-3</f>
        <v>#REF!</v>
      </c>
      <c r="BX222" s="152" t="e">
        <f aca="false">IF(VACnom&gt;Vbat, Table7[[#This Row],[PRR (mW) C]]+Table7[[#This Row],[Pdead (mW) C]]+Table7[[#This Row],[Pgate_bottom (mW) C]], Table7[[#This Row],[PIV (mW) C]]+Table7[[#This Row],[PQoss (mW) C]]+Table7[[#This Row],[Pgate_bottom (mW) C]])</f>
        <v>#REF!</v>
      </c>
      <c r="BY222" s="152" t="e">
        <f aca="false">Table7[[#This Row],[Pcon_bottom (mW) C]]+Table7[[#This Row],[Psw_bottom (mV) C]]</f>
        <v>#REF!</v>
      </c>
      <c r="BZ222" s="152" t="e">
        <f aca="false">Table7[[#This Row],[Pbottom (mW) C]]+Table7[[#This Row],[Ptop (mW) C]]</f>
        <v>#REF!</v>
      </c>
      <c r="CA222" s="156"/>
      <c r="CB222" s="151" t="n">
        <f aca="false">(RAC_SNS*10^-3*(Table7[[#This Row],[IOUT (A)]]*Vbat/VACnom)^2/10^-3)</f>
        <v>240.1245</v>
      </c>
      <c r="CC222" s="151" t="n">
        <f aca="false">(RBAT_SNS*10^-3*Table7[[#This Row],[IOUT (A)]]^2)/10^-3</f>
        <v>217.8</v>
      </c>
      <c r="CD222" s="151" t="n">
        <f aca="false">IF(VACnom&gt;Vbat,(L_DRC*10^-3*(Table7[[#This Row],[IOUT (A)]])^2/10^-3),(L_DRC*10^-3*(Table7[[#This Row],[IOUT (A)]]*Vbat/VACnom)^2/10^-3))</f>
        <v>576.2988</v>
      </c>
      <c r="CE222" s="157"/>
      <c r="CF222" s="152" t="n">
        <f aca="false">(Table7[[#This Row],[R_AC (mW)]]+Table7[[#This Row],[R_SR (mW)]]+Table7[[#This Row],[Inductor Loss (mW)]])/10^3</f>
        <v>1.0342233</v>
      </c>
      <c r="CG222" s="152" t="e">
        <f aca="false">Table7[[#This Row],[Total TI (mW)]]/10^3</f>
        <v>#REF!</v>
      </c>
      <c r="CH222" s="152" t="e">
        <f aca="false">Table7[[#This Row],[Total Sense Loss]]+Table7[[#This Row],[Total MOSFET Loss]]</f>
        <v>#REF!</v>
      </c>
      <c r="CI222" s="158" t="e">
        <f aca="false">IF(Table7[[#This Row],[POUT (W)]]=0,0,(Table7[[#This Row],[POUT (W)]])/(Table7[[#This Row],[POUT (W)]]+Table7[[#This Row],[Total Power Loss (W)]]))*100</f>
        <v>#REF!</v>
      </c>
      <c r="CJ222" s="159"/>
      <c r="CK222" s="152" t="n">
        <f aca="false">(Table7[[#This Row],[R_AC (mW)]]+Table7[[#This Row],[R_SR (mW)]]+Table7[[#This Row],[Inductor Loss (mW)]])/10^3</f>
        <v>1.0342233</v>
      </c>
      <c r="CL222" s="152" t="e">
        <f aca="false">Table7[[#This Row],[Total (mW) C]]/10^3</f>
        <v>#REF!</v>
      </c>
      <c r="CM222" s="152" t="e">
        <f aca="false">Table7[[#This Row],[Total Sense Loss C]]+Table7[[#This Row],[Total MOSFET Loss C]]</f>
        <v>#REF!</v>
      </c>
      <c r="CN222" s="158" t="e">
        <f aca="false">IF(Table7[[#This Row],[POUT (W)]]=0,0,(Table7[[#This Row],[POUT (W)]])/(Table7[[#This Row],[POUT (W)]]+Table7[[#This Row],[Total Power Loss (W) C]]))*100</f>
        <v>#REF!</v>
      </c>
      <c r="CO222" s="159"/>
      <c r="CP222" s="158" t="n">
        <f aca="false">IF(MOSFET_S=Custom_MOSFET,Table7[[#This Row],[Total Sense Loss C]],Table7[[#This Row],[Total Sense Loss]])</f>
        <v>1.0342233</v>
      </c>
      <c r="CQ222" s="158" t="e">
        <f aca="false">IF(MOSFET_S=Custom_MOSFET,Table7[[#This Row],[Total MOSFET Loss C]],Table7[[#This Row],[Total MOSFET Loss]])</f>
        <v>#REF!</v>
      </c>
      <c r="CR222" s="158" t="e">
        <f aca="false">IF(MOSFET_S=Custom_MOSFET,Table7[[#This Row],[Efficiency C]],Table7[[#This Row],[Efficiency]])</f>
        <v>#REF!</v>
      </c>
      <c r="CS222" s="159"/>
      <c r="CT222" s="158" t="n">
        <f aca="false">IF(MOSFET_S=Compare_MOSFET, Table7[[#This Row],[Total Sense Loss C]], -100)</f>
        <v>-100</v>
      </c>
      <c r="CU222" s="158" t="n">
        <f aca="false">IF(MOSFET_S=Compare_MOSFET, Table7[[#This Row],[Total MOSFET Loss C]], -100)</f>
        <v>-100</v>
      </c>
      <c r="CV222" s="158" t="n">
        <f aca="false">IF(MOSFET_S=Compare_MOSFET, Table7[[#This Row],[Efficiency C]], -100)</f>
        <v>-100</v>
      </c>
      <c r="CW222" s="159"/>
      <c r="CX222" s="158" t="e">
        <f aca="false">IF(Save_Sel=CLR_Save,  Table7[[#This Row],[Total Sense Loss P1]], Table7[[#This Row],[Total Sense Loss P1 Saved]])</f>
        <v>#VALUE!</v>
      </c>
      <c r="CY222" s="158" t="e">
        <f aca="false">IF(Save_Sel=CLR_Save,  Table7[[#This Row],[Total MOSFET Loss P1]], Table7[[#This Row],[Total MOSFET Loss P1 Saved]] )</f>
        <v>#VALUE!</v>
      </c>
      <c r="CZ222" s="158" t="e">
        <f aca="false">IF(Save_Sel=CLR_Save, Table7[[#This Row],[Efficiency P1]], Table7[[#This Row],[Efficiency P1 Saved]])</f>
        <v>#VALUE!</v>
      </c>
      <c r="DA222" s="159"/>
      <c r="DB222" s="158" t="e">
        <f aca="false">IF(Save_Sel=CLR_Save,  Table7[[#This Row],[Total Sense Loss P2]], Table7[[#This Row],[Total Sense Loss P2 Saved]])</f>
        <v>#VALUE!</v>
      </c>
      <c r="DC222" s="158" t="e">
        <f aca="false">IF(Save_Sel=CLR_Save,  Table7[[#This Row],[Total MOSFET Loss P2]], Table7[[#This Row],[Total MOSFET Loss P2 Saved]] )</f>
        <v>#VALUE!</v>
      </c>
      <c r="DD222" s="158" t="e">
        <f aca="false">IF(Save_Sel=CLR_Save, Table7[[#This Row],[Efficiency P2]], Table7[[#This Row],[Efficiency P2 Saved]])</f>
        <v>#VALUE!</v>
      </c>
      <c r="DE222" s="159"/>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row>
    <row r="223" customFormat="false" ht="16.4" hidden="false" customHeight="false" outlineLevel="0" collapsed="false">
      <c r="A223" s="100"/>
      <c r="B223" s="84"/>
      <c r="C223" s="84"/>
      <c r="D223" s="41"/>
      <c r="E223" s="84"/>
      <c r="F223" s="84"/>
      <c r="G223" s="84"/>
      <c r="H223" s="24"/>
      <c r="I223" s="24"/>
      <c r="J223" s="24"/>
      <c r="K223" s="24"/>
      <c r="L223" s="24"/>
      <c r="M223" s="24"/>
      <c r="N223" s="24"/>
      <c r="O223" s="24"/>
      <c r="P223" s="24"/>
      <c r="Q223" s="24"/>
      <c r="R223" s="24"/>
      <c r="S223" s="25"/>
      <c r="T223" s="6"/>
      <c r="U223" s="7"/>
      <c r="V223" s="7"/>
      <c r="W223" s="7"/>
      <c r="X223" s="7"/>
      <c r="Y223" s="7"/>
      <c r="Z223" s="7"/>
      <c r="AA223" s="7"/>
      <c r="AB223" s="7"/>
      <c r="AC223" s="7"/>
      <c r="AD223" s="7"/>
      <c r="AE223" s="7"/>
      <c r="AF223" s="150" t="n">
        <f aca="false">AF222+1</f>
        <v>67</v>
      </c>
      <c r="AG223" s="150" t="n">
        <f aca="false">$AG$156+AF223*($AG$256-$AG$156)/$AF$256</f>
        <v>6.7</v>
      </c>
      <c r="AH223" s="151" t="n">
        <f aca="false">AG223*VACnom</f>
        <v>80.4</v>
      </c>
      <c r="AI223" s="152" t="n">
        <f aca="false">IF(VACnom&lt;Vbat, (Vbat-VACnom)/Vbat, Vbat/VACnom)</f>
        <v>0.0476190476190476</v>
      </c>
      <c r="AJ223" s="152" t="n">
        <f aca="false">IF(VACnom&lt;Vbat, AG223/(1-AI223), AG223*AI223)</f>
        <v>7.035</v>
      </c>
      <c r="AK223" s="152" t="n">
        <f aca="false">Ipkpk_VACnom</f>
        <v>0.285714285714285</v>
      </c>
      <c r="AL223" s="152" t="n">
        <f aca="false">SQRT(AJ223^2+AK223^2/12)</f>
        <v>7.03548347458001</v>
      </c>
      <c r="AM223" s="153"/>
      <c r="AN223" s="152" t="n">
        <f aca="false">MAX(0,Table7[[#This Row],[I_L]]-0.5*Table7[[#This Row],[I_L pkpk]])</f>
        <v>6.89214285714286</v>
      </c>
      <c r="AO223" s="152" t="n">
        <f aca="false">Table7[[#This Row],[I_L]]+0.5*Table7[[#This Row],[I_L pkpk]]</f>
        <v>7.17785714285714</v>
      </c>
      <c r="AP223" s="152" t="e">
        <f aca="false">IF(VACnom&gt;Vbat, (VGS_S-(TI_MOSFET_S_VTH_H_BU+Table7[[#This Row],[I_L]]/TI_MOSFET_S_gFS_H_BU))/3.4, (VGS_S-(TI_MOSFET_S_VTH_L_BO+Table7[[#This Row],[I_L]]/TI_MOSFET_S_gFS_L_BO))/3.4 )</f>
        <v>#REF!</v>
      </c>
      <c r="AQ223" s="152" t="e">
        <f aca="false">IF(VACnom&gt;Vbat, ((TI_MOSFET_S_VTH_H_BU+Table7[[#This Row],[I_L]]/TI_MOSFET_S_gFS_H_BU))/1, ((TI_MOSFET_S_VTH_L_BO+Table7[[#This Row],[I_L]]/TI_MOSFET_S_gFS_L_BO))/1 )</f>
        <v>#REF!</v>
      </c>
      <c r="AR223" s="152" t="e">
        <f aca="false">IF(VACnom&gt;Vbat, (TI_MOSFET_S_QGD_H_BU+TI_MOSFET_S_QGS_H_BU)*10^-9/Table7[[#This Row],[Ion (A)]], (TI_MOSFET_S_QGD_L_BO+TI_MOSFET_S_QGS_L_BO)*10^-9/Table7[[#This Row],[Ion (A)]])/10^-9</f>
        <v>#REF!</v>
      </c>
      <c r="AS223" s="152" t="e">
        <f aca="false">IF(VACnom&gt;Vbat, (TI_MOSFET_S_QGD_H_BU+TI_MOSFET_S_QGS_H_BU)*10^-9/Table7[[#This Row],[Ioff (A)]], (TI_MOSFET_S_QGD_L_BO+TI_MOSFET_S_QGS_L_BO)*10^-9/Table7[[#This Row],[Ioff (A)]])/10^-9</f>
        <v>#REF!</v>
      </c>
      <c r="AT223" s="152" t="e">
        <f aca="false">0.5*VACnom*Table7[[#This Row],[Ivalley (A)]]*Table7[[#This Row],[ton (ns)]]*10^-9*Fsw*10^3+0.5*VACnom*Table7[[#This Row],[Ipeak (A)]]*Table7[[#This Row],[toff (ns)]]*10^-9*Fsw*10^3/10^-3</f>
        <v>#REF!</v>
      </c>
      <c r="AU223" s="152" t="e">
        <f aca="false">IF(VACnom&gt;Vbat, 0.5*VACnom*TI_MOSFET_S_QOSS_H_BU*10^-9*Fsw*10^3,0.5*VACnom*TI_MOSFET_S_QOSS_L_BO*10^-9*Fsw*10^3)/10^-3</f>
        <v>#REF!</v>
      </c>
      <c r="AV223" s="152" t="e">
        <f aca="false">IF(VACnom&gt;Vbat, VACnom*TI_MOSFET_S_QG_H_BU*10^-9*Fsw*10^3,VACnom*TI_MOSFET_S_QG_H_BO*10^-9*Fsw*10^3)/10^-3</f>
        <v>#REF!</v>
      </c>
      <c r="AW223" s="152" t="e">
        <f aca="false">IF(VACnom&gt;Vbat, VACnom*TI_MOSFET_S_QRR_L_BU*10^-9*Fsw*10^3, VACnom*TI_MOSFET_S_QRR_H_BO*10^-9*Fsw*10^3)/10^-3</f>
        <v>#REF!</v>
      </c>
      <c r="AX223" s="152" t="e">
        <f aca="false">IF(VACnom&gt;Vbat, TI_MOSFET_S_VSD_L_BU*Table7[[#This Row],[Ivalley (A)]]*Fsw*10^3*40*10^-9+TI_MOSFET_S_VSD_L_BU*Table7[[#This Row],[Ipeak (A)]]*Fsw*10^3*30*10^-9, TI_MOSFET_S_VSD_H_BO*Table7[[#This Row],[Ivalley (A)]]*Fsw*10^3*40*10^-9+TI_MOSFET_S_VSD_H_BO*Table7[[#This Row],[Ipeak (A)]]*Fsw*10^3*30*10^-9)/10^-3</f>
        <v>#REF!</v>
      </c>
      <c r="AY223" s="152" t="e">
        <f aca="false">IF(VACnom&gt;Vbat, VACnom*TI_MOSFET_S_QG_L_BU*10^-9*Fsw*10^3, VACnom*TI_MOSFET_S_QG_L_BO*10^-9*Fsw*10^3)/10^-3</f>
        <v>#REF!</v>
      </c>
      <c r="AZ223" s="152" t="e">
        <f aca="false">IF(VACnom&lt;Vbat, Table7[[#This Row],[Duty Cycle]]*Table7[[#This Row],[I_L RMS]]^2*TI_MOSFET_S_RDSON_H_BU*10^-3, (1-Table7[[#This Row],[Duty Cycle]])*Table7[[#This Row],[I_L RMS]]^2*TI_MOSFET_S_RDSON_H_BO*10^-3)/10^-3</f>
        <v>#REF!</v>
      </c>
      <c r="BA223" s="152" t="e">
        <f aca="false">IF(VACnom&gt;Vbat, Table7[[#This Row],[PIV (mW)]]+Table7[[#This Row],[Pqoss (mW)]]+Table7[[#This Row],[Pgate_top (mW)]], Table7[[#This Row],[PRR (mW)]]+Table7[[#This Row],[Pdead (mW)]]+Table7[[#This Row],[Pgate_top (mW)]])</f>
        <v>#REF!</v>
      </c>
      <c r="BB223" s="152" t="e">
        <f aca="false">Table7[[#This Row],[Pcon_top (mW)]]+Table7[[#This Row],[Psw_top (mW)]]</f>
        <v>#REF!</v>
      </c>
      <c r="BC223" s="152" t="e">
        <f aca="false">IF(VACnom&gt;Vbat, (1-Table7[[#This Row],[Duty Cycle]])*Table7[[#This Row],[I_L RMS]]^2*TI_MOSFET_S_RDSON_L_BU*10^-3, Table7[[#This Row],[Duty Cycle]]*Table7[[#This Row],[I_L RMS]]^2*TI_MOSFET_S_RDSON_L_BO*10^-3)/10^-3</f>
        <v>#REF!</v>
      </c>
      <c r="BD223" s="152" t="e">
        <f aca="false">IF(VACnom&gt;Vbat, Table7[[#This Row],[PRR (mW)]]+Table7[[#This Row],[Pdead (mW)]]+Table7[[#This Row],[Pgate_bottom (mW)]], Table7[[#This Row],[PIV (mW)]]+Table7[[#This Row],[Pqoss (mW)]]+Table7[[#This Row],[Pgate_bottom (mW)]])</f>
        <v>#REF!</v>
      </c>
      <c r="BE223" s="154" t="e">
        <f aca="false">Table7[[#This Row],[Pcon_bottom (mW)]]+Table7[[#This Row],[Psw_bottom (mW)]]</f>
        <v>#REF!</v>
      </c>
      <c r="BF223" s="152" t="e">
        <f aca="false">Table7[[#This Row],[Pbottom (mW)]]+Table7[[#This Row],[Ptop (mW)]]</f>
        <v>#REF!</v>
      </c>
      <c r="BG223" s="155"/>
      <c r="BH223" s="152" t="n">
        <f aca="false">MAX(0,Table7[[#This Row],[I_L]]-0.5*Table7[[#This Row],[I_L pkpk]])</f>
        <v>6.89214285714286</v>
      </c>
      <c r="BI223" s="152" t="n">
        <f aca="false">Table7[[#This Row],[I_L]]+0.5*Table7[[#This Row],[I_L pkpk]]</f>
        <v>7.17785714285714</v>
      </c>
      <c r="BJ223" s="152" t="n">
        <f aca="false">IF(VACnom&gt;Vbat, (VGS_S-(C_MOSFET_S_VTH_H_BU+Table7[[#This Row],[I_L]]/C_MOSFET_S_gFS_H_BU))/3.4, (VGS_S-(C_MOSFET_S_VTH_L_BO+Table7[[#This Row],[I_L]]/C_MOSFET_S_gFS_L_BO))/3.4 )</f>
        <v>2.33914705882353</v>
      </c>
      <c r="BK223" s="152" t="n">
        <f aca="false">IF(VACnom&gt;Vbat, ((C_MOSFET_S_VTH_H_BU+Table7[[#This Row],[I_L]]/C_MOSFET_S_gFS_H_BU))/1, ((C_MOSFET_S_VTH_L_BO+Table7[[#This Row],[I_L]]/C_MOSFET_S_gFS_L_BO))/1 )</f>
        <v>2.0469</v>
      </c>
      <c r="BL223" s="152" t="n">
        <f aca="false">IF(VACnom&gt;Vbat, (C_MOSFET_S_QGD_H_BU+C_MOSFET_S_QGS_H_BU)*10^-9/Table7[[#This Row],[Ion (A) C]], (C_MOSFET_S_QGD_L_BO+C_MOSFET_S_QGS_L_BO)*10^-9/Table7[[#This Row],[Ion (A) C]])/10^-9</f>
        <v>2.77879066024569</v>
      </c>
      <c r="BM223" s="152" t="n">
        <f aca="false">IF(VACnom&gt;Vbat, (C_MOSFET_S_QGD_H_BU+C_MOSFET_S_QGS_H_BU)*10^-9/Table7[[#This Row],[Ioff (A) C]], (C_MOSFET_S_QGD_L_BO+C_MOSFET_S_QGS_L_BO)*10^-9/Table7[[#This Row],[Ioff (A) C]])/10^-9</f>
        <v>3.17553373393913</v>
      </c>
      <c r="BN223" s="152" t="n">
        <f aca="false">0.5*VACnom*Table7[[#This Row],[Ivalley (A) C]]*Table7[[#This Row],[ton (ns) C]]*10^-9*Fsw*10^3+0.5*VACnom*Table7[[#This Row],[Ipeak (A) C]]*Table7[[#This Row],[toff (ns) C]]*10^-9*Fsw*10^3/10^-3</f>
        <v>27.3752151800872</v>
      </c>
      <c r="BO223" s="152" t="n">
        <f aca="false">IF(VACnom&gt;Vbat, 0.5*VACnom*C_MOSFET_S_QOSS_H_BU*10^-9*Fsw*10^3,0.5*VACnom*C_MOSFET_S_QOSS_L_BO*10^-9*Fsw*10^3)/10^-3</f>
        <v>43.2</v>
      </c>
      <c r="BP223" s="152" t="e">
        <f aca="false">IF(VACnom&gt;Vbat, VACnom*C_MOSFET_S_QG_H_BU*10^-9*Fsw*10^3,VACnom*C_MOSFET_S_QG_H_BO*10^-9*Fsw*10^3)/10^-3</f>
        <v>#REF!</v>
      </c>
      <c r="BQ223" s="152" t="n">
        <f aca="false">IF(VACnom&gt;Vbat, VACnom*C_MOSFET_S_QRR_L_BU*10^-9*Fsw*10^3, VACnom*C_MOSFET_S_QRR_H_BO*10^-9*Fsw*10^3)/10^-3</f>
        <v>79.2</v>
      </c>
      <c r="BR223" s="152" t="n">
        <f aca="false">IF(VACnom&gt;Vbat, C_MOSFET_S_VSD_L_BU*Table7[[#This Row],[Ivalley (A) C]]*Fsw*10^3*40*10^-9+C_MOSFET_S_VSD_L_BU*Table7[[#This Row],[Ipeak (A) C]]*Fsw*10^3*30*10^-9, C_MOSFET_S_VSD_H_BO*Table7[[#This Row],[Ivalley (A) C]]*Fsw*10^3*40*10^-9+C_MOSFET_S_VSD_H_BO*Table7[[#This Row],[Ipeak (A) C]]*Fsw*10^3*30*10^-9)/10^-3</f>
        <v>78.5634285714286</v>
      </c>
      <c r="BS223" s="152" t="e">
        <f aca="false">IF(VACnom&gt;Vbat, VACnom*C_MOSFET_S_QG_L_BU*10^-9*Fsw*10^3, VACnom*C_MOSFET_S_QG_L_BO*10^-9*Fsw*10^3)/10^-3</f>
        <v>#REF!</v>
      </c>
      <c r="BT223" s="152" t="n">
        <f aca="false">IF(VACnom&lt;Vbat, Table7[[#This Row],[Duty Cycle]]*Table7[[#This Row],[I_L RMS]]^2*C_MOSFET_S_RDSON_H_BU*10^-3, (1-Table7[[#This Row],[Duty Cycle]])*Table7[[#This Row],[I_L RMS]]^2*C_MOSFET_S_RDSON_H_BO*10^-3)/10^-3</f>
        <v>13.4351789528669</v>
      </c>
      <c r="BU223" s="152" t="e">
        <f aca="false">IF(VACnom&gt;Vbat, Table7[[#This Row],[PIV (mW) C]]+Table7[[#This Row],[PQoss (mW) C]]+Table7[[#This Row],[Pgate_top (mW) C]], Table7[[#This Row],[PRR (mW) C]]+Table7[[#This Row],[Pdead (mW) C]]+Table7[[#This Row],[Pgate_top (mW) C]])</f>
        <v>#REF!</v>
      </c>
      <c r="BV223" s="152" t="e">
        <f aca="false">Table7[[#This Row],[Pcon_top (mW) C]]+Table7[[#This Row],[Psw_top (mW) C]]</f>
        <v>#REF!</v>
      </c>
      <c r="BW223" s="152" t="e">
        <f aca="false">IF(VACnom&gt;Vbat, (1-Table7[[#This Row],[Duty Cycle]])*Table7[[#This Row],[I_L RMS]]^2*C_MOSFET_S_RDSON_L_BU*10^-3, Table7[[#This Row],[Duty Cycle]]*Table7[[#This Row],[I_L RMS]]^2*C_MOSFET_S_RDSON_L_BO*10^-3)/10^-3</f>
        <v>#REF!</v>
      </c>
      <c r="BX223" s="152" t="e">
        <f aca="false">IF(VACnom&gt;Vbat, Table7[[#This Row],[PRR (mW) C]]+Table7[[#This Row],[Pdead (mW) C]]+Table7[[#This Row],[Pgate_bottom (mW) C]], Table7[[#This Row],[PIV (mW) C]]+Table7[[#This Row],[PQoss (mW) C]]+Table7[[#This Row],[Pgate_bottom (mW) C]])</f>
        <v>#REF!</v>
      </c>
      <c r="BY223" s="152" t="e">
        <f aca="false">Table7[[#This Row],[Pcon_bottom (mW) C]]+Table7[[#This Row],[Psw_bottom (mV) C]]</f>
        <v>#REF!</v>
      </c>
      <c r="BZ223" s="152" t="e">
        <f aca="false">Table7[[#This Row],[Pbottom (mW) C]]+Table7[[#This Row],[Ptop (mW) C]]</f>
        <v>#REF!</v>
      </c>
      <c r="CA223" s="156"/>
      <c r="CB223" s="151" t="n">
        <f aca="false">(RAC_SNS*10^-3*(Table7[[#This Row],[IOUT (A)]]*Vbat/VACnom)^2/10^-3)</f>
        <v>247.456125</v>
      </c>
      <c r="CC223" s="151" t="n">
        <f aca="false">(RBAT_SNS*10^-3*Table7[[#This Row],[IOUT (A)]]^2)/10^-3</f>
        <v>224.45</v>
      </c>
      <c r="CD223" s="151" t="n">
        <f aca="false">IF(VACnom&gt;Vbat,(L_DRC*10^-3*(Table7[[#This Row],[IOUT (A)]])^2/10^-3),(L_DRC*10^-3*(Table7[[#This Row],[IOUT (A)]]*Vbat/VACnom)^2/10^-3))</f>
        <v>593.8947</v>
      </c>
      <c r="CE223" s="157"/>
      <c r="CF223" s="152" t="n">
        <f aca="false">(Table7[[#This Row],[R_AC (mW)]]+Table7[[#This Row],[R_SR (mW)]]+Table7[[#This Row],[Inductor Loss (mW)]])/10^3</f>
        <v>1.065800825</v>
      </c>
      <c r="CG223" s="152" t="e">
        <f aca="false">Table7[[#This Row],[Total TI (mW)]]/10^3</f>
        <v>#REF!</v>
      </c>
      <c r="CH223" s="152" t="e">
        <f aca="false">Table7[[#This Row],[Total Sense Loss]]+Table7[[#This Row],[Total MOSFET Loss]]</f>
        <v>#REF!</v>
      </c>
      <c r="CI223" s="158" t="e">
        <f aca="false">IF(Table7[[#This Row],[POUT (W)]]=0,0,(Table7[[#This Row],[POUT (W)]])/(Table7[[#This Row],[POUT (W)]]+Table7[[#This Row],[Total Power Loss (W)]]))*100</f>
        <v>#REF!</v>
      </c>
      <c r="CJ223" s="159"/>
      <c r="CK223" s="152" t="n">
        <f aca="false">(Table7[[#This Row],[R_AC (mW)]]+Table7[[#This Row],[R_SR (mW)]]+Table7[[#This Row],[Inductor Loss (mW)]])/10^3</f>
        <v>1.065800825</v>
      </c>
      <c r="CL223" s="152" t="e">
        <f aca="false">Table7[[#This Row],[Total (mW) C]]/10^3</f>
        <v>#REF!</v>
      </c>
      <c r="CM223" s="152" t="e">
        <f aca="false">Table7[[#This Row],[Total Sense Loss C]]+Table7[[#This Row],[Total MOSFET Loss C]]</f>
        <v>#REF!</v>
      </c>
      <c r="CN223" s="158" t="e">
        <f aca="false">IF(Table7[[#This Row],[POUT (W)]]=0,0,(Table7[[#This Row],[POUT (W)]])/(Table7[[#This Row],[POUT (W)]]+Table7[[#This Row],[Total Power Loss (W) C]]))*100</f>
        <v>#REF!</v>
      </c>
      <c r="CO223" s="159"/>
      <c r="CP223" s="158" t="n">
        <f aca="false">IF(MOSFET_S=Custom_MOSFET,Table7[[#This Row],[Total Sense Loss C]],Table7[[#This Row],[Total Sense Loss]])</f>
        <v>1.065800825</v>
      </c>
      <c r="CQ223" s="158" t="e">
        <f aca="false">IF(MOSFET_S=Custom_MOSFET,Table7[[#This Row],[Total MOSFET Loss C]],Table7[[#This Row],[Total MOSFET Loss]])</f>
        <v>#REF!</v>
      </c>
      <c r="CR223" s="158" t="e">
        <f aca="false">IF(MOSFET_S=Custom_MOSFET,Table7[[#This Row],[Efficiency C]],Table7[[#This Row],[Efficiency]])</f>
        <v>#REF!</v>
      </c>
      <c r="CS223" s="159"/>
      <c r="CT223" s="158" t="n">
        <f aca="false">IF(MOSFET_S=Compare_MOSFET, Table7[[#This Row],[Total Sense Loss C]], -100)</f>
        <v>-100</v>
      </c>
      <c r="CU223" s="158" t="n">
        <f aca="false">IF(MOSFET_S=Compare_MOSFET, Table7[[#This Row],[Total MOSFET Loss C]], -100)</f>
        <v>-100</v>
      </c>
      <c r="CV223" s="158" t="n">
        <f aca="false">IF(MOSFET_S=Compare_MOSFET, Table7[[#This Row],[Efficiency C]], -100)</f>
        <v>-100</v>
      </c>
      <c r="CW223" s="159"/>
      <c r="CX223" s="158" t="e">
        <f aca="false">IF(Save_Sel=CLR_Save,  Table7[[#This Row],[Total Sense Loss P1]], Table7[[#This Row],[Total Sense Loss P1 Saved]])</f>
        <v>#VALUE!</v>
      </c>
      <c r="CY223" s="158" t="e">
        <f aca="false">IF(Save_Sel=CLR_Save,  Table7[[#This Row],[Total MOSFET Loss P1]], Table7[[#This Row],[Total MOSFET Loss P1 Saved]] )</f>
        <v>#VALUE!</v>
      </c>
      <c r="CZ223" s="158" t="e">
        <f aca="false">IF(Save_Sel=CLR_Save, Table7[[#This Row],[Efficiency P1]], Table7[[#This Row],[Efficiency P1 Saved]])</f>
        <v>#VALUE!</v>
      </c>
      <c r="DA223" s="159"/>
      <c r="DB223" s="158" t="e">
        <f aca="false">IF(Save_Sel=CLR_Save,  Table7[[#This Row],[Total Sense Loss P2]], Table7[[#This Row],[Total Sense Loss P2 Saved]])</f>
        <v>#VALUE!</v>
      </c>
      <c r="DC223" s="158" t="e">
        <f aca="false">IF(Save_Sel=CLR_Save,  Table7[[#This Row],[Total MOSFET Loss P2]], Table7[[#This Row],[Total MOSFET Loss P2 Saved]] )</f>
        <v>#VALUE!</v>
      </c>
      <c r="DD223" s="158" t="e">
        <f aca="false">IF(Save_Sel=CLR_Save, Table7[[#This Row],[Efficiency P2]], Table7[[#This Row],[Efficiency P2 Saved]])</f>
        <v>#VALUE!</v>
      </c>
      <c r="DE223" s="159"/>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row>
    <row r="224" customFormat="false" ht="16.4" hidden="false" customHeight="false" outlineLevel="0" collapsed="false">
      <c r="A224" s="100"/>
      <c r="B224" s="84"/>
      <c r="C224" s="84"/>
      <c r="D224" s="41"/>
      <c r="E224" s="84"/>
      <c r="F224" s="84"/>
      <c r="G224" s="84"/>
      <c r="H224" s="24"/>
      <c r="I224" s="24"/>
      <c r="J224" s="24"/>
      <c r="K224" s="24"/>
      <c r="L224" s="24"/>
      <c r="M224" s="24"/>
      <c r="N224" s="24"/>
      <c r="O224" s="24"/>
      <c r="P224" s="24"/>
      <c r="Q224" s="24"/>
      <c r="R224" s="24"/>
      <c r="S224" s="25"/>
      <c r="T224" s="6"/>
      <c r="U224" s="7"/>
      <c r="V224" s="7"/>
      <c r="W224" s="7"/>
      <c r="X224" s="7"/>
      <c r="Y224" s="7"/>
      <c r="Z224" s="7"/>
      <c r="AA224" s="7"/>
      <c r="AB224" s="7"/>
      <c r="AC224" s="7"/>
      <c r="AD224" s="7"/>
      <c r="AE224" s="7"/>
      <c r="AF224" s="150" t="n">
        <f aca="false">AF223+1</f>
        <v>68</v>
      </c>
      <c r="AG224" s="150" t="n">
        <f aca="false">$AG$156+AF224*($AG$256-$AG$156)/$AF$256</f>
        <v>6.8</v>
      </c>
      <c r="AH224" s="151" t="n">
        <f aca="false">AG224*VACnom</f>
        <v>81.6</v>
      </c>
      <c r="AI224" s="152" t="n">
        <f aca="false">IF(VACnom&lt;Vbat, (Vbat-VACnom)/Vbat, Vbat/VACnom)</f>
        <v>0.0476190476190476</v>
      </c>
      <c r="AJ224" s="152" t="n">
        <f aca="false">IF(VACnom&lt;Vbat, AG224/(1-AI224), AG224*AI224)</f>
        <v>7.14</v>
      </c>
      <c r="AK224" s="152" t="n">
        <f aca="false">Ipkpk_VACnom</f>
        <v>0.285714285714285</v>
      </c>
      <c r="AL224" s="152" t="n">
        <f aca="false">SQRT(AJ224^2+AK224^2/12)</f>
        <v>7.14047636513758</v>
      </c>
      <c r="AM224" s="153"/>
      <c r="AN224" s="152" t="n">
        <f aca="false">MAX(0,Table7[[#This Row],[I_L]]-0.5*Table7[[#This Row],[I_L pkpk]])</f>
        <v>6.99714285714286</v>
      </c>
      <c r="AO224" s="152" t="n">
        <f aca="false">Table7[[#This Row],[I_L]]+0.5*Table7[[#This Row],[I_L pkpk]]</f>
        <v>7.28285714285714</v>
      </c>
      <c r="AP224" s="152" t="e">
        <f aca="false">IF(VACnom&gt;Vbat, (VGS_S-(TI_MOSFET_S_VTH_H_BU+Table7[[#This Row],[I_L]]/TI_MOSFET_S_gFS_H_BU))/3.4, (VGS_S-(TI_MOSFET_S_VTH_L_BO+Table7[[#This Row],[I_L]]/TI_MOSFET_S_gFS_L_BO))/3.4 )</f>
        <v>#REF!</v>
      </c>
      <c r="AQ224" s="152" t="e">
        <f aca="false">IF(VACnom&gt;Vbat, ((TI_MOSFET_S_VTH_H_BU+Table7[[#This Row],[I_L]]/TI_MOSFET_S_gFS_H_BU))/1, ((TI_MOSFET_S_VTH_L_BO+Table7[[#This Row],[I_L]]/TI_MOSFET_S_gFS_L_BO))/1 )</f>
        <v>#REF!</v>
      </c>
      <c r="AR224" s="152" t="e">
        <f aca="false">IF(VACnom&gt;Vbat, (TI_MOSFET_S_QGD_H_BU+TI_MOSFET_S_QGS_H_BU)*10^-9/Table7[[#This Row],[Ion (A)]], (TI_MOSFET_S_QGD_L_BO+TI_MOSFET_S_QGS_L_BO)*10^-9/Table7[[#This Row],[Ion (A)]])/10^-9</f>
        <v>#REF!</v>
      </c>
      <c r="AS224" s="152" t="e">
        <f aca="false">IF(VACnom&gt;Vbat, (TI_MOSFET_S_QGD_H_BU+TI_MOSFET_S_QGS_H_BU)*10^-9/Table7[[#This Row],[Ioff (A)]], (TI_MOSFET_S_QGD_L_BO+TI_MOSFET_S_QGS_L_BO)*10^-9/Table7[[#This Row],[Ioff (A)]])/10^-9</f>
        <v>#REF!</v>
      </c>
      <c r="AT224" s="152" t="e">
        <f aca="false">0.5*VACnom*Table7[[#This Row],[Ivalley (A)]]*Table7[[#This Row],[ton (ns)]]*10^-9*Fsw*10^3+0.5*VACnom*Table7[[#This Row],[Ipeak (A)]]*Table7[[#This Row],[toff (ns)]]*10^-9*Fsw*10^3/10^-3</f>
        <v>#REF!</v>
      </c>
      <c r="AU224" s="152" t="e">
        <f aca="false">IF(VACnom&gt;Vbat, 0.5*VACnom*TI_MOSFET_S_QOSS_H_BU*10^-9*Fsw*10^3,0.5*VACnom*TI_MOSFET_S_QOSS_L_BO*10^-9*Fsw*10^3)/10^-3</f>
        <v>#REF!</v>
      </c>
      <c r="AV224" s="152" t="e">
        <f aca="false">IF(VACnom&gt;Vbat, VACnom*TI_MOSFET_S_QG_H_BU*10^-9*Fsw*10^3,VACnom*TI_MOSFET_S_QG_H_BO*10^-9*Fsw*10^3)/10^-3</f>
        <v>#REF!</v>
      </c>
      <c r="AW224" s="152" t="e">
        <f aca="false">IF(VACnom&gt;Vbat, VACnom*TI_MOSFET_S_QRR_L_BU*10^-9*Fsw*10^3, VACnom*TI_MOSFET_S_QRR_H_BO*10^-9*Fsw*10^3)/10^-3</f>
        <v>#REF!</v>
      </c>
      <c r="AX224" s="152" t="e">
        <f aca="false">IF(VACnom&gt;Vbat, TI_MOSFET_S_VSD_L_BU*Table7[[#This Row],[Ivalley (A)]]*Fsw*10^3*40*10^-9+TI_MOSFET_S_VSD_L_BU*Table7[[#This Row],[Ipeak (A)]]*Fsw*10^3*30*10^-9, TI_MOSFET_S_VSD_H_BO*Table7[[#This Row],[Ivalley (A)]]*Fsw*10^3*40*10^-9+TI_MOSFET_S_VSD_H_BO*Table7[[#This Row],[Ipeak (A)]]*Fsw*10^3*30*10^-9)/10^-3</f>
        <v>#REF!</v>
      </c>
      <c r="AY224" s="152" t="e">
        <f aca="false">IF(VACnom&gt;Vbat, VACnom*TI_MOSFET_S_QG_L_BU*10^-9*Fsw*10^3, VACnom*TI_MOSFET_S_QG_L_BO*10^-9*Fsw*10^3)/10^-3</f>
        <v>#REF!</v>
      </c>
      <c r="AZ224" s="152" t="e">
        <f aca="false">IF(VACnom&lt;Vbat, Table7[[#This Row],[Duty Cycle]]*Table7[[#This Row],[I_L RMS]]^2*TI_MOSFET_S_RDSON_H_BU*10^-3, (1-Table7[[#This Row],[Duty Cycle]])*Table7[[#This Row],[I_L RMS]]^2*TI_MOSFET_S_RDSON_H_BO*10^-3)/10^-3</f>
        <v>#REF!</v>
      </c>
      <c r="BA224" s="152" t="e">
        <f aca="false">IF(VACnom&gt;Vbat, Table7[[#This Row],[PIV (mW)]]+Table7[[#This Row],[Pqoss (mW)]]+Table7[[#This Row],[Pgate_top (mW)]], Table7[[#This Row],[PRR (mW)]]+Table7[[#This Row],[Pdead (mW)]]+Table7[[#This Row],[Pgate_top (mW)]])</f>
        <v>#REF!</v>
      </c>
      <c r="BB224" s="152" t="e">
        <f aca="false">Table7[[#This Row],[Pcon_top (mW)]]+Table7[[#This Row],[Psw_top (mW)]]</f>
        <v>#REF!</v>
      </c>
      <c r="BC224" s="152" t="e">
        <f aca="false">IF(VACnom&gt;Vbat, (1-Table7[[#This Row],[Duty Cycle]])*Table7[[#This Row],[I_L RMS]]^2*TI_MOSFET_S_RDSON_L_BU*10^-3, Table7[[#This Row],[Duty Cycle]]*Table7[[#This Row],[I_L RMS]]^2*TI_MOSFET_S_RDSON_L_BO*10^-3)/10^-3</f>
        <v>#REF!</v>
      </c>
      <c r="BD224" s="152" t="e">
        <f aca="false">IF(VACnom&gt;Vbat, Table7[[#This Row],[PRR (mW)]]+Table7[[#This Row],[Pdead (mW)]]+Table7[[#This Row],[Pgate_bottom (mW)]], Table7[[#This Row],[PIV (mW)]]+Table7[[#This Row],[Pqoss (mW)]]+Table7[[#This Row],[Pgate_bottom (mW)]])</f>
        <v>#REF!</v>
      </c>
      <c r="BE224" s="154" t="e">
        <f aca="false">Table7[[#This Row],[Pcon_bottom (mW)]]+Table7[[#This Row],[Psw_bottom (mW)]]</f>
        <v>#REF!</v>
      </c>
      <c r="BF224" s="152" t="e">
        <f aca="false">Table7[[#This Row],[Pbottom (mW)]]+Table7[[#This Row],[Ptop (mW)]]</f>
        <v>#REF!</v>
      </c>
      <c r="BG224" s="155"/>
      <c r="BH224" s="152" t="n">
        <f aca="false">MAX(0,Table7[[#This Row],[I_L]]-0.5*Table7[[#This Row],[I_L pkpk]])</f>
        <v>6.99714285714286</v>
      </c>
      <c r="BI224" s="152" t="n">
        <f aca="false">Table7[[#This Row],[I_L]]+0.5*Table7[[#This Row],[I_L pkpk]]</f>
        <v>7.28285714285714</v>
      </c>
      <c r="BJ224" s="152" t="n">
        <f aca="false">IF(VACnom&gt;Vbat, (VGS_S-(C_MOSFET_S_VTH_H_BU+Table7[[#This Row],[I_L]]/C_MOSFET_S_gFS_H_BU))/3.4, (VGS_S-(C_MOSFET_S_VTH_L_BO+Table7[[#This Row],[I_L]]/C_MOSFET_S_gFS_L_BO))/3.4 )</f>
        <v>2.33894117647059</v>
      </c>
      <c r="BK224" s="152" t="n">
        <f aca="false">IF(VACnom&gt;Vbat, ((C_MOSFET_S_VTH_H_BU+Table7[[#This Row],[I_L]]/C_MOSFET_S_gFS_H_BU))/1, ((C_MOSFET_S_VTH_L_BO+Table7[[#This Row],[I_L]]/C_MOSFET_S_gFS_L_BO))/1 )</f>
        <v>2.0476</v>
      </c>
      <c r="BL224" s="152" t="n">
        <f aca="false">IF(VACnom&gt;Vbat, (C_MOSFET_S_QGD_H_BU+C_MOSFET_S_QGS_H_BU)*10^-9/Table7[[#This Row],[Ion (A) C]], (C_MOSFET_S_QGD_L_BO+C_MOSFET_S_QGS_L_BO)*10^-9/Table7[[#This Row],[Ion (A) C]])/10^-9</f>
        <v>2.77903525979579</v>
      </c>
      <c r="BM224" s="152" t="n">
        <f aca="false">IF(VACnom&gt;Vbat, (C_MOSFET_S_QGD_H_BU+C_MOSFET_S_QGS_H_BU)*10^-9/Table7[[#This Row],[Ioff (A) C]], (C_MOSFET_S_QGD_L_BO+C_MOSFET_S_QGS_L_BO)*10^-9/Table7[[#This Row],[Ioff (A) C]])/10^-9</f>
        <v>3.17444813440125</v>
      </c>
      <c r="BN224" s="152" t="n">
        <f aca="false">0.5*VACnom*Table7[[#This Row],[Ivalley (A) C]]*Table7[[#This Row],[ton (ns) C]]*10^-9*Fsw*10^3+0.5*VACnom*Table7[[#This Row],[Ipeak (A) C]]*Table7[[#This Row],[toff (ns) C]]*10^-9*Fsw*10^3/10^-3</f>
        <v>27.7661970923658</v>
      </c>
      <c r="BO224" s="152" t="n">
        <f aca="false">IF(VACnom&gt;Vbat, 0.5*VACnom*C_MOSFET_S_QOSS_H_BU*10^-9*Fsw*10^3,0.5*VACnom*C_MOSFET_S_QOSS_L_BO*10^-9*Fsw*10^3)/10^-3</f>
        <v>43.2</v>
      </c>
      <c r="BP224" s="152" t="e">
        <f aca="false">IF(VACnom&gt;Vbat, VACnom*C_MOSFET_S_QG_H_BU*10^-9*Fsw*10^3,VACnom*C_MOSFET_S_QG_H_BO*10^-9*Fsw*10^3)/10^-3</f>
        <v>#REF!</v>
      </c>
      <c r="BQ224" s="152" t="n">
        <f aca="false">IF(VACnom&gt;Vbat, VACnom*C_MOSFET_S_QRR_L_BU*10^-9*Fsw*10^3, VACnom*C_MOSFET_S_QRR_H_BO*10^-9*Fsw*10^3)/10^-3</f>
        <v>79.2</v>
      </c>
      <c r="BR224" s="152" t="n">
        <f aca="false">IF(VACnom&gt;Vbat, C_MOSFET_S_VSD_L_BU*Table7[[#This Row],[Ivalley (A) C]]*Fsw*10^3*40*10^-9+C_MOSFET_S_VSD_L_BU*Table7[[#This Row],[Ipeak (A) C]]*Fsw*10^3*30*10^-9, C_MOSFET_S_VSD_H_BO*Table7[[#This Row],[Ivalley (A) C]]*Fsw*10^3*40*10^-9+C_MOSFET_S_VSD_H_BO*Table7[[#This Row],[Ipeak (A) C]]*Fsw*10^3*30*10^-9)/10^-3</f>
        <v>79.7394285714286</v>
      </c>
      <c r="BS224" s="152" t="e">
        <f aca="false">IF(VACnom&gt;Vbat, VACnom*C_MOSFET_S_QG_L_BU*10^-9*Fsw*10^3, VACnom*C_MOSFET_S_QG_L_BO*10^-9*Fsw*10^3)/10^-3</f>
        <v>#REF!</v>
      </c>
      <c r="BT224" s="152" t="n">
        <f aca="false">IF(VACnom&lt;Vbat, Table7[[#This Row],[Duty Cycle]]*Table7[[#This Row],[I_L RMS]]^2*C_MOSFET_S_RDSON_H_BU*10^-3, (1-Table7[[#This Row],[Duty Cycle]])*Table7[[#This Row],[I_L RMS]]^2*C_MOSFET_S_RDSON_H_BO*10^-3)/10^-3</f>
        <v>13.8391664528669</v>
      </c>
      <c r="BU224" s="152" t="e">
        <f aca="false">IF(VACnom&gt;Vbat, Table7[[#This Row],[PIV (mW) C]]+Table7[[#This Row],[PQoss (mW) C]]+Table7[[#This Row],[Pgate_top (mW) C]], Table7[[#This Row],[PRR (mW) C]]+Table7[[#This Row],[Pdead (mW) C]]+Table7[[#This Row],[Pgate_top (mW) C]])</f>
        <v>#REF!</v>
      </c>
      <c r="BV224" s="152" t="e">
        <f aca="false">Table7[[#This Row],[Pcon_top (mW) C]]+Table7[[#This Row],[Psw_top (mW) C]]</f>
        <v>#REF!</v>
      </c>
      <c r="BW224" s="152" t="e">
        <f aca="false">IF(VACnom&gt;Vbat, (1-Table7[[#This Row],[Duty Cycle]])*Table7[[#This Row],[I_L RMS]]^2*C_MOSFET_S_RDSON_L_BU*10^-3, Table7[[#This Row],[Duty Cycle]]*Table7[[#This Row],[I_L RMS]]^2*C_MOSFET_S_RDSON_L_BO*10^-3)/10^-3</f>
        <v>#REF!</v>
      </c>
      <c r="BX224" s="152" t="e">
        <f aca="false">IF(VACnom&gt;Vbat, Table7[[#This Row],[PRR (mW) C]]+Table7[[#This Row],[Pdead (mW) C]]+Table7[[#This Row],[Pgate_bottom (mW) C]], Table7[[#This Row],[PIV (mW) C]]+Table7[[#This Row],[PQoss (mW) C]]+Table7[[#This Row],[Pgate_bottom (mW) C]])</f>
        <v>#REF!</v>
      </c>
      <c r="BY224" s="152" t="e">
        <f aca="false">Table7[[#This Row],[Pcon_bottom (mW) C]]+Table7[[#This Row],[Psw_bottom (mV) C]]</f>
        <v>#REF!</v>
      </c>
      <c r="BZ224" s="152" t="e">
        <f aca="false">Table7[[#This Row],[Pbottom (mW) C]]+Table7[[#This Row],[Ptop (mW) C]]</f>
        <v>#REF!</v>
      </c>
      <c r="CA224" s="156"/>
      <c r="CB224" s="151" t="n">
        <f aca="false">(RAC_SNS*10^-3*(Table7[[#This Row],[IOUT (A)]]*Vbat/VACnom)^2/10^-3)</f>
        <v>254.898</v>
      </c>
      <c r="CC224" s="151" t="n">
        <f aca="false">(RBAT_SNS*10^-3*Table7[[#This Row],[IOUT (A)]]^2)/10^-3</f>
        <v>231.2</v>
      </c>
      <c r="CD224" s="151" t="n">
        <f aca="false">IF(VACnom&gt;Vbat,(L_DRC*10^-3*(Table7[[#This Row],[IOUT (A)]])^2/10^-3),(L_DRC*10^-3*(Table7[[#This Row],[IOUT (A)]]*Vbat/VACnom)^2/10^-3))</f>
        <v>611.7552</v>
      </c>
      <c r="CE224" s="157"/>
      <c r="CF224" s="152" t="n">
        <f aca="false">(Table7[[#This Row],[R_AC (mW)]]+Table7[[#This Row],[R_SR (mW)]]+Table7[[#This Row],[Inductor Loss (mW)]])/10^3</f>
        <v>1.0978532</v>
      </c>
      <c r="CG224" s="152" t="e">
        <f aca="false">Table7[[#This Row],[Total TI (mW)]]/10^3</f>
        <v>#REF!</v>
      </c>
      <c r="CH224" s="152" t="e">
        <f aca="false">Table7[[#This Row],[Total Sense Loss]]+Table7[[#This Row],[Total MOSFET Loss]]</f>
        <v>#REF!</v>
      </c>
      <c r="CI224" s="158" t="e">
        <f aca="false">IF(Table7[[#This Row],[POUT (W)]]=0,0,(Table7[[#This Row],[POUT (W)]])/(Table7[[#This Row],[POUT (W)]]+Table7[[#This Row],[Total Power Loss (W)]]))*100</f>
        <v>#REF!</v>
      </c>
      <c r="CJ224" s="159"/>
      <c r="CK224" s="152" t="n">
        <f aca="false">(Table7[[#This Row],[R_AC (mW)]]+Table7[[#This Row],[R_SR (mW)]]+Table7[[#This Row],[Inductor Loss (mW)]])/10^3</f>
        <v>1.0978532</v>
      </c>
      <c r="CL224" s="152" t="e">
        <f aca="false">Table7[[#This Row],[Total (mW) C]]/10^3</f>
        <v>#REF!</v>
      </c>
      <c r="CM224" s="152" t="e">
        <f aca="false">Table7[[#This Row],[Total Sense Loss C]]+Table7[[#This Row],[Total MOSFET Loss C]]</f>
        <v>#REF!</v>
      </c>
      <c r="CN224" s="158" t="e">
        <f aca="false">IF(Table7[[#This Row],[POUT (W)]]=0,0,(Table7[[#This Row],[POUT (W)]])/(Table7[[#This Row],[POUT (W)]]+Table7[[#This Row],[Total Power Loss (W) C]]))*100</f>
        <v>#REF!</v>
      </c>
      <c r="CO224" s="159"/>
      <c r="CP224" s="158" t="n">
        <f aca="false">IF(MOSFET_S=Custom_MOSFET,Table7[[#This Row],[Total Sense Loss C]],Table7[[#This Row],[Total Sense Loss]])</f>
        <v>1.0978532</v>
      </c>
      <c r="CQ224" s="158" t="e">
        <f aca="false">IF(MOSFET_S=Custom_MOSFET,Table7[[#This Row],[Total MOSFET Loss C]],Table7[[#This Row],[Total MOSFET Loss]])</f>
        <v>#REF!</v>
      </c>
      <c r="CR224" s="158" t="e">
        <f aca="false">IF(MOSFET_S=Custom_MOSFET,Table7[[#This Row],[Efficiency C]],Table7[[#This Row],[Efficiency]])</f>
        <v>#REF!</v>
      </c>
      <c r="CS224" s="159"/>
      <c r="CT224" s="158" t="n">
        <f aca="false">IF(MOSFET_S=Compare_MOSFET, Table7[[#This Row],[Total Sense Loss C]], -100)</f>
        <v>-100</v>
      </c>
      <c r="CU224" s="158" t="n">
        <f aca="false">IF(MOSFET_S=Compare_MOSFET, Table7[[#This Row],[Total MOSFET Loss C]], -100)</f>
        <v>-100</v>
      </c>
      <c r="CV224" s="158" t="n">
        <f aca="false">IF(MOSFET_S=Compare_MOSFET, Table7[[#This Row],[Efficiency C]], -100)</f>
        <v>-100</v>
      </c>
      <c r="CW224" s="159"/>
      <c r="CX224" s="158" t="e">
        <f aca="false">IF(Save_Sel=CLR_Save,  Table7[[#This Row],[Total Sense Loss P1]], Table7[[#This Row],[Total Sense Loss P1 Saved]])</f>
        <v>#VALUE!</v>
      </c>
      <c r="CY224" s="158" t="e">
        <f aca="false">IF(Save_Sel=CLR_Save,  Table7[[#This Row],[Total MOSFET Loss P1]], Table7[[#This Row],[Total MOSFET Loss P1 Saved]] )</f>
        <v>#VALUE!</v>
      </c>
      <c r="CZ224" s="158" t="e">
        <f aca="false">IF(Save_Sel=CLR_Save, Table7[[#This Row],[Efficiency P1]], Table7[[#This Row],[Efficiency P1 Saved]])</f>
        <v>#VALUE!</v>
      </c>
      <c r="DA224" s="159"/>
      <c r="DB224" s="158" t="e">
        <f aca="false">IF(Save_Sel=CLR_Save,  Table7[[#This Row],[Total Sense Loss P2]], Table7[[#This Row],[Total Sense Loss P2 Saved]])</f>
        <v>#VALUE!</v>
      </c>
      <c r="DC224" s="158" t="e">
        <f aca="false">IF(Save_Sel=CLR_Save,  Table7[[#This Row],[Total MOSFET Loss P2]], Table7[[#This Row],[Total MOSFET Loss P2 Saved]] )</f>
        <v>#VALUE!</v>
      </c>
      <c r="DD224" s="158" t="e">
        <f aca="false">IF(Save_Sel=CLR_Save, Table7[[#This Row],[Efficiency P2]], Table7[[#This Row],[Efficiency P2 Saved]])</f>
        <v>#VALUE!</v>
      </c>
      <c r="DE224" s="159"/>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row>
    <row r="225" customFormat="false" ht="16.4" hidden="false" customHeight="false" outlineLevel="0" collapsed="false">
      <c r="A225" s="96"/>
      <c r="B225" s="97"/>
      <c r="C225" s="97"/>
      <c r="D225" s="50"/>
      <c r="E225" s="97"/>
      <c r="F225" s="97"/>
      <c r="G225" s="97"/>
      <c r="H225" s="34"/>
      <c r="I225" s="34"/>
      <c r="J225" s="131"/>
      <c r="K225" s="131"/>
      <c r="L225" s="131"/>
      <c r="M225" s="131"/>
      <c r="N225" s="131"/>
      <c r="O225" s="131"/>
      <c r="P225" s="131"/>
      <c r="Q225" s="131"/>
      <c r="R225" s="131"/>
      <c r="S225" s="173"/>
      <c r="T225" s="6"/>
      <c r="U225" s="7"/>
      <c r="V225" s="7"/>
      <c r="W225" s="7"/>
      <c r="X225" s="7"/>
      <c r="Y225" s="7"/>
      <c r="Z225" s="7"/>
      <c r="AA225" s="7"/>
      <c r="AB225" s="7"/>
      <c r="AC225" s="7"/>
      <c r="AD225" s="7"/>
      <c r="AE225" s="7"/>
      <c r="AF225" s="150" t="n">
        <f aca="false">AF224+1</f>
        <v>69</v>
      </c>
      <c r="AG225" s="150" t="n">
        <f aca="false">$AG$156+AF225*($AG$256-$AG$156)/$AF$256</f>
        <v>6.9</v>
      </c>
      <c r="AH225" s="151" t="n">
        <f aca="false">AG225*VACnom</f>
        <v>82.8</v>
      </c>
      <c r="AI225" s="152" t="n">
        <f aca="false">IF(VACnom&lt;Vbat, (Vbat-VACnom)/Vbat, Vbat/VACnom)</f>
        <v>0.0476190476190476</v>
      </c>
      <c r="AJ225" s="152" t="n">
        <f aca="false">IF(VACnom&lt;Vbat, AG225/(1-AI225), AG225*AI225)</f>
        <v>7.245</v>
      </c>
      <c r="AK225" s="152" t="n">
        <f aca="false">Ipkpk_VACnom</f>
        <v>0.285714285714285</v>
      </c>
      <c r="AL225" s="152" t="n">
        <f aca="false">SQRT(AJ225^2+AK225^2/12)</f>
        <v>7.24546946174563</v>
      </c>
      <c r="AM225" s="153"/>
      <c r="AN225" s="152" t="n">
        <f aca="false">MAX(0,Table7[[#This Row],[I_L]]-0.5*Table7[[#This Row],[I_L pkpk]])</f>
        <v>7.10214285714286</v>
      </c>
      <c r="AO225" s="152" t="n">
        <f aca="false">Table7[[#This Row],[I_L]]+0.5*Table7[[#This Row],[I_L pkpk]]</f>
        <v>7.38785714285714</v>
      </c>
      <c r="AP225" s="152" t="e">
        <f aca="false">IF(VACnom&gt;Vbat, (VGS_S-(TI_MOSFET_S_VTH_H_BU+Table7[[#This Row],[I_L]]/TI_MOSFET_S_gFS_H_BU))/3.4, (VGS_S-(TI_MOSFET_S_VTH_L_BO+Table7[[#This Row],[I_L]]/TI_MOSFET_S_gFS_L_BO))/3.4 )</f>
        <v>#REF!</v>
      </c>
      <c r="AQ225" s="152" t="e">
        <f aca="false">IF(VACnom&gt;Vbat, ((TI_MOSFET_S_VTH_H_BU+Table7[[#This Row],[I_L]]/TI_MOSFET_S_gFS_H_BU))/1, ((TI_MOSFET_S_VTH_L_BO+Table7[[#This Row],[I_L]]/TI_MOSFET_S_gFS_L_BO))/1 )</f>
        <v>#REF!</v>
      </c>
      <c r="AR225" s="152" t="e">
        <f aca="false">IF(VACnom&gt;Vbat, (TI_MOSFET_S_QGD_H_BU+TI_MOSFET_S_QGS_H_BU)*10^-9/Table7[[#This Row],[Ion (A)]], (TI_MOSFET_S_QGD_L_BO+TI_MOSFET_S_QGS_L_BO)*10^-9/Table7[[#This Row],[Ion (A)]])/10^-9</f>
        <v>#REF!</v>
      </c>
      <c r="AS225" s="152" t="e">
        <f aca="false">IF(VACnom&gt;Vbat, (TI_MOSFET_S_QGD_H_BU+TI_MOSFET_S_QGS_H_BU)*10^-9/Table7[[#This Row],[Ioff (A)]], (TI_MOSFET_S_QGD_L_BO+TI_MOSFET_S_QGS_L_BO)*10^-9/Table7[[#This Row],[Ioff (A)]])/10^-9</f>
        <v>#REF!</v>
      </c>
      <c r="AT225" s="152" t="e">
        <f aca="false">0.5*VACnom*Table7[[#This Row],[Ivalley (A)]]*Table7[[#This Row],[ton (ns)]]*10^-9*Fsw*10^3+0.5*VACnom*Table7[[#This Row],[Ipeak (A)]]*Table7[[#This Row],[toff (ns)]]*10^-9*Fsw*10^3/10^-3</f>
        <v>#REF!</v>
      </c>
      <c r="AU225" s="152" t="e">
        <f aca="false">IF(VACnom&gt;Vbat, 0.5*VACnom*TI_MOSFET_S_QOSS_H_BU*10^-9*Fsw*10^3,0.5*VACnom*TI_MOSFET_S_QOSS_L_BO*10^-9*Fsw*10^3)/10^-3</f>
        <v>#REF!</v>
      </c>
      <c r="AV225" s="152" t="e">
        <f aca="false">IF(VACnom&gt;Vbat, VACnom*TI_MOSFET_S_QG_H_BU*10^-9*Fsw*10^3,VACnom*TI_MOSFET_S_QG_H_BO*10^-9*Fsw*10^3)/10^-3</f>
        <v>#REF!</v>
      </c>
      <c r="AW225" s="152" t="e">
        <f aca="false">IF(VACnom&gt;Vbat, VACnom*TI_MOSFET_S_QRR_L_BU*10^-9*Fsw*10^3, VACnom*TI_MOSFET_S_QRR_H_BO*10^-9*Fsw*10^3)/10^-3</f>
        <v>#REF!</v>
      </c>
      <c r="AX225" s="152" t="e">
        <f aca="false">IF(VACnom&gt;Vbat, TI_MOSFET_S_VSD_L_BU*Table7[[#This Row],[Ivalley (A)]]*Fsw*10^3*40*10^-9+TI_MOSFET_S_VSD_L_BU*Table7[[#This Row],[Ipeak (A)]]*Fsw*10^3*30*10^-9, TI_MOSFET_S_VSD_H_BO*Table7[[#This Row],[Ivalley (A)]]*Fsw*10^3*40*10^-9+TI_MOSFET_S_VSD_H_BO*Table7[[#This Row],[Ipeak (A)]]*Fsw*10^3*30*10^-9)/10^-3</f>
        <v>#REF!</v>
      </c>
      <c r="AY225" s="152" t="e">
        <f aca="false">IF(VACnom&gt;Vbat, VACnom*TI_MOSFET_S_QG_L_BU*10^-9*Fsw*10^3, VACnom*TI_MOSFET_S_QG_L_BO*10^-9*Fsw*10^3)/10^-3</f>
        <v>#REF!</v>
      </c>
      <c r="AZ225" s="152" t="e">
        <f aca="false">IF(VACnom&lt;Vbat, Table7[[#This Row],[Duty Cycle]]*Table7[[#This Row],[I_L RMS]]^2*TI_MOSFET_S_RDSON_H_BU*10^-3, (1-Table7[[#This Row],[Duty Cycle]])*Table7[[#This Row],[I_L RMS]]^2*TI_MOSFET_S_RDSON_H_BO*10^-3)/10^-3</f>
        <v>#REF!</v>
      </c>
      <c r="BA225" s="152" t="e">
        <f aca="false">IF(VACnom&gt;Vbat, Table7[[#This Row],[PIV (mW)]]+Table7[[#This Row],[Pqoss (mW)]]+Table7[[#This Row],[Pgate_top (mW)]], Table7[[#This Row],[PRR (mW)]]+Table7[[#This Row],[Pdead (mW)]]+Table7[[#This Row],[Pgate_top (mW)]])</f>
        <v>#REF!</v>
      </c>
      <c r="BB225" s="152" t="e">
        <f aca="false">Table7[[#This Row],[Pcon_top (mW)]]+Table7[[#This Row],[Psw_top (mW)]]</f>
        <v>#REF!</v>
      </c>
      <c r="BC225" s="152" t="e">
        <f aca="false">IF(VACnom&gt;Vbat, (1-Table7[[#This Row],[Duty Cycle]])*Table7[[#This Row],[I_L RMS]]^2*TI_MOSFET_S_RDSON_L_BU*10^-3, Table7[[#This Row],[Duty Cycle]]*Table7[[#This Row],[I_L RMS]]^2*TI_MOSFET_S_RDSON_L_BO*10^-3)/10^-3</f>
        <v>#REF!</v>
      </c>
      <c r="BD225" s="152" t="e">
        <f aca="false">IF(VACnom&gt;Vbat, Table7[[#This Row],[PRR (mW)]]+Table7[[#This Row],[Pdead (mW)]]+Table7[[#This Row],[Pgate_bottom (mW)]], Table7[[#This Row],[PIV (mW)]]+Table7[[#This Row],[Pqoss (mW)]]+Table7[[#This Row],[Pgate_bottom (mW)]])</f>
        <v>#REF!</v>
      </c>
      <c r="BE225" s="154" t="e">
        <f aca="false">Table7[[#This Row],[Pcon_bottom (mW)]]+Table7[[#This Row],[Psw_bottom (mW)]]</f>
        <v>#REF!</v>
      </c>
      <c r="BF225" s="152" t="e">
        <f aca="false">Table7[[#This Row],[Pbottom (mW)]]+Table7[[#This Row],[Ptop (mW)]]</f>
        <v>#REF!</v>
      </c>
      <c r="BG225" s="155"/>
      <c r="BH225" s="152" t="n">
        <f aca="false">MAX(0,Table7[[#This Row],[I_L]]-0.5*Table7[[#This Row],[I_L pkpk]])</f>
        <v>7.10214285714286</v>
      </c>
      <c r="BI225" s="152" t="n">
        <f aca="false">Table7[[#This Row],[I_L]]+0.5*Table7[[#This Row],[I_L pkpk]]</f>
        <v>7.38785714285714</v>
      </c>
      <c r="BJ225" s="152" t="n">
        <f aca="false">IF(VACnom&gt;Vbat, (VGS_S-(C_MOSFET_S_VTH_H_BU+Table7[[#This Row],[I_L]]/C_MOSFET_S_gFS_H_BU))/3.4, (VGS_S-(C_MOSFET_S_VTH_L_BO+Table7[[#This Row],[I_L]]/C_MOSFET_S_gFS_L_BO))/3.4 )</f>
        <v>2.33873529411765</v>
      </c>
      <c r="BK225" s="152" t="n">
        <f aca="false">IF(VACnom&gt;Vbat, ((C_MOSFET_S_VTH_H_BU+Table7[[#This Row],[I_L]]/C_MOSFET_S_gFS_H_BU))/1, ((C_MOSFET_S_VTH_L_BO+Table7[[#This Row],[I_L]]/C_MOSFET_S_gFS_L_BO))/1 )</f>
        <v>2.0483</v>
      </c>
      <c r="BL225" s="152" t="n">
        <f aca="false">IF(VACnom&gt;Vbat, (C_MOSFET_S_QGD_H_BU+C_MOSFET_S_QGS_H_BU)*10^-9/Table7[[#This Row],[Ion (A) C]], (C_MOSFET_S_QGD_L_BO+C_MOSFET_S_QGS_L_BO)*10^-9/Table7[[#This Row],[Ion (A) C]])/10^-9</f>
        <v>2.77927990241081</v>
      </c>
      <c r="BM225" s="152" t="n">
        <f aca="false">IF(VACnom&gt;Vbat, (C_MOSFET_S_QGD_H_BU+C_MOSFET_S_QGS_H_BU)*10^-9/Table7[[#This Row],[Ioff (A) C]], (C_MOSFET_S_QGD_L_BO+C_MOSFET_S_QGS_L_BO)*10^-9/Table7[[#This Row],[Ioff (A) C]])/10^-9</f>
        <v>3.17336327686374</v>
      </c>
      <c r="BN225" s="152" t="n">
        <f aca="false">0.5*VACnom*Table7[[#This Row],[Ivalley (A) C]]*Table7[[#This Row],[ton (ns) C]]*10^-9*Fsw*10^3+0.5*VACnom*Table7[[#This Row],[Ipeak (A) C]]*Table7[[#This Row],[toff (ns) C]]*10^-9*Fsw*10^3/10^-3</f>
        <v>28.1569120737183</v>
      </c>
      <c r="BO225" s="152" t="n">
        <f aca="false">IF(VACnom&gt;Vbat, 0.5*VACnom*C_MOSFET_S_QOSS_H_BU*10^-9*Fsw*10^3,0.5*VACnom*C_MOSFET_S_QOSS_L_BO*10^-9*Fsw*10^3)/10^-3</f>
        <v>43.2</v>
      </c>
      <c r="BP225" s="152" t="e">
        <f aca="false">IF(VACnom&gt;Vbat, VACnom*C_MOSFET_S_QG_H_BU*10^-9*Fsw*10^3,VACnom*C_MOSFET_S_QG_H_BO*10^-9*Fsw*10^3)/10^-3</f>
        <v>#REF!</v>
      </c>
      <c r="BQ225" s="152" t="n">
        <f aca="false">IF(VACnom&gt;Vbat, VACnom*C_MOSFET_S_QRR_L_BU*10^-9*Fsw*10^3, VACnom*C_MOSFET_S_QRR_H_BO*10^-9*Fsw*10^3)/10^-3</f>
        <v>79.2</v>
      </c>
      <c r="BR225" s="152" t="n">
        <f aca="false">IF(VACnom&gt;Vbat, C_MOSFET_S_VSD_L_BU*Table7[[#This Row],[Ivalley (A) C]]*Fsw*10^3*40*10^-9+C_MOSFET_S_VSD_L_BU*Table7[[#This Row],[Ipeak (A) C]]*Fsw*10^3*30*10^-9, C_MOSFET_S_VSD_H_BO*Table7[[#This Row],[Ivalley (A) C]]*Fsw*10^3*40*10^-9+C_MOSFET_S_VSD_H_BO*Table7[[#This Row],[Ipeak (A) C]]*Fsw*10^3*30*10^-9)/10^-3</f>
        <v>80.9154285714286</v>
      </c>
      <c r="BS225" s="152" t="e">
        <f aca="false">IF(VACnom&gt;Vbat, VACnom*C_MOSFET_S_QG_L_BU*10^-9*Fsw*10^3, VACnom*C_MOSFET_S_QG_L_BO*10^-9*Fsw*10^3)/10^-3</f>
        <v>#REF!</v>
      </c>
      <c r="BT225" s="152" t="n">
        <f aca="false">IF(VACnom&lt;Vbat, Table7[[#This Row],[Duty Cycle]]*Table7[[#This Row],[I_L RMS]]^2*C_MOSFET_S_RDSON_H_BU*10^-3, (1-Table7[[#This Row],[Duty Cycle]])*Table7[[#This Row],[I_L RMS]]^2*C_MOSFET_S_RDSON_H_BO*10^-3)/10^-3</f>
        <v>14.2491389528669</v>
      </c>
      <c r="BU225" s="152" t="e">
        <f aca="false">IF(VACnom&gt;Vbat, Table7[[#This Row],[PIV (mW) C]]+Table7[[#This Row],[PQoss (mW) C]]+Table7[[#This Row],[Pgate_top (mW) C]], Table7[[#This Row],[PRR (mW) C]]+Table7[[#This Row],[Pdead (mW) C]]+Table7[[#This Row],[Pgate_top (mW) C]])</f>
        <v>#REF!</v>
      </c>
      <c r="BV225" s="152" t="e">
        <f aca="false">Table7[[#This Row],[Pcon_top (mW) C]]+Table7[[#This Row],[Psw_top (mW) C]]</f>
        <v>#REF!</v>
      </c>
      <c r="BW225" s="152" t="e">
        <f aca="false">IF(VACnom&gt;Vbat, (1-Table7[[#This Row],[Duty Cycle]])*Table7[[#This Row],[I_L RMS]]^2*C_MOSFET_S_RDSON_L_BU*10^-3, Table7[[#This Row],[Duty Cycle]]*Table7[[#This Row],[I_L RMS]]^2*C_MOSFET_S_RDSON_L_BO*10^-3)/10^-3</f>
        <v>#REF!</v>
      </c>
      <c r="BX225" s="152" t="e">
        <f aca="false">IF(VACnom&gt;Vbat, Table7[[#This Row],[PRR (mW) C]]+Table7[[#This Row],[Pdead (mW) C]]+Table7[[#This Row],[Pgate_bottom (mW) C]], Table7[[#This Row],[PIV (mW) C]]+Table7[[#This Row],[PQoss (mW) C]]+Table7[[#This Row],[Pgate_bottom (mW) C]])</f>
        <v>#REF!</v>
      </c>
      <c r="BY225" s="152" t="e">
        <f aca="false">Table7[[#This Row],[Pcon_bottom (mW) C]]+Table7[[#This Row],[Psw_bottom (mV) C]]</f>
        <v>#REF!</v>
      </c>
      <c r="BZ225" s="152" t="e">
        <f aca="false">Table7[[#This Row],[Pbottom (mW) C]]+Table7[[#This Row],[Ptop (mW) C]]</f>
        <v>#REF!</v>
      </c>
      <c r="CA225" s="156"/>
      <c r="CB225" s="151" t="n">
        <f aca="false">(RAC_SNS*10^-3*(Table7[[#This Row],[IOUT (A)]]*Vbat/VACnom)^2/10^-3)</f>
        <v>262.450125</v>
      </c>
      <c r="CC225" s="151" t="n">
        <f aca="false">(RBAT_SNS*10^-3*Table7[[#This Row],[IOUT (A)]]^2)/10^-3</f>
        <v>238.05</v>
      </c>
      <c r="CD225" s="151" t="n">
        <f aca="false">IF(VACnom&gt;Vbat,(L_DRC*10^-3*(Table7[[#This Row],[IOUT (A)]])^2/10^-3),(L_DRC*10^-3*(Table7[[#This Row],[IOUT (A)]]*Vbat/VACnom)^2/10^-3))</f>
        <v>629.8803</v>
      </c>
      <c r="CE225" s="157"/>
      <c r="CF225" s="152" t="n">
        <f aca="false">(Table7[[#This Row],[R_AC (mW)]]+Table7[[#This Row],[R_SR (mW)]]+Table7[[#This Row],[Inductor Loss (mW)]])/10^3</f>
        <v>1.130380425</v>
      </c>
      <c r="CG225" s="152" t="e">
        <f aca="false">Table7[[#This Row],[Total TI (mW)]]/10^3</f>
        <v>#REF!</v>
      </c>
      <c r="CH225" s="152" t="e">
        <f aca="false">Table7[[#This Row],[Total Sense Loss]]+Table7[[#This Row],[Total MOSFET Loss]]</f>
        <v>#REF!</v>
      </c>
      <c r="CI225" s="158" t="e">
        <f aca="false">IF(Table7[[#This Row],[POUT (W)]]=0,0,(Table7[[#This Row],[POUT (W)]])/(Table7[[#This Row],[POUT (W)]]+Table7[[#This Row],[Total Power Loss (W)]]))*100</f>
        <v>#REF!</v>
      </c>
      <c r="CJ225" s="159"/>
      <c r="CK225" s="152" t="n">
        <f aca="false">(Table7[[#This Row],[R_AC (mW)]]+Table7[[#This Row],[R_SR (mW)]]+Table7[[#This Row],[Inductor Loss (mW)]])/10^3</f>
        <v>1.130380425</v>
      </c>
      <c r="CL225" s="152" t="e">
        <f aca="false">Table7[[#This Row],[Total (mW) C]]/10^3</f>
        <v>#REF!</v>
      </c>
      <c r="CM225" s="152" t="e">
        <f aca="false">Table7[[#This Row],[Total Sense Loss C]]+Table7[[#This Row],[Total MOSFET Loss C]]</f>
        <v>#REF!</v>
      </c>
      <c r="CN225" s="158" t="e">
        <f aca="false">IF(Table7[[#This Row],[POUT (W)]]=0,0,(Table7[[#This Row],[POUT (W)]])/(Table7[[#This Row],[POUT (W)]]+Table7[[#This Row],[Total Power Loss (W) C]]))*100</f>
        <v>#REF!</v>
      </c>
      <c r="CO225" s="159"/>
      <c r="CP225" s="158" t="n">
        <f aca="false">IF(MOSFET_S=Custom_MOSFET,Table7[[#This Row],[Total Sense Loss C]],Table7[[#This Row],[Total Sense Loss]])</f>
        <v>1.130380425</v>
      </c>
      <c r="CQ225" s="158" t="e">
        <f aca="false">IF(MOSFET_S=Custom_MOSFET,Table7[[#This Row],[Total MOSFET Loss C]],Table7[[#This Row],[Total MOSFET Loss]])</f>
        <v>#REF!</v>
      </c>
      <c r="CR225" s="158" t="e">
        <f aca="false">IF(MOSFET_S=Custom_MOSFET,Table7[[#This Row],[Efficiency C]],Table7[[#This Row],[Efficiency]])</f>
        <v>#REF!</v>
      </c>
      <c r="CS225" s="159"/>
      <c r="CT225" s="158" t="n">
        <f aca="false">IF(MOSFET_S=Compare_MOSFET, Table7[[#This Row],[Total Sense Loss C]], -100)</f>
        <v>-100</v>
      </c>
      <c r="CU225" s="158" t="n">
        <f aca="false">IF(MOSFET_S=Compare_MOSFET, Table7[[#This Row],[Total MOSFET Loss C]], -100)</f>
        <v>-100</v>
      </c>
      <c r="CV225" s="158" t="n">
        <f aca="false">IF(MOSFET_S=Compare_MOSFET, Table7[[#This Row],[Efficiency C]], -100)</f>
        <v>-100</v>
      </c>
      <c r="CW225" s="159"/>
      <c r="CX225" s="158" t="e">
        <f aca="false">IF(Save_Sel=CLR_Save,  Table7[[#This Row],[Total Sense Loss P1]], Table7[[#This Row],[Total Sense Loss P1 Saved]])</f>
        <v>#VALUE!</v>
      </c>
      <c r="CY225" s="158" t="e">
        <f aca="false">IF(Save_Sel=CLR_Save,  Table7[[#This Row],[Total MOSFET Loss P1]], Table7[[#This Row],[Total MOSFET Loss P1 Saved]] )</f>
        <v>#VALUE!</v>
      </c>
      <c r="CZ225" s="158" t="e">
        <f aca="false">IF(Save_Sel=CLR_Save, Table7[[#This Row],[Efficiency P1]], Table7[[#This Row],[Efficiency P1 Saved]])</f>
        <v>#VALUE!</v>
      </c>
      <c r="DA225" s="159"/>
      <c r="DB225" s="158" t="e">
        <f aca="false">IF(Save_Sel=CLR_Save,  Table7[[#This Row],[Total Sense Loss P2]], Table7[[#This Row],[Total Sense Loss P2 Saved]])</f>
        <v>#VALUE!</v>
      </c>
      <c r="DC225" s="158" t="e">
        <f aca="false">IF(Save_Sel=CLR_Save,  Table7[[#This Row],[Total MOSFET Loss P2]], Table7[[#This Row],[Total MOSFET Loss P2 Saved]] )</f>
        <v>#VALUE!</v>
      </c>
      <c r="DD225" s="158" t="e">
        <f aca="false">IF(Save_Sel=CLR_Save, Table7[[#This Row],[Efficiency P2]], Table7[[#This Row],[Efficiency P2 Saved]])</f>
        <v>#VALUE!</v>
      </c>
      <c r="DE225" s="159"/>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row>
    <row r="226" customFormat="false" ht="16.4" hidden="false" customHeight="false" outlineLevel="0" collapsed="false">
      <c r="A226" s="6"/>
      <c r="B226" s="6"/>
      <c r="C226" s="6"/>
      <c r="D226" s="6"/>
      <c r="E226" s="6"/>
      <c r="F226" s="6"/>
      <c r="G226" s="6"/>
      <c r="H226" s="6"/>
      <c r="I226" s="6"/>
      <c r="J226" s="6"/>
      <c r="K226" s="6"/>
      <c r="L226" s="6"/>
      <c r="M226" s="6"/>
      <c r="N226" s="6"/>
      <c r="O226" s="6"/>
      <c r="P226" s="6"/>
      <c r="Q226" s="6"/>
      <c r="R226" s="6"/>
      <c r="S226" s="6"/>
      <c r="T226" s="6"/>
      <c r="U226" s="7"/>
      <c r="V226" s="7"/>
      <c r="W226" s="7"/>
      <c r="X226" s="7"/>
      <c r="Y226" s="7"/>
      <c r="Z226" s="7"/>
      <c r="AA226" s="7"/>
      <c r="AB226" s="7"/>
      <c r="AC226" s="7"/>
      <c r="AD226" s="7"/>
      <c r="AE226" s="7"/>
      <c r="AF226" s="150" t="n">
        <f aca="false">AF225+1</f>
        <v>70</v>
      </c>
      <c r="AG226" s="150" t="n">
        <f aca="false">$AG$156+AF226*($AG$256-$AG$156)/$AF$256</f>
        <v>7</v>
      </c>
      <c r="AH226" s="151" t="n">
        <f aca="false">AG226*VACnom</f>
        <v>84</v>
      </c>
      <c r="AI226" s="152" t="n">
        <f aca="false">IF(VACnom&lt;Vbat, (Vbat-VACnom)/Vbat, Vbat/VACnom)</f>
        <v>0.0476190476190476</v>
      </c>
      <c r="AJ226" s="152" t="n">
        <f aca="false">IF(VACnom&lt;Vbat, AG226/(1-AI226), AG226*AI226)</f>
        <v>7.35</v>
      </c>
      <c r="AK226" s="152" t="n">
        <f aca="false">Ipkpk_VACnom</f>
        <v>0.285714285714285</v>
      </c>
      <c r="AL226" s="152" t="n">
        <f aca="false">SQRT(AJ226^2+AK226^2/12)</f>
        <v>7.35046275557454</v>
      </c>
      <c r="AM226" s="153"/>
      <c r="AN226" s="152" t="n">
        <f aca="false">MAX(0,Table7[[#This Row],[I_L]]-0.5*Table7[[#This Row],[I_L pkpk]])</f>
        <v>7.20714285714286</v>
      </c>
      <c r="AO226" s="152" t="n">
        <f aca="false">Table7[[#This Row],[I_L]]+0.5*Table7[[#This Row],[I_L pkpk]]</f>
        <v>7.49285714285714</v>
      </c>
      <c r="AP226" s="152" t="e">
        <f aca="false">IF(VACnom&gt;Vbat, (VGS_S-(TI_MOSFET_S_VTH_H_BU+Table7[[#This Row],[I_L]]/TI_MOSFET_S_gFS_H_BU))/3.4, (VGS_S-(TI_MOSFET_S_VTH_L_BO+Table7[[#This Row],[I_L]]/TI_MOSFET_S_gFS_L_BO))/3.4 )</f>
        <v>#REF!</v>
      </c>
      <c r="AQ226" s="152" t="e">
        <f aca="false">IF(VACnom&gt;Vbat, ((TI_MOSFET_S_VTH_H_BU+Table7[[#This Row],[I_L]]/TI_MOSFET_S_gFS_H_BU))/1, ((TI_MOSFET_S_VTH_L_BO+Table7[[#This Row],[I_L]]/TI_MOSFET_S_gFS_L_BO))/1 )</f>
        <v>#REF!</v>
      </c>
      <c r="AR226" s="152" t="e">
        <f aca="false">IF(VACnom&gt;Vbat, (TI_MOSFET_S_QGD_H_BU+TI_MOSFET_S_QGS_H_BU)*10^-9/Table7[[#This Row],[Ion (A)]], (TI_MOSFET_S_QGD_L_BO+TI_MOSFET_S_QGS_L_BO)*10^-9/Table7[[#This Row],[Ion (A)]])/10^-9</f>
        <v>#REF!</v>
      </c>
      <c r="AS226" s="152" t="e">
        <f aca="false">IF(VACnom&gt;Vbat, (TI_MOSFET_S_QGD_H_BU+TI_MOSFET_S_QGS_H_BU)*10^-9/Table7[[#This Row],[Ioff (A)]], (TI_MOSFET_S_QGD_L_BO+TI_MOSFET_S_QGS_L_BO)*10^-9/Table7[[#This Row],[Ioff (A)]])/10^-9</f>
        <v>#REF!</v>
      </c>
      <c r="AT226" s="152" t="e">
        <f aca="false">0.5*VACnom*Table7[[#This Row],[Ivalley (A)]]*Table7[[#This Row],[ton (ns)]]*10^-9*Fsw*10^3+0.5*VACnom*Table7[[#This Row],[Ipeak (A)]]*Table7[[#This Row],[toff (ns)]]*10^-9*Fsw*10^3/10^-3</f>
        <v>#REF!</v>
      </c>
      <c r="AU226" s="152" t="e">
        <f aca="false">IF(VACnom&gt;Vbat, 0.5*VACnom*TI_MOSFET_S_QOSS_H_BU*10^-9*Fsw*10^3,0.5*VACnom*TI_MOSFET_S_QOSS_L_BO*10^-9*Fsw*10^3)/10^-3</f>
        <v>#REF!</v>
      </c>
      <c r="AV226" s="152" t="e">
        <f aca="false">IF(VACnom&gt;Vbat, VACnom*TI_MOSFET_S_QG_H_BU*10^-9*Fsw*10^3,VACnom*TI_MOSFET_S_QG_H_BO*10^-9*Fsw*10^3)/10^-3</f>
        <v>#REF!</v>
      </c>
      <c r="AW226" s="152" t="e">
        <f aca="false">IF(VACnom&gt;Vbat, VACnom*TI_MOSFET_S_QRR_L_BU*10^-9*Fsw*10^3, VACnom*TI_MOSFET_S_QRR_H_BO*10^-9*Fsw*10^3)/10^-3</f>
        <v>#REF!</v>
      </c>
      <c r="AX226" s="152" t="e">
        <f aca="false">IF(VACnom&gt;Vbat, TI_MOSFET_S_VSD_L_BU*Table7[[#This Row],[Ivalley (A)]]*Fsw*10^3*40*10^-9+TI_MOSFET_S_VSD_L_BU*Table7[[#This Row],[Ipeak (A)]]*Fsw*10^3*30*10^-9, TI_MOSFET_S_VSD_H_BO*Table7[[#This Row],[Ivalley (A)]]*Fsw*10^3*40*10^-9+TI_MOSFET_S_VSD_H_BO*Table7[[#This Row],[Ipeak (A)]]*Fsw*10^3*30*10^-9)/10^-3</f>
        <v>#REF!</v>
      </c>
      <c r="AY226" s="152" t="e">
        <f aca="false">IF(VACnom&gt;Vbat, VACnom*TI_MOSFET_S_QG_L_BU*10^-9*Fsw*10^3, VACnom*TI_MOSFET_S_QG_L_BO*10^-9*Fsw*10^3)/10^-3</f>
        <v>#REF!</v>
      </c>
      <c r="AZ226" s="152" t="e">
        <f aca="false">IF(VACnom&lt;Vbat, Table7[[#This Row],[Duty Cycle]]*Table7[[#This Row],[I_L RMS]]^2*TI_MOSFET_S_RDSON_H_BU*10^-3, (1-Table7[[#This Row],[Duty Cycle]])*Table7[[#This Row],[I_L RMS]]^2*TI_MOSFET_S_RDSON_H_BO*10^-3)/10^-3</f>
        <v>#REF!</v>
      </c>
      <c r="BA226" s="152" t="e">
        <f aca="false">IF(VACnom&gt;Vbat, Table7[[#This Row],[PIV (mW)]]+Table7[[#This Row],[Pqoss (mW)]]+Table7[[#This Row],[Pgate_top (mW)]], Table7[[#This Row],[PRR (mW)]]+Table7[[#This Row],[Pdead (mW)]]+Table7[[#This Row],[Pgate_top (mW)]])</f>
        <v>#REF!</v>
      </c>
      <c r="BB226" s="152" t="e">
        <f aca="false">Table7[[#This Row],[Pcon_top (mW)]]+Table7[[#This Row],[Psw_top (mW)]]</f>
        <v>#REF!</v>
      </c>
      <c r="BC226" s="152" t="e">
        <f aca="false">IF(VACnom&gt;Vbat, (1-Table7[[#This Row],[Duty Cycle]])*Table7[[#This Row],[I_L RMS]]^2*TI_MOSFET_S_RDSON_L_BU*10^-3, Table7[[#This Row],[Duty Cycle]]*Table7[[#This Row],[I_L RMS]]^2*TI_MOSFET_S_RDSON_L_BO*10^-3)/10^-3</f>
        <v>#REF!</v>
      </c>
      <c r="BD226" s="152" t="e">
        <f aca="false">IF(VACnom&gt;Vbat, Table7[[#This Row],[PRR (mW)]]+Table7[[#This Row],[Pdead (mW)]]+Table7[[#This Row],[Pgate_bottom (mW)]], Table7[[#This Row],[PIV (mW)]]+Table7[[#This Row],[Pqoss (mW)]]+Table7[[#This Row],[Pgate_bottom (mW)]])</f>
        <v>#REF!</v>
      </c>
      <c r="BE226" s="154" t="e">
        <f aca="false">Table7[[#This Row],[Pcon_bottom (mW)]]+Table7[[#This Row],[Psw_bottom (mW)]]</f>
        <v>#REF!</v>
      </c>
      <c r="BF226" s="152" t="e">
        <f aca="false">Table7[[#This Row],[Pbottom (mW)]]+Table7[[#This Row],[Ptop (mW)]]</f>
        <v>#REF!</v>
      </c>
      <c r="BG226" s="155"/>
      <c r="BH226" s="152" t="n">
        <f aca="false">MAX(0,Table7[[#This Row],[I_L]]-0.5*Table7[[#This Row],[I_L pkpk]])</f>
        <v>7.20714285714286</v>
      </c>
      <c r="BI226" s="152" t="n">
        <f aca="false">Table7[[#This Row],[I_L]]+0.5*Table7[[#This Row],[I_L pkpk]]</f>
        <v>7.49285714285714</v>
      </c>
      <c r="BJ226" s="152" t="n">
        <f aca="false">IF(VACnom&gt;Vbat, (VGS_S-(C_MOSFET_S_VTH_H_BU+Table7[[#This Row],[I_L]]/C_MOSFET_S_gFS_H_BU))/3.4, (VGS_S-(C_MOSFET_S_VTH_L_BO+Table7[[#This Row],[I_L]]/C_MOSFET_S_gFS_L_BO))/3.4 )</f>
        <v>2.33852941176471</v>
      </c>
      <c r="BK226" s="152" t="n">
        <f aca="false">IF(VACnom&gt;Vbat, ((C_MOSFET_S_VTH_H_BU+Table7[[#This Row],[I_L]]/C_MOSFET_S_gFS_H_BU))/1, ((C_MOSFET_S_VTH_L_BO+Table7[[#This Row],[I_L]]/C_MOSFET_S_gFS_L_BO))/1 )</f>
        <v>2.049</v>
      </c>
      <c r="BL226" s="152" t="n">
        <f aca="false">IF(VACnom&gt;Vbat, (C_MOSFET_S_QGD_H_BU+C_MOSFET_S_QGS_H_BU)*10^-9/Table7[[#This Row],[Ion (A) C]], (C_MOSFET_S_QGD_L_BO+C_MOSFET_S_QGS_L_BO)*10^-9/Table7[[#This Row],[Ion (A) C]])/10^-9</f>
        <v>2.77952458810213</v>
      </c>
      <c r="BM226" s="152" t="n">
        <f aca="false">IF(VACnom&gt;Vbat, (C_MOSFET_S_QGD_H_BU+C_MOSFET_S_QGS_H_BU)*10^-9/Table7[[#This Row],[Ioff (A) C]], (C_MOSFET_S_QGD_L_BO+C_MOSFET_S_QGS_L_BO)*10^-9/Table7[[#This Row],[Ioff (A) C]])/10^-9</f>
        <v>3.17227916056613</v>
      </c>
      <c r="BN226" s="152" t="n">
        <f aca="false">0.5*VACnom*Table7[[#This Row],[Ivalley (A) C]]*Table7[[#This Row],[ton (ns) C]]*10^-9*Fsw*10^3+0.5*VACnom*Table7[[#This Row],[Ipeak (A) C]]*Table7[[#This Row],[toff (ns) C]]*10^-9*Fsw*10^3/10^-3</f>
        <v>28.5473603977994</v>
      </c>
      <c r="BO226" s="152" t="n">
        <f aca="false">IF(VACnom&gt;Vbat, 0.5*VACnom*C_MOSFET_S_QOSS_H_BU*10^-9*Fsw*10^3,0.5*VACnom*C_MOSFET_S_QOSS_L_BO*10^-9*Fsw*10^3)/10^-3</f>
        <v>43.2</v>
      </c>
      <c r="BP226" s="152" t="e">
        <f aca="false">IF(VACnom&gt;Vbat, VACnom*C_MOSFET_S_QG_H_BU*10^-9*Fsw*10^3,VACnom*C_MOSFET_S_QG_H_BO*10^-9*Fsw*10^3)/10^-3</f>
        <v>#REF!</v>
      </c>
      <c r="BQ226" s="152" t="n">
        <f aca="false">IF(VACnom&gt;Vbat, VACnom*C_MOSFET_S_QRR_L_BU*10^-9*Fsw*10^3, VACnom*C_MOSFET_S_QRR_H_BO*10^-9*Fsw*10^3)/10^-3</f>
        <v>79.2</v>
      </c>
      <c r="BR226" s="152" t="n">
        <f aca="false">IF(VACnom&gt;Vbat, C_MOSFET_S_VSD_L_BU*Table7[[#This Row],[Ivalley (A) C]]*Fsw*10^3*40*10^-9+C_MOSFET_S_VSD_L_BU*Table7[[#This Row],[Ipeak (A) C]]*Fsw*10^3*30*10^-9, C_MOSFET_S_VSD_H_BO*Table7[[#This Row],[Ivalley (A) C]]*Fsw*10^3*40*10^-9+C_MOSFET_S_VSD_H_BO*Table7[[#This Row],[Ipeak (A) C]]*Fsw*10^3*30*10^-9)/10^-3</f>
        <v>82.0914285714286</v>
      </c>
      <c r="BS226" s="152" t="e">
        <f aca="false">IF(VACnom&gt;Vbat, VACnom*C_MOSFET_S_QG_L_BU*10^-9*Fsw*10^3, VACnom*C_MOSFET_S_QG_L_BO*10^-9*Fsw*10^3)/10^-3</f>
        <v>#REF!</v>
      </c>
      <c r="BT226" s="152" t="n">
        <f aca="false">IF(VACnom&lt;Vbat, Table7[[#This Row],[Duty Cycle]]*Table7[[#This Row],[I_L RMS]]^2*C_MOSFET_S_RDSON_H_BU*10^-3, (1-Table7[[#This Row],[Duty Cycle]])*Table7[[#This Row],[I_L RMS]]^2*C_MOSFET_S_RDSON_H_BO*10^-3)/10^-3</f>
        <v>14.6650964528669</v>
      </c>
      <c r="BU226" s="152" t="e">
        <f aca="false">IF(VACnom&gt;Vbat, Table7[[#This Row],[PIV (mW) C]]+Table7[[#This Row],[PQoss (mW) C]]+Table7[[#This Row],[Pgate_top (mW) C]], Table7[[#This Row],[PRR (mW) C]]+Table7[[#This Row],[Pdead (mW) C]]+Table7[[#This Row],[Pgate_top (mW) C]])</f>
        <v>#REF!</v>
      </c>
      <c r="BV226" s="152" t="e">
        <f aca="false">Table7[[#This Row],[Pcon_top (mW) C]]+Table7[[#This Row],[Psw_top (mW) C]]</f>
        <v>#REF!</v>
      </c>
      <c r="BW226" s="152" t="e">
        <f aca="false">IF(VACnom&gt;Vbat, (1-Table7[[#This Row],[Duty Cycle]])*Table7[[#This Row],[I_L RMS]]^2*C_MOSFET_S_RDSON_L_BU*10^-3, Table7[[#This Row],[Duty Cycle]]*Table7[[#This Row],[I_L RMS]]^2*C_MOSFET_S_RDSON_L_BO*10^-3)/10^-3</f>
        <v>#REF!</v>
      </c>
      <c r="BX226" s="152" t="e">
        <f aca="false">IF(VACnom&gt;Vbat, Table7[[#This Row],[PRR (mW) C]]+Table7[[#This Row],[Pdead (mW) C]]+Table7[[#This Row],[Pgate_bottom (mW) C]], Table7[[#This Row],[PIV (mW) C]]+Table7[[#This Row],[PQoss (mW) C]]+Table7[[#This Row],[Pgate_bottom (mW) C]])</f>
        <v>#REF!</v>
      </c>
      <c r="BY226" s="152" t="e">
        <f aca="false">Table7[[#This Row],[Pcon_bottom (mW) C]]+Table7[[#This Row],[Psw_bottom (mV) C]]</f>
        <v>#REF!</v>
      </c>
      <c r="BZ226" s="152" t="e">
        <f aca="false">Table7[[#This Row],[Pbottom (mW) C]]+Table7[[#This Row],[Ptop (mW) C]]</f>
        <v>#REF!</v>
      </c>
      <c r="CA226" s="156"/>
      <c r="CB226" s="151" t="n">
        <f aca="false">(RAC_SNS*10^-3*(Table7[[#This Row],[IOUT (A)]]*Vbat/VACnom)^2/10^-3)</f>
        <v>270.1125</v>
      </c>
      <c r="CC226" s="151" t="n">
        <f aca="false">(RBAT_SNS*10^-3*Table7[[#This Row],[IOUT (A)]]^2)/10^-3</f>
        <v>245</v>
      </c>
      <c r="CD226" s="151" t="n">
        <f aca="false">IF(VACnom&gt;Vbat,(L_DRC*10^-3*(Table7[[#This Row],[IOUT (A)]])^2/10^-3),(L_DRC*10^-3*(Table7[[#This Row],[IOUT (A)]]*Vbat/VACnom)^2/10^-3))</f>
        <v>648.27</v>
      </c>
      <c r="CE226" s="157"/>
      <c r="CF226" s="152" t="n">
        <f aca="false">(Table7[[#This Row],[R_AC (mW)]]+Table7[[#This Row],[R_SR (mW)]]+Table7[[#This Row],[Inductor Loss (mW)]])/10^3</f>
        <v>1.1633825</v>
      </c>
      <c r="CG226" s="152" t="e">
        <f aca="false">Table7[[#This Row],[Total TI (mW)]]/10^3</f>
        <v>#REF!</v>
      </c>
      <c r="CH226" s="152" t="e">
        <f aca="false">Table7[[#This Row],[Total Sense Loss]]+Table7[[#This Row],[Total MOSFET Loss]]</f>
        <v>#REF!</v>
      </c>
      <c r="CI226" s="158" t="e">
        <f aca="false">IF(Table7[[#This Row],[POUT (W)]]=0,0,(Table7[[#This Row],[POUT (W)]])/(Table7[[#This Row],[POUT (W)]]+Table7[[#This Row],[Total Power Loss (W)]]))*100</f>
        <v>#REF!</v>
      </c>
      <c r="CJ226" s="159"/>
      <c r="CK226" s="152" t="n">
        <f aca="false">(Table7[[#This Row],[R_AC (mW)]]+Table7[[#This Row],[R_SR (mW)]]+Table7[[#This Row],[Inductor Loss (mW)]])/10^3</f>
        <v>1.1633825</v>
      </c>
      <c r="CL226" s="152" t="e">
        <f aca="false">Table7[[#This Row],[Total (mW) C]]/10^3</f>
        <v>#REF!</v>
      </c>
      <c r="CM226" s="152" t="e">
        <f aca="false">Table7[[#This Row],[Total Sense Loss C]]+Table7[[#This Row],[Total MOSFET Loss C]]</f>
        <v>#REF!</v>
      </c>
      <c r="CN226" s="158" t="e">
        <f aca="false">IF(Table7[[#This Row],[POUT (W)]]=0,0,(Table7[[#This Row],[POUT (W)]])/(Table7[[#This Row],[POUT (W)]]+Table7[[#This Row],[Total Power Loss (W) C]]))*100</f>
        <v>#REF!</v>
      </c>
      <c r="CO226" s="159"/>
      <c r="CP226" s="158" t="n">
        <f aca="false">IF(MOSFET_S=Custom_MOSFET,Table7[[#This Row],[Total Sense Loss C]],Table7[[#This Row],[Total Sense Loss]])</f>
        <v>1.1633825</v>
      </c>
      <c r="CQ226" s="158" t="e">
        <f aca="false">IF(MOSFET_S=Custom_MOSFET,Table7[[#This Row],[Total MOSFET Loss C]],Table7[[#This Row],[Total MOSFET Loss]])</f>
        <v>#REF!</v>
      </c>
      <c r="CR226" s="158" t="e">
        <f aca="false">IF(MOSFET_S=Custom_MOSFET,Table7[[#This Row],[Efficiency C]],Table7[[#This Row],[Efficiency]])</f>
        <v>#REF!</v>
      </c>
      <c r="CS226" s="159"/>
      <c r="CT226" s="158" t="n">
        <f aca="false">IF(MOSFET_S=Compare_MOSFET, Table7[[#This Row],[Total Sense Loss C]], -100)</f>
        <v>-100</v>
      </c>
      <c r="CU226" s="158" t="n">
        <f aca="false">IF(MOSFET_S=Compare_MOSFET, Table7[[#This Row],[Total MOSFET Loss C]], -100)</f>
        <v>-100</v>
      </c>
      <c r="CV226" s="158" t="n">
        <f aca="false">IF(MOSFET_S=Compare_MOSFET, Table7[[#This Row],[Efficiency C]], -100)</f>
        <v>-100</v>
      </c>
      <c r="CW226" s="159"/>
      <c r="CX226" s="158" t="e">
        <f aca="false">IF(Save_Sel=CLR_Save,  Table7[[#This Row],[Total Sense Loss P1]], Table7[[#This Row],[Total Sense Loss P1 Saved]])</f>
        <v>#VALUE!</v>
      </c>
      <c r="CY226" s="158" t="e">
        <f aca="false">IF(Save_Sel=CLR_Save,  Table7[[#This Row],[Total MOSFET Loss P1]], Table7[[#This Row],[Total MOSFET Loss P1 Saved]] )</f>
        <v>#VALUE!</v>
      </c>
      <c r="CZ226" s="158" t="e">
        <f aca="false">IF(Save_Sel=CLR_Save, Table7[[#This Row],[Efficiency P1]], Table7[[#This Row],[Efficiency P1 Saved]])</f>
        <v>#VALUE!</v>
      </c>
      <c r="DA226" s="159"/>
      <c r="DB226" s="158" t="e">
        <f aca="false">IF(Save_Sel=CLR_Save,  Table7[[#This Row],[Total Sense Loss P2]], Table7[[#This Row],[Total Sense Loss P2 Saved]])</f>
        <v>#VALUE!</v>
      </c>
      <c r="DC226" s="158" t="e">
        <f aca="false">IF(Save_Sel=CLR_Save,  Table7[[#This Row],[Total MOSFET Loss P2]], Table7[[#This Row],[Total MOSFET Loss P2 Saved]] )</f>
        <v>#VALUE!</v>
      </c>
      <c r="DD226" s="158" t="e">
        <f aca="false">IF(Save_Sel=CLR_Save, Table7[[#This Row],[Efficiency P2]], Table7[[#This Row],[Efficiency P2 Saved]])</f>
        <v>#VALUE!</v>
      </c>
      <c r="DE226" s="159"/>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row>
    <row r="227" customFormat="false" ht="16.4" hidden="false" customHeight="false" outlineLevel="0" collapsed="false">
      <c r="A227" s="174"/>
      <c r="B227" s="174"/>
      <c r="C227" s="174"/>
      <c r="D227" s="174"/>
      <c r="E227" s="174"/>
      <c r="F227" s="174"/>
      <c r="G227" s="174"/>
      <c r="H227" s="174"/>
      <c r="I227" s="174"/>
      <c r="J227" s="174"/>
      <c r="K227" s="174"/>
      <c r="L227" s="174"/>
      <c r="M227" s="174"/>
      <c r="N227" s="174"/>
      <c r="O227" s="174"/>
      <c r="P227" s="174"/>
      <c r="Q227" s="174"/>
      <c r="R227" s="174"/>
      <c r="S227" s="174"/>
      <c r="T227" s="174"/>
      <c r="U227" s="7"/>
      <c r="V227" s="7"/>
      <c r="W227" s="7"/>
      <c r="X227" s="7"/>
      <c r="Y227" s="7"/>
      <c r="Z227" s="7"/>
      <c r="AA227" s="7"/>
      <c r="AB227" s="7"/>
      <c r="AC227" s="7"/>
      <c r="AD227" s="7"/>
      <c r="AE227" s="7"/>
      <c r="AF227" s="150" t="n">
        <f aca="false">AF226+1</f>
        <v>71</v>
      </c>
      <c r="AG227" s="150" t="n">
        <f aca="false">$AG$156+AF227*($AG$256-$AG$156)/$AF$256</f>
        <v>7.1</v>
      </c>
      <c r="AH227" s="151" t="n">
        <f aca="false">AG227*VACnom</f>
        <v>85.2</v>
      </c>
      <c r="AI227" s="152" t="n">
        <f aca="false">IF(VACnom&lt;Vbat, (Vbat-VACnom)/Vbat, Vbat/VACnom)</f>
        <v>0.0476190476190476</v>
      </c>
      <c r="AJ227" s="152" t="n">
        <f aca="false">IF(VACnom&lt;Vbat, AG227/(1-AI227), AG227*AI227)</f>
        <v>7.455</v>
      </c>
      <c r="AK227" s="152" t="n">
        <f aca="false">Ipkpk_VACnom</f>
        <v>0.285714285714285</v>
      </c>
      <c r="AL227" s="152" t="n">
        <f aca="false">SQRT(AJ227^2+AK227^2/12)</f>
        <v>7.45545623829209</v>
      </c>
      <c r="AM227" s="153"/>
      <c r="AN227" s="152" t="n">
        <f aca="false">MAX(0,Table7[[#This Row],[I_L]]-0.5*Table7[[#This Row],[I_L pkpk]])</f>
        <v>7.31214285714286</v>
      </c>
      <c r="AO227" s="152" t="n">
        <f aca="false">Table7[[#This Row],[I_L]]+0.5*Table7[[#This Row],[I_L pkpk]]</f>
        <v>7.59785714285714</v>
      </c>
      <c r="AP227" s="152" t="e">
        <f aca="false">IF(VACnom&gt;Vbat, (VGS_S-(TI_MOSFET_S_VTH_H_BU+Table7[[#This Row],[I_L]]/TI_MOSFET_S_gFS_H_BU))/3.4, (VGS_S-(TI_MOSFET_S_VTH_L_BO+Table7[[#This Row],[I_L]]/TI_MOSFET_S_gFS_L_BO))/3.4 )</f>
        <v>#REF!</v>
      </c>
      <c r="AQ227" s="152" t="e">
        <f aca="false">IF(VACnom&gt;Vbat, ((TI_MOSFET_S_VTH_H_BU+Table7[[#This Row],[I_L]]/TI_MOSFET_S_gFS_H_BU))/1, ((TI_MOSFET_S_VTH_L_BO+Table7[[#This Row],[I_L]]/TI_MOSFET_S_gFS_L_BO))/1 )</f>
        <v>#REF!</v>
      </c>
      <c r="AR227" s="152" t="e">
        <f aca="false">IF(VACnom&gt;Vbat, (TI_MOSFET_S_QGD_H_BU+TI_MOSFET_S_QGS_H_BU)*10^-9/Table7[[#This Row],[Ion (A)]], (TI_MOSFET_S_QGD_L_BO+TI_MOSFET_S_QGS_L_BO)*10^-9/Table7[[#This Row],[Ion (A)]])/10^-9</f>
        <v>#REF!</v>
      </c>
      <c r="AS227" s="152" t="e">
        <f aca="false">IF(VACnom&gt;Vbat, (TI_MOSFET_S_QGD_H_BU+TI_MOSFET_S_QGS_H_BU)*10^-9/Table7[[#This Row],[Ioff (A)]], (TI_MOSFET_S_QGD_L_BO+TI_MOSFET_S_QGS_L_BO)*10^-9/Table7[[#This Row],[Ioff (A)]])/10^-9</f>
        <v>#REF!</v>
      </c>
      <c r="AT227" s="152" t="e">
        <f aca="false">0.5*VACnom*Table7[[#This Row],[Ivalley (A)]]*Table7[[#This Row],[ton (ns)]]*10^-9*Fsw*10^3+0.5*VACnom*Table7[[#This Row],[Ipeak (A)]]*Table7[[#This Row],[toff (ns)]]*10^-9*Fsw*10^3/10^-3</f>
        <v>#REF!</v>
      </c>
      <c r="AU227" s="152" t="e">
        <f aca="false">IF(VACnom&gt;Vbat, 0.5*VACnom*TI_MOSFET_S_QOSS_H_BU*10^-9*Fsw*10^3,0.5*VACnom*TI_MOSFET_S_QOSS_L_BO*10^-9*Fsw*10^3)/10^-3</f>
        <v>#REF!</v>
      </c>
      <c r="AV227" s="152" t="e">
        <f aca="false">IF(VACnom&gt;Vbat, VACnom*TI_MOSFET_S_QG_H_BU*10^-9*Fsw*10^3,VACnom*TI_MOSFET_S_QG_H_BO*10^-9*Fsw*10^3)/10^-3</f>
        <v>#REF!</v>
      </c>
      <c r="AW227" s="152" t="e">
        <f aca="false">IF(VACnom&gt;Vbat, VACnom*TI_MOSFET_S_QRR_L_BU*10^-9*Fsw*10^3, VACnom*TI_MOSFET_S_QRR_H_BO*10^-9*Fsw*10^3)/10^-3</f>
        <v>#REF!</v>
      </c>
      <c r="AX227" s="152" t="e">
        <f aca="false">IF(VACnom&gt;Vbat, TI_MOSFET_S_VSD_L_BU*Table7[[#This Row],[Ivalley (A)]]*Fsw*10^3*40*10^-9+TI_MOSFET_S_VSD_L_BU*Table7[[#This Row],[Ipeak (A)]]*Fsw*10^3*30*10^-9, TI_MOSFET_S_VSD_H_BO*Table7[[#This Row],[Ivalley (A)]]*Fsw*10^3*40*10^-9+TI_MOSFET_S_VSD_H_BO*Table7[[#This Row],[Ipeak (A)]]*Fsw*10^3*30*10^-9)/10^-3</f>
        <v>#REF!</v>
      </c>
      <c r="AY227" s="152" t="e">
        <f aca="false">IF(VACnom&gt;Vbat, VACnom*TI_MOSFET_S_QG_L_BU*10^-9*Fsw*10^3, VACnom*TI_MOSFET_S_QG_L_BO*10^-9*Fsw*10^3)/10^-3</f>
        <v>#REF!</v>
      </c>
      <c r="AZ227" s="152" t="e">
        <f aca="false">IF(VACnom&lt;Vbat, Table7[[#This Row],[Duty Cycle]]*Table7[[#This Row],[I_L RMS]]^2*TI_MOSFET_S_RDSON_H_BU*10^-3, (1-Table7[[#This Row],[Duty Cycle]])*Table7[[#This Row],[I_L RMS]]^2*TI_MOSFET_S_RDSON_H_BO*10^-3)/10^-3</f>
        <v>#REF!</v>
      </c>
      <c r="BA227" s="152" t="e">
        <f aca="false">IF(VACnom&gt;Vbat, Table7[[#This Row],[PIV (mW)]]+Table7[[#This Row],[Pqoss (mW)]]+Table7[[#This Row],[Pgate_top (mW)]], Table7[[#This Row],[PRR (mW)]]+Table7[[#This Row],[Pdead (mW)]]+Table7[[#This Row],[Pgate_top (mW)]])</f>
        <v>#REF!</v>
      </c>
      <c r="BB227" s="152" t="e">
        <f aca="false">Table7[[#This Row],[Pcon_top (mW)]]+Table7[[#This Row],[Psw_top (mW)]]</f>
        <v>#REF!</v>
      </c>
      <c r="BC227" s="152" t="e">
        <f aca="false">IF(VACnom&gt;Vbat, (1-Table7[[#This Row],[Duty Cycle]])*Table7[[#This Row],[I_L RMS]]^2*TI_MOSFET_S_RDSON_L_BU*10^-3, Table7[[#This Row],[Duty Cycle]]*Table7[[#This Row],[I_L RMS]]^2*TI_MOSFET_S_RDSON_L_BO*10^-3)/10^-3</f>
        <v>#REF!</v>
      </c>
      <c r="BD227" s="152" t="e">
        <f aca="false">IF(VACnom&gt;Vbat, Table7[[#This Row],[PRR (mW)]]+Table7[[#This Row],[Pdead (mW)]]+Table7[[#This Row],[Pgate_bottom (mW)]], Table7[[#This Row],[PIV (mW)]]+Table7[[#This Row],[Pqoss (mW)]]+Table7[[#This Row],[Pgate_bottom (mW)]])</f>
        <v>#REF!</v>
      </c>
      <c r="BE227" s="154" t="e">
        <f aca="false">Table7[[#This Row],[Pcon_bottom (mW)]]+Table7[[#This Row],[Psw_bottom (mW)]]</f>
        <v>#REF!</v>
      </c>
      <c r="BF227" s="152" t="e">
        <f aca="false">Table7[[#This Row],[Pbottom (mW)]]+Table7[[#This Row],[Ptop (mW)]]</f>
        <v>#REF!</v>
      </c>
      <c r="BG227" s="155"/>
      <c r="BH227" s="152" t="n">
        <f aca="false">MAX(0,Table7[[#This Row],[I_L]]-0.5*Table7[[#This Row],[I_L pkpk]])</f>
        <v>7.31214285714286</v>
      </c>
      <c r="BI227" s="152" t="n">
        <f aca="false">Table7[[#This Row],[I_L]]+0.5*Table7[[#This Row],[I_L pkpk]]</f>
        <v>7.59785714285714</v>
      </c>
      <c r="BJ227" s="152" t="n">
        <f aca="false">IF(VACnom&gt;Vbat, (VGS_S-(C_MOSFET_S_VTH_H_BU+Table7[[#This Row],[I_L]]/C_MOSFET_S_gFS_H_BU))/3.4, (VGS_S-(C_MOSFET_S_VTH_L_BO+Table7[[#This Row],[I_L]]/C_MOSFET_S_gFS_L_BO))/3.4 )</f>
        <v>2.33832352941177</v>
      </c>
      <c r="BK227" s="152" t="n">
        <f aca="false">IF(VACnom&gt;Vbat, ((C_MOSFET_S_VTH_H_BU+Table7[[#This Row],[I_L]]/C_MOSFET_S_gFS_H_BU))/1, ((C_MOSFET_S_VTH_L_BO+Table7[[#This Row],[I_L]]/C_MOSFET_S_gFS_L_BO))/1 )</f>
        <v>2.0497</v>
      </c>
      <c r="BL227" s="152" t="n">
        <f aca="false">IF(VACnom&gt;Vbat, (C_MOSFET_S_QGD_H_BU+C_MOSFET_S_QGS_H_BU)*10^-9/Table7[[#This Row],[Ion (A) C]], (C_MOSFET_S_QGD_L_BO+C_MOSFET_S_QGS_L_BO)*10^-9/Table7[[#This Row],[Ion (A) C]])/10^-9</f>
        <v>2.77976931688112</v>
      </c>
      <c r="BM227" s="152" t="n">
        <f aca="false">IF(VACnom&gt;Vbat, (C_MOSFET_S_QGD_H_BU+C_MOSFET_S_QGS_H_BU)*10^-9/Table7[[#This Row],[Ioff (A) C]], (C_MOSFET_S_QGD_L_BO+C_MOSFET_S_QGS_L_BO)*10^-9/Table7[[#This Row],[Ioff (A) C]])/10^-9</f>
        <v>3.17119578474899</v>
      </c>
      <c r="BN227" s="152" t="n">
        <f aca="false">0.5*VACnom*Table7[[#This Row],[Ivalley (A) C]]*Table7[[#This Row],[ton (ns) C]]*10^-9*Fsw*10^3+0.5*VACnom*Table7[[#This Row],[Ipeak (A) C]]*Table7[[#This Row],[toff (ns) C]]*10^-9*Fsw*10^3/10^-3</f>
        <v>28.9375423378902</v>
      </c>
      <c r="BO227" s="152" t="n">
        <f aca="false">IF(VACnom&gt;Vbat, 0.5*VACnom*C_MOSFET_S_QOSS_H_BU*10^-9*Fsw*10^3,0.5*VACnom*C_MOSFET_S_QOSS_L_BO*10^-9*Fsw*10^3)/10^-3</f>
        <v>43.2</v>
      </c>
      <c r="BP227" s="152" t="e">
        <f aca="false">IF(VACnom&gt;Vbat, VACnom*C_MOSFET_S_QG_H_BU*10^-9*Fsw*10^3,VACnom*C_MOSFET_S_QG_H_BO*10^-9*Fsw*10^3)/10^-3</f>
        <v>#REF!</v>
      </c>
      <c r="BQ227" s="152" t="n">
        <f aca="false">IF(VACnom&gt;Vbat, VACnom*C_MOSFET_S_QRR_L_BU*10^-9*Fsw*10^3, VACnom*C_MOSFET_S_QRR_H_BO*10^-9*Fsw*10^3)/10^-3</f>
        <v>79.2</v>
      </c>
      <c r="BR227" s="152" t="n">
        <f aca="false">IF(VACnom&gt;Vbat, C_MOSFET_S_VSD_L_BU*Table7[[#This Row],[Ivalley (A) C]]*Fsw*10^3*40*10^-9+C_MOSFET_S_VSD_L_BU*Table7[[#This Row],[Ipeak (A) C]]*Fsw*10^3*30*10^-9, C_MOSFET_S_VSD_H_BO*Table7[[#This Row],[Ivalley (A) C]]*Fsw*10^3*40*10^-9+C_MOSFET_S_VSD_H_BO*Table7[[#This Row],[Ipeak (A) C]]*Fsw*10^3*30*10^-9)/10^-3</f>
        <v>83.2674285714286</v>
      </c>
      <c r="BS227" s="152" t="e">
        <f aca="false">IF(VACnom&gt;Vbat, VACnom*C_MOSFET_S_QG_L_BU*10^-9*Fsw*10^3, VACnom*C_MOSFET_S_QG_L_BO*10^-9*Fsw*10^3)/10^-3</f>
        <v>#REF!</v>
      </c>
      <c r="BT227" s="152" t="n">
        <f aca="false">IF(VACnom&lt;Vbat, Table7[[#This Row],[Duty Cycle]]*Table7[[#This Row],[I_L RMS]]^2*C_MOSFET_S_RDSON_H_BU*10^-3, (1-Table7[[#This Row],[Duty Cycle]])*Table7[[#This Row],[I_L RMS]]^2*C_MOSFET_S_RDSON_H_BO*10^-3)/10^-3</f>
        <v>15.0870389528668</v>
      </c>
      <c r="BU227" s="152" t="e">
        <f aca="false">IF(VACnom&gt;Vbat, Table7[[#This Row],[PIV (mW) C]]+Table7[[#This Row],[PQoss (mW) C]]+Table7[[#This Row],[Pgate_top (mW) C]], Table7[[#This Row],[PRR (mW) C]]+Table7[[#This Row],[Pdead (mW) C]]+Table7[[#This Row],[Pgate_top (mW) C]])</f>
        <v>#REF!</v>
      </c>
      <c r="BV227" s="152" t="e">
        <f aca="false">Table7[[#This Row],[Pcon_top (mW) C]]+Table7[[#This Row],[Psw_top (mW) C]]</f>
        <v>#REF!</v>
      </c>
      <c r="BW227" s="152" t="e">
        <f aca="false">IF(VACnom&gt;Vbat, (1-Table7[[#This Row],[Duty Cycle]])*Table7[[#This Row],[I_L RMS]]^2*C_MOSFET_S_RDSON_L_BU*10^-3, Table7[[#This Row],[Duty Cycle]]*Table7[[#This Row],[I_L RMS]]^2*C_MOSFET_S_RDSON_L_BO*10^-3)/10^-3</f>
        <v>#REF!</v>
      </c>
      <c r="BX227" s="152" t="e">
        <f aca="false">IF(VACnom&gt;Vbat, Table7[[#This Row],[PRR (mW) C]]+Table7[[#This Row],[Pdead (mW) C]]+Table7[[#This Row],[Pgate_bottom (mW) C]], Table7[[#This Row],[PIV (mW) C]]+Table7[[#This Row],[PQoss (mW) C]]+Table7[[#This Row],[Pgate_bottom (mW) C]])</f>
        <v>#REF!</v>
      </c>
      <c r="BY227" s="152" t="e">
        <f aca="false">Table7[[#This Row],[Pcon_bottom (mW) C]]+Table7[[#This Row],[Psw_bottom (mV) C]]</f>
        <v>#REF!</v>
      </c>
      <c r="BZ227" s="152" t="e">
        <f aca="false">Table7[[#This Row],[Pbottom (mW) C]]+Table7[[#This Row],[Ptop (mW) C]]</f>
        <v>#REF!</v>
      </c>
      <c r="CA227" s="156"/>
      <c r="CB227" s="151" t="n">
        <f aca="false">(RAC_SNS*10^-3*(Table7[[#This Row],[IOUT (A)]]*Vbat/VACnom)^2/10^-3)</f>
        <v>277.885125</v>
      </c>
      <c r="CC227" s="151" t="n">
        <f aca="false">(RBAT_SNS*10^-3*Table7[[#This Row],[IOUT (A)]]^2)/10^-3</f>
        <v>252.05</v>
      </c>
      <c r="CD227" s="151" t="n">
        <f aca="false">IF(VACnom&gt;Vbat,(L_DRC*10^-3*(Table7[[#This Row],[IOUT (A)]])^2/10^-3),(L_DRC*10^-3*(Table7[[#This Row],[IOUT (A)]]*Vbat/VACnom)^2/10^-3))</f>
        <v>666.9243</v>
      </c>
      <c r="CE227" s="157"/>
      <c r="CF227" s="152" t="n">
        <f aca="false">(Table7[[#This Row],[R_AC (mW)]]+Table7[[#This Row],[R_SR (mW)]]+Table7[[#This Row],[Inductor Loss (mW)]])/10^3</f>
        <v>1.196859425</v>
      </c>
      <c r="CG227" s="152" t="e">
        <f aca="false">Table7[[#This Row],[Total TI (mW)]]/10^3</f>
        <v>#REF!</v>
      </c>
      <c r="CH227" s="152" t="e">
        <f aca="false">Table7[[#This Row],[Total Sense Loss]]+Table7[[#This Row],[Total MOSFET Loss]]</f>
        <v>#REF!</v>
      </c>
      <c r="CI227" s="158" t="e">
        <f aca="false">IF(Table7[[#This Row],[POUT (W)]]=0,0,(Table7[[#This Row],[POUT (W)]])/(Table7[[#This Row],[POUT (W)]]+Table7[[#This Row],[Total Power Loss (W)]]))*100</f>
        <v>#REF!</v>
      </c>
      <c r="CJ227" s="159"/>
      <c r="CK227" s="152" t="n">
        <f aca="false">(Table7[[#This Row],[R_AC (mW)]]+Table7[[#This Row],[R_SR (mW)]]+Table7[[#This Row],[Inductor Loss (mW)]])/10^3</f>
        <v>1.196859425</v>
      </c>
      <c r="CL227" s="152" t="e">
        <f aca="false">Table7[[#This Row],[Total (mW) C]]/10^3</f>
        <v>#REF!</v>
      </c>
      <c r="CM227" s="152" t="e">
        <f aca="false">Table7[[#This Row],[Total Sense Loss C]]+Table7[[#This Row],[Total MOSFET Loss C]]</f>
        <v>#REF!</v>
      </c>
      <c r="CN227" s="158" t="e">
        <f aca="false">IF(Table7[[#This Row],[POUT (W)]]=0,0,(Table7[[#This Row],[POUT (W)]])/(Table7[[#This Row],[POUT (W)]]+Table7[[#This Row],[Total Power Loss (W) C]]))*100</f>
        <v>#REF!</v>
      </c>
      <c r="CO227" s="159"/>
      <c r="CP227" s="158" t="n">
        <f aca="false">IF(MOSFET_S=Custom_MOSFET,Table7[[#This Row],[Total Sense Loss C]],Table7[[#This Row],[Total Sense Loss]])</f>
        <v>1.196859425</v>
      </c>
      <c r="CQ227" s="158" t="e">
        <f aca="false">IF(MOSFET_S=Custom_MOSFET,Table7[[#This Row],[Total MOSFET Loss C]],Table7[[#This Row],[Total MOSFET Loss]])</f>
        <v>#REF!</v>
      </c>
      <c r="CR227" s="158" t="e">
        <f aca="false">IF(MOSFET_S=Custom_MOSFET,Table7[[#This Row],[Efficiency C]],Table7[[#This Row],[Efficiency]])</f>
        <v>#REF!</v>
      </c>
      <c r="CS227" s="159"/>
      <c r="CT227" s="158" t="n">
        <f aca="false">IF(MOSFET_S=Compare_MOSFET, Table7[[#This Row],[Total Sense Loss C]], -100)</f>
        <v>-100</v>
      </c>
      <c r="CU227" s="158" t="n">
        <f aca="false">IF(MOSFET_S=Compare_MOSFET, Table7[[#This Row],[Total MOSFET Loss C]], -100)</f>
        <v>-100</v>
      </c>
      <c r="CV227" s="158" t="n">
        <f aca="false">IF(MOSFET_S=Compare_MOSFET, Table7[[#This Row],[Efficiency C]], -100)</f>
        <v>-100</v>
      </c>
      <c r="CW227" s="159"/>
      <c r="CX227" s="158" t="e">
        <f aca="false">IF(Save_Sel=CLR_Save,  Table7[[#This Row],[Total Sense Loss P1]], Table7[[#This Row],[Total Sense Loss P1 Saved]])</f>
        <v>#VALUE!</v>
      </c>
      <c r="CY227" s="158" t="e">
        <f aca="false">IF(Save_Sel=CLR_Save,  Table7[[#This Row],[Total MOSFET Loss P1]], Table7[[#This Row],[Total MOSFET Loss P1 Saved]] )</f>
        <v>#VALUE!</v>
      </c>
      <c r="CZ227" s="158" t="e">
        <f aca="false">IF(Save_Sel=CLR_Save, Table7[[#This Row],[Efficiency P1]], Table7[[#This Row],[Efficiency P1 Saved]])</f>
        <v>#VALUE!</v>
      </c>
      <c r="DA227" s="159"/>
      <c r="DB227" s="158" t="e">
        <f aca="false">IF(Save_Sel=CLR_Save,  Table7[[#This Row],[Total Sense Loss P2]], Table7[[#This Row],[Total Sense Loss P2 Saved]])</f>
        <v>#VALUE!</v>
      </c>
      <c r="DC227" s="158" t="e">
        <f aca="false">IF(Save_Sel=CLR_Save,  Table7[[#This Row],[Total MOSFET Loss P2]], Table7[[#This Row],[Total MOSFET Loss P2 Saved]] )</f>
        <v>#VALUE!</v>
      </c>
      <c r="DD227" s="158" t="e">
        <f aca="false">IF(Save_Sel=CLR_Save, Table7[[#This Row],[Efficiency P2]], Table7[[#This Row],[Efficiency P2 Saved]])</f>
        <v>#VALUE!</v>
      </c>
      <c r="DE227" s="159"/>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row>
    <row r="228" customFormat="false" ht="16.4" hidden="false" customHeight="false" outlineLevel="0" collapsed="false">
      <c r="A228" s="174"/>
      <c r="B228" s="174"/>
      <c r="C228" s="174"/>
      <c r="D228" s="174"/>
      <c r="E228" s="174"/>
      <c r="F228" s="174"/>
      <c r="G228" s="174"/>
      <c r="H228" s="174"/>
      <c r="I228" s="174"/>
      <c r="J228" s="174"/>
      <c r="K228" s="174"/>
      <c r="L228" s="174"/>
      <c r="M228" s="174"/>
      <c r="N228" s="174"/>
      <c r="O228" s="174"/>
      <c r="P228" s="174"/>
      <c r="Q228" s="174"/>
      <c r="R228" s="174"/>
      <c r="S228" s="174"/>
      <c r="T228" s="174"/>
      <c r="U228" s="7"/>
      <c r="V228" s="7"/>
      <c r="W228" s="7"/>
      <c r="X228" s="7"/>
      <c r="Y228" s="7"/>
      <c r="Z228" s="7"/>
      <c r="AA228" s="7"/>
      <c r="AB228" s="7"/>
      <c r="AC228" s="7"/>
      <c r="AD228" s="7"/>
      <c r="AE228" s="7"/>
      <c r="AF228" s="150" t="n">
        <f aca="false">AF227+1</f>
        <v>72</v>
      </c>
      <c r="AG228" s="150" t="n">
        <f aca="false">$AG$156+AF228*($AG$256-$AG$156)/$AF$256</f>
        <v>7.2</v>
      </c>
      <c r="AH228" s="151" t="n">
        <f aca="false">AG228*VACnom</f>
        <v>86.4</v>
      </c>
      <c r="AI228" s="152" t="n">
        <f aca="false">IF(VACnom&lt;Vbat, (Vbat-VACnom)/Vbat, Vbat/VACnom)</f>
        <v>0.0476190476190476</v>
      </c>
      <c r="AJ228" s="152" t="n">
        <f aca="false">IF(VACnom&lt;Vbat, AG228/(1-AI228), AG228*AI228)</f>
        <v>7.56</v>
      </c>
      <c r="AK228" s="152" t="n">
        <f aca="false">Ipkpk_VACnom</f>
        <v>0.285714285714285</v>
      </c>
      <c r="AL228" s="152" t="n">
        <f aca="false">SQRT(AJ228^2+AK228^2/12)</f>
        <v>7.56044990202888</v>
      </c>
      <c r="AM228" s="153"/>
      <c r="AN228" s="152" t="n">
        <f aca="false">MAX(0,Table7[[#This Row],[I_L]]-0.5*Table7[[#This Row],[I_L pkpk]])</f>
        <v>7.41714285714286</v>
      </c>
      <c r="AO228" s="152" t="n">
        <f aca="false">Table7[[#This Row],[I_L]]+0.5*Table7[[#This Row],[I_L pkpk]]</f>
        <v>7.70285714285714</v>
      </c>
      <c r="AP228" s="152" t="e">
        <f aca="false">IF(VACnom&gt;Vbat, (VGS_S-(TI_MOSFET_S_VTH_H_BU+Table7[[#This Row],[I_L]]/TI_MOSFET_S_gFS_H_BU))/3.4, (VGS_S-(TI_MOSFET_S_VTH_L_BO+Table7[[#This Row],[I_L]]/TI_MOSFET_S_gFS_L_BO))/3.4 )</f>
        <v>#REF!</v>
      </c>
      <c r="AQ228" s="152" t="e">
        <f aca="false">IF(VACnom&gt;Vbat, ((TI_MOSFET_S_VTH_H_BU+Table7[[#This Row],[I_L]]/TI_MOSFET_S_gFS_H_BU))/1, ((TI_MOSFET_S_VTH_L_BO+Table7[[#This Row],[I_L]]/TI_MOSFET_S_gFS_L_BO))/1 )</f>
        <v>#REF!</v>
      </c>
      <c r="AR228" s="152" t="e">
        <f aca="false">IF(VACnom&gt;Vbat, (TI_MOSFET_S_QGD_H_BU+TI_MOSFET_S_QGS_H_BU)*10^-9/Table7[[#This Row],[Ion (A)]], (TI_MOSFET_S_QGD_L_BO+TI_MOSFET_S_QGS_L_BO)*10^-9/Table7[[#This Row],[Ion (A)]])/10^-9</f>
        <v>#REF!</v>
      </c>
      <c r="AS228" s="152" t="e">
        <f aca="false">IF(VACnom&gt;Vbat, (TI_MOSFET_S_QGD_H_BU+TI_MOSFET_S_QGS_H_BU)*10^-9/Table7[[#This Row],[Ioff (A)]], (TI_MOSFET_S_QGD_L_BO+TI_MOSFET_S_QGS_L_BO)*10^-9/Table7[[#This Row],[Ioff (A)]])/10^-9</f>
        <v>#REF!</v>
      </c>
      <c r="AT228" s="152" t="e">
        <f aca="false">0.5*VACnom*Table7[[#This Row],[Ivalley (A)]]*Table7[[#This Row],[ton (ns)]]*10^-9*Fsw*10^3+0.5*VACnom*Table7[[#This Row],[Ipeak (A)]]*Table7[[#This Row],[toff (ns)]]*10^-9*Fsw*10^3/10^-3</f>
        <v>#REF!</v>
      </c>
      <c r="AU228" s="152" t="e">
        <f aca="false">IF(VACnom&gt;Vbat, 0.5*VACnom*TI_MOSFET_S_QOSS_H_BU*10^-9*Fsw*10^3,0.5*VACnom*TI_MOSFET_S_QOSS_L_BO*10^-9*Fsw*10^3)/10^-3</f>
        <v>#REF!</v>
      </c>
      <c r="AV228" s="152" t="e">
        <f aca="false">IF(VACnom&gt;Vbat, VACnom*TI_MOSFET_S_QG_H_BU*10^-9*Fsw*10^3,VACnom*TI_MOSFET_S_QG_H_BO*10^-9*Fsw*10^3)/10^-3</f>
        <v>#REF!</v>
      </c>
      <c r="AW228" s="152" t="e">
        <f aca="false">IF(VACnom&gt;Vbat, VACnom*TI_MOSFET_S_QRR_L_BU*10^-9*Fsw*10^3, VACnom*TI_MOSFET_S_QRR_H_BO*10^-9*Fsw*10^3)/10^-3</f>
        <v>#REF!</v>
      </c>
      <c r="AX228" s="152" t="e">
        <f aca="false">IF(VACnom&gt;Vbat, TI_MOSFET_S_VSD_L_BU*Table7[[#This Row],[Ivalley (A)]]*Fsw*10^3*40*10^-9+TI_MOSFET_S_VSD_L_BU*Table7[[#This Row],[Ipeak (A)]]*Fsw*10^3*30*10^-9, TI_MOSFET_S_VSD_H_BO*Table7[[#This Row],[Ivalley (A)]]*Fsw*10^3*40*10^-9+TI_MOSFET_S_VSD_H_BO*Table7[[#This Row],[Ipeak (A)]]*Fsw*10^3*30*10^-9)/10^-3</f>
        <v>#REF!</v>
      </c>
      <c r="AY228" s="152" t="e">
        <f aca="false">IF(VACnom&gt;Vbat, VACnom*TI_MOSFET_S_QG_L_BU*10^-9*Fsw*10^3, VACnom*TI_MOSFET_S_QG_L_BO*10^-9*Fsw*10^3)/10^-3</f>
        <v>#REF!</v>
      </c>
      <c r="AZ228" s="152" t="e">
        <f aca="false">IF(VACnom&lt;Vbat, Table7[[#This Row],[Duty Cycle]]*Table7[[#This Row],[I_L RMS]]^2*TI_MOSFET_S_RDSON_H_BU*10^-3, (1-Table7[[#This Row],[Duty Cycle]])*Table7[[#This Row],[I_L RMS]]^2*TI_MOSFET_S_RDSON_H_BO*10^-3)/10^-3</f>
        <v>#REF!</v>
      </c>
      <c r="BA228" s="152" t="e">
        <f aca="false">IF(VACnom&gt;Vbat, Table7[[#This Row],[PIV (mW)]]+Table7[[#This Row],[Pqoss (mW)]]+Table7[[#This Row],[Pgate_top (mW)]], Table7[[#This Row],[PRR (mW)]]+Table7[[#This Row],[Pdead (mW)]]+Table7[[#This Row],[Pgate_top (mW)]])</f>
        <v>#REF!</v>
      </c>
      <c r="BB228" s="152" t="e">
        <f aca="false">Table7[[#This Row],[Pcon_top (mW)]]+Table7[[#This Row],[Psw_top (mW)]]</f>
        <v>#REF!</v>
      </c>
      <c r="BC228" s="152" t="e">
        <f aca="false">IF(VACnom&gt;Vbat, (1-Table7[[#This Row],[Duty Cycle]])*Table7[[#This Row],[I_L RMS]]^2*TI_MOSFET_S_RDSON_L_BU*10^-3, Table7[[#This Row],[Duty Cycle]]*Table7[[#This Row],[I_L RMS]]^2*TI_MOSFET_S_RDSON_L_BO*10^-3)/10^-3</f>
        <v>#REF!</v>
      </c>
      <c r="BD228" s="152" t="e">
        <f aca="false">IF(VACnom&gt;Vbat, Table7[[#This Row],[PRR (mW)]]+Table7[[#This Row],[Pdead (mW)]]+Table7[[#This Row],[Pgate_bottom (mW)]], Table7[[#This Row],[PIV (mW)]]+Table7[[#This Row],[Pqoss (mW)]]+Table7[[#This Row],[Pgate_bottom (mW)]])</f>
        <v>#REF!</v>
      </c>
      <c r="BE228" s="154" t="e">
        <f aca="false">Table7[[#This Row],[Pcon_bottom (mW)]]+Table7[[#This Row],[Psw_bottom (mW)]]</f>
        <v>#REF!</v>
      </c>
      <c r="BF228" s="152" t="e">
        <f aca="false">Table7[[#This Row],[Pbottom (mW)]]+Table7[[#This Row],[Ptop (mW)]]</f>
        <v>#REF!</v>
      </c>
      <c r="BG228" s="155"/>
      <c r="BH228" s="152" t="n">
        <f aca="false">MAX(0,Table7[[#This Row],[I_L]]-0.5*Table7[[#This Row],[I_L pkpk]])</f>
        <v>7.41714285714286</v>
      </c>
      <c r="BI228" s="152" t="n">
        <f aca="false">Table7[[#This Row],[I_L]]+0.5*Table7[[#This Row],[I_L pkpk]]</f>
        <v>7.70285714285714</v>
      </c>
      <c r="BJ228" s="152" t="n">
        <f aca="false">IF(VACnom&gt;Vbat, (VGS_S-(C_MOSFET_S_VTH_H_BU+Table7[[#This Row],[I_L]]/C_MOSFET_S_gFS_H_BU))/3.4, (VGS_S-(C_MOSFET_S_VTH_L_BO+Table7[[#This Row],[I_L]]/C_MOSFET_S_gFS_L_BO))/3.4 )</f>
        <v>2.33811764705882</v>
      </c>
      <c r="BK228" s="152" t="n">
        <f aca="false">IF(VACnom&gt;Vbat, ((C_MOSFET_S_VTH_H_BU+Table7[[#This Row],[I_L]]/C_MOSFET_S_gFS_H_BU))/1, ((C_MOSFET_S_VTH_L_BO+Table7[[#This Row],[I_L]]/C_MOSFET_S_gFS_L_BO))/1 )</f>
        <v>2.0504</v>
      </c>
      <c r="BL228" s="152" t="n">
        <f aca="false">IF(VACnom&gt;Vbat, (C_MOSFET_S_QGD_H_BU+C_MOSFET_S_QGS_H_BU)*10^-9/Table7[[#This Row],[Ion (A) C]], (C_MOSFET_S_QGD_L_BO+C_MOSFET_S_QGS_L_BO)*10^-9/Table7[[#This Row],[Ion (A) C]])/10^-9</f>
        <v>2.78001408875918</v>
      </c>
      <c r="BM228" s="152" t="n">
        <f aca="false">IF(VACnom&gt;Vbat, (C_MOSFET_S_QGD_H_BU+C_MOSFET_S_QGS_H_BU)*10^-9/Table7[[#This Row],[Ioff (A) C]], (C_MOSFET_S_QGD_L_BO+C_MOSFET_S_QGS_L_BO)*10^-9/Table7[[#This Row],[Ioff (A) C]])/10^-9</f>
        <v>3.17011314865392</v>
      </c>
      <c r="BN228" s="152" t="n">
        <f aca="false">0.5*VACnom*Table7[[#This Row],[Ivalley (A) C]]*Table7[[#This Row],[ton (ns) C]]*10^-9*Fsw*10^3+0.5*VACnom*Table7[[#This Row],[Ipeak (A) C]]*Table7[[#This Row],[toff (ns) C]]*10^-9*Fsw*10^3/10^-3</f>
        <v>29.3274581668985</v>
      </c>
      <c r="BO228" s="152" t="n">
        <f aca="false">IF(VACnom&gt;Vbat, 0.5*VACnom*C_MOSFET_S_QOSS_H_BU*10^-9*Fsw*10^3,0.5*VACnom*C_MOSFET_S_QOSS_L_BO*10^-9*Fsw*10^3)/10^-3</f>
        <v>43.2</v>
      </c>
      <c r="BP228" s="152" t="e">
        <f aca="false">IF(VACnom&gt;Vbat, VACnom*C_MOSFET_S_QG_H_BU*10^-9*Fsw*10^3,VACnom*C_MOSFET_S_QG_H_BO*10^-9*Fsw*10^3)/10^-3</f>
        <v>#REF!</v>
      </c>
      <c r="BQ228" s="152" t="n">
        <f aca="false">IF(VACnom&gt;Vbat, VACnom*C_MOSFET_S_QRR_L_BU*10^-9*Fsw*10^3, VACnom*C_MOSFET_S_QRR_H_BO*10^-9*Fsw*10^3)/10^-3</f>
        <v>79.2</v>
      </c>
      <c r="BR228" s="152" t="n">
        <f aca="false">IF(VACnom&gt;Vbat, C_MOSFET_S_VSD_L_BU*Table7[[#This Row],[Ivalley (A) C]]*Fsw*10^3*40*10^-9+C_MOSFET_S_VSD_L_BU*Table7[[#This Row],[Ipeak (A) C]]*Fsw*10^3*30*10^-9, C_MOSFET_S_VSD_H_BO*Table7[[#This Row],[Ivalley (A) C]]*Fsw*10^3*40*10^-9+C_MOSFET_S_VSD_H_BO*Table7[[#This Row],[Ipeak (A) C]]*Fsw*10^3*30*10^-9)/10^-3</f>
        <v>84.4434285714286</v>
      </c>
      <c r="BS228" s="152" t="e">
        <f aca="false">IF(VACnom&gt;Vbat, VACnom*C_MOSFET_S_QG_L_BU*10^-9*Fsw*10^3, VACnom*C_MOSFET_S_QG_L_BO*10^-9*Fsw*10^3)/10^-3</f>
        <v>#REF!</v>
      </c>
      <c r="BT228" s="152" t="n">
        <f aca="false">IF(VACnom&lt;Vbat, Table7[[#This Row],[Duty Cycle]]*Table7[[#This Row],[I_L RMS]]^2*C_MOSFET_S_RDSON_H_BU*10^-3, (1-Table7[[#This Row],[Duty Cycle]])*Table7[[#This Row],[I_L RMS]]^2*C_MOSFET_S_RDSON_H_BO*10^-3)/10^-3</f>
        <v>15.5149664528669</v>
      </c>
      <c r="BU228" s="152" t="e">
        <f aca="false">IF(VACnom&gt;Vbat, Table7[[#This Row],[PIV (mW) C]]+Table7[[#This Row],[PQoss (mW) C]]+Table7[[#This Row],[Pgate_top (mW) C]], Table7[[#This Row],[PRR (mW) C]]+Table7[[#This Row],[Pdead (mW) C]]+Table7[[#This Row],[Pgate_top (mW) C]])</f>
        <v>#REF!</v>
      </c>
      <c r="BV228" s="152" t="e">
        <f aca="false">Table7[[#This Row],[Pcon_top (mW) C]]+Table7[[#This Row],[Psw_top (mW) C]]</f>
        <v>#REF!</v>
      </c>
      <c r="BW228" s="152" t="e">
        <f aca="false">IF(VACnom&gt;Vbat, (1-Table7[[#This Row],[Duty Cycle]])*Table7[[#This Row],[I_L RMS]]^2*C_MOSFET_S_RDSON_L_BU*10^-3, Table7[[#This Row],[Duty Cycle]]*Table7[[#This Row],[I_L RMS]]^2*C_MOSFET_S_RDSON_L_BO*10^-3)/10^-3</f>
        <v>#REF!</v>
      </c>
      <c r="BX228" s="152" t="e">
        <f aca="false">IF(VACnom&gt;Vbat, Table7[[#This Row],[PRR (mW) C]]+Table7[[#This Row],[Pdead (mW) C]]+Table7[[#This Row],[Pgate_bottom (mW) C]], Table7[[#This Row],[PIV (mW) C]]+Table7[[#This Row],[PQoss (mW) C]]+Table7[[#This Row],[Pgate_bottom (mW) C]])</f>
        <v>#REF!</v>
      </c>
      <c r="BY228" s="152" t="e">
        <f aca="false">Table7[[#This Row],[Pcon_bottom (mW) C]]+Table7[[#This Row],[Psw_bottom (mV) C]]</f>
        <v>#REF!</v>
      </c>
      <c r="BZ228" s="152" t="e">
        <f aca="false">Table7[[#This Row],[Pbottom (mW) C]]+Table7[[#This Row],[Ptop (mW) C]]</f>
        <v>#REF!</v>
      </c>
      <c r="CA228" s="156"/>
      <c r="CB228" s="151" t="n">
        <f aca="false">(RAC_SNS*10^-3*(Table7[[#This Row],[IOUT (A)]]*Vbat/VACnom)^2/10^-3)</f>
        <v>285.768</v>
      </c>
      <c r="CC228" s="151" t="n">
        <f aca="false">(RBAT_SNS*10^-3*Table7[[#This Row],[IOUT (A)]]^2)/10^-3</f>
        <v>259.2</v>
      </c>
      <c r="CD228" s="151" t="n">
        <f aca="false">IF(VACnom&gt;Vbat,(L_DRC*10^-3*(Table7[[#This Row],[IOUT (A)]])^2/10^-3),(L_DRC*10^-3*(Table7[[#This Row],[IOUT (A)]]*Vbat/VACnom)^2/10^-3))</f>
        <v>685.8432</v>
      </c>
      <c r="CE228" s="157"/>
      <c r="CF228" s="152" t="n">
        <f aca="false">(Table7[[#This Row],[R_AC (mW)]]+Table7[[#This Row],[R_SR (mW)]]+Table7[[#This Row],[Inductor Loss (mW)]])/10^3</f>
        <v>1.2308112</v>
      </c>
      <c r="CG228" s="152" t="e">
        <f aca="false">Table7[[#This Row],[Total TI (mW)]]/10^3</f>
        <v>#REF!</v>
      </c>
      <c r="CH228" s="152" t="e">
        <f aca="false">Table7[[#This Row],[Total Sense Loss]]+Table7[[#This Row],[Total MOSFET Loss]]</f>
        <v>#REF!</v>
      </c>
      <c r="CI228" s="158" t="e">
        <f aca="false">IF(Table7[[#This Row],[POUT (W)]]=0,0,(Table7[[#This Row],[POUT (W)]])/(Table7[[#This Row],[POUT (W)]]+Table7[[#This Row],[Total Power Loss (W)]]))*100</f>
        <v>#REF!</v>
      </c>
      <c r="CJ228" s="159"/>
      <c r="CK228" s="152" t="n">
        <f aca="false">(Table7[[#This Row],[R_AC (mW)]]+Table7[[#This Row],[R_SR (mW)]]+Table7[[#This Row],[Inductor Loss (mW)]])/10^3</f>
        <v>1.2308112</v>
      </c>
      <c r="CL228" s="152" t="e">
        <f aca="false">Table7[[#This Row],[Total (mW) C]]/10^3</f>
        <v>#REF!</v>
      </c>
      <c r="CM228" s="152" t="e">
        <f aca="false">Table7[[#This Row],[Total Sense Loss C]]+Table7[[#This Row],[Total MOSFET Loss C]]</f>
        <v>#REF!</v>
      </c>
      <c r="CN228" s="158" t="e">
        <f aca="false">IF(Table7[[#This Row],[POUT (W)]]=0,0,(Table7[[#This Row],[POUT (W)]])/(Table7[[#This Row],[POUT (W)]]+Table7[[#This Row],[Total Power Loss (W) C]]))*100</f>
        <v>#REF!</v>
      </c>
      <c r="CO228" s="159"/>
      <c r="CP228" s="158" t="n">
        <f aca="false">IF(MOSFET_S=Custom_MOSFET,Table7[[#This Row],[Total Sense Loss C]],Table7[[#This Row],[Total Sense Loss]])</f>
        <v>1.2308112</v>
      </c>
      <c r="CQ228" s="158" t="e">
        <f aca="false">IF(MOSFET_S=Custom_MOSFET,Table7[[#This Row],[Total MOSFET Loss C]],Table7[[#This Row],[Total MOSFET Loss]])</f>
        <v>#REF!</v>
      </c>
      <c r="CR228" s="158" t="e">
        <f aca="false">IF(MOSFET_S=Custom_MOSFET,Table7[[#This Row],[Efficiency C]],Table7[[#This Row],[Efficiency]])</f>
        <v>#REF!</v>
      </c>
      <c r="CS228" s="159"/>
      <c r="CT228" s="158" t="n">
        <f aca="false">IF(MOSFET_S=Compare_MOSFET, Table7[[#This Row],[Total Sense Loss C]], -100)</f>
        <v>-100</v>
      </c>
      <c r="CU228" s="158" t="n">
        <f aca="false">IF(MOSFET_S=Compare_MOSFET, Table7[[#This Row],[Total MOSFET Loss C]], -100)</f>
        <v>-100</v>
      </c>
      <c r="CV228" s="158" t="n">
        <f aca="false">IF(MOSFET_S=Compare_MOSFET, Table7[[#This Row],[Efficiency C]], -100)</f>
        <v>-100</v>
      </c>
      <c r="CW228" s="159"/>
      <c r="CX228" s="158" t="e">
        <f aca="false">IF(Save_Sel=CLR_Save,  Table7[[#This Row],[Total Sense Loss P1]], Table7[[#This Row],[Total Sense Loss P1 Saved]])</f>
        <v>#VALUE!</v>
      </c>
      <c r="CY228" s="158" t="e">
        <f aca="false">IF(Save_Sel=CLR_Save,  Table7[[#This Row],[Total MOSFET Loss P1]], Table7[[#This Row],[Total MOSFET Loss P1 Saved]] )</f>
        <v>#VALUE!</v>
      </c>
      <c r="CZ228" s="158" t="e">
        <f aca="false">IF(Save_Sel=CLR_Save, Table7[[#This Row],[Efficiency P1]], Table7[[#This Row],[Efficiency P1 Saved]])</f>
        <v>#VALUE!</v>
      </c>
      <c r="DA228" s="159"/>
      <c r="DB228" s="158" t="e">
        <f aca="false">IF(Save_Sel=CLR_Save,  Table7[[#This Row],[Total Sense Loss P2]], Table7[[#This Row],[Total Sense Loss P2 Saved]])</f>
        <v>#VALUE!</v>
      </c>
      <c r="DC228" s="158" t="e">
        <f aca="false">IF(Save_Sel=CLR_Save,  Table7[[#This Row],[Total MOSFET Loss P2]], Table7[[#This Row],[Total MOSFET Loss P2 Saved]] )</f>
        <v>#VALUE!</v>
      </c>
      <c r="DD228" s="158" t="e">
        <f aca="false">IF(Save_Sel=CLR_Save, Table7[[#This Row],[Efficiency P2]], Table7[[#This Row],[Efficiency P2 Saved]])</f>
        <v>#VALUE!</v>
      </c>
      <c r="DE228" s="159"/>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row>
    <row r="229" customFormat="false" ht="16.4" hidden="false" customHeight="false" outlineLevel="0" collapsed="false">
      <c r="A229" s="174"/>
      <c r="B229" s="174"/>
      <c r="C229" s="174"/>
      <c r="D229" s="174"/>
      <c r="E229" s="174"/>
      <c r="F229" s="174"/>
      <c r="G229" s="174"/>
      <c r="H229" s="174"/>
      <c r="I229" s="174"/>
      <c r="J229" s="174"/>
      <c r="K229" s="174"/>
      <c r="L229" s="174"/>
      <c r="M229" s="174"/>
      <c r="N229" s="174"/>
      <c r="O229" s="174"/>
      <c r="P229" s="174"/>
      <c r="Q229" s="174"/>
      <c r="R229" s="174"/>
      <c r="S229" s="174"/>
      <c r="T229" s="174"/>
      <c r="U229" s="7"/>
      <c r="V229" s="7"/>
      <c r="W229" s="7"/>
      <c r="X229" s="7"/>
      <c r="Y229" s="7"/>
      <c r="Z229" s="7"/>
      <c r="AA229" s="7"/>
      <c r="AB229" s="7"/>
      <c r="AC229" s="7"/>
      <c r="AD229" s="7"/>
      <c r="AE229" s="7"/>
      <c r="AF229" s="150" t="n">
        <f aca="false">AF228+1</f>
        <v>73</v>
      </c>
      <c r="AG229" s="150" t="n">
        <f aca="false">$AG$156+AF229*($AG$256-$AG$156)/$AF$256</f>
        <v>7.3</v>
      </c>
      <c r="AH229" s="151" t="n">
        <f aca="false">AG229*VACnom</f>
        <v>87.6</v>
      </c>
      <c r="AI229" s="152" t="n">
        <f aca="false">IF(VACnom&lt;Vbat, (Vbat-VACnom)/Vbat, Vbat/VACnom)</f>
        <v>0.0476190476190476</v>
      </c>
      <c r="AJ229" s="152" t="n">
        <f aca="false">IF(VACnom&lt;Vbat, AG229/(1-AI229), AG229*AI229)</f>
        <v>7.665</v>
      </c>
      <c r="AK229" s="152" t="n">
        <f aca="false">Ipkpk_VACnom</f>
        <v>0.285714285714285</v>
      </c>
      <c r="AL229" s="152" t="n">
        <f aca="false">SQRT(AJ229^2+AK229^2/12)</f>
        <v>7.66544373934663</v>
      </c>
      <c r="AM229" s="153"/>
      <c r="AN229" s="152" t="n">
        <f aca="false">MAX(0,Table7[[#This Row],[I_L]]-0.5*Table7[[#This Row],[I_L pkpk]])</f>
        <v>7.52214285714286</v>
      </c>
      <c r="AO229" s="152" t="n">
        <f aca="false">Table7[[#This Row],[I_L]]+0.5*Table7[[#This Row],[I_L pkpk]]</f>
        <v>7.80785714285714</v>
      </c>
      <c r="AP229" s="152" t="e">
        <f aca="false">IF(VACnom&gt;Vbat, (VGS_S-(TI_MOSFET_S_VTH_H_BU+Table7[[#This Row],[I_L]]/TI_MOSFET_S_gFS_H_BU))/3.4, (VGS_S-(TI_MOSFET_S_VTH_L_BO+Table7[[#This Row],[I_L]]/TI_MOSFET_S_gFS_L_BO))/3.4 )</f>
        <v>#REF!</v>
      </c>
      <c r="AQ229" s="152" t="e">
        <f aca="false">IF(VACnom&gt;Vbat, ((TI_MOSFET_S_VTH_H_BU+Table7[[#This Row],[I_L]]/TI_MOSFET_S_gFS_H_BU))/1, ((TI_MOSFET_S_VTH_L_BO+Table7[[#This Row],[I_L]]/TI_MOSFET_S_gFS_L_BO))/1 )</f>
        <v>#REF!</v>
      </c>
      <c r="AR229" s="152" t="e">
        <f aca="false">IF(VACnom&gt;Vbat, (TI_MOSFET_S_QGD_H_BU+TI_MOSFET_S_QGS_H_BU)*10^-9/Table7[[#This Row],[Ion (A)]], (TI_MOSFET_S_QGD_L_BO+TI_MOSFET_S_QGS_L_BO)*10^-9/Table7[[#This Row],[Ion (A)]])/10^-9</f>
        <v>#REF!</v>
      </c>
      <c r="AS229" s="152" t="e">
        <f aca="false">IF(VACnom&gt;Vbat, (TI_MOSFET_S_QGD_H_BU+TI_MOSFET_S_QGS_H_BU)*10^-9/Table7[[#This Row],[Ioff (A)]], (TI_MOSFET_S_QGD_L_BO+TI_MOSFET_S_QGS_L_BO)*10^-9/Table7[[#This Row],[Ioff (A)]])/10^-9</f>
        <v>#REF!</v>
      </c>
      <c r="AT229" s="152" t="e">
        <f aca="false">0.5*VACnom*Table7[[#This Row],[Ivalley (A)]]*Table7[[#This Row],[ton (ns)]]*10^-9*Fsw*10^3+0.5*VACnom*Table7[[#This Row],[Ipeak (A)]]*Table7[[#This Row],[toff (ns)]]*10^-9*Fsw*10^3/10^-3</f>
        <v>#REF!</v>
      </c>
      <c r="AU229" s="152" t="e">
        <f aca="false">IF(VACnom&gt;Vbat, 0.5*VACnom*TI_MOSFET_S_QOSS_H_BU*10^-9*Fsw*10^3,0.5*VACnom*TI_MOSFET_S_QOSS_L_BO*10^-9*Fsw*10^3)/10^-3</f>
        <v>#REF!</v>
      </c>
      <c r="AV229" s="152" t="e">
        <f aca="false">IF(VACnom&gt;Vbat, VACnom*TI_MOSFET_S_QG_H_BU*10^-9*Fsw*10^3,VACnom*TI_MOSFET_S_QG_H_BO*10^-9*Fsw*10^3)/10^-3</f>
        <v>#REF!</v>
      </c>
      <c r="AW229" s="152" t="e">
        <f aca="false">IF(VACnom&gt;Vbat, VACnom*TI_MOSFET_S_QRR_L_BU*10^-9*Fsw*10^3, VACnom*TI_MOSFET_S_QRR_H_BO*10^-9*Fsw*10^3)/10^-3</f>
        <v>#REF!</v>
      </c>
      <c r="AX229" s="152" t="e">
        <f aca="false">IF(VACnom&gt;Vbat, TI_MOSFET_S_VSD_L_BU*Table7[[#This Row],[Ivalley (A)]]*Fsw*10^3*40*10^-9+TI_MOSFET_S_VSD_L_BU*Table7[[#This Row],[Ipeak (A)]]*Fsw*10^3*30*10^-9, TI_MOSFET_S_VSD_H_BO*Table7[[#This Row],[Ivalley (A)]]*Fsw*10^3*40*10^-9+TI_MOSFET_S_VSD_H_BO*Table7[[#This Row],[Ipeak (A)]]*Fsw*10^3*30*10^-9)/10^-3</f>
        <v>#REF!</v>
      </c>
      <c r="AY229" s="152" t="e">
        <f aca="false">IF(VACnom&gt;Vbat, VACnom*TI_MOSFET_S_QG_L_BU*10^-9*Fsw*10^3, VACnom*TI_MOSFET_S_QG_L_BO*10^-9*Fsw*10^3)/10^-3</f>
        <v>#REF!</v>
      </c>
      <c r="AZ229" s="152" t="e">
        <f aca="false">IF(VACnom&lt;Vbat, Table7[[#This Row],[Duty Cycle]]*Table7[[#This Row],[I_L RMS]]^2*TI_MOSFET_S_RDSON_H_BU*10^-3, (1-Table7[[#This Row],[Duty Cycle]])*Table7[[#This Row],[I_L RMS]]^2*TI_MOSFET_S_RDSON_H_BO*10^-3)/10^-3</f>
        <v>#REF!</v>
      </c>
      <c r="BA229" s="152" t="e">
        <f aca="false">IF(VACnom&gt;Vbat, Table7[[#This Row],[PIV (mW)]]+Table7[[#This Row],[Pqoss (mW)]]+Table7[[#This Row],[Pgate_top (mW)]], Table7[[#This Row],[PRR (mW)]]+Table7[[#This Row],[Pdead (mW)]]+Table7[[#This Row],[Pgate_top (mW)]])</f>
        <v>#REF!</v>
      </c>
      <c r="BB229" s="152" t="e">
        <f aca="false">Table7[[#This Row],[Pcon_top (mW)]]+Table7[[#This Row],[Psw_top (mW)]]</f>
        <v>#REF!</v>
      </c>
      <c r="BC229" s="152" t="e">
        <f aca="false">IF(VACnom&gt;Vbat, (1-Table7[[#This Row],[Duty Cycle]])*Table7[[#This Row],[I_L RMS]]^2*TI_MOSFET_S_RDSON_L_BU*10^-3, Table7[[#This Row],[Duty Cycle]]*Table7[[#This Row],[I_L RMS]]^2*TI_MOSFET_S_RDSON_L_BO*10^-3)/10^-3</f>
        <v>#REF!</v>
      </c>
      <c r="BD229" s="152" t="e">
        <f aca="false">IF(VACnom&gt;Vbat, Table7[[#This Row],[PRR (mW)]]+Table7[[#This Row],[Pdead (mW)]]+Table7[[#This Row],[Pgate_bottom (mW)]], Table7[[#This Row],[PIV (mW)]]+Table7[[#This Row],[Pqoss (mW)]]+Table7[[#This Row],[Pgate_bottom (mW)]])</f>
        <v>#REF!</v>
      </c>
      <c r="BE229" s="154" t="e">
        <f aca="false">Table7[[#This Row],[Pcon_bottom (mW)]]+Table7[[#This Row],[Psw_bottom (mW)]]</f>
        <v>#REF!</v>
      </c>
      <c r="BF229" s="152" t="e">
        <f aca="false">Table7[[#This Row],[Pbottom (mW)]]+Table7[[#This Row],[Ptop (mW)]]</f>
        <v>#REF!</v>
      </c>
      <c r="BG229" s="155"/>
      <c r="BH229" s="152" t="n">
        <f aca="false">MAX(0,Table7[[#This Row],[I_L]]-0.5*Table7[[#This Row],[I_L pkpk]])</f>
        <v>7.52214285714286</v>
      </c>
      <c r="BI229" s="152" t="n">
        <f aca="false">Table7[[#This Row],[I_L]]+0.5*Table7[[#This Row],[I_L pkpk]]</f>
        <v>7.80785714285714</v>
      </c>
      <c r="BJ229" s="152" t="n">
        <f aca="false">IF(VACnom&gt;Vbat, (VGS_S-(C_MOSFET_S_VTH_H_BU+Table7[[#This Row],[I_L]]/C_MOSFET_S_gFS_H_BU))/3.4, (VGS_S-(C_MOSFET_S_VTH_L_BO+Table7[[#This Row],[I_L]]/C_MOSFET_S_gFS_L_BO))/3.4 )</f>
        <v>2.33791176470588</v>
      </c>
      <c r="BK229" s="152" t="n">
        <f aca="false">IF(VACnom&gt;Vbat, ((C_MOSFET_S_VTH_H_BU+Table7[[#This Row],[I_L]]/C_MOSFET_S_gFS_H_BU))/1, ((C_MOSFET_S_VTH_L_BO+Table7[[#This Row],[I_L]]/C_MOSFET_S_gFS_L_BO))/1 )</f>
        <v>2.0511</v>
      </c>
      <c r="BL229" s="152" t="n">
        <f aca="false">IF(VACnom&gt;Vbat, (C_MOSFET_S_QGD_H_BU+C_MOSFET_S_QGS_H_BU)*10^-9/Table7[[#This Row],[Ion (A) C]], (C_MOSFET_S_QGD_L_BO+C_MOSFET_S_QGS_L_BO)*10^-9/Table7[[#This Row],[Ion (A) C]])/10^-9</f>
        <v>2.78025890374769</v>
      </c>
      <c r="BM229" s="152" t="n">
        <f aca="false">IF(VACnom&gt;Vbat, (C_MOSFET_S_QGD_H_BU+C_MOSFET_S_QGS_H_BU)*10^-9/Table7[[#This Row],[Ioff (A) C]], (C_MOSFET_S_QGD_L_BO+C_MOSFET_S_QGS_L_BO)*10^-9/Table7[[#This Row],[Ioff (A) C]])/10^-9</f>
        <v>3.16903125152357</v>
      </c>
      <c r="BN229" s="152" t="n">
        <f aca="false">0.5*VACnom*Table7[[#This Row],[Ivalley (A) C]]*Table7[[#This Row],[ton (ns) C]]*10^-9*Fsw*10^3+0.5*VACnom*Table7[[#This Row],[Ipeak (A) C]]*Table7[[#This Row],[toff (ns) C]]*10^-9*Fsw*10^3/10^-3</f>
        <v>29.7171081573596</v>
      </c>
      <c r="BO229" s="152" t="n">
        <f aca="false">IF(VACnom&gt;Vbat, 0.5*VACnom*C_MOSFET_S_QOSS_H_BU*10^-9*Fsw*10^3,0.5*VACnom*C_MOSFET_S_QOSS_L_BO*10^-9*Fsw*10^3)/10^-3</f>
        <v>43.2</v>
      </c>
      <c r="BP229" s="152" t="e">
        <f aca="false">IF(VACnom&gt;Vbat, VACnom*C_MOSFET_S_QG_H_BU*10^-9*Fsw*10^3,VACnom*C_MOSFET_S_QG_H_BO*10^-9*Fsw*10^3)/10^-3</f>
        <v>#REF!</v>
      </c>
      <c r="BQ229" s="152" t="n">
        <f aca="false">IF(VACnom&gt;Vbat, VACnom*C_MOSFET_S_QRR_L_BU*10^-9*Fsw*10^3, VACnom*C_MOSFET_S_QRR_H_BO*10^-9*Fsw*10^3)/10^-3</f>
        <v>79.2</v>
      </c>
      <c r="BR229" s="152" t="n">
        <f aca="false">IF(VACnom&gt;Vbat, C_MOSFET_S_VSD_L_BU*Table7[[#This Row],[Ivalley (A) C]]*Fsw*10^3*40*10^-9+C_MOSFET_S_VSD_L_BU*Table7[[#This Row],[Ipeak (A) C]]*Fsw*10^3*30*10^-9, C_MOSFET_S_VSD_H_BO*Table7[[#This Row],[Ivalley (A) C]]*Fsw*10^3*40*10^-9+C_MOSFET_S_VSD_H_BO*Table7[[#This Row],[Ipeak (A) C]]*Fsw*10^3*30*10^-9)/10^-3</f>
        <v>85.6194285714286</v>
      </c>
      <c r="BS229" s="152" t="e">
        <f aca="false">IF(VACnom&gt;Vbat, VACnom*C_MOSFET_S_QG_L_BU*10^-9*Fsw*10^3, VACnom*C_MOSFET_S_QG_L_BO*10^-9*Fsw*10^3)/10^-3</f>
        <v>#REF!</v>
      </c>
      <c r="BT229" s="152" t="n">
        <f aca="false">IF(VACnom&lt;Vbat, Table7[[#This Row],[Duty Cycle]]*Table7[[#This Row],[I_L RMS]]^2*C_MOSFET_S_RDSON_H_BU*10^-3, (1-Table7[[#This Row],[Duty Cycle]])*Table7[[#This Row],[I_L RMS]]^2*C_MOSFET_S_RDSON_H_BO*10^-3)/10^-3</f>
        <v>15.9488789528669</v>
      </c>
      <c r="BU229" s="152" t="e">
        <f aca="false">IF(VACnom&gt;Vbat, Table7[[#This Row],[PIV (mW) C]]+Table7[[#This Row],[PQoss (mW) C]]+Table7[[#This Row],[Pgate_top (mW) C]], Table7[[#This Row],[PRR (mW) C]]+Table7[[#This Row],[Pdead (mW) C]]+Table7[[#This Row],[Pgate_top (mW) C]])</f>
        <v>#REF!</v>
      </c>
      <c r="BV229" s="152" t="e">
        <f aca="false">Table7[[#This Row],[Pcon_top (mW) C]]+Table7[[#This Row],[Psw_top (mW) C]]</f>
        <v>#REF!</v>
      </c>
      <c r="BW229" s="152" t="e">
        <f aca="false">IF(VACnom&gt;Vbat, (1-Table7[[#This Row],[Duty Cycle]])*Table7[[#This Row],[I_L RMS]]^2*C_MOSFET_S_RDSON_L_BU*10^-3, Table7[[#This Row],[Duty Cycle]]*Table7[[#This Row],[I_L RMS]]^2*C_MOSFET_S_RDSON_L_BO*10^-3)/10^-3</f>
        <v>#REF!</v>
      </c>
      <c r="BX229" s="152" t="e">
        <f aca="false">IF(VACnom&gt;Vbat, Table7[[#This Row],[PRR (mW) C]]+Table7[[#This Row],[Pdead (mW) C]]+Table7[[#This Row],[Pgate_bottom (mW) C]], Table7[[#This Row],[PIV (mW) C]]+Table7[[#This Row],[PQoss (mW) C]]+Table7[[#This Row],[Pgate_bottom (mW) C]])</f>
        <v>#REF!</v>
      </c>
      <c r="BY229" s="152" t="e">
        <f aca="false">Table7[[#This Row],[Pcon_bottom (mW) C]]+Table7[[#This Row],[Psw_bottom (mV) C]]</f>
        <v>#REF!</v>
      </c>
      <c r="BZ229" s="152" t="e">
        <f aca="false">Table7[[#This Row],[Pbottom (mW) C]]+Table7[[#This Row],[Ptop (mW) C]]</f>
        <v>#REF!</v>
      </c>
      <c r="CA229" s="156"/>
      <c r="CB229" s="151" t="n">
        <f aca="false">(RAC_SNS*10^-3*(Table7[[#This Row],[IOUT (A)]]*Vbat/VACnom)^2/10^-3)</f>
        <v>293.761125</v>
      </c>
      <c r="CC229" s="151" t="n">
        <f aca="false">(RBAT_SNS*10^-3*Table7[[#This Row],[IOUT (A)]]^2)/10^-3</f>
        <v>266.45</v>
      </c>
      <c r="CD229" s="151" t="n">
        <f aca="false">IF(VACnom&gt;Vbat,(L_DRC*10^-3*(Table7[[#This Row],[IOUT (A)]])^2/10^-3),(L_DRC*10^-3*(Table7[[#This Row],[IOUT (A)]]*Vbat/VACnom)^2/10^-3))</f>
        <v>705.0267</v>
      </c>
      <c r="CE229" s="157"/>
      <c r="CF229" s="152" t="n">
        <f aca="false">(Table7[[#This Row],[R_AC (mW)]]+Table7[[#This Row],[R_SR (mW)]]+Table7[[#This Row],[Inductor Loss (mW)]])/10^3</f>
        <v>1.265237825</v>
      </c>
      <c r="CG229" s="152" t="e">
        <f aca="false">Table7[[#This Row],[Total TI (mW)]]/10^3</f>
        <v>#REF!</v>
      </c>
      <c r="CH229" s="152" t="e">
        <f aca="false">Table7[[#This Row],[Total Sense Loss]]+Table7[[#This Row],[Total MOSFET Loss]]</f>
        <v>#REF!</v>
      </c>
      <c r="CI229" s="158" t="e">
        <f aca="false">IF(Table7[[#This Row],[POUT (W)]]=0,0,(Table7[[#This Row],[POUT (W)]])/(Table7[[#This Row],[POUT (W)]]+Table7[[#This Row],[Total Power Loss (W)]]))*100</f>
        <v>#REF!</v>
      </c>
      <c r="CJ229" s="159"/>
      <c r="CK229" s="152" t="n">
        <f aca="false">(Table7[[#This Row],[R_AC (mW)]]+Table7[[#This Row],[R_SR (mW)]]+Table7[[#This Row],[Inductor Loss (mW)]])/10^3</f>
        <v>1.265237825</v>
      </c>
      <c r="CL229" s="152" t="e">
        <f aca="false">Table7[[#This Row],[Total (mW) C]]/10^3</f>
        <v>#REF!</v>
      </c>
      <c r="CM229" s="152" t="e">
        <f aca="false">Table7[[#This Row],[Total Sense Loss C]]+Table7[[#This Row],[Total MOSFET Loss C]]</f>
        <v>#REF!</v>
      </c>
      <c r="CN229" s="158" t="e">
        <f aca="false">IF(Table7[[#This Row],[POUT (W)]]=0,0,(Table7[[#This Row],[POUT (W)]])/(Table7[[#This Row],[POUT (W)]]+Table7[[#This Row],[Total Power Loss (W) C]]))*100</f>
        <v>#REF!</v>
      </c>
      <c r="CO229" s="159"/>
      <c r="CP229" s="158" t="n">
        <f aca="false">IF(MOSFET_S=Custom_MOSFET,Table7[[#This Row],[Total Sense Loss C]],Table7[[#This Row],[Total Sense Loss]])</f>
        <v>1.265237825</v>
      </c>
      <c r="CQ229" s="158" t="e">
        <f aca="false">IF(MOSFET_S=Custom_MOSFET,Table7[[#This Row],[Total MOSFET Loss C]],Table7[[#This Row],[Total MOSFET Loss]])</f>
        <v>#REF!</v>
      </c>
      <c r="CR229" s="158" t="e">
        <f aca="false">IF(MOSFET_S=Custom_MOSFET,Table7[[#This Row],[Efficiency C]],Table7[[#This Row],[Efficiency]])</f>
        <v>#REF!</v>
      </c>
      <c r="CS229" s="159"/>
      <c r="CT229" s="158" t="n">
        <f aca="false">IF(MOSFET_S=Compare_MOSFET, Table7[[#This Row],[Total Sense Loss C]], -100)</f>
        <v>-100</v>
      </c>
      <c r="CU229" s="158" t="n">
        <f aca="false">IF(MOSFET_S=Compare_MOSFET, Table7[[#This Row],[Total MOSFET Loss C]], -100)</f>
        <v>-100</v>
      </c>
      <c r="CV229" s="158" t="n">
        <f aca="false">IF(MOSFET_S=Compare_MOSFET, Table7[[#This Row],[Efficiency C]], -100)</f>
        <v>-100</v>
      </c>
      <c r="CW229" s="159"/>
      <c r="CX229" s="158" t="e">
        <f aca="false">IF(Save_Sel=CLR_Save,  Table7[[#This Row],[Total Sense Loss P1]], Table7[[#This Row],[Total Sense Loss P1 Saved]])</f>
        <v>#VALUE!</v>
      </c>
      <c r="CY229" s="158" t="e">
        <f aca="false">IF(Save_Sel=CLR_Save,  Table7[[#This Row],[Total MOSFET Loss P1]], Table7[[#This Row],[Total MOSFET Loss P1 Saved]] )</f>
        <v>#VALUE!</v>
      </c>
      <c r="CZ229" s="158" t="e">
        <f aca="false">IF(Save_Sel=CLR_Save, Table7[[#This Row],[Efficiency P1]], Table7[[#This Row],[Efficiency P1 Saved]])</f>
        <v>#VALUE!</v>
      </c>
      <c r="DA229" s="159"/>
      <c r="DB229" s="158" t="e">
        <f aca="false">IF(Save_Sel=CLR_Save,  Table7[[#This Row],[Total Sense Loss P2]], Table7[[#This Row],[Total Sense Loss P2 Saved]])</f>
        <v>#VALUE!</v>
      </c>
      <c r="DC229" s="158" t="e">
        <f aca="false">IF(Save_Sel=CLR_Save,  Table7[[#This Row],[Total MOSFET Loss P2]], Table7[[#This Row],[Total MOSFET Loss P2 Saved]] )</f>
        <v>#VALUE!</v>
      </c>
      <c r="DD229" s="158" t="e">
        <f aca="false">IF(Save_Sel=CLR_Save, Table7[[#This Row],[Efficiency P2]], Table7[[#This Row],[Efficiency P2 Saved]])</f>
        <v>#VALUE!</v>
      </c>
      <c r="DE229" s="159"/>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row>
    <row r="230" customFormat="false" ht="16.4" hidden="false" customHeight="false" outlineLevel="0" collapsed="false">
      <c r="A230" s="174"/>
      <c r="B230" s="174"/>
      <c r="C230" s="174"/>
      <c r="D230" s="174"/>
      <c r="E230" s="174"/>
      <c r="F230" s="174"/>
      <c r="G230" s="174"/>
      <c r="H230" s="174"/>
      <c r="I230" s="174"/>
      <c r="J230" s="174"/>
      <c r="K230" s="174"/>
      <c r="L230" s="174"/>
      <c r="M230" s="174"/>
      <c r="N230" s="174"/>
      <c r="O230" s="174"/>
      <c r="P230" s="174"/>
      <c r="Q230" s="174"/>
      <c r="R230" s="174"/>
      <c r="S230" s="174"/>
      <c r="T230" s="174"/>
      <c r="U230" s="7"/>
      <c r="V230" s="7"/>
      <c r="W230" s="7"/>
      <c r="X230" s="7"/>
      <c r="Y230" s="7"/>
      <c r="Z230" s="7"/>
      <c r="AA230" s="7"/>
      <c r="AB230" s="7"/>
      <c r="AC230" s="7"/>
      <c r="AD230" s="7"/>
      <c r="AE230" s="7"/>
      <c r="AF230" s="150" t="n">
        <f aca="false">AF229+1</f>
        <v>74</v>
      </c>
      <c r="AG230" s="150" t="n">
        <f aca="false">$AG$156+AF230*($AG$256-$AG$156)/$AF$256</f>
        <v>7.4</v>
      </c>
      <c r="AH230" s="151" t="n">
        <f aca="false">AG230*VACnom</f>
        <v>88.8</v>
      </c>
      <c r="AI230" s="152" t="n">
        <f aca="false">IF(VACnom&lt;Vbat, (Vbat-VACnom)/Vbat, Vbat/VACnom)</f>
        <v>0.0476190476190476</v>
      </c>
      <c r="AJ230" s="152" t="n">
        <f aca="false">IF(VACnom&lt;Vbat, AG230/(1-AI230), AG230*AI230)</f>
        <v>7.77</v>
      </c>
      <c r="AK230" s="152" t="n">
        <f aca="false">Ipkpk_VACnom</f>
        <v>0.285714285714285</v>
      </c>
      <c r="AL230" s="152" t="n">
        <f aca="false">SQRT(AJ230^2+AK230^2/12)</f>
        <v>7.77043774320909</v>
      </c>
      <c r="AM230" s="153"/>
      <c r="AN230" s="152" t="n">
        <f aca="false">MAX(0,Table7[[#This Row],[I_L]]-0.5*Table7[[#This Row],[I_L pkpk]])</f>
        <v>7.62714285714286</v>
      </c>
      <c r="AO230" s="152" t="n">
        <f aca="false">Table7[[#This Row],[I_L]]+0.5*Table7[[#This Row],[I_L pkpk]]</f>
        <v>7.91285714285714</v>
      </c>
      <c r="AP230" s="152" t="e">
        <f aca="false">IF(VACnom&gt;Vbat, (VGS_S-(TI_MOSFET_S_VTH_H_BU+Table7[[#This Row],[I_L]]/TI_MOSFET_S_gFS_H_BU))/3.4, (VGS_S-(TI_MOSFET_S_VTH_L_BO+Table7[[#This Row],[I_L]]/TI_MOSFET_S_gFS_L_BO))/3.4 )</f>
        <v>#REF!</v>
      </c>
      <c r="AQ230" s="152" t="e">
        <f aca="false">IF(VACnom&gt;Vbat, ((TI_MOSFET_S_VTH_H_BU+Table7[[#This Row],[I_L]]/TI_MOSFET_S_gFS_H_BU))/1, ((TI_MOSFET_S_VTH_L_BO+Table7[[#This Row],[I_L]]/TI_MOSFET_S_gFS_L_BO))/1 )</f>
        <v>#REF!</v>
      </c>
      <c r="AR230" s="152" t="e">
        <f aca="false">IF(VACnom&gt;Vbat, (TI_MOSFET_S_QGD_H_BU+TI_MOSFET_S_QGS_H_BU)*10^-9/Table7[[#This Row],[Ion (A)]], (TI_MOSFET_S_QGD_L_BO+TI_MOSFET_S_QGS_L_BO)*10^-9/Table7[[#This Row],[Ion (A)]])/10^-9</f>
        <v>#REF!</v>
      </c>
      <c r="AS230" s="152" t="e">
        <f aca="false">IF(VACnom&gt;Vbat, (TI_MOSFET_S_QGD_H_BU+TI_MOSFET_S_QGS_H_BU)*10^-9/Table7[[#This Row],[Ioff (A)]], (TI_MOSFET_S_QGD_L_BO+TI_MOSFET_S_QGS_L_BO)*10^-9/Table7[[#This Row],[Ioff (A)]])/10^-9</f>
        <v>#REF!</v>
      </c>
      <c r="AT230" s="152" t="e">
        <f aca="false">0.5*VACnom*Table7[[#This Row],[Ivalley (A)]]*Table7[[#This Row],[ton (ns)]]*10^-9*Fsw*10^3+0.5*VACnom*Table7[[#This Row],[Ipeak (A)]]*Table7[[#This Row],[toff (ns)]]*10^-9*Fsw*10^3/10^-3</f>
        <v>#REF!</v>
      </c>
      <c r="AU230" s="152" t="e">
        <f aca="false">IF(VACnom&gt;Vbat, 0.5*VACnom*TI_MOSFET_S_QOSS_H_BU*10^-9*Fsw*10^3,0.5*VACnom*TI_MOSFET_S_QOSS_L_BO*10^-9*Fsw*10^3)/10^-3</f>
        <v>#REF!</v>
      </c>
      <c r="AV230" s="152" t="e">
        <f aca="false">IF(VACnom&gt;Vbat, VACnom*TI_MOSFET_S_QG_H_BU*10^-9*Fsw*10^3,VACnom*TI_MOSFET_S_QG_H_BO*10^-9*Fsw*10^3)/10^-3</f>
        <v>#REF!</v>
      </c>
      <c r="AW230" s="152" t="e">
        <f aca="false">IF(VACnom&gt;Vbat, VACnom*TI_MOSFET_S_QRR_L_BU*10^-9*Fsw*10^3, VACnom*TI_MOSFET_S_QRR_H_BO*10^-9*Fsw*10^3)/10^-3</f>
        <v>#REF!</v>
      </c>
      <c r="AX230" s="152" t="e">
        <f aca="false">IF(VACnom&gt;Vbat, TI_MOSFET_S_VSD_L_BU*Table7[[#This Row],[Ivalley (A)]]*Fsw*10^3*40*10^-9+TI_MOSFET_S_VSD_L_BU*Table7[[#This Row],[Ipeak (A)]]*Fsw*10^3*30*10^-9, TI_MOSFET_S_VSD_H_BO*Table7[[#This Row],[Ivalley (A)]]*Fsw*10^3*40*10^-9+TI_MOSFET_S_VSD_H_BO*Table7[[#This Row],[Ipeak (A)]]*Fsw*10^3*30*10^-9)/10^-3</f>
        <v>#REF!</v>
      </c>
      <c r="AY230" s="152" t="e">
        <f aca="false">IF(VACnom&gt;Vbat, VACnom*TI_MOSFET_S_QG_L_BU*10^-9*Fsw*10^3, VACnom*TI_MOSFET_S_QG_L_BO*10^-9*Fsw*10^3)/10^-3</f>
        <v>#REF!</v>
      </c>
      <c r="AZ230" s="152" t="e">
        <f aca="false">IF(VACnom&lt;Vbat, Table7[[#This Row],[Duty Cycle]]*Table7[[#This Row],[I_L RMS]]^2*TI_MOSFET_S_RDSON_H_BU*10^-3, (1-Table7[[#This Row],[Duty Cycle]])*Table7[[#This Row],[I_L RMS]]^2*TI_MOSFET_S_RDSON_H_BO*10^-3)/10^-3</f>
        <v>#REF!</v>
      </c>
      <c r="BA230" s="152" t="e">
        <f aca="false">IF(VACnom&gt;Vbat, Table7[[#This Row],[PIV (mW)]]+Table7[[#This Row],[Pqoss (mW)]]+Table7[[#This Row],[Pgate_top (mW)]], Table7[[#This Row],[PRR (mW)]]+Table7[[#This Row],[Pdead (mW)]]+Table7[[#This Row],[Pgate_top (mW)]])</f>
        <v>#REF!</v>
      </c>
      <c r="BB230" s="152" t="e">
        <f aca="false">Table7[[#This Row],[Pcon_top (mW)]]+Table7[[#This Row],[Psw_top (mW)]]</f>
        <v>#REF!</v>
      </c>
      <c r="BC230" s="152" t="e">
        <f aca="false">IF(VACnom&gt;Vbat, (1-Table7[[#This Row],[Duty Cycle]])*Table7[[#This Row],[I_L RMS]]^2*TI_MOSFET_S_RDSON_L_BU*10^-3, Table7[[#This Row],[Duty Cycle]]*Table7[[#This Row],[I_L RMS]]^2*TI_MOSFET_S_RDSON_L_BO*10^-3)/10^-3</f>
        <v>#REF!</v>
      </c>
      <c r="BD230" s="152" t="e">
        <f aca="false">IF(VACnom&gt;Vbat, Table7[[#This Row],[PRR (mW)]]+Table7[[#This Row],[Pdead (mW)]]+Table7[[#This Row],[Pgate_bottom (mW)]], Table7[[#This Row],[PIV (mW)]]+Table7[[#This Row],[Pqoss (mW)]]+Table7[[#This Row],[Pgate_bottom (mW)]])</f>
        <v>#REF!</v>
      </c>
      <c r="BE230" s="154" t="e">
        <f aca="false">Table7[[#This Row],[Pcon_bottom (mW)]]+Table7[[#This Row],[Psw_bottom (mW)]]</f>
        <v>#REF!</v>
      </c>
      <c r="BF230" s="152" t="e">
        <f aca="false">Table7[[#This Row],[Pbottom (mW)]]+Table7[[#This Row],[Ptop (mW)]]</f>
        <v>#REF!</v>
      </c>
      <c r="BG230" s="155"/>
      <c r="BH230" s="152" t="n">
        <f aca="false">MAX(0,Table7[[#This Row],[I_L]]-0.5*Table7[[#This Row],[I_L pkpk]])</f>
        <v>7.62714285714286</v>
      </c>
      <c r="BI230" s="152" t="n">
        <f aca="false">Table7[[#This Row],[I_L]]+0.5*Table7[[#This Row],[I_L pkpk]]</f>
        <v>7.91285714285714</v>
      </c>
      <c r="BJ230" s="152" t="n">
        <f aca="false">IF(VACnom&gt;Vbat, (VGS_S-(C_MOSFET_S_VTH_H_BU+Table7[[#This Row],[I_L]]/C_MOSFET_S_gFS_H_BU))/3.4, (VGS_S-(C_MOSFET_S_VTH_L_BO+Table7[[#This Row],[I_L]]/C_MOSFET_S_gFS_L_BO))/3.4 )</f>
        <v>2.33770588235294</v>
      </c>
      <c r="BK230" s="152" t="n">
        <f aca="false">IF(VACnom&gt;Vbat, ((C_MOSFET_S_VTH_H_BU+Table7[[#This Row],[I_L]]/C_MOSFET_S_gFS_H_BU))/1, ((C_MOSFET_S_VTH_L_BO+Table7[[#This Row],[I_L]]/C_MOSFET_S_gFS_L_BO))/1 )</f>
        <v>2.0518</v>
      </c>
      <c r="BL230" s="152" t="n">
        <f aca="false">IF(VACnom&gt;Vbat, (C_MOSFET_S_QGD_H_BU+C_MOSFET_S_QGS_H_BU)*10^-9/Table7[[#This Row],[Ion (A) C]], (C_MOSFET_S_QGD_L_BO+C_MOSFET_S_QGS_L_BO)*10^-9/Table7[[#This Row],[Ion (A) C]])/10^-9</f>
        <v>2.78050376185803</v>
      </c>
      <c r="BM230" s="152" t="n">
        <f aca="false">IF(VACnom&gt;Vbat, (C_MOSFET_S_QGD_H_BU+C_MOSFET_S_QGS_H_BU)*10^-9/Table7[[#This Row],[Ioff (A) C]], (C_MOSFET_S_QGD_L_BO+C_MOSFET_S_QGS_L_BO)*10^-9/Table7[[#This Row],[Ioff (A) C]])/10^-9</f>
        <v>3.16795009260162</v>
      </c>
      <c r="BN230" s="152" t="n">
        <f aca="false">0.5*VACnom*Table7[[#This Row],[Ivalley (A) C]]*Table7[[#This Row],[ton (ns) C]]*10^-9*Fsw*10^3+0.5*VACnom*Table7[[#This Row],[Ipeak (A) C]]*Table7[[#This Row],[toff (ns) C]]*10^-9*Fsw*10^3/10^-3</f>
        <v>30.106492581437</v>
      </c>
      <c r="BO230" s="152" t="n">
        <f aca="false">IF(VACnom&gt;Vbat, 0.5*VACnom*C_MOSFET_S_QOSS_H_BU*10^-9*Fsw*10^3,0.5*VACnom*C_MOSFET_S_QOSS_L_BO*10^-9*Fsw*10^3)/10^-3</f>
        <v>43.2</v>
      </c>
      <c r="BP230" s="152" t="e">
        <f aca="false">IF(VACnom&gt;Vbat, VACnom*C_MOSFET_S_QG_H_BU*10^-9*Fsw*10^3,VACnom*C_MOSFET_S_QG_H_BO*10^-9*Fsw*10^3)/10^-3</f>
        <v>#REF!</v>
      </c>
      <c r="BQ230" s="152" t="n">
        <f aca="false">IF(VACnom&gt;Vbat, VACnom*C_MOSFET_S_QRR_L_BU*10^-9*Fsw*10^3, VACnom*C_MOSFET_S_QRR_H_BO*10^-9*Fsw*10^3)/10^-3</f>
        <v>79.2</v>
      </c>
      <c r="BR230" s="152" t="n">
        <f aca="false">IF(VACnom&gt;Vbat, C_MOSFET_S_VSD_L_BU*Table7[[#This Row],[Ivalley (A) C]]*Fsw*10^3*40*10^-9+C_MOSFET_S_VSD_L_BU*Table7[[#This Row],[Ipeak (A) C]]*Fsw*10^3*30*10^-9, C_MOSFET_S_VSD_H_BO*Table7[[#This Row],[Ivalley (A) C]]*Fsw*10^3*40*10^-9+C_MOSFET_S_VSD_H_BO*Table7[[#This Row],[Ipeak (A) C]]*Fsw*10^3*30*10^-9)/10^-3</f>
        <v>86.7954285714286</v>
      </c>
      <c r="BS230" s="152" t="e">
        <f aca="false">IF(VACnom&gt;Vbat, VACnom*C_MOSFET_S_QG_L_BU*10^-9*Fsw*10^3, VACnom*C_MOSFET_S_QG_L_BO*10^-9*Fsw*10^3)/10^-3</f>
        <v>#REF!</v>
      </c>
      <c r="BT230" s="152" t="n">
        <f aca="false">IF(VACnom&lt;Vbat, Table7[[#This Row],[Duty Cycle]]*Table7[[#This Row],[I_L RMS]]^2*C_MOSFET_S_RDSON_H_BU*10^-3, (1-Table7[[#This Row],[Duty Cycle]])*Table7[[#This Row],[I_L RMS]]^2*C_MOSFET_S_RDSON_H_BO*10^-3)/10^-3</f>
        <v>16.3887764528669</v>
      </c>
      <c r="BU230" s="152" t="e">
        <f aca="false">IF(VACnom&gt;Vbat, Table7[[#This Row],[PIV (mW) C]]+Table7[[#This Row],[PQoss (mW) C]]+Table7[[#This Row],[Pgate_top (mW) C]], Table7[[#This Row],[PRR (mW) C]]+Table7[[#This Row],[Pdead (mW) C]]+Table7[[#This Row],[Pgate_top (mW) C]])</f>
        <v>#REF!</v>
      </c>
      <c r="BV230" s="152" t="e">
        <f aca="false">Table7[[#This Row],[Pcon_top (mW) C]]+Table7[[#This Row],[Psw_top (mW) C]]</f>
        <v>#REF!</v>
      </c>
      <c r="BW230" s="152" t="e">
        <f aca="false">IF(VACnom&gt;Vbat, (1-Table7[[#This Row],[Duty Cycle]])*Table7[[#This Row],[I_L RMS]]^2*C_MOSFET_S_RDSON_L_BU*10^-3, Table7[[#This Row],[Duty Cycle]]*Table7[[#This Row],[I_L RMS]]^2*C_MOSFET_S_RDSON_L_BO*10^-3)/10^-3</f>
        <v>#REF!</v>
      </c>
      <c r="BX230" s="152" t="e">
        <f aca="false">IF(VACnom&gt;Vbat, Table7[[#This Row],[PRR (mW) C]]+Table7[[#This Row],[Pdead (mW) C]]+Table7[[#This Row],[Pgate_bottom (mW) C]], Table7[[#This Row],[PIV (mW) C]]+Table7[[#This Row],[PQoss (mW) C]]+Table7[[#This Row],[Pgate_bottom (mW) C]])</f>
        <v>#REF!</v>
      </c>
      <c r="BY230" s="152" t="e">
        <f aca="false">Table7[[#This Row],[Pcon_bottom (mW) C]]+Table7[[#This Row],[Psw_bottom (mV) C]]</f>
        <v>#REF!</v>
      </c>
      <c r="BZ230" s="152" t="e">
        <f aca="false">Table7[[#This Row],[Pbottom (mW) C]]+Table7[[#This Row],[Ptop (mW) C]]</f>
        <v>#REF!</v>
      </c>
      <c r="CA230" s="156"/>
      <c r="CB230" s="151" t="n">
        <f aca="false">(RAC_SNS*10^-3*(Table7[[#This Row],[IOUT (A)]]*Vbat/VACnom)^2/10^-3)</f>
        <v>301.8645</v>
      </c>
      <c r="CC230" s="151" t="n">
        <f aca="false">(RBAT_SNS*10^-3*Table7[[#This Row],[IOUT (A)]]^2)/10^-3</f>
        <v>273.8</v>
      </c>
      <c r="CD230" s="151" t="n">
        <f aca="false">IF(VACnom&gt;Vbat,(L_DRC*10^-3*(Table7[[#This Row],[IOUT (A)]])^2/10^-3),(L_DRC*10^-3*(Table7[[#This Row],[IOUT (A)]]*Vbat/VACnom)^2/10^-3))</f>
        <v>724.4748</v>
      </c>
      <c r="CE230" s="157"/>
      <c r="CF230" s="152" t="n">
        <f aca="false">(Table7[[#This Row],[R_AC (mW)]]+Table7[[#This Row],[R_SR (mW)]]+Table7[[#This Row],[Inductor Loss (mW)]])/10^3</f>
        <v>1.3001393</v>
      </c>
      <c r="CG230" s="152" t="e">
        <f aca="false">Table7[[#This Row],[Total TI (mW)]]/10^3</f>
        <v>#REF!</v>
      </c>
      <c r="CH230" s="152" t="e">
        <f aca="false">Table7[[#This Row],[Total Sense Loss]]+Table7[[#This Row],[Total MOSFET Loss]]</f>
        <v>#REF!</v>
      </c>
      <c r="CI230" s="158" t="e">
        <f aca="false">IF(Table7[[#This Row],[POUT (W)]]=0,0,(Table7[[#This Row],[POUT (W)]])/(Table7[[#This Row],[POUT (W)]]+Table7[[#This Row],[Total Power Loss (W)]]))*100</f>
        <v>#REF!</v>
      </c>
      <c r="CJ230" s="159"/>
      <c r="CK230" s="152" t="n">
        <f aca="false">(Table7[[#This Row],[R_AC (mW)]]+Table7[[#This Row],[R_SR (mW)]]+Table7[[#This Row],[Inductor Loss (mW)]])/10^3</f>
        <v>1.3001393</v>
      </c>
      <c r="CL230" s="152" t="e">
        <f aca="false">Table7[[#This Row],[Total (mW) C]]/10^3</f>
        <v>#REF!</v>
      </c>
      <c r="CM230" s="152" t="e">
        <f aca="false">Table7[[#This Row],[Total Sense Loss C]]+Table7[[#This Row],[Total MOSFET Loss C]]</f>
        <v>#REF!</v>
      </c>
      <c r="CN230" s="158" t="e">
        <f aca="false">IF(Table7[[#This Row],[POUT (W)]]=0,0,(Table7[[#This Row],[POUT (W)]])/(Table7[[#This Row],[POUT (W)]]+Table7[[#This Row],[Total Power Loss (W) C]]))*100</f>
        <v>#REF!</v>
      </c>
      <c r="CO230" s="159"/>
      <c r="CP230" s="158" t="n">
        <f aca="false">IF(MOSFET_S=Custom_MOSFET,Table7[[#This Row],[Total Sense Loss C]],Table7[[#This Row],[Total Sense Loss]])</f>
        <v>1.3001393</v>
      </c>
      <c r="CQ230" s="158" t="e">
        <f aca="false">IF(MOSFET_S=Custom_MOSFET,Table7[[#This Row],[Total MOSFET Loss C]],Table7[[#This Row],[Total MOSFET Loss]])</f>
        <v>#REF!</v>
      </c>
      <c r="CR230" s="158" t="e">
        <f aca="false">IF(MOSFET_S=Custom_MOSFET,Table7[[#This Row],[Efficiency C]],Table7[[#This Row],[Efficiency]])</f>
        <v>#REF!</v>
      </c>
      <c r="CS230" s="159"/>
      <c r="CT230" s="158" t="n">
        <f aca="false">IF(MOSFET_S=Compare_MOSFET, Table7[[#This Row],[Total Sense Loss C]], -100)</f>
        <v>-100</v>
      </c>
      <c r="CU230" s="158" t="n">
        <f aca="false">IF(MOSFET_S=Compare_MOSFET, Table7[[#This Row],[Total MOSFET Loss C]], -100)</f>
        <v>-100</v>
      </c>
      <c r="CV230" s="158" t="n">
        <f aca="false">IF(MOSFET_S=Compare_MOSFET, Table7[[#This Row],[Efficiency C]], -100)</f>
        <v>-100</v>
      </c>
      <c r="CW230" s="159"/>
      <c r="CX230" s="158" t="e">
        <f aca="false">IF(Save_Sel=CLR_Save,  Table7[[#This Row],[Total Sense Loss P1]], Table7[[#This Row],[Total Sense Loss P1 Saved]])</f>
        <v>#VALUE!</v>
      </c>
      <c r="CY230" s="158" t="e">
        <f aca="false">IF(Save_Sel=CLR_Save,  Table7[[#This Row],[Total MOSFET Loss P1]], Table7[[#This Row],[Total MOSFET Loss P1 Saved]] )</f>
        <v>#VALUE!</v>
      </c>
      <c r="CZ230" s="158" t="e">
        <f aca="false">IF(Save_Sel=CLR_Save, Table7[[#This Row],[Efficiency P1]], Table7[[#This Row],[Efficiency P1 Saved]])</f>
        <v>#VALUE!</v>
      </c>
      <c r="DA230" s="159"/>
      <c r="DB230" s="158" t="e">
        <f aca="false">IF(Save_Sel=CLR_Save,  Table7[[#This Row],[Total Sense Loss P2]], Table7[[#This Row],[Total Sense Loss P2 Saved]])</f>
        <v>#VALUE!</v>
      </c>
      <c r="DC230" s="158" t="e">
        <f aca="false">IF(Save_Sel=CLR_Save,  Table7[[#This Row],[Total MOSFET Loss P2]], Table7[[#This Row],[Total MOSFET Loss P2 Saved]] )</f>
        <v>#VALUE!</v>
      </c>
      <c r="DD230" s="158" t="e">
        <f aca="false">IF(Save_Sel=CLR_Save, Table7[[#This Row],[Efficiency P2]], Table7[[#This Row],[Efficiency P2 Saved]])</f>
        <v>#VALUE!</v>
      </c>
      <c r="DE230" s="159"/>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row>
    <row r="231" customFormat="false" ht="16.4" hidden="false" customHeight="false" outlineLevel="0" collapsed="false">
      <c r="A231" s="174"/>
      <c r="B231" s="174"/>
      <c r="C231" s="174"/>
      <c r="D231" s="174"/>
      <c r="E231" s="174"/>
      <c r="F231" s="174"/>
      <c r="G231" s="174"/>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150" t="n">
        <f aca="false">AF230+1</f>
        <v>75</v>
      </c>
      <c r="AG231" s="150" t="n">
        <f aca="false">$AG$156+AF231*($AG$256-$AG$156)/$AF$256</f>
        <v>7.5</v>
      </c>
      <c r="AH231" s="151" t="n">
        <f aca="false">AG231*VACnom</f>
        <v>90</v>
      </c>
      <c r="AI231" s="152" t="n">
        <f aca="false">IF(VACnom&lt;Vbat, (Vbat-VACnom)/Vbat, Vbat/VACnom)</f>
        <v>0.0476190476190476</v>
      </c>
      <c r="AJ231" s="152" t="n">
        <f aca="false">IF(VACnom&lt;Vbat, AG231/(1-AI231), AG231*AI231)</f>
        <v>7.875</v>
      </c>
      <c r="AK231" s="152" t="n">
        <f aca="false">Ipkpk_VACnom</f>
        <v>0.285714285714285</v>
      </c>
      <c r="AL231" s="152" t="n">
        <f aca="false">SQRT(AJ231^2+AK231^2/12)</f>
        <v>7.87543190695523</v>
      </c>
      <c r="AM231" s="153"/>
      <c r="AN231" s="152" t="n">
        <f aca="false">MAX(0,Table7[[#This Row],[I_L]]-0.5*Table7[[#This Row],[I_L pkpk]])</f>
        <v>7.73214285714286</v>
      </c>
      <c r="AO231" s="152" t="n">
        <f aca="false">Table7[[#This Row],[I_L]]+0.5*Table7[[#This Row],[I_L pkpk]]</f>
        <v>8.01785714285714</v>
      </c>
      <c r="AP231" s="152" t="e">
        <f aca="false">IF(VACnom&gt;Vbat, (VGS_S-(TI_MOSFET_S_VTH_H_BU+Table7[[#This Row],[I_L]]/TI_MOSFET_S_gFS_H_BU))/3.4, (VGS_S-(TI_MOSFET_S_VTH_L_BO+Table7[[#This Row],[I_L]]/TI_MOSFET_S_gFS_L_BO))/3.4 )</f>
        <v>#REF!</v>
      </c>
      <c r="AQ231" s="152" t="e">
        <f aca="false">IF(VACnom&gt;Vbat, ((TI_MOSFET_S_VTH_H_BU+Table7[[#This Row],[I_L]]/TI_MOSFET_S_gFS_H_BU))/1, ((TI_MOSFET_S_VTH_L_BO+Table7[[#This Row],[I_L]]/TI_MOSFET_S_gFS_L_BO))/1 )</f>
        <v>#REF!</v>
      </c>
      <c r="AR231" s="152" t="e">
        <f aca="false">IF(VACnom&gt;Vbat, (TI_MOSFET_S_QGD_H_BU+TI_MOSFET_S_QGS_H_BU)*10^-9/Table7[[#This Row],[Ion (A)]], (TI_MOSFET_S_QGD_L_BO+TI_MOSFET_S_QGS_L_BO)*10^-9/Table7[[#This Row],[Ion (A)]])/10^-9</f>
        <v>#REF!</v>
      </c>
      <c r="AS231" s="152" t="e">
        <f aca="false">IF(VACnom&gt;Vbat, (TI_MOSFET_S_QGD_H_BU+TI_MOSFET_S_QGS_H_BU)*10^-9/Table7[[#This Row],[Ioff (A)]], (TI_MOSFET_S_QGD_L_BO+TI_MOSFET_S_QGS_L_BO)*10^-9/Table7[[#This Row],[Ioff (A)]])/10^-9</f>
        <v>#REF!</v>
      </c>
      <c r="AT231" s="152" t="e">
        <f aca="false">0.5*VACnom*Table7[[#This Row],[Ivalley (A)]]*Table7[[#This Row],[ton (ns)]]*10^-9*Fsw*10^3+0.5*VACnom*Table7[[#This Row],[Ipeak (A)]]*Table7[[#This Row],[toff (ns)]]*10^-9*Fsw*10^3/10^-3</f>
        <v>#REF!</v>
      </c>
      <c r="AU231" s="152" t="e">
        <f aca="false">IF(VACnom&gt;Vbat, 0.5*VACnom*TI_MOSFET_S_QOSS_H_BU*10^-9*Fsw*10^3,0.5*VACnom*TI_MOSFET_S_QOSS_L_BO*10^-9*Fsw*10^3)/10^-3</f>
        <v>#REF!</v>
      </c>
      <c r="AV231" s="152" t="e">
        <f aca="false">IF(VACnom&gt;Vbat, VACnom*TI_MOSFET_S_QG_H_BU*10^-9*Fsw*10^3,VACnom*TI_MOSFET_S_QG_H_BO*10^-9*Fsw*10^3)/10^-3</f>
        <v>#REF!</v>
      </c>
      <c r="AW231" s="152" t="e">
        <f aca="false">IF(VACnom&gt;Vbat, VACnom*TI_MOSFET_S_QRR_L_BU*10^-9*Fsw*10^3, VACnom*TI_MOSFET_S_QRR_H_BO*10^-9*Fsw*10^3)/10^-3</f>
        <v>#REF!</v>
      </c>
      <c r="AX231" s="152" t="e">
        <f aca="false">IF(VACnom&gt;Vbat, TI_MOSFET_S_VSD_L_BU*Table7[[#This Row],[Ivalley (A)]]*Fsw*10^3*40*10^-9+TI_MOSFET_S_VSD_L_BU*Table7[[#This Row],[Ipeak (A)]]*Fsw*10^3*30*10^-9, TI_MOSFET_S_VSD_H_BO*Table7[[#This Row],[Ivalley (A)]]*Fsw*10^3*40*10^-9+TI_MOSFET_S_VSD_H_BO*Table7[[#This Row],[Ipeak (A)]]*Fsw*10^3*30*10^-9)/10^-3</f>
        <v>#REF!</v>
      </c>
      <c r="AY231" s="152" t="e">
        <f aca="false">IF(VACnom&gt;Vbat, VACnom*TI_MOSFET_S_QG_L_BU*10^-9*Fsw*10^3, VACnom*TI_MOSFET_S_QG_L_BO*10^-9*Fsw*10^3)/10^-3</f>
        <v>#REF!</v>
      </c>
      <c r="AZ231" s="152" t="e">
        <f aca="false">IF(VACnom&lt;Vbat, Table7[[#This Row],[Duty Cycle]]*Table7[[#This Row],[I_L RMS]]^2*TI_MOSFET_S_RDSON_H_BU*10^-3, (1-Table7[[#This Row],[Duty Cycle]])*Table7[[#This Row],[I_L RMS]]^2*TI_MOSFET_S_RDSON_H_BO*10^-3)/10^-3</f>
        <v>#REF!</v>
      </c>
      <c r="BA231" s="152" t="e">
        <f aca="false">IF(VACnom&gt;Vbat, Table7[[#This Row],[PIV (mW)]]+Table7[[#This Row],[Pqoss (mW)]]+Table7[[#This Row],[Pgate_top (mW)]], Table7[[#This Row],[PRR (mW)]]+Table7[[#This Row],[Pdead (mW)]]+Table7[[#This Row],[Pgate_top (mW)]])</f>
        <v>#REF!</v>
      </c>
      <c r="BB231" s="152" t="e">
        <f aca="false">Table7[[#This Row],[Pcon_top (mW)]]+Table7[[#This Row],[Psw_top (mW)]]</f>
        <v>#REF!</v>
      </c>
      <c r="BC231" s="152" t="e">
        <f aca="false">IF(VACnom&gt;Vbat, (1-Table7[[#This Row],[Duty Cycle]])*Table7[[#This Row],[I_L RMS]]^2*TI_MOSFET_S_RDSON_L_BU*10^-3, Table7[[#This Row],[Duty Cycle]]*Table7[[#This Row],[I_L RMS]]^2*TI_MOSFET_S_RDSON_L_BO*10^-3)/10^-3</f>
        <v>#REF!</v>
      </c>
      <c r="BD231" s="152" t="e">
        <f aca="false">IF(VACnom&gt;Vbat, Table7[[#This Row],[PRR (mW)]]+Table7[[#This Row],[Pdead (mW)]]+Table7[[#This Row],[Pgate_bottom (mW)]], Table7[[#This Row],[PIV (mW)]]+Table7[[#This Row],[Pqoss (mW)]]+Table7[[#This Row],[Pgate_bottom (mW)]])</f>
        <v>#REF!</v>
      </c>
      <c r="BE231" s="154" t="e">
        <f aca="false">Table7[[#This Row],[Pcon_bottom (mW)]]+Table7[[#This Row],[Psw_bottom (mW)]]</f>
        <v>#REF!</v>
      </c>
      <c r="BF231" s="152" t="e">
        <f aca="false">Table7[[#This Row],[Pbottom (mW)]]+Table7[[#This Row],[Ptop (mW)]]</f>
        <v>#REF!</v>
      </c>
      <c r="BG231" s="155"/>
      <c r="BH231" s="152" t="n">
        <f aca="false">MAX(0,Table7[[#This Row],[I_L]]-0.5*Table7[[#This Row],[I_L pkpk]])</f>
        <v>7.73214285714286</v>
      </c>
      <c r="BI231" s="152" t="n">
        <f aca="false">Table7[[#This Row],[I_L]]+0.5*Table7[[#This Row],[I_L pkpk]]</f>
        <v>8.01785714285714</v>
      </c>
      <c r="BJ231" s="152" t="n">
        <f aca="false">IF(VACnom&gt;Vbat, (VGS_S-(C_MOSFET_S_VTH_H_BU+Table7[[#This Row],[I_L]]/C_MOSFET_S_gFS_H_BU))/3.4, (VGS_S-(C_MOSFET_S_VTH_L_BO+Table7[[#This Row],[I_L]]/C_MOSFET_S_gFS_L_BO))/3.4 )</f>
        <v>2.3375</v>
      </c>
      <c r="BK231" s="152" t="n">
        <f aca="false">IF(VACnom&gt;Vbat, ((C_MOSFET_S_VTH_H_BU+Table7[[#This Row],[I_L]]/C_MOSFET_S_gFS_H_BU))/1, ((C_MOSFET_S_VTH_L_BO+Table7[[#This Row],[I_L]]/C_MOSFET_S_gFS_L_BO))/1 )</f>
        <v>2.0525</v>
      </c>
      <c r="BL231" s="152" t="n">
        <f aca="false">IF(VACnom&gt;Vbat, (C_MOSFET_S_QGD_H_BU+C_MOSFET_S_QGS_H_BU)*10^-9/Table7[[#This Row],[Ion (A) C]], (C_MOSFET_S_QGD_L_BO+C_MOSFET_S_QGS_L_BO)*10^-9/Table7[[#This Row],[Ion (A) C]])/10^-9</f>
        <v>2.7807486631016</v>
      </c>
      <c r="BM231" s="152" t="n">
        <f aca="false">IF(VACnom&gt;Vbat, (C_MOSFET_S_QGD_H_BU+C_MOSFET_S_QGS_H_BU)*10^-9/Table7[[#This Row],[Ioff (A) C]], (C_MOSFET_S_QGD_L_BO+C_MOSFET_S_QGS_L_BO)*10^-9/Table7[[#This Row],[Ioff (A) C]])/10^-9</f>
        <v>3.16686967113276</v>
      </c>
      <c r="BN231" s="152" t="n">
        <f aca="false">0.5*VACnom*Table7[[#This Row],[Ivalley (A) C]]*Table7[[#This Row],[ton (ns) C]]*10^-9*Fsw*10^3+0.5*VACnom*Table7[[#This Row],[Ipeak (A) C]]*Table7[[#This Row],[toff (ns) C]]*10^-9*Fsw*10^3/10^-3</f>
        <v>30.4956117109229</v>
      </c>
      <c r="BO231" s="152" t="n">
        <f aca="false">IF(VACnom&gt;Vbat, 0.5*VACnom*C_MOSFET_S_QOSS_H_BU*10^-9*Fsw*10^3,0.5*VACnom*C_MOSFET_S_QOSS_L_BO*10^-9*Fsw*10^3)/10^-3</f>
        <v>43.2</v>
      </c>
      <c r="BP231" s="152" t="e">
        <f aca="false">IF(VACnom&gt;Vbat, VACnom*C_MOSFET_S_QG_H_BU*10^-9*Fsw*10^3,VACnom*C_MOSFET_S_QG_H_BO*10^-9*Fsw*10^3)/10^-3</f>
        <v>#REF!</v>
      </c>
      <c r="BQ231" s="152" t="n">
        <f aca="false">IF(VACnom&gt;Vbat, VACnom*C_MOSFET_S_QRR_L_BU*10^-9*Fsw*10^3, VACnom*C_MOSFET_S_QRR_H_BO*10^-9*Fsw*10^3)/10^-3</f>
        <v>79.2</v>
      </c>
      <c r="BR231" s="152" t="n">
        <f aca="false">IF(VACnom&gt;Vbat, C_MOSFET_S_VSD_L_BU*Table7[[#This Row],[Ivalley (A) C]]*Fsw*10^3*40*10^-9+C_MOSFET_S_VSD_L_BU*Table7[[#This Row],[Ipeak (A) C]]*Fsw*10^3*30*10^-9, C_MOSFET_S_VSD_H_BO*Table7[[#This Row],[Ivalley (A) C]]*Fsw*10^3*40*10^-9+C_MOSFET_S_VSD_H_BO*Table7[[#This Row],[Ipeak (A) C]]*Fsw*10^3*30*10^-9)/10^-3</f>
        <v>87.9714285714286</v>
      </c>
      <c r="BS231" s="152" t="e">
        <f aca="false">IF(VACnom&gt;Vbat, VACnom*C_MOSFET_S_QG_L_BU*10^-9*Fsw*10^3, VACnom*C_MOSFET_S_QG_L_BO*10^-9*Fsw*10^3)/10^-3</f>
        <v>#REF!</v>
      </c>
      <c r="BT231" s="152" t="n">
        <f aca="false">IF(VACnom&lt;Vbat, Table7[[#This Row],[Duty Cycle]]*Table7[[#This Row],[I_L RMS]]^2*C_MOSFET_S_RDSON_H_BU*10^-3, (1-Table7[[#This Row],[Duty Cycle]])*Table7[[#This Row],[I_L RMS]]^2*C_MOSFET_S_RDSON_H_BO*10^-3)/10^-3</f>
        <v>16.8346589528669</v>
      </c>
      <c r="BU231" s="152" t="e">
        <f aca="false">IF(VACnom&gt;Vbat, Table7[[#This Row],[PIV (mW) C]]+Table7[[#This Row],[PQoss (mW) C]]+Table7[[#This Row],[Pgate_top (mW) C]], Table7[[#This Row],[PRR (mW) C]]+Table7[[#This Row],[Pdead (mW) C]]+Table7[[#This Row],[Pgate_top (mW) C]])</f>
        <v>#REF!</v>
      </c>
      <c r="BV231" s="152" t="e">
        <f aca="false">Table7[[#This Row],[Pcon_top (mW) C]]+Table7[[#This Row],[Psw_top (mW) C]]</f>
        <v>#REF!</v>
      </c>
      <c r="BW231" s="152" t="e">
        <f aca="false">IF(VACnom&gt;Vbat, (1-Table7[[#This Row],[Duty Cycle]])*Table7[[#This Row],[I_L RMS]]^2*C_MOSFET_S_RDSON_L_BU*10^-3, Table7[[#This Row],[Duty Cycle]]*Table7[[#This Row],[I_L RMS]]^2*C_MOSFET_S_RDSON_L_BO*10^-3)/10^-3</f>
        <v>#REF!</v>
      </c>
      <c r="BX231" s="152" t="e">
        <f aca="false">IF(VACnom&gt;Vbat, Table7[[#This Row],[PRR (mW) C]]+Table7[[#This Row],[Pdead (mW) C]]+Table7[[#This Row],[Pgate_bottom (mW) C]], Table7[[#This Row],[PIV (mW) C]]+Table7[[#This Row],[PQoss (mW) C]]+Table7[[#This Row],[Pgate_bottom (mW) C]])</f>
        <v>#REF!</v>
      </c>
      <c r="BY231" s="152" t="e">
        <f aca="false">Table7[[#This Row],[Pcon_bottom (mW) C]]+Table7[[#This Row],[Psw_bottom (mV) C]]</f>
        <v>#REF!</v>
      </c>
      <c r="BZ231" s="152" t="e">
        <f aca="false">Table7[[#This Row],[Pbottom (mW) C]]+Table7[[#This Row],[Ptop (mW) C]]</f>
        <v>#REF!</v>
      </c>
      <c r="CA231" s="156"/>
      <c r="CB231" s="151" t="n">
        <f aca="false">(RAC_SNS*10^-3*(Table7[[#This Row],[IOUT (A)]]*Vbat/VACnom)^2/10^-3)</f>
        <v>310.078125</v>
      </c>
      <c r="CC231" s="151" t="n">
        <f aca="false">(RBAT_SNS*10^-3*Table7[[#This Row],[IOUT (A)]]^2)/10^-3</f>
        <v>281.25</v>
      </c>
      <c r="CD231" s="151" t="n">
        <f aca="false">IF(VACnom&gt;Vbat,(L_DRC*10^-3*(Table7[[#This Row],[IOUT (A)]])^2/10^-3),(L_DRC*10^-3*(Table7[[#This Row],[IOUT (A)]]*Vbat/VACnom)^2/10^-3))</f>
        <v>744.1875</v>
      </c>
      <c r="CE231" s="157"/>
      <c r="CF231" s="152" t="n">
        <f aca="false">(Table7[[#This Row],[R_AC (mW)]]+Table7[[#This Row],[R_SR (mW)]]+Table7[[#This Row],[Inductor Loss (mW)]])/10^3</f>
        <v>1.335515625</v>
      </c>
      <c r="CG231" s="152" t="e">
        <f aca="false">Table7[[#This Row],[Total TI (mW)]]/10^3</f>
        <v>#REF!</v>
      </c>
      <c r="CH231" s="152" t="e">
        <f aca="false">Table7[[#This Row],[Total Sense Loss]]+Table7[[#This Row],[Total MOSFET Loss]]</f>
        <v>#REF!</v>
      </c>
      <c r="CI231" s="158" t="e">
        <f aca="false">IF(Table7[[#This Row],[POUT (W)]]=0,0,(Table7[[#This Row],[POUT (W)]])/(Table7[[#This Row],[POUT (W)]]+Table7[[#This Row],[Total Power Loss (W)]]))*100</f>
        <v>#REF!</v>
      </c>
      <c r="CJ231" s="159"/>
      <c r="CK231" s="152" t="n">
        <f aca="false">(Table7[[#This Row],[R_AC (mW)]]+Table7[[#This Row],[R_SR (mW)]]+Table7[[#This Row],[Inductor Loss (mW)]])/10^3</f>
        <v>1.335515625</v>
      </c>
      <c r="CL231" s="152" t="e">
        <f aca="false">Table7[[#This Row],[Total (mW) C]]/10^3</f>
        <v>#REF!</v>
      </c>
      <c r="CM231" s="152" t="e">
        <f aca="false">Table7[[#This Row],[Total Sense Loss C]]+Table7[[#This Row],[Total MOSFET Loss C]]</f>
        <v>#REF!</v>
      </c>
      <c r="CN231" s="158" t="e">
        <f aca="false">IF(Table7[[#This Row],[POUT (W)]]=0,0,(Table7[[#This Row],[POUT (W)]])/(Table7[[#This Row],[POUT (W)]]+Table7[[#This Row],[Total Power Loss (W) C]]))*100</f>
        <v>#REF!</v>
      </c>
      <c r="CO231" s="159"/>
      <c r="CP231" s="158" t="n">
        <f aca="false">IF(MOSFET_S=Custom_MOSFET,Table7[[#This Row],[Total Sense Loss C]],Table7[[#This Row],[Total Sense Loss]])</f>
        <v>1.335515625</v>
      </c>
      <c r="CQ231" s="158" t="e">
        <f aca="false">IF(MOSFET_S=Custom_MOSFET,Table7[[#This Row],[Total MOSFET Loss C]],Table7[[#This Row],[Total MOSFET Loss]])</f>
        <v>#REF!</v>
      </c>
      <c r="CR231" s="158" t="e">
        <f aca="false">IF(MOSFET_S=Custom_MOSFET,Table7[[#This Row],[Efficiency C]],Table7[[#This Row],[Efficiency]])</f>
        <v>#REF!</v>
      </c>
      <c r="CS231" s="159"/>
      <c r="CT231" s="158" t="n">
        <f aca="false">IF(MOSFET_S=Compare_MOSFET, Table7[[#This Row],[Total Sense Loss C]], -100)</f>
        <v>-100</v>
      </c>
      <c r="CU231" s="158" t="n">
        <f aca="false">IF(MOSFET_S=Compare_MOSFET, Table7[[#This Row],[Total MOSFET Loss C]], -100)</f>
        <v>-100</v>
      </c>
      <c r="CV231" s="158" t="n">
        <f aca="false">IF(MOSFET_S=Compare_MOSFET, Table7[[#This Row],[Efficiency C]], -100)</f>
        <v>-100</v>
      </c>
      <c r="CW231" s="159"/>
      <c r="CX231" s="158" t="e">
        <f aca="false">IF(Save_Sel=CLR_Save,  Table7[[#This Row],[Total Sense Loss P1]], Table7[[#This Row],[Total Sense Loss P1 Saved]])</f>
        <v>#VALUE!</v>
      </c>
      <c r="CY231" s="158" t="e">
        <f aca="false">IF(Save_Sel=CLR_Save,  Table7[[#This Row],[Total MOSFET Loss P1]], Table7[[#This Row],[Total MOSFET Loss P1 Saved]] )</f>
        <v>#VALUE!</v>
      </c>
      <c r="CZ231" s="158" t="e">
        <f aca="false">IF(Save_Sel=CLR_Save, Table7[[#This Row],[Efficiency P1]], Table7[[#This Row],[Efficiency P1 Saved]])</f>
        <v>#VALUE!</v>
      </c>
      <c r="DA231" s="159"/>
      <c r="DB231" s="158" t="e">
        <f aca="false">IF(Save_Sel=CLR_Save,  Table7[[#This Row],[Total Sense Loss P2]], Table7[[#This Row],[Total Sense Loss P2 Saved]])</f>
        <v>#VALUE!</v>
      </c>
      <c r="DC231" s="158" t="e">
        <f aca="false">IF(Save_Sel=CLR_Save,  Table7[[#This Row],[Total MOSFET Loss P2]], Table7[[#This Row],[Total MOSFET Loss P2 Saved]] )</f>
        <v>#VALUE!</v>
      </c>
      <c r="DD231" s="158" t="e">
        <f aca="false">IF(Save_Sel=CLR_Save, Table7[[#This Row],[Efficiency P2]], Table7[[#This Row],[Efficiency P2 Saved]])</f>
        <v>#VALUE!</v>
      </c>
      <c r="DE231" s="159"/>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row>
    <row r="232" customFormat="false" ht="16.4" hidden="false" customHeight="false" outlineLevel="0" collapsed="false">
      <c r="A232" s="174"/>
      <c r="B232" s="174"/>
      <c r="C232" s="174"/>
      <c r="D232" s="174"/>
      <c r="E232" s="174"/>
      <c r="F232" s="174"/>
      <c r="G232" s="174"/>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150" t="n">
        <f aca="false">AF231+1</f>
        <v>76</v>
      </c>
      <c r="AG232" s="150" t="n">
        <f aca="false">$AG$156+AF232*($AG$256-$AG$156)/$AF$256</f>
        <v>7.6</v>
      </c>
      <c r="AH232" s="151" t="n">
        <f aca="false">AG232*VACnom</f>
        <v>91.2</v>
      </c>
      <c r="AI232" s="152" t="n">
        <f aca="false">IF(VACnom&lt;Vbat, (Vbat-VACnom)/Vbat, Vbat/VACnom)</f>
        <v>0.0476190476190476</v>
      </c>
      <c r="AJ232" s="152" t="n">
        <f aca="false">IF(VACnom&lt;Vbat, AG232/(1-AI232), AG232*AI232)</f>
        <v>7.98</v>
      </c>
      <c r="AK232" s="152" t="n">
        <f aca="false">Ipkpk_VACnom</f>
        <v>0.285714285714285</v>
      </c>
      <c r="AL232" s="152" t="n">
        <f aca="false">SQRT(AJ232^2+AK232^2/12)</f>
        <v>7.98042622427452</v>
      </c>
      <c r="AM232" s="153"/>
      <c r="AN232" s="152" t="n">
        <f aca="false">MAX(0,Table7[[#This Row],[I_L]]-0.5*Table7[[#This Row],[I_L pkpk]])</f>
        <v>7.83714285714286</v>
      </c>
      <c r="AO232" s="152" t="n">
        <f aca="false">Table7[[#This Row],[I_L]]+0.5*Table7[[#This Row],[I_L pkpk]]</f>
        <v>8.12285714285714</v>
      </c>
      <c r="AP232" s="152" t="e">
        <f aca="false">IF(VACnom&gt;Vbat, (VGS_S-(TI_MOSFET_S_VTH_H_BU+Table7[[#This Row],[I_L]]/TI_MOSFET_S_gFS_H_BU))/3.4, (VGS_S-(TI_MOSFET_S_VTH_L_BO+Table7[[#This Row],[I_L]]/TI_MOSFET_S_gFS_L_BO))/3.4 )</f>
        <v>#REF!</v>
      </c>
      <c r="AQ232" s="152" t="e">
        <f aca="false">IF(VACnom&gt;Vbat, ((TI_MOSFET_S_VTH_H_BU+Table7[[#This Row],[I_L]]/TI_MOSFET_S_gFS_H_BU))/1, ((TI_MOSFET_S_VTH_L_BO+Table7[[#This Row],[I_L]]/TI_MOSFET_S_gFS_L_BO))/1 )</f>
        <v>#REF!</v>
      </c>
      <c r="AR232" s="152" t="e">
        <f aca="false">IF(VACnom&gt;Vbat, (TI_MOSFET_S_QGD_H_BU+TI_MOSFET_S_QGS_H_BU)*10^-9/Table7[[#This Row],[Ion (A)]], (TI_MOSFET_S_QGD_L_BO+TI_MOSFET_S_QGS_L_BO)*10^-9/Table7[[#This Row],[Ion (A)]])/10^-9</f>
        <v>#REF!</v>
      </c>
      <c r="AS232" s="152" t="e">
        <f aca="false">IF(VACnom&gt;Vbat, (TI_MOSFET_S_QGD_H_BU+TI_MOSFET_S_QGS_H_BU)*10^-9/Table7[[#This Row],[Ioff (A)]], (TI_MOSFET_S_QGD_L_BO+TI_MOSFET_S_QGS_L_BO)*10^-9/Table7[[#This Row],[Ioff (A)]])/10^-9</f>
        <v>#REF!</v>
      </c>
      <c r="AT232" s="152" t="e">
        <f aca="false">0.5*VACnom*Table7[[#This Row],[Ivalley (A)]]*Table7[[#This Row],[ton (ns)]]*10^-9*Fsw*10^3+0.5*VACnom*Table7[[#This Row],[Ipeak (A)]]*Table7[[#This Row],[toff (ns)]]*10^-9*Fsw*10^3/10^-3</f>
        <v>#REF!</v>
      </c>
      <c r="AU232" s="152" t="e">
        <f aca="false">IF(VACnom&gt;Vbat, 0.5*VACnom*TI_MOSFET_S_QOSS_H_BU*10^-9*Fsw*10^3,0.5*VACnom*TI_MOSFET_S_QOSS_L_BO*10^-9*Fsw*10^3)/10^-3</f>
        <v>#REF!</v>
      </c>
      <c r="AV232" s="152" t="e">
        <f aca="false">IF(VACnom&gt;Vbat, VACnom*TI_MOSFET_S_QG_H_BU*10^-9*Fsw*10^3,VACnom*TI_MOSFET_S_QG_H_BO*10^-9*Fsw*10^3)/10^-3</f>
        <v>#REF!</v>
      </c>
      <c r="AW232" s="152" t="e">
        <f aca="false">IF(VACnom&gt;Vbat, VACnom*TI_MOSFET_S_QRR_L_BU*10^-9*Fsw*10^3, VACnom*TI_MOSFET_S_QRR_H_BO*10^-9*Fsw*10^3)/10^-3</f>
        <v>#REF!</v>
      </c>
      <c r="AX232" s="152" t="e">
        <f aca="false">IF(VACnom&gt;Vbat, TI_MOSFET_S_VSD_L_BU*Table7[[#This Row],[Ivalley (A)]]*Fsw*10^3*40*10^-9+TI_MOSFET_S_VSD_L_BU*Table7[[#This Row],[Ipeak (A)]]*Fsw*10^3*30*10^-9, TI_MOSFET_S_VSD_H_BO*Table7[[#This Row],[Ivalley (A)]]*Fsw*10^3*40*10^-9+TI_MOSFET_S_VSD_H_BO*Table7[[#This Row],[Ipeak (A)]]*Fsw*10^3*30*10^-9)/10^-3</f>
        <v>#REF!</v>
      </c>
      <c r="AY232" s="152" t="e">
        <f aca="false">IF(VACnom&gt;Vbat, VACnom*TI_MOSFET_S_QG_L_BU*10^-9*Fsw*10^3, VACnom*TI_MOSFET_S_QG_L_BO*10^-9*Fsw*10^3)/10^-3</f>
        <v>#REF!</v>
      </c>
      <c r="AZ232" s="152" t="e">
        <f aca="false">IF(VACnom&lt;Vbat, Table7[[#This Row],[Duty Cycle]]*Table7[[#This Row],[I_L RMS]]^2*TI_MOSFET_S_RDSON_H_BU*10^-3, (1-Table7[[#This Row],[Duty Cycle]])*Table7[[#This Row],[I_L RMS]]^2*TI_MOSFET_S_RDSON_H_BO*10^-3)/10^-3</f>
        <v>#REF!</v>
      </c>
      <c r="BA232" s="152" t="e">
        <f aca="false">IF(VACnom&gt;Vbat, Table7[[#This Row],[PIV (mW)]]+Table7[[#This Row],[Pqoss (mW)]]+Table7[[#This Row],[Pgate_top (mW)]], Table7[[#This Row],[PRR (mW)]]+Table7[[#This Row],[Pdead (mW)]]+Table7[[#This Row],[Pgate_top (mW)]])</f>
        <v>#REF!</v>
      </c>
      <c r="BB232" s="152" t="e">
        <f aca="false">Table7[[#This Row],[Pcon_top (mW)]]+Table7[[#This Row],[Psw_top (mW)]]</f>
        <v>#REF!</v>
      </c>
      <c r="BC232" s="152" t="e">
        <f aca="false">IF(VACnom&gt;Vbat, (1-Table7[[#This Row],[Duty Cycle]])*Table7[[#This Row],[I_L RMS]]^2*TI_MOSFET_S_RDSON_L_BU*10^-3, Table7[[#This Row],[Duty Cycle]]*Table7[[#This Row],[I_L RMS]]^2*TI_MOSFET_S_RDSON_L_BO*10^-3)/10^-3</f>
        <v>#REF!</v>
      </c>
      <c r="BD232" s="152" t="e">
        <f aca="false">IF(VACnom&gt;Vbat, Table7[[#This Row],[PRR (mW)]]+Table7[[#This Row],[Pdead (mW)]]+Table7[[#This Row],[Pgate_bottom (mW)]], Table7[[#This Row],[PIV (mW)]]+Table7[[#This Row],[Pqoss (mW)]]+Table7[[#This Row],[Pgate_bottom (mW)]])</f>
        <v>#REF!</v>
      </c>
      <c r="BE232" s="154" t="e">
        <f aca="false">Table7[[#This Row],[Pcon_bottom (mW)]]+Table7[[#This Row],[Psw_bottom (mW)]]</f>
        <v>#REF!</v>
      </c>
      <c r="BF232" s="152" t="e">
        <f aca="false">Table7[[#This Row],[Pbottom (mW)]]+Table7[[#This Row],[Ptop (mW)]]</f>
        <v>#REF!</v>
      </c>
      <c r="BG232" s="155"/>
      <c r="BH232" s="152" t="n">
        <f aca="false">MAX(0,Table7[[#This Row],[I_L]]-0.5*Table7[[#This Row],[I_L pkpk]])</f>
        <v>7.83714285714286</v>
      </c>
      <c r="BI232" s="152" t="n">
        <f aca="false">Table7[[#This Row],[I_L]]+0.5*Table7[[#This Row],[I_L pkpk]]</f>
        <v>8.12285714285714</v>
      </c>
      <c r="BJ232" s="152" t="n">
        <f aca="false">IF(VACnom&gt;Vbat, (VGS_S-(C_MOSFET_S_VTH_H_BU+Table7[[#This Row],[I_L]]/C_MOSFET_S_gFS_H_BU))/3.4, (VGS_S-(C_MOSFET_S_VTH_L_BO+Table7[[#This Row],[I_L]]/C_MOSFET_S_gFS_L_BO))/3.4 )</f>
        <v>2.33729411764706</v>
      </c>
      <c r="BK232" s="152" t="n">
        <f aca="false">IF(VACnom&gt;Vbat, ((C_MOSFET_S_VTH_H_BU+Table7[[#This Row],[I_L]]/C_MOSFET_S_gFS_H_BU))/1, ((C_MOSFET_S_VTH_L_BO+Table7[[#This Row],[I_L]]/C_MOSFET_S_gFS_L_BO))/1 )</f>
        <v>2.0532</v>
      </c>
      <c r="BL232" s="152" t="n">
        <f aca="false">IF(VACnom&gt;Vbat, (C_MOSFET_S_QGD_H_BU+C_MOSFET_S_QGS_H_BU)*10^-9/Table7[[#This Row],[Ion (A) C]], (C_MOSFET_S_QGD_L_BO+C_MOSFET_S_QGS_L_BO)*10^-9/Table7[[#This Row],[Ion (A) C]])/10^-9</f>
        <v>2.78099360748981</v>
      </c>
      <c r="BM232" s="152" t="n">
        <f aca="false">IF(VACnom&gt;Vbat, (C_MOSFET_S_QGD_H_BU+C_MOSFET_S_QGS_H_BU)*10^-9/Table7[[#This Row],[Ioff (A) C]], (C_MOSFET_S_QGD_L_BO+C_MOSFET_S_QGS_L_BO)*10^-9/Table7[[#This Row],[Ioff (A) C]])/10^-9</f>
        <v>3.16578998636275</v>
      </c>
      <c r="BN232" s="152" t="n">
        <f aca="false">0.5*VACnom*Table7[[#This Row],[Ivalley (A) C]]*Table7[[#This Row],[ton (ns) C]]*10^-9*Fsw*10^3+0.5*VACnom*Table7[[#This Row],[Ipeak (A) C]]*Table7[[#This Row],[toff (ns) C]]*10^-9*Fsw*10^3/10^-3</f>
        <v>30.8844658172388</v>
      </c>
      <c r="BO232" s="152" t="n">
        <f aca="false">IF(VACnom&gt;Vbat, 0.5*VACnom*C_MOSFET_S_QOSS_H_BU*10^-9*Fsw*10^3,0.5*VACnom*C_MOSFET_S_QOSS_L_BO*10^-9*Fsw*10^3)/10^-3</f>
        <v>43.2</v>
      </c>
      <c r="BP232" s="152" t="e">
        <f aca="false">IF(VACnom&gt;Vbat, VACnom*C_MOSFET_S_QG_H_BU*10^-9*Fsw*10^3,VACnom*C_MOSFET_S_QG_H_BO*10^-9*Fsw*10^3)/10^-3</f>
        <v>#REF!</v>
      </c>
      <c r="BQ232" s="152" t="n">
        <f aca="false">IF(VACnom&gt;Vbat, VACnom*C_MOSFET_S_QRR_L_BU*10^-9*Fsw*10^3, VACnom*C_MOSFET_S_QRR_H_BO*10^-9*Fsw*10^3)/10^-3</f>
        <v>79.2</v>
      </c>
      <c r="BR232" s="152" t="n">
        <f aca="false">IF(VACnom&gt;Vbat, C_MOSFET_S_VSD_L_BU*Table7[[#This Row],[Ivalley (A) C]]*Fsw*10^3*40*10^-9+C_MOSFET_S_VSD_L_BU*Table7[[#This Row],[Ipeak (A) C]]*Fsw*10^3*30*10^-9, C_MOSFET_S_VSD_H_BO*Table7[[#This Row],[Ivalley (A) C]]*Fsw*10^3*40*10^-9+C_MOSFET_S_VSD_H_BO*Table7[[#This Row],[Ipeak (A) C]]*Fsw*10^3*30*10^-9)/10^-3</f>
        <v>89.1474285714286</v>
      </c>
      <c r="BS232" s="152" t="e">
        <f aca="false">IF(VACnom&gt;Vbat, VACnom*C_MOSFET_S_QG_L_BU*10^-9*Fsw*10^3, VACnom*C_MOSFET_S_QG_L_BO*10^-9*Fsw*10^3)/10^-3</f>
        <v>#REF!</v>
      </c>
      <c r="BT232" s="152" t="n">
        <f aca="false">IF(VACnom&lt;Vbat, Table7[[#This Row],[Duty Cycle]]*Table7[[#This Row],[I_L RMS]]^2*C_MOSFET_S_RDSON_H_BU*10^-3, (1-Table7[[#This Row],[Duty Cycle]])*Table7[[#This Row],[I_L RMS]]^2*C_MOSFET_S_RDSON_H_BO*10^-3)/10^-3</f>
        <v>17.2865264528669</v>
      </c>
      <c r="BU232" s="152" t="e">
        <f aca="false">IF(VACnom&gt;Vbat, Table7[[#This Row],[PIV (mW) C]]+Table7[[#This Row],[PQoss (mW) C]]+Table7[[#This Row],[Pgate_top (mW) C]], Table7[[#This Row],[PRR (mW) C]]+Table7[[#This Row],[Pdead (mW) C]]+Table7[[#This Row],[Pgate_top (mW) C]])</f>
        <v>#REF!</v>
      </c>
      <c r="BV232" s="152" t="e">
        <f aca="false">Table7[[#This Row],[Pcon_top (mW) C]]+Table7[[#This Row],[Psw_top (mW) C]]</f>
        <v>#REF!</v>
      </c>
      <c r="BW232" s="152" t="e">
        <f aca="false">IF(VACnom&gt;Vbat, (1-Table7[[#This Row],[Duty Cycle]])*Table7[[#This Row],[I_L RMS]]^2*C_MOSFET_S_RDSON_L_BU*10^-3, Table7[[#This Row],[Duty Cycle]]*Table7[[#This Row],[I_L RMS]]^2*C_MOSFET_S_RDSON_L_BO*10^-3)/10^-3</f>
        <v>#REF!</v>
      </c>
      <c r="BX232" s="152" t="e">
        <f aca="false">IF(VACnom&gt;Vbat, Table7[[#This Row],[PRR (mW) C]]+Table7[[#This Row],[Pdead (mW) C]]+Table7[[#This Row],[Pgate_bottom (mW) C]], Table7[[#This Row],[PIV (mW) C]]+Table7[[#This Row],[PQoss (mW) C]]+Table7[[#This Row],[Pgate_bottom (mW) C]])</f>
        <v>#REF!</v>
      </c>
      <c r="BY232" s="152" t="e">
        <f aca="false">Table7[[#This Row],[Pcon_bottom (mW) C]]+Table7[[#This Row],[Psw_bottom (mV) C]]</f>
        <v>#REF!</v>
      </c>
      <c r="BZ232" s="152" t="e">
        <f aca="false">Table7[[#This Row],[Pbottom (mW) C]]+Table7[[#This Row],[Ptop (mW) C]]</f>
        <v>#REF!</v>
      </c>
      <c r="CA232" s="156"/>
      <c r="CB232" s="151" t="n">
        <f aca="false">(RAC_SNS*10^-3*(Table7[[#This Row],[IOUT (A)]]*Vbat/VACnom)^2/10^-3)</f>
        <v>318.402</v>
      </c>
      <c r="CC232" s="151" t="n">
        <f aca="false">(RBAT_SNS*10^-3*Table7[[#This Row],[IOUT (A)]]^2)/10^-3</f>
        <v>288.8</v>
      </c>
      <c r="CD232" s="151" t="n">
        <f aca="false">IF(VACnom&gt;Vbat,(L_DRC*10^-3*(Table7[[#This Row],[IOUT (A)]])^2/10^-3),(L_DRC*10^-3*(Table7[[#This Row],[IOUT (A)]]*Vbat/VACnom)^2/10^-3))</f>
        <v>764.1648</v>
      </c>
      <c r="CE232" s="157"/>
      <c r="CF232" s="152" t="n">
        <f aca="false">(Table7[[#This Row],[R_AC (mW)]]+Table7[[#This Row],[R_SR (mW)]]+Table7[[#This Row],[Inductor Loss (mW)]])/10^3</f>
        <v>1.3713668</v>
      </c>
      <c r="CG232" s="152" t="e">
        <f aca="false">Table7[[#This Row],[Total TI (mW)]]/10^3</f>
        <v>#REF!</v>
      </c>
      <c r="CH232" s="152" t="e">
        <f aca="false">Table7[[#This Row],[Total Sense Loss]]+Table7[[#This Row],[Total MOSFET Loss]]</f>
        <v>#REF!</v>
      </c>
      <c r="CI232" s="158" t="e">
        <f aca="false">IF(Table7[[#This Row],[POUT (W)]]=0,0,(Table7[[#This Row],[POUT (W)]])/(Table7[[#This Row],[POUT (W)]]+Table7[[#This Row],[Total Power Loss (W)]]))*100</f>
        <v>#REF!</v>
      </c>
      <c r="CJ232" s="159"/>
      <c r="CK232" s="152" t="n">
        <f aca="false">(Table7[[#This Row],[R_AC (mW)]]+Table7[[#This Row],[R_SR (mW)]]+Table7[[#This Row],[Inductor Loss (mW)]])/10^3</f>
        <v>1.3713668</v>
      </c>
      <c r="CL232" s="152" t="e">
        <f aca="false">Table7[[#This Row],[Total (mW) C]]/10^3</f>
        <v>#REF!</v>
      </c>
      <c r="CM232" s="152" t="e">
        <f aca="false">Table7[[#This Row],[Total Sense Loss C]]+Table7[[#This Row],[Total MOSFET Loss C]]</f>
        <v>#REF!</v>
      </c>
      <c r="CN232" s="158" t="e">
        <f aca="false">IF(Table7[[#This Row],[POUT (W)]]=0,0,(Table7[[#This Row],[POUT (W)]])/(Table7[[#This Row],[POUT (W)]]+Table7[[#This Row],[Total Power Loss (W) C]]))*100</f>
        <v>#REF!</v>
      </c>
      <c r="CO232" s="159"/>
      <c r="CP232" s="158" t="n">
        <f aca="false">IF(MOSFET_S=Custom_MOSFET,Table7[[#This Row],[Total Sense Loss C]],Table7[[#This Row],[Total Sense Loss]])</f>
        <v>1.3713668</v>
      </c>
      <c r="CQ232" s="158" t="e">
        <f aca="false">IF(MOSFET_S=Custom_MOSFET,Table7[[#This Row],[Total MOSFET Loss C]],Table7[[#This Row],[Total MOSFET Loss]])</f>
        <v>#REF!</v>
      </c>
      <c r="CR232" s="158" t="e">
        <f aca="false">IF(MOSFET_S=Custom_MOSFET,Table7[[#This Row],[Efficiency C]],Table7[[#This Row],[Efficiency]])</f>
        <v>#REF!</v>
      </c>
      <c r="CS232" s="159"/>
      <c r="CT232" s="158" t="n">
        <f aca="false">IF(MOSFET_S=Compare_MOSFET, Table7[[#This Row],[Total Sense Loss C]], -100)</f>
        <v>-100</v>
      </c>
      <c r="CU232" s="158" t="n">
        <f aca="false">IF(MOSFET_S=Compare_MOSFET, Table7[[#This Row],[Total MOSFET Loss C]], -100)</f>
        <v>-100</v>
      </c>
      <c r="CV232" s="158" t="n">
        <f aca="false">IF(MOSFET_S=Compare_MOSFET, Table7[[#This Row],[Efficiency C]], -100)</f>
        <v>-100</v>
      </c>
      <c r="CW232" s="159"/>
      <c r="CX232" s="158" t="e">
        <f aca="false">IF(Save_Sel=CLR_Save,  Table7[[#This Row],[Total Sense Loss P1]], Table7[[#This Row],[Total Sense Loss P1 Saved]])</f>
        <v>#VALUE!</v>
      </c>
      <c r="CY232" s="158" t="e">
        <f aca="false">IF(Save_Sel=CLR_Save,  Table7[[#This Row],[Total MOSFET Loss P1]], Table7[[#This Row],[Total MOSFET Loss P1 Saved]] )</f>
        <v>#VALUE!</v>
      </c>
      <c r="CZ232" s="158" t="e">
        <f aca="false">IF(Save_Sel=CLR_Save, Table7[[#This Row],[Efficiency P1]], Table7[[#This Row],[Efficiency P1 Saved]])</f>
        <v>#VALUE!</v>
      </c>
      <c r="DA232" s="159"/>
      <c r="DB232" s="158" t="e">
        <f aca="false">IF(Save_Sel=CLR_Save,  Table7[[#This Row],[Total Sense Loss P2]], Table7[[#This Row],[Total Sense Loss P2 Saved]])</f>
        <v>#VALUE!</v>
      </c>
      <c r="DC232" s="158" t="e">
        <f aca="false">IF(Save_Sel=CLR_Save,  Table7[[#This Row],[Total MOSFET Loss P2]], Table7[[#This Row],[Total MOSFET Loss P2 Saved]] )</f>
        <v>#VALUE!</v>
      </c>
      <c r="DD232" s="158" t="e">
        <f aca="false">IF(Save_Sel=CLR_Save, Table7[[#This Row],[Efficiency P2]], Table7[[#This Row],[Efficiency P2 Saved]])</f>
        <v>#VALUE!</v>
      </c>
      <c r="DE232" s="159"/>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row>
    <row r="233" customFormat="false" ht="16.4" hidden="false" customHeight="false" outlineLevel="0" collapsed="false">
      <c r="A233" s="174"/>
      <c r="B233" s="174"/>
      <c r="C233" s="174"/>
      <c r="D233" s="174"/>
      <c r="E233" s="174"/>
      <c r="F233" s="174"/>
      <c r="G233" s="174"/>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150" t="n">
        <f aca="false">AF232+1</f>
        <v>77</v>
      </c>
      <c r="AG233" s="150" t="n">
        <f aca="false">$AG$156+AF233*($AG$256-$AG$156)/$AF$256</f>
        <v>7.7</v>
      </c>
      <c r="AH233" s="151" t="n">
        <f aca="false">AG233*VACnom</f>
        <v>92.4</v>
      </c>
      <c r="AI233" s="152" t="n">
        <f aca="false">IF(VACnom&lt;Vbat, (Vbat-VACnom)/Vbat, Vbat/VACnom)</f>
        <v>0.0476190476190476</v>
      </c>
      <c r="AJ233" s="152" t="n">
        <f aca="false">IF(VACnom&lt;Vbat, AG233/(1-AI233), AG233*AI233)</f>
        <v>8.085</v>
      </c>
      <c r="AK233" s="152" t="n">
        <f aca="false">Ipkpk_VACnom</f>
        <v>0.285714285714285</v>
      </c>
      <c r="AL233" s="152" t="n">
        <f aca="false">SQRT(AJ233^2+AK233^2/12)</f>
        <v>8.08542068918423</v>
      </c>
      <c r="AM233" s="153"/>
      <c r="AN233" s="152" t="n">
        <f aca="false">MAX(0,Table7[[#This Row],[I_L]]-0.5*Table7[[#This Row],[I_L pkpk]])</f>
        <v>7.94214285714286</v>
      </c>
      <c r="AO233" s="152" t="n">
        <f aca="false">Table7[[#This Row],[I_L]]+0.5*Table7[[#This Row],[I_L pkpk]]</f>
        <v>8.22785714285714</v>
      </c>
      <c r="AP233" s="152" t="e">
        <f aca="false">IF(VACnom&gt;Vbat, (VGS_S-(TI_MOSFET_S_VTH_H_BU+Table7[[#This Row],[I_L]]/TI_MOSFET_S_gFS_H_BU))/3.4, (VGS_S-(TI_MOSFET_S_VTH_L_BO+Table7[[#This Row],[I_L]]/TI_MOSFET_S_gFS_L_BO))/3.4 )</f>
        <v>#REF!</v>
      </c>
      <c r="AQ233" s="152" t="e">
        <f aca="false">IF(VACnom&gt;Vbat, ((TI_MOSFET_S_VTH_H_BU+Table7[[#This Row],[I_L]]/TI_MOSFET_S_gFS_H_BU))/1, ((TI_MOSFET_S_VTH_L_BO+Table7[[#This Row],[I_L]]/TI_MOSFET_S_gFS_L_BO))/1 )</f>
        <v>#REF!</v>
      </c>
      <c r="AR233" s="152" t="e">
        <f aca="false">IF(VACnom&gt;Vbat, (TI_MOSFET_S_QGD_H_BU+TI_MOSFET_S_QGS_H_BU)*10^-9/Table7[[#This Row],[Ion (A)]], (TI_MOSFET_S_QGD_L_BO+TI_MOSFET_S_QGS_L_BO)*10^-9/Table7[[#This Row],[Ion (A)]])/10^-9</f>
        <v>#REF!</v>
      </c>
      <c r="AS233" s="152" t="e">
        <f aca="false">IF(VACnom&gt;Vbat, (TI_MOSFET_S_QGD_H_BU+TI_MOSFET_S_QGS_H_BU)*10^-9/Table7[[#This Row],[Ioff (A)]], (TI_MOSFET_S_QGD_L_BO+TI_MOSFET_S_QGS_L_BO)*10^-9/Table7[[#This Row],[Ioff (A)]])/10^-9</f>
        <v>#REF!</v>
      </c>
      <c r="AT233" s="152" t="e">
        <f aca="false">0.5*VACnom*Table7[[#This Row],[Ivalley (A)]]*Table7[[#This Row],[ton (ns)]]*10^-9*Fsw*10^3+0.5*VACnom*Table7[[#This Row],[Ipeak (A)]]*Table7[[#This Row],[toff (ns)]]*10^-9*Fsw*10^3/10^-3</f>
        <v>#REF!</v>
      </c>
      <c r="AU233" s="152" t="e">
        <f aca="false">IF(VACnom&gt;Vbat, 0.5*VACnom*TI_MOSFET_S_QOSS_H_BU*10^-9*Fsw*10^3,0.5*VACnom*TI_MOSFET_S_QOSS_L_BO*10^-9*Fsw*10^3)/10^-3</f>
        <v>#REF!</v>
      </c>
      <c r="AV233" s="152" t="e">
        <f aca="false">IF(VACnom&gt;Vbat, VACnom*TI_MOSFET_S_QG_H_BU*10^-9*Fsw*10^3,VACnom*TI_MOSFET_S_QG_H_BO*10^-9*Fsw*10^3)/10^-3</f>
        <v>#REF!</v>
      </c>
      <c r="AW233" s="152" t="e">
        <f aca="false">IF(VACnom&gt;Vbat, VACnom*TI_MOSFET_S_QRR_L_BU*10^-9*Fsw*10^3, VACnom*TI_MOSFET_S_QRR_H_BO*10^-9*Fsw*10^3)/10^-3</f>
        <v>#REF!</v>
      </c>
      <c r="AX233" s="152" t="e">
        <f aca="false">IF(VACnom&gt;Vbat, TI_MOSFET_S_VSD_L_BU*Table7[[#This Row],[Ivalley (A)]]*Fsw*10^3*40*10^-9+TI_MOSFET_S_VSD_L_BU*Table7[[#This Row],[Ipeak (A)]]*Fsw*10^3*30*10^-9, TI_MOSFET_S_VSD_H_BO*Table7[[#This Row],[Ivalley (A)]]*Fsw*10^3*40*10^-9+TI_MOSFET_S_VSD_H_BO*Table7[[#This Row],[Ipeak (A)]]*Fsw*10^3*30*10^-9)/10^-3</f>
        <v>#REF!</v>
      </c>
      <c r="AY233" s="152" t="e">
        <f aca="false">IF(VACnom&gt;Vbat, VACnom*TI_MOSFET_S_QG_L_BU*10^-9*Fsw*10^3, VACnom*TI_MOSFET_S_QG_L_BO*10^-9*Fsw*10^3)/10^-3</f>
        <v>#REF!</v>
      </c>
      <c r="AZ233" s="152" t="e">
        <f aca="false">IF(VACnom&lt;Vbat, Table7[[#This Row],[Duty Cycle]]*Table7[[#This Row],[I_L RMS]]^2*TI_MOSFET_S_RDSON_H_BU*10^-3, (1-Table7[[#This Row],[Duty Cycle]])*Table7[[#This Row],[I_L RMS]]^2*TI_MOSFET_S_RDSON_H_BO*10^-3)/10^-3</f>
        <v>#REF!</v>
      </c>
      <c r="BA233" s="152" t="e">
        <f aca="false">IF(VACnom&gt;Vbat, Table7[[#This Row],[PIV (mW)]]+Table7[[#This Row],[Pqoss (mW)]]+Table7[[#This Row],[Pgate_top (mW)]], Table7[[#This Row],[PRR (mW)]]+Table7[[#This Row],[Pdead (mW)]]+Table7[[#This Row],[Pgate_top (mW)]])</f>
        <v>#REF!</v>
      </c>
      <c r="BB233" s="152" t="e">
        <f aca="false">Table7[[#This Row],[Pcon_top (mW)]]+Table7[[#This Row],[Psw_top (mW)]]</f>
        <v>#REF!</v>
      </c>
      <c r="BC233" s="152" t="e">
        <f aca="false">IF(VACnom&gt;Vbat, (1-Table7[[#This Row],[Duty Cycle]])*Table7[[#This Row],[I_L RMS]]^2*TI_MOSFET_S_RDSON_L_BU*10^-3, Table7[[#This Row],[Duty Cycle]]*Table7[[#This Row],[I_L RMS]]^2*TI_MOSFET_S_RDSON_L_BO*10^-3)/10^-3</f>
        <v>#REF!</v>
      </c>
      <c r="BD233" s="152" t="e">
        <f aca="false">IF(VACnom&gt;Vbat, Table7[[#This Row],[PRR (mW)]]+Table7[[#This Row],[Pdead (mW)]]+Table7[[#This Row],[Pgate_bottom (mW)]], Table7[[#This Row],[PIV (mW)]]+Table7[[#This Row],[Pqoss (mW)]]+Table7[[#This Row],[Pgate_bottom (mW)]])</f>
        <v>#REF!</v>
      </c>
      <c r="BE233" s="154" t="e">
        <f aca="false">Table7[[#This Row],[Pcon_bottom (mW)]]+Table7[[#This Row],[Psw_bottom (mW)]]</f>
        <v>#REF!</v>
      </c>
      <c r="BF233" s="152" t="e">
        <f aca="false">Table7[[#This Row],[Pbottom (mW)]]+Table7[[#This Row],[Ptop (mW)]]</f>
        <v>#REF!</v>
      </c>
      <c r="BG233" s="155"/>
      <c r="BH233" s="152" t="n">
        <f aca="false">MAX(0,Table7[[#This Row],[I_L]]-0.5*Table7[[#This Row],[I_L pkpk]])</f>
        <v>7.94214285714286</v>
      </c>
      <c r="BI233" s="152" t="n">
        <f aca="false">Table7[[#This Row],[I_L]]+0.5*Table7[[#This Row],[I_L pkpk]]</f>
        <v>8.22785714285714</v>
      </c>
      <c r="BJ233" s="152" t="n">
        <f aca="false">IF(VACnom&gt;Vbat, (VGS_S-(C_MOSFET_S_VTH_H_BU+Table7[[#This Row],[I_L]]/C_MOSFET_S_gFS_H_BU))/3.4, (VGS_S-(C_MOSFET_S_VTH_L_BO+Table7[[#This Row],[I_L]]/C_MOSFET_S_gFS_L_BO))/3.4 )</f>
        <v>2.33708823529412</v>
      </c>
      <c r="BK233" s="152" t="n">
        <f aca="false">IF(VACnom&gt;Vbat, ((C_MOSFET_S_VTH_H_BU+Table7[[#This Row],[I_L]]/C_MOSFET_S_gFS_H_BU))/1, ((C_MOSFET_S_VTH_L_BO+Table7[[#This Row],[I_L]]/C_MOSFET_S_gFS_L_BO))/1 )</f>
        <v>2.0539</v>
      </c>
      <c r="BL233" s="152" t="n">
        <f aca="false">IF(VACnom&gt;Vbat, (C_MOSFET_S_QGD_H_BU+C_MOSFET_S_QGS_H_BU)*10^-9/Table7[[#This Row],[Ion (A) C]], (C_MOSFET_S_QGD_L_BO+C_MOSFET_S_QGS_L_BO)*10^-9/Table7[[#This Row],[Ion (A) C]])/10^-9</f>
        <v>2.78123859503404</v>
      </c>
      <c r="BM233" s="152" t="n">
        <f aca="false">IF(VACnom&gt;Vbat, (C_MOSFET_S_QGD_H_BU+C_MOSFET_S_QGS_H_BU)*10^-9/Table7[[#This Row],[Ioff (A) C]], (C_MOSFET_S_QGD_L_BO+C_MOSFET_S_QGS_L_BO)*10^-9/Table7[[#This Row],[Ioff (A) C]])/10^-9</f>
        <v>3.16471103753834</v>
      </c>
      <c r="BN233" s="152" t="n">
        <f aca="false">0.5*VACnom*Table7[[#This Row],[Ivalley (A) C]]*Table7[[#This Row],[ton (ns) C]]*10^-9*Fsw*10^3+0.5*VACnom*Table7[[#This Row],[Ipeak (A) C]]*Table7[[#This Row],[toff (ns) C]]*10^-9*Fsw*10^3/10^-3</f>
        <v>31.2730551714363</v>
      </c>
      <c r="BO233" s="152" t="n">
        <f aca="false">IF(VACnom&gt;Vbat, 0.5*VACnom*C_MOSFET_S_QOSS_H_BU*10^-9*Fsw*10^3,0.5*VACnom*C_MOSFET_S_QOSS_L_BO*10^-9*Fsw*10^3)/10^-3</f>
        <v>43.2</v>
      </c>
      <c r="BP233" s="152" t="e">
        <f aca="false">IF(VACnom&gt;Vbat, VACnom*C_MOSFET_S_QG_H_BU*10^-9*Fsw*10^3,VACnom*C_MOSFET_S_QG_H_BO*10^-9*Fsw*10^3)/10^-3</f>
        <v>#REF!</v>
      </c>
      <c r="BQ233" s="152" t="n">
        <f aca="false">IF(VACnom&gt;Vbat, VACnom*C_MOSFET_S_QRR_L_BU*10^-9*Fsw*10^3, VACnom*C_MOSFET_S_QRR_H_BO*10^-9*Fsw*10^3)/10^-3</f>
        <v>79.2</v>
      </c>
      <c r="BR233" s="152" t="n">
        <f aca="false">IF(VACnom&gt;Vbat, C_MOSFET_S_VSD_L_BU*Table7[[#This Row],[Ivalley (A) C]]*Fsw*10^3*40*10^-9+C_MOSFET_S_VSD_L_BU*Table7[[#This Row],[Ipeak (A) C]]*Fsw*10^3*30*10^-9, C_MOSFET_S_VSD_H_BO*Table7[[#This Row],[Ivalley (A) C]]*Fsw*10^3*40*10^-9+C_MOSFET_S_VSD_H_BO*Table7[[#This Row],[Ipeak (A) C]]*Fsw*10^3*30*10^-9)/10^-3</f>
        <v>90.3234285714286</v>
      </c>
      <c r="BS233" s="152" t="e">
        <f aca="false">IF(VACnom&gt;Vbat, VACnom*C_MOSFET_S_QG_L_BU*10^-9*Fsw*10^3, VACnom*C_MOSFET_S_QG_L_BO*10^-9*Fsw*10^3)/10^-3</f>
        <v>#REF!</v>
      </c>
      <c r="BT233" s="152" t="n">
        <f aca="false">IF(VACnom&lt;Vbat, Table7[[#This Row],[Duty Cycle]]*Table7[[#This Row],[I_L RMS]]^2*C_MOSFET_S_RDSON_H_BU*10^-3, (1-Table7[[#This Row],[Duty Cycle]])*Table7[[#This Row],[I_L RMS]]^2*C_MOSFET_S_RDSON_H_BO*10^-3)/10^-3</f>
        <v>17.7443789528669</v>
      </c>
      <c r="BU233" s="152" t="e">
        <f aca="false">IF(VACnom&gt;Vbat, Table7[[#This Row],[PIV (mW) C]]+Table7[[#This Row],[PQoss (mW) C]]+Table7[[#This Row],[Pgate_top (mW) C]], Table7[[#This Row],[PRR (mW) C]]+Table7[[#This Row],[Pdead (mW) C]]+Table7[[#This Row],[Pgate_top (mW) C]])</f>
        <v>#REF!</v>
      </c>
      <c r="BV233" s="152" t="e">
        <f aca="false">Table7[[#This Row],[Pcon_top (mW) C]]+Table7[[#This Row],[Psw_top (mW) C]]</f>
        <v>#REF!</v>
      </c>
      <c r="BW233" s="152" t="e">
        <f aca="false">IF(VACnom&gt;Vbat, (1-Table7[[#This Row],[Duty Cycle]])*Table7[[#This Row],[I_L RMS]]^2*C_MOSFET_S_RDSON_L_BU*10^-3, Table7[[#This Row],[Duty Cycle]]*Table7[[#This Row],[I_L RMS]]^2*C_MOSFET_S_RDSON_L_BO*10^-3)/10^-3</f>
        <v>#REF!</v>
      </c>
      <c r="BX233" s="152" t="e">
        <f aca="false">IF(VACnom&gt;Vbat, Table7[[#This Row],[PRR (mW) C]]+Table7[[#This Row],[Pdead (mW) C]]+Table7[[#This Row],[Pgate_bottom (mW) C]], Table7[[#This Row],[PIV (mW) C]]+Table7[[#This Row],[PQoss (mW) C]]+Table7[[#This Row],[Pgate_bottom (mW) C]])</f>
        <v>#REF!</v>
      </c>
      <c r="BY233" s="152" t="e">
        <f aca="false">Table7[[#This Row],[Pcon_bottom (mW) C]]+Table7[[#This Row],[Psw_bottom (mV) C]]</f>
        <v>#REF!</v>
      </c>
      <c r="BZ233" s="152" t="e">
        <f aca="false">Table7[[#This Row],[Pbottom (mW) C]]+Table7[[#This Row],[Ptop (mW) C]]</f>
        <v>#REF!</v>
      </c>
      <c r="CA233" s="156"/>
      <c r="CB233" s="151" t="n">
        <f aca="false">(RAC_SNS*10^-3*(Table7[[#This Row],[IOUT (A)]]*Vbat/VACnom)^2/10^-3)</f>
        <v>326.836125</v>
      </c>
      <c r="CC233" s="151" t="n">
        <f aca="false">(RBAT_SNS*10^-3*Table7[[#This Row],[IOUT (A)]]^2)/10^-3</f>
        <v>296.45</v>
      </c>
      <c r="CD233" s="151" t="n">
        <f aca="false">IF(VACnom&gt;Vbat,(L_DRC*10^-3*(Table7[[#This Row],[IOUT (A)]])^2/10^-3),(L_DRC*10^-3*(Table7[[#This Row],[IOUT (A)]]*Vbat/VACnom)^2/10^-3))</f>
        <v>784.4067</v>
      </c>
      <c r="CE233" s="157"/>
      <c r="CF233" s="152" t="n">
        <f aca="false">(Table7[[#This Row],[R_AC (mW)]]+Table7[[#This Row],[R_SR (mW)]]+Table7[[#This Row],[Inductor Loss (mW)]])/10^3</f>
        <v>1.407692825</v>
      </c>
      <c r="CG233" s="152" t="e">
        <f aca="false">Table7[[#This Row],[Total TI (mW)]]/10^3</f>
        <v>#REF!</v>
      </c>
      <c r="CH233" s="152" t="e">
        <f aca="false">Table7[[#This Row],[Total Sense Loss]]+Table7[[#This Row],[Total MOSFET Loss]]</f>
        <v>#REF!</v>
      </c>
      <c r="CI233" s="158" t="e">
        <f aca="false">IF(Table7[[#This Row],[POUT (W)]]=0,0,(Table7[[#This Row],[POUT (W)]])/(Table7[[#This Row],[POUT (W)]]+Table7[[#This Row],[Total Power Loss (W)]]))*100</f>
        <v>#REF!</v>
      </c>
      <c r="CJ233" s="159"/>
      <c r="CK233" s="152" t="n">
        <f aca="false">(Table7[[#This Row],[R_AC (mW)]]+Table7[[#This Row],[R_SR (mW)]]+Table7[[#This Row],[Inductor Loss (mW)]])/10^3</f>
        <v>1.407692825</v>
      </c>
      <c r="CL233" s="152" t="e">
        <f aca="false">Table7[[#This Row],[Total (mW) C]]/10^3</f>
        <v>#REF!</v>
      </c>
      <c r="CM233" s="152" t="e">
        <f aca="false">Table7[[#This Row],[Total Sense Loss C]]+Table7[[#This Row],[Total MOSFET Loss C]]</f>
        <v>#REF!</v>
      </c>
      <c r="CN233" s="158" t="e">
        <f aca="false">IF(Table7[[#This Row],[POUT (W)]]=0,0,(Table7[[#This Row],[POUT (W)]])/(Table7[[#This Row],[POUT (W)]]+Table7[[#This Row],[Total Power Loss (W) C]]))*100</f>
        <v>#REF!</v>
      </c>
      <c r="CO233" s="159"/>
      <c r="CP233" s="158" t="n">
        <f aca="false">IF(MOSFET_S=Custom_MOSFET,Table7[[#This Row],[Total Sense Loss C]],Table7[[#This Row],[Total Sense Loss]])</f>
        <v>1.407692825</v>
      </c>
      <c r="CQ233" s="158" t="e">
        <f aca="false">IF(MOSFET_S=Custom_MOSFET,Table7[[#This Row],[Total MOSFET Loss C]],Table7[[#This Row],[Total MOSFET Loss]])</f>
        <v>#REF!</v>
      </c>
      <c r="CR233" s="158" t="e">
        <f aca="false">IF(MOSFET_S=Custom_MOSFET,Table7[[#This Row],[Efficiency C]],Table7[[#This Row],[Efficiency]])</f>
        <v>#REF!</v>
      </c>
      <c r="CS233" s="159"/>
      <c r="CT233" s="158" t="n">
        <f aca="false">IF(MOSFET_S=Compare_MOSFET, Table7[[#This Row],[Total Sense Loss C]], -100)</f>
        <v>-100</v>
      </c>
      <c r="CU233" s="158" t="n">
        <f aca="false">IF(MOSFET_S=Compare_MOSFET, Table7[[#This Row],[Total MOSFET Loss C]], -100)</f>
        <v>-100</v>
      </c>
      <c r="CV233" s="158" t="n">
        <f aca="false">IF(MOSFET_S=Compare_MOSFET, Table7[[#This Row],[Efficiency C]], -100)</f>
        <v>-100</v>
      </c>
      <c r="CW233" s="159"/>
      <c r="CX233" s="158" t="e">
        <f aca="false">IF(Save_Sel=CLR_Save,  Table7[[#This Row],[Total Sense Loss P1]], Table7[[#This Row],[Total Sense Loss P1 Saved]])</f>
        <v>#VALUE!</v>
      </c>
      <c r="CY233" s="158" t="e">
        <f aca="false">IF(Save_Sel=CLR_Save,  Table7[[#This Row],[Total MOSFET Loss P1]], Table7[[#This Row],[Total MOSFET Loss P1 Saved]] )</f>
        <v>#VALUE!</v>
      </c>
      <c r="CZ233" s="158" t="e">
        <f aca="false">IF(Save_Sel=CLR_Save, Table7[[#This Row],[Efficiency P1]], Table7[[#This Row],[Efficiency P1 Saved]])</f>
        <v>#VALUE!</v>
      </c>
      <c r="DA233" s="159"/>
      <c r="DB233" s="158" t="e">
        <f aca="false">IF(Save_Sel=CLR_Save,  Table7[[#This Row],[Total Sense Loss P2]], Table7[[#This Row],[Total Sense Loss P2 Saved]])</f>
        <v>#VALUE!</v>
      </c>
      <c r="DC233" s="158" t="e">
        <f aca="false">IF(Save_Sel=CLR_Save,  Table7[[#This Row],[Total MOSFET Loss P2]], Table7[[#This Row],[Total MOSFET Loss P2 Saved]] )</f>
        <v>#VALUE!</v>
      </c>
      <c r="DD233" s="158" t="e">
        <f aca="false">IF(Save_Sel=CLR_Save, Table7[[#This Row],[Efficiency P2]], Table7[[#This Row],[Efficiency P2 Saved]])</f>
        <v>#VALUE!</v>
      </c>
      <c r="DE233" s="159"/>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row>
    <row r="234" customFormat="false" ht="16.4" hidden="false" customHeight="false" outlineLevel="0" collapsed="false">
      <c r="A234" s="174"/>
      <c r="B234" s="174"/>
      <c r="C234" s="174"/>
      <c r="D234" s="174"/>
      <c r="E234" s="174"/>
      <c r="F234" s="174"/>
      <c r="G234" s="174"/>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150" t="n">
        <f aca="false">AF233+1</f>
        <v>78</v>
      </c>
      <c r="AG234" s="150" t="n">
        <f aca="false">$AG$156+AF234*($AG$256-$AG$156)/$AF$256</f>
        <v>7.8</v>
      </c>
      <c r="AH234" s="151" t="n">
        <f aca="false">AG234*VACnom</f>
        <v>93.6</v>
      </c>
      <c r="AI234" s="152" t="n">
        <f aca="false">IF(VACnom&lt;Vbat, (Vbat-VACnom)/Vbat, Vbat/VACnom)</f>
        <v>0.0476190476190476</v>
      </c>
      <c r="AJ234" s="152" t="n">
        <f aca="false">IF(VACnom&lt;Vbat, AG234/(1-AI234), AG234*AI234)</f>
        <v>8.19</v>
      </c>
      <c r="AK234" s="152" t="n">
        <f aca="false">Ipkpk_VACnom</f>
        <v>0.285714285714285</v>
      </c>
      <c r="AL234" s="152" t="n">
        <f aca="false">SQRT(AJ234^2+AK234^2/12)</f>
        <v>8.1904152960084</v>
      </c>
      <c r="AM234" s="153"/>
      <c r="AN234" s="152" t="n">
        <f aca="false">MAX(0,Table7[[#This Row],[I_L]]-0.5*Table7[[#This Row],[I_L pkpk]])</f>
        <v>8.04714285714286</v>
      </c>
      <c r="AO234" s="152" t="n">
        <f aca="false">Table7[[#This Row],[I_L]]+0.5*Table7[[#This Row],[I_L pkpk]]</f>
        <v>8.33285714285714</v>
      </c>
      <c r="AP234" s="152" t="e">
        <f aca="false">IF(VACnom&gt;Vbat, (VGS_S-(TI_MOSFET_S_VTH_H_BU+Table7[[#This Row],[I_L]]/TI_MOSFET_S_gFS_H_BU))/3.4, (VGS_S-(TI_MOSFET_S_VTH_L_BO+Table7[[#This Row],[I_L]]/TI_MOSFET_S_gFS_L_BO))/3.4 )</f>
        <v>#REF!</v>
      </c>
      <c r="AQ234" s="152" t="e">
        <f aca="false">IF(VACnom&gt;Vbat, ((TI_MOSFET_S_VTH_H_BU+Table7[[#This Row],[I_L]]/TI_MOSFET_S_gFS_H_BU))/1, ((TI_MOSFET_S_VTH_L_BO+Table7[[#This Row],[I_L]]/TI_MOSFET_S_gFS_L_BO))/1 )</f>
        <v>#REF!</v>
      </c>
      <c r="AR234" s="152" t="e">
        <f aca="false">IF(VACnom&gt;Vbat, (TI_MOSFET_S_QGD_H_BU+TI_MOSFET_S_QGS_H_BU)*10^-9/Table7[[#This Row],[Ion (A)]], (TI_MOSFET_S_QGD_L_BO+TI_MOSFET_S_QGS_L_BO)*10^-9/Table7[[#This Row],[Ion (A)]])/10^-9</f>
        <v>#REF!</v>
      </c>
      <c r="AS234" s="152" t="e">
        <f aca="false">IF(VACnom&gt;Vbat, (TI_MOSFET_S_QGD_H_BU+TI_MOSFET_S_QGS_H_BU)*10^-9/Table7[[#This Row],[Ioff (A)]], (TI_MOSFET_S_QGD_L_BO+TI_MOSFET_S_QGS_L_BO)*10^-9/Table7[[#This Row],[Ioff (A)]])/10^-9</f>
        <v>#REF!</v>
      </c>
      <c r="AT234" s="152" t="e">
        <f aca="false">0.5*VACnom*Table7[[#This Row],[Ivalley (A)]]*Table7[[#This Row],[ton (ns)]]*10^-9*Fsw*10^3+0.5*VACnom*Table7[[#This Row],[Ipeak (A)]]*Table7[[#This Row],[toff (ns)]]*10^-9*Fsw*10^3/10^-3</f>
        <v>#REF!</v>
      </c>
      <c r="AU234" s="152" t="e">
        <f aca="false">IF(VACnom&gt;Vbat, 0.5*VACnom*TI_MOSFET_S_QOSS_H_BU*10^-9*Fsw*10^3,0.5*VACnom*TI_MOSFET_S_QOSS_L_BO*10^-9*Fsw*10^3)/10^-3</f>
        <v>#REF!</v>
      </c>
      <c r="AV234" s="152" t="e">
        <f aca="false">IF(VACnom&gt;Vbat, VACnom*TI_MOSFET_S_QG_H_BU*10^-9*Fsw*10^3,VACnom*TI_MOSFET_S_QG_H_BO*10^-9*Fsw*10^3)/10^-3</f>
        <v>#REF!</v>
      </c>
      <c r="AW234" s="152" t="e">
        <f aca="false">IF(VACnom&gt;Vbat, VACnom*TI_MOSFET_S_QRR_L_BU*10^-9*Fsw*10^3, VACnom*TI_MOSFET_S_QRR_H_BO*10^-9*Fsw*10^3)/10^-3</f>
        <v>#REF!</v>
      </c>
      <c r="AX234" s="152" t="e">
        <f aca="false">IF(VACnom&gt;Vbat, TI_MOSFET_S_VSD_L_BU*Table7[[#This Row],[Ivalley (A)]]*Fsw*10^3*40*10^-9+TI_MOSFET_S_VSD_L_BU*Table7[[#This Row],[Ipeak (A)]]*Fsw*10^3*30*10^-9, TI_MOSFET_S_VSD_H_BO*Table7[[#This Row],[Ivalley (A)]]*Fsw*10^3*40*10^-9+TI_MOSFET_S_VSD_H_BO*Table7[[#This Row],[Ipeak (A)]]*Fsw*10^3*30*10^-9)/10^-3</f>
        <v>#REF!</v>
      </c>
      <c r="AY234" s="152" t="e">
        <f aca="false">IF(VACnom&gt;Vbat, VACnom*TI_MOSFET_S_QG_L_BU*10^-9*Fsw*10^3, VACnom*TI_MOSFET_S_QG_L_BO*10^-9*Fsw*10^3)/10^-3</f>
        <v>#REF!</v>
      </c>
      <c r="AZ234" s="152" t="e">
        <f aca="false">IF(VACnom&lt;Vbat, Table7[[#This Row],[Duty Cycle]]*Table7[[#This Row],[I_L RMS]]^2*TI_MOSFET_S_RDSON_H_BU*10^-3, (1-Table7[[#This Row],[Duty Cycle]])*Table7[[#This Row],[I_L RMS]]^2*TI_MOSFET_S_RDSON_H_BO*10^-3)/10^-3</f>
        <v>#REF!</v>
      </c>
      <c r="BA234" s="152" t="e">
        <f aca="false">IF(VACnom&gt;Vbat, Table7[[#This Row],[PIV (mW)]]+Table7[[#This Row],[Pqoss (mW)]]+Table7[[#This Row],[Pgate_top (mW)]], Table7[[#This Row],[PRR (mW)]]+Table7[[#This Row],[Pdead (mW)]]+Table7[[#This Row],[Pgate_top (mW)]])</f>
        <v>#REF!</v>
      </c>
      <c r="BB234" s="152" t="e">
        <f aca="false">Table7[[#This Row],[Pcon_top (mW)]]+Table7[[#This Row],[Psw_top (mW)]]</f>
        <v>#REF!</v>
      </c>
      <c r="BC234" s="152" t="e">
        <f aca="false">IF(VACnom&gt;Vbat, (1-Table7[[#This Row],[Duty Cycle]])*Table7[[#This Row],[I_L RMS]]^2*TI_MOSFET_S_RDSON_L_BU*10^-3, Table7[[#This Row],[Duty Cycle]]*Table7[[#This Row],[I_L RMS]]^2*TI_MOSFET_S_RDSON_L_BO*10^-3)/10^-3</f>
        <v>#REF!</v>
      </c>
      <c r="BD234" s="152" t="e">
        <f aca="false">IF(VACnom&gt;Vbat, Table7[[#This Row],[PRR (mW)]]+Table7[[#This Row],[Pdead (mW)]]+Table7[[#This Row],[Pgate_bottom (mW)]], Table7[[#This Row],[PIV (mW)]]+Table7[[#This Row],[Pqoss (mW)]]+Table7[[#This Row],[Pgate_bottom (mW)]])</f>
        <v>#REF!</v>
      </c>
      <c r="BE234" s="154" t="e">
        <f aca="false">Table7[[#This Row],[Pcon_bottom (mW)]]+Table7[[#This Row],[Psw_bottom (mW)]]</f>
        <v>#REF!</v>
      </c>
      <c r="BF234" s="152" t="e">
        <f aca="false">Table7[[#This Row],[Pbottom (mW)]]+Table7[[#This Row],[Ptop (mW)]]</f>
        <v>#REF!</v>
      </c>
      <c r="BG234" s="155"/>
      <c r="BH234" s="152" t="n">
        <f aca="false">MAX(0,Table7[[#This Row],[I_L]]-0.5*Table7[[#This Row],[I_L pkpk]])</f>
        <v>8.04714285714286</v>
      </c>
      <c r="BI234" s="152" t="n">
        <f aca="false">Table7[[#This Row],[I_L]]+0.5*Table7[[#This Row],[I_L pkpk]]</f>
        <v>8.33285714285714</v>
      </c>
      <c r="BJ234" s="152" t="n">
        <f aca="false">IF(VACnom&gt;Vbat, (VGS_S-(C_MOSFET_S_VTH_H_BU+Table7[[#This Row],[I_L]]/C_MOSFET_S_gFS_H_BU))/3.4, (VGS_S-(C_MOSFET_S_VTH_L_BO+Table7[[#This Row],[I_L]]/C_MOSFET_S_gFS_L_BO))/3.4 )</f>
        <v>2.33688235294118</v>
      </c>
      <c r="BK234" s="152" t="n">
        <f aca="false">IF(VACnom&gt;Vbat, ((C_MOSFET_S_VTH_H_BU+Table7[[#This Row],[I_L]]/C_MOSFET_S_gFS_H_BU))/1, ((C_MOSFET_S_VTH_L_BO+Table7[[#This Row],[I_L]]/C_MOSFET_S_gFS_L_BO))/1 )</f>
        <v>2.0546</v>
      </c>
      <c r="BL234" s="152" t="n">
        <f aca="false">IF(VACnom&gt;Vbat, (C_MOSFET_S_QGD_H_BU+C_MOSFET_S_QGS_H_BU)*10^-9/Table7[[#This Row],[Ion (A) C]], (C_MOSFET_S_QGD_L_BO+C_MOSFET_S_QGS_L_BO)*10^-9/Table7[[#This Row],[Ion (A) C]])/10^-9</f>
        <v>2.78148362574571</v>
      </c>
      <c r="BM234" s="152" t="n">
        <f aca="false">IF(VACnom&gt;Vbat, (C_MOSFET_S_QGD_H_BU+C_MOSFET_S_QGS_H_BU)*10^-9/Table7[[#This Row],[Ioff (A) C]], (C_MOSFET_S_QGD_L_BO+C_MOSFET_S_QGS_L_BO)*10^-9/Table7[[#This Row],[Ioff (A) C]])/10^-9</f>
        <v>3.16363282390733</v>
      </c>
      <c r="BN234" s="152" t="n">
        <f aca="false">0.5*VACnom*Table7[[#This Row],[Ivalley (A) C]]*Table7[[#This Row],[ton (ns) C]]*10^-9*Fsw*10^3+0.5*VACnom*Table7[[#This Row],[Ipeak (A) C]]*Table7[[#This Row],[toff (ns) C]]*10^-9*Fsw*10^3/10^-3</f>
        <v>31.6613800441976</v>
      </c>
      <c r="BO234" s="152" t="n">
        <f aca="false">IF(VACnom&gt;Vbat, 0.5*VACnom*C_MOSFET_S_QOSS_H_BU*10^-9*Fsw*10^3,0.5*VACnom*C_MOSFET_S_QOSS_L_BO*10^-9*Fsw*10^3)/10^-3</f>
        <v>43.2</v>
      </c>
      <c r="BP234" s="152" t="e">
        <f aca="false">IF(VACnom&gt;Vbat, VACnom*C_MOSFET_S_QG_H_BU*10^-9*Fsw*10^3,VACnom*C_MOSFET_S_QG_H_BO*10^-9*Fsw*10^3)/10^-3</f>
        <v>#REF!</v>
      </c>
      <c r="BQ234" s="152" t="n">
        <f aca="false">IF(VACnom&gt;Vbat, VACnom*C_MOSFET_S_QRR_L_BU*10^-9*Fsw*10^3, VACnom*C_MOSFET_S_QRR_H_BO*10^-9*Fsw*10^3)/10^-3</f>
        <v>79.2</v>
      </c>
      <c r="BR234" s="152" t="n">
        <f aca="false">IF(VACnom&gt;Vbat, C_MOSFET_S_VSD_L_BU*Table7[[#This Row],[Ivalley (A) C]]*Fsw*10^3*40*10^-9+C_MOSFET_S_VSD_L_BU*Table7[[#This Row],[Ipeak (A) C]]*Fsw*10^3*30*10^-9, C_MOSFET_S_VSD_H_BO*Table7[[#This Row],[Ivalley (A) C]]*Fsw*10^3*40*10^-9+C_MOSFET_S_VSD_H_BO*Table7[[#This Row],[Ipeak (A) C]]*Fsw*10^3*30*10^-9)/10^-3</f>
        <v>91.4994285714286</v>
      </c>
      <c r="BS234" s="152" t="e">
        <f aca="false">IF(VACnom&gt;Vbat, VACnom*C_MOSFET_S_QG_L_BU*10^-9*Fsw*10^3, VACnom*C_MOSFET_S_QG_L_BO*10^-9*Fsw*10^3)/10^-3</f>
        <v>#REF!</v>
      </c>
      <c r="BT234" s="152" t="n">
        <f aca="false">IF(VACnom&lt;Vbat, Table7[[#This Row],[Duty Cycle]]*Table7[[#This Row],[I_L RMS]]^2*C_MOSFET_S_RDSON_H_BU*10^-3, (1-Table7[[#This Row],[Duty Cycle]])*Table7[[#This Row],[I_L RMS]]^2*C_MOSFET_S_RDSON_H_BO*10^-3)/10^-3</f>
        <v>18.2082164528668</v>
      </c>
      <c r="BU234" s="152" t="e">
        <f aca="false">IF(VACnom&gt;Vbat, Table7[[#This Row],[PIV (mW) C]]+Table7[[#This Row],[PQoss (mW) C]]+Table7[[#This Row],[Pgate_top (mW) C]], Table7[[#This Row],[PRR (mW) C]]+Table7[[#This Row],[Pdead (mW) C]]+Table7[[#This Row],[Pgate_top (mW) C]])</f>
        <v>#REF!</v>
      </c>
      <c r="BV234" s="152" t="e">
        <f aca="false">Table7[[#This Row],[Pcon_top (mW) C]]+Table7[[#This Row],[Psw_top (mW) C]]</f>
        <v>#REF!</v>
      </c>
      <c r="BW234" s="152" t="e">
        <f aca="false">IF(VACnom&gt;Vbat, (1-Table7[[#This Row],[Duty Cycle]])*Table7[[#This Row],[I_L RMS]]^2*C_MOSFET_S_RDSON_L_BU*10^-3, Table7[[#This Row],[Duty Cycle]]*Table7[[#This Row],[I_L RMS]]^2*C_MOSFET_S_RDSON_L_BO*10^-3)/10^-3</f>
        <v>#REF!</v>
      </c>
      <c r="BX234" s="152" t="e">
        <f aca="false">IF(VACnom&gt;Vbat, Table7[[#This Row],[PRR (mW) C]]+Table7[[#This Row],[Pdead (mW) C]]+Table7[[#This Row],[Pgate_bottom (mW) C]], Table7[[#This Row],[PIV (mW) C]]+Table7[[#This Row],[PQoss (mW) C]]+Table7[[#This Row],[Pgate_bottom (mW) C]])</f>
        <v>#REF!</v>
      </c>
      <c r="BY234" s="152" t="e">
        <f aca="false">Table7[[#This Row],[Pcon_bottom (mW) C]]+Table7[[#This Row],[Psw_bottom (mV) C]]</f>
        <v>#REF!</v>
      </c>
      <c r="BZ234" s="152" t="e">
        <f aca="false">Table7[[#This Row],[Pbottom (mW) C]]+Table7[[#This Row],[Ptop (mW) C]]</f>
        <v>#REF!</v>
      </c>
      <c r="CA234" s="156"/>
      <c r="CB234" s="151" t="n">
        <f aca="false">(RAC_SNS*10^-3*(Table7[[#This Row],[IOUT (A)]]*Vbat/VACnom)^2/10^-3)</f>
        <v>335.3805</v>
      </c>
      <c r="CC234" s="151" t="n">
        <f aca="false">(RBAT_SNS*10^-3*Table7[[#This Row],[IOUT (A)]]^2)/10^-3</f>
        <v>304.2</v>
      </c>
      <c r="CD234" s="151" t="n">
        <f aca="false">IF(VACnom&gt;Vbat,(L_DRC*10^-3*(Table7[[#This Row],[IOUT (A)]])^2/10^-3),(L_DRC*10^-3*(Table7[[#This Row],[IOUT (A)]]*Vbat/VACnom)^2/10^-3))</f>
        <v>804.9132</v>
      </c>
      <c r="CE234" s="157"/>
      <c r="CF234" s="152" t="n">
        <f aca="false">(Table7[[#This Row],[R_AC (mW)]]+Table7[[#This Row],[R_SR (mW)]]+Table7[[#This Row],[Inductor Loss (mW)]])/10^3</f>
        <v>1.4444937</v>
      </c>
      <c r="CG234" s="152" t="e">
        <f aca="false">Table7[[#This Row],[Total TI (mW)]]/10^3</f>
        <v>#REF!</v>
      </c>
      <c r="CH234" s="152" t="e">
        <f aca="false">Table7[[#This Row],[Total Sense Loss]]+Table7[[#This Row],[Total MOSFET Loss]]</f>
        <v>#REF!</v>
      </c>
      <c r="CI234" s="158" t="e">
        <f aca="false">IF(Table7[[#This Row],[POUT (W)]]=0,0,(Table7[[#This Row],[POUT (W)]])/(Table7[[#This Row],[POUT (W)]]+Table7[[#This Row],[Total Power Loss (W)]]))*100</f>
        <v>#REF!</v>
      </c>
      <c r="CJ234" s="159"/>
      <c r="CK234" s="152" t="n">
        <f aca="false">(Table7[[#This Row],[R_AC (mW)]]+Table7[[#This Row],[R_SR (mW)]]+Table7[[#This Row],[Inductor Loss (mW)]])/10^3</f>
        <v>1.4444937</v>
      </c>
      <c r="CL234" s="152" t="e">
        <f aca="false">Table7[[#This Row],[Total (mW) C]]/10^3</f>
        <v>#REF!</v>
      </c>
      <c r="CM234" s="152" t="e">
        <f aca="false">Table7[[#This Row],[Total Sense Loss C]]+Table7[[#This Row],[Total MOSFET Loss C]]</f>
        <v>#REF!</v>
      </c>
      <c r="CN234" s="158" t="e">
        <f aca="false">IF(Table7[[#This Row],[POUT (W)]]=0,0,(Table7[[#This Row],[POUT (W)]])/(Table7[[#This Row],[POUT (W)]]+Table7[[#This Row],[Total Power Loss (W) C]]))*100</f>
        <v>#REF!</v>
      </c>
      <c r="CO234" s="159"/>
      <c r="CP234" s="158" t="n">
        <f aca="false">IF(MOSFET_S=Custom_MOSFET,Table7[[#This Row],[Total Sense Loss C]],Table7[[#This Row],[Total Sense Loss]])</f>
        <v>1.4444937</v>
      </c>
      <c r="CQ234" s="158" t="e">
        <f aca="false">IF(MOSFET_S=Custom_MOSFET,Table7[[#This Row],[Total MOSFET Loss C]],Table7[[#This Row],[Total MOSFET Loss]])</f>
        <v>#REF!</v>
      </c>
      <c r="CR234" s="158" t="e">
        <f aca="false">IF(MOSFET_S=Custom_MOSFET,Table7[[#This Row],[Efficiency C]],Table7[[#This Row],[Efficiency]])</f>
        <v>#REF!</v>
      </c>
      <c r="CS234" s="159"/>
      <c r="CT234" s="158" t="n">
        <f aca="false">IF(MOSFET_S=Compare_MOSFET, Table7[[#This Row],[Total Sense Loss C]], -100)</f>
        <v>-100</v>
      </c>
      <c r="CU234" s="158" t="n">
        <f aca="false">IF(MOSFET_S=Compare_MOSFET, Table7[[#This Row],[Total MOSFET Loss C]], -100)</f>
        <v>-100</v>
      </c>
      <c r="CV234" s="158" t="n">
        <f aca="false">IF(MOSFET_S=Compare_MOSFET, Table7[[#This Row],[Efficiency C]], -100)</f>
        <v>-100</v>
      </c>
      <c r="CW234" s="159"/>
      <c r="CX234" s="158" t="e">
        <f aca="false">IF(Save_Sel=CLR_Save,  Table7[[#This Row],[Total Sense Loss P1]], Table7[[#This Row],[Total Sense Loss P1 Saved]])</f>
        <v>#VALUE!</v>
      </c>
      <c r="CY234" s="158" t="e">
        <f aca="false">IF(Save_Sel=CLR_Save,  Table7[[#This Row],[Total MOSFET Loss P1]], Table7[[#This Row],[Total MOSFET Loss P1 Saved]] )</f>
        <v>#VALUE!</v>
      </c>
      <c r="CZ234" s="158" t="e">
        <f aca="false">IF(Save_Sel=CLR_Save, Table7[[#This Row],[Efficiency P1]], Table7[[#This Row],[Efficiency P1 Saved]])</f>
        <v>#VALUE!</v>
      </c>
      <c r="DA234" s="159"/>
      <c r="DB234" s="158" t="e">
        <f aca="false">IF(Save_Sel=CLR_Save,  Table7[[#This Row],[Total Sense Loss P2]], Table7[[#This Row],[Total Sense Loss P2 Saved]])</f>
        <v>#VALUE!</v>
      </c>
      <c r="DC234" s="158" t="e">
        <f aca="false">IF(Save_Sel=CLR_Save,  Table7[[#This Row],[Total MOSFET Loss P2]], Table7[[#This Row],[Total MOSFET Loss P2 Saved]] )</f>
        <v>#VALUE!</v>
      </c>
      <c r="DD234" s="158" t="e">
        <f aca="false">IF(Save_Sel=CLR_Save, Table7[[#This Row],[Efficiency P2]], Table7[[#This Row],[Efficiency P2 Saved]])</f>
        <v>#VALUE!</v>
      </c>
      <c r="DE234" s="159"/>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row>
    <row r="235" customFormat="false" ht="16.4" hidden="false" customHeight="false" outlineLevel="0" collapsed="false">
      <c r="A235" s="174"/>
      <c r="B235" s="174"/>
      <c r="C235" s="174"/>
      <c r="D235" s="174"/>
      <c r="E235" s="174"/>
      <c r="F235" s="174"/>
      <c r="G235" s="174"/>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150" t="n">
        <f aca="false">AF234+1</f>
        <v>79</v>
      </c>
      <c r="AG235" s="150" t="n">
        <f aca="false">$AG$156+AF235*($AG$256-$AG$156)/$AF$256</f>
        <v>7.9</v>
      </c>
      <c r="AH235" s="151" t="n">
        <f aca="false">AG235*VACnom</f>
        <v>94.8</v>
      </c>
      <c r="AI235" s="152" t="n">
        <f aca="false">IF(VACnom&lt;Vbat, (Vbat-VACnom)/Vbat, Vbat/VACnom)</f>
        <v>0.0476190476190476</v>
      </c>
      <c r="AJ235" s="152" t="n">
        <f aca="false">IF(VACnom&lt;Vbat, AG235/(1-AI235), AG235*AI235)</f>
        <v>8.295</v>
      </c>
      <c r="AK235" s="152" t="n">
        <f aca="false">Ipkpk_VACnom</f>
        <v>0.285714285714285</v>
      </c>
      <c r="AL235" s="152" t="n">
        <f aca="false">SQRT(AJ235^2+AK235^2/12)</f>
        <v>8.29541003935842</v>
      </c>
      <c r="AM235" s="153"/>
      <c r="AN235" s="152" t="n">
        <f aca="false">MAX(0,Table7[[#This Row],[I_L]]-0.5*Table7[[#This Row],[I_L pkpk]])</f>
        <v>8.15214285714286</v>
      </c>
      <c r="AO235" s="152" t="n">
        <f aca="false">Table7[[#This Row],[I_L]]+0.5*Table7[[#This Row],[I_L pkpk]]</f>
        <v>8.43785714285714</v>
      </c>
      <c r="AP235" s="152" t="e">
        <f aca="false">IF(VACnom&gt;Vbat, (VGS_S-(TI_MOSFET_S_VTH_H_BU+Table7[[#This Row],[I_L]]/TI_MOSFET_S_gFS_H_BU))/3.4, (VGS_S-(TI_MOSFET_S_VTH_L_BO+Table7[[#This Row],[I_L]]/TI_MOSFET_S_gFS_L_BO))/3.4 )</f>
        <v>#REF!</v>
      </c>
      <c r="AQ235" s="152" t="e">
        <f aca="false">IF(VACnom&gt;Vbat, ((TI_MOSFET_S_VTH_H_BU+Table7[[#This Row],[I_L]]/TI_MOSFET_S_gFS_H_BU))/1, ((TI_MOSFET_S_VTH_L_BO+Table7[[#This Row],[I_L]]/TI_MOSFET_S_gFS_L_BO))/1 )</f>
        <v>#REF!</v>
      </c>
      <c r="AR235" s="152" t="e">
        <f aca="false">IF(VACnom&gt;Vbat, (TI_MOSFET_S_QGD_H_BU+TI_MOSFET_S_QGS_H_BU)*10^-9/Table7[[#This Row],[Ion (A)]], (TI_MOSFET_S_QGD_L_BO+TI_MOSFET_S_QGS_L_BO)*10^-9/Table7[[#This Row],[Ion (A)]])/10^-9</f>
        <v>#REF!</v>
      </c>
      <c r="AS235" s="152" t="e">
        <f aca="false">IF(VACnom&gt;Vbat, (TI_MOSFET_S_QGD_H_BU+TI_MOSFET_S_QGS_H_BU)*10^-9/Table7[[#This Row],[Ioff (A)]], (TI_MOSFET_S_QGD_L_BO+TI_MOSFET_S_QGS_L_BO)*10^-9/Table7[[#This Row],[Ioff (A)]])/10^-9</f>
        <v>#REF!</v>
      </c>
      <c r="AT235" s="152" t="e">
        <f aca="false">0.5*VACnom*Table7[[#This Row],[Ivalley (A)]]*Table7[[#This Row],[ton (ns)]]*10^-9*Fsw*10^3+0.5*VACnom*Table7[[#This Row],[Ipeak (A)]]*Table7[[#This Row],[toff (ns)]]*10^-9*Fsw*10^3/10^-3</f>
        <v>#REF!</v>
      </c>
      <c r="AU235" s="152" t="e">
        <f aca="false">IF(VACnom&gt;Vbat, 0.5*VACnom*TI_MOSFET_S_QOSS_H_BU*10^-9*Fsw*10^3,0.5*VACnom*TI_MOSFET_S_QOSS_L_BO*10^-9*Fsw*10^3)/10^-3</f>
        <v>#REF!</v>
      </c>
      <c r="AV235" s="152" t="e">
        <f aca="false">IF(VACnom&gt;Vbat, VACnom*TI_MOSFET_S_QG_H_BU*10^-9*Fsw*10^3,VACnom*TI_MOSFET_S_QG_H_BO*10^-9*Fsw*10^3)/10^-3</f>
        <v>#REF!</v>
      </c>
      <c r="AW235" s="152" t="e">
        <f aca="false">IF(VACnom&gt;Vbat, VACnom*TI_MOSFET_S_QRR_L_BU*10^-9*Fsw*10^3, VACnom*TI_MOSFET_S_QRR_H_BO*10^-9*Fsw*10^3)/10^-3</f>
        <v>#REF!</v>
      </c>
      <c r="AX235" s="152" t="e">
        <f aca="false">IF(VACnom&gt;Vbat, TI_MOSFET_S_VSD_L_BU*Table7[[#This Row],[Ivalley (A)]]*Fsw*10^3*40*10^-9+TI_MOSFET_S_VSD_L_BU*Table7[[#This Row],[Ipeak (A)]]*Fsw*10^3*30*10^-9, TI_MOSFET_S_VSD_H_BO*Table7[[#This Row],[Ivalley (A)]]*Fsw*10^3*40*10^-9+TI_MOSFET_S_VSD_H_BO*Table7[[#This Row],[Ipeak (A)]]*Fsw*10^3*30*10^-9)/10^-3</f>
        <v>#REF!</v>
      </c>
      <c r="AY235" s="152" t="e">
        <f aca="false">IF(VACnom&gt;Vbat, VACnom*TI_MOSFET_S_QG_L_BU*10^-9*Fsw*10^3, VACnom*TI_MOSFET_S_QG_L_BO*10^-9*Fsw*10^3)/10^-3</f>
        <v>#REF!</v>
      </c>
      <c r="AZ235" s="152" t="e">
        <f aca="false">IF(VACnom&lt;Vbat, Table7[[#This Row],[Duty Cycle]]*Table7[[#This Row],[I_L RMS]]^2*TI_MOSFET_S_RDSON_H_BU*10^-3, (1-Table7[[#This Row],[Duty Cycle]])*Table7[[#This Row],[I_L RMS]]^2*TI_MOSFET_S_RDSON_H_BO*10^-3)/10^-3</f>
        <v>#REF!</v>
      </c>
      <c r="BA235" s="152" t="e">
        <f aca="false">IF(VACnom&gt;Vbat, Table7[[#This Row],[PIV (mW)]]+Table7[[#This Row],[Pqoss (mW)]]+Table7[[#This Row],[Pgate_top (mW)]], Table7[[#This Row],[PRR (mW)]]+Table7[[#This Row],[Pdead (mW)]]+Table7[[#This Row],[Pgate_top (mW)]])</f>
        <v>#REF!</v>
      </c>
      <c r="BB235" s="152" t="e">
        <f aca="false">Table7[[#This Row],[Pcon_top (mW)]]+Table7[[#This Row],[Psw_top (mW)]]</f>
        <v>#REF!</v>
      </c>
      <c r="BC235" s="152" t="e">
        <f aca="false">IF(VACnom&gt;Vbat, (1-Table7[[#This Row],[Duty Cycle]])*Table7[[#This Row],[I_L RMS]]^2*TI_MOSFET_S_RDSON_L_BU*10^-3, Table7[[#This Row],[Duty Cycle]]*Table7[[#This Row],[I_L RMS]]^2*TI_MOSFET_S_RDSON_L_BO*10^-3)/10^-3</f>
        <v>#REF!</v>
      </c>
      <c r="BD235" s="152" t="e">
        <f aca="false">IF(VACnom&gt;Vbat, Table7[[#This Row],[PRR (mW)]]+Table7[[#This Row],[Pdead (mW)]]+Table7[[#This Row],[Pgate_bottom (mW)]], Table7[[#This Row],[PIV (mW)]]+Table7[[#This Row],[Pqoss (mW)]]+Table7[[#This Row],[Pgate_bottom (mW)]])</f>
        <v>#REF!</v>
      </c>
      <c r="BE235" s="154" t="e">
        <f aca="false">Table7[[#This Row],[Pcon_bottom (mW)]]+Table7[[#This Row],[Psw_bottom (mW)]]</f>
        <v>#REF!</v>
      </c>
      <c r="BF235" s="152" t="e">
        <f aca="false">Table7[[#This Row],[Pbottom (mW)]]+Table7[[#This Row],[Ptop (mW)]]</f>
        <v>#REF!</v>
      </c>
      <c r="BG235" s="155"/>
      <c r="BH235" s="152" t="n">
        <f aca="false">MAX(0,Table7[[#This Row],[I_L]]-0.5*Table7[[#This Row],[I_L pkpk]])</f>
        <v>8.15214285714286</v>
      </c>
      <c r="BI235" s="152" t="n">
        <f aca="false">Table7[[#This Row],[I_L]]+0.5*Table7[[#This Row],[I_L pkpk]]</f>
        <v>8.43785714285714</v>
      </c>
      <c r="BJ235" s="152" t="n">
        <f aca="false">IF(VACnom&gt;Vbat, (VGS_S-(C_MOSFET_S_VTH_H_BU+Table7[[#This Row],[I_L]]/C_MOSFET_S_gFS_H_BU))/3.4, (VGS_S-(C_MOSFET_S_VTH_L_BO+Table7[[#This Row],[I_L]]/C_MOSFET_S_gFS_L_BO))/3.4 )</f>
        <v>2.33667647058824</v>
      </c>
      <c r="BK235" s="152" t="n">
        <f aca="false">IF(VACnom&gt;Vbat, ((C_MOSFET_S_VTH_H_BU+Table7[[#This Row],[I_L]]/C_MOSFET_S_gFS_H_BU))/1, ((C_MOSFET_S_VTH_L_BO+Table7[[#This Row],[I_L]]/C_MOSFET_S_gFS_L_BO))/1 )</f>
        <v>2.0553</v>
      </c>
      <c r="BL235" s="152" t="n">
        <f aca="false">IF(VACnom&gt;Vbat, (C_MOSFET_S_QGD_H_BU+C_MOSFET_S_QGS_H_BU)*10^-9/Table7[[#This Row],[Ion (A) C]], (C_MOSFET_S_QGD_L_BO+C_MOSFET_S_QGS_L_BO)*10^-9/Table7[[#This Row],[Ion (A) C]])/10^-9</f>
        <v>2.78172869963624</v>
      </c>
      <c r="BM235" s="152" t="n">
        <f aca="false">IF(VACnom&gt;Vbat, (C_MOSFET_S_QGD_H_BU+C_MOSFET_S_QGS_H_BU)*10^-9/Table7[[#This Row],[Ioff (A) C]], (C_MOSFET_S_QGD_L_BO+C_MOSFET_S_QGS_L_BO)*10^-9/Table7[[#This Row],[Ioff (A) C]])/10^-9</f>
        <v>3.16255534471853</v>
      </c>
      <c r="BN235" s="152" t="n">
        <f aca="false">0.5*VACnom*Table7[[#This Row],[Ivalley (A) C]]*Table7[[#This Row],[ton (ns) C]]*10^-9*Fsw*10^3+0.5*VACnom*Table7[[#This Row],[Ipeak (A) C]]*Table7[[#This Row],[toff (ns) C]]*10^-9*Fsw*10^3/10^-3</f>
        <v>32.0494407058363</v>
      </c>
      <c r="BO235" s="152" t="n">
        <f aca="false">IF(VACnom&gt;Vbat, 0.5*VACnom*C_MOSFET_S_QOSS_H_BU*10^-9*Fsw*10^3,0.5*VACnom*C_MOSFET_S_QOSS_L_BO*10^-9*Fsw*10^3)/10^-3</f>
        <v>43.2</v>
      </c>
      <c r="BP235" s="152" t="e">
        <f aca="false">IF(VACnom&gt;Vbat, VACnom*C_MOSFET_S_QG_H_BU*10^-9*Fsw*10^3,VACnom*C_MOSFET_S_QG_H_BO*10^-9*Fsw*10^3)/10^-3</f>
        <v>#REF!</v>
      </c>
      <c r="BQ235" s="152" t="n">
        <f aca="false">IF(VACnom&gt;Vbat, VACnom*C_MOSFET_S_QRR_L_BU*10^-9*Fsw*10^3, VACnom*C_MOSFET_S_QRR_H_BO*10^-9*Fsw*10^3)/10^-3</f>
        <v>79.2</v>
      </c>
      <c r="BR235" s="152" t="n">
        <f aca="false">IF(VACnom&gt;Vbat, C_MOSFET_S_VSD_L_BU*Table7[[#This Row],[Ivalley (A) C]]*Fsw*10^3*40*10^-9+C_MOSFET_S_VSD_L_BU*Table7[[#This Row],[Ipeak (A) C]]*Fsw*10^3*30*10^-9, C_MOSFET_S_VSD_H_BO*Table7[[#This Row],[Ivalley (A) C]]*Fsw*10^3*40*10^-9+C_MOSFET_S_VSD_H_BO*Table7[[#This Row],[Ipeak (A) C]]*Fsw*10^3*30*10^-9)/10^-3</f>
        <v>92.6754285714286</v>
      </c>
      <c r="BS235" s="152" t="e">
        <f aca="false">IF(VACnom&gt;Vbat, VACnom*C_MOSFET_S_QG_L_BU*10^-9*Fsw*10^3, VACnom*C_MOSFET_S_QG_L_BO*10^-9*Fsw*10^3)/10^-3</f>
        <v>#REF!</v>
      </c>
      <c r="BT235" s="152" t="n">
        <f aca="false">IF(VACnom&lt;Vbat, Table7[[#This Row],[Duty Cycle]]*Table7[[#This Row],[I_L RMS]]^2*C_MOSFET_S_RDSON_H_BU*10^-3, (1-Table7[[#This Row],[Duty Cycle]])*Table7[[#This Row],[I_L RMS]]^2*C_MOSFET_S_RDSON_H_BO*10^-3)/10^-3</f>
        <v>18.6780389528669</v>
      </c>
      <c r="BU235" s="152" t="e">
        <f aca="false">IF(VACnom&gt;Vbat, Table7[[#This Row],[PIV (mW) C]]+Table7[[#This Row],[PQoss (mW) C]]+Table7[[#This Row],[Pgate_top (mW) C]], Table7[[#This Row],[PRR (mW) C]]+Table7[[#This Row],[Pdead (mW) C]]+Table7[[#This Row],[Pgate_top (mW) C]])</f>
        <v>#REF!</v>
      </c>
      <c r="BV235" s="152" t="e">
        <f aca="false">Table7[[#This Row],[Pcon_top (mW) C]]+Table7[[#This Row],[Psw_top (mW) C]]</f>
        <v>#REF!</v>
      </c>
      <c r="BW235" s="152" t="e">
        <f aca="false">IF(VACnom&gt;Vbat, (1-Table7[[#This Row],[Duty Cycle]])*Table7[[#This Row],[I_L RMS]]^2*C_MOSFET_S_RDSON_L_BU*10^-3, Table7[[#This Row],[Duty Cycle]]*Table7[[#This Row],[I_L RMS]]^2*C_MOSFET_S_RDSON_L_BO*10^-3)/10^-3</f>
        <v>#REF!</v>
      </c>
      <c r="BX235" s="152" t="e">
        <f aca="false">IF(VACnom&gt;Vbat, Table7[[#This Row],[PRR (mW) C]]+Table7[[#This Row],[Pdead (mW) C]]+Table7[[#This Row],[Pgate_bottom (mW) C]], Table7[[#This Row],[PIV (mW) C]]+Table7[[#This Row],[PQoss (mW) C]]+Table7[[#This Row],[Pgate_bottom (mW) C]])</f>
        <v>#REF!</v>
      </c>
      <c r="BY235" s="152" t="e">
        <f aca="false">Table7[[#This Row],[Pcon_bottom (mW) C]]+Table7[[#This Row],[Psw_bottom (mV) C]]</f>
        <v>#REF!</v>
      </c>
      <c r="BZ235" s="152" t="e">
        <f aca="false">Table7[[#This Row],[Pbottom (mW) C]]+Table7[[#This Row],[Ptop (mW) C]]</f>
        <v>#REF!</v>
      </c>
      <c r="CA235" s="156"/>
      <c r="CB235" s="151" t="n">
        <f aca="false">(RAC_SNS*10^-3*(Table7[[#This Row],[IOUT (A)]]*Vbat/VACnom)^2/10^-3)</f>
        <v>344.035125</v>
      </c>
      <c r="CC235" s="151" t="n">
        <f aca="false">(RBAT_SNS*10^-3*Table7[[#This Row],[IOUT (A)]]^2)/10^-3</f>
        <v>312.05</v>
      </c>
      <c r="CD235" s="151" t="n">
        <f aca="false">IF(VACnom&gt;Vbat,(L_DRC*10^-3*(Table7[[#This Row],[IOUT (A)]])^2/10^-3),(L_DRC*10^-3*(Table7[[#This Row],[IOUT (A)]]*Vbat/VACnom)^2/10^-3))</f>
        <v>825.6843</v>
      </c>
      <c r="CE235" s="157"/>
      <c r="CF235" s="152" t="n">
        <f aca="false">(Table7[[#This Row],[R_AC (mW)]]+Table7[[#This Row],[R_SR (mW)]]+Table7[[#This Row],[Inductor Loss (mW)]])/10^3</f>
        <v>1.481769425</v>
      </c>
      <c r="CG235" s="152" t="e">
        <f aca="false">Table7[[#This Row],[Total TI (mW)]]/10^3</f>
        <v>#REF!</v>
      </c>
      <c r="CH235" s="152" t="e">
        <f aca="false">Table7[[#This Row],[Total Sense Loss]]+Table7[[#This Row],[Total MOSFET Loss]]</f>
        <v>#REF!</v>
      </c>
      <c r="CI235" s="158" t="e">
        <f aca="false">IF(Table7[[#This Row],[POUT (W)]]=0,0,(Table7[[#This Row],[POUT (W)]])/(Table7[[#This Row],[POUT (W)]]+Table7[[#This Row],[Total Power Loss (W)]]))*100</f>
        <v>#REF!</v>
      </c>
      <c r="CJ235" s="159"/>
      <c r="CK235" s="152" t="n">
        <f aca="false">(Table7[[#This Row],[R_AC (mW)]]+Table7[[#This Row],[R_SR (mW)]]+Table7[[#This Row],[Inductor Loss (mW)]])/10^3</f>
        <v>1.481769425</v>
      </c>
      <c r="CL235" s="152" t="e">
        <f aca="false">Table7[[#This Row],[Total (mW) C]]/10^3</f>
        <v>#REF!</v>
      </c>
      <c r="CM235" s="152" t="e">
        <f aca="false">Table7[[#This Row],[Total Sense Loss C]]+Table7[[#This Row],[Total MOSFET Loss C]]</f>
        <v>#REF!</v>
      </c>
      <c r="CN235" s="158" t="e">
        <f aca="false">IF(Table7[[#This Row],[POUT (W)]]=0,0,(Table7[[#This Row],[POUT (W)]])/(Table7[[#This Row],[POUT (W)]]+Table7[[#This Row],[Total Power Loss (W) C]]))*100</f>
        <v>#REF!</v>
      </c>
      <c r="CO235" s="159"/>
      <c r="CP235" s="158" t="n">
        <f aca="false">IF(MOSFET_S=Custom_MOSFET,Table7[[#This Row],[Total Sense Loss C]],Table7[[#This Row],[Total Sense Loss]])</f>
        <v>1.481769425</v>
      </c>
      <c r="CQ235" s="158" t="e">
        <f aca="false">IF(MOSFET_S=Custom_MOSFET,Table7[[#This Row],[Total MOSFET Loss C]],Table7[[#This Row],[Total MOSFET Loss]])</f>
        <v>#REF!</v>
      </c>
      <c r="CR235" s="158" t="e">
        <f aca="false">IF(MOSFET_S=Custom_MOSFET,Table7[[#This Row],[Efficiency C]],Table7[[#This Row],[Efficiency]])</f>
        <v>#REF!</v>
      </c>
      <c r="CS235" s="159"/>
      <c r="CT235" s="158" t="n">
        <f aca="false">IF(MOSFET_S=Compare_MOSFET, Table7[[#This Row],[Total Sense Loss C]], -100)</f>
        <v>-100</v>
      </c>
      <c r="CU235" s="158" t="n">
        <f aca="false">IF(MOSFET_S=Compare_MOSFET, Table7[[#This Row],[Total MOSFET Loss C]], -100)</f>
        <v>-100</v>
      </c>
      <c r="CV235" s="158" t="n">
        <f aca="false">IF(MOSFET_S=Compare_MOSFET, Table7[[#This Row],[Efficiency C]], -100)</f>
        <v>-100</v>
      </c>
      <c r="CW235" s="159"/>
      <c r="CX235" s="158" t="e">
        <f aca="false">IF(Save_Sel=CLR_Save,  Table7[[#This Row],[Total Sense Loss P1]], Table7[[#This Row],[Total Sense Loss P1 Saved]])</f>
        <v>#VALUE!</v>
      </c>
      <c r="CY235" s="158" t="e">
        <f aca="false">IF(Save_Sel=CLR_Save,  Table7[[#This Row],[Total MOSFET Loss P1]], Table7[[#This Row],[Total MOSFET Loss P1 Saved]] )</f>
        <v>#VALUE!</v>
      </c>
      <c r="CZ235" s="158" t="e">
        <f aca="false">IF(Save_Sel=CLR_Save, Table7[[#This Row],[Efficiency P1]], Table7[[#This Row],[Efficiency P1 Saved]])</f>
        <v>#VALUE!</v>
      </c>
      <c r="DA235" s="159"/>
      <c r="DB235" s="158" t="e">
        <f aca="false">IF(Save_Sel=CLR_Save,  Table7[[#This Row],[Total Sense Loss P2]], Table7[[#This Row],[Total Sense Loss P2 Saved]])</f>
        <v>#VALUE!</v>
      </c>
      <c r="DC235" s="158" t="e">
        <f aca="false">IF(Save_Sel=CLR_Save,  Table7[[#This Row],[Total MOSFET Loss P2]], Table7[[#This Row],[Total MOSFET Loss P2 Saved]] )</f>
        <v>#VALUE!</v>
      </c>
      <c r="DD235" s="158" t="e">
        <f aca="false">IF(Save_Sel=CLR_Save, Table7[[#This Row],[Efficiency P2]], Table7[[#This Row],[Efficiency P2 Saved]])</f>
        <v>#VALUE!</v>
      </c>
      <c r="DE235" s="159"/>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row>
    <row r="236" customFormat="false" ht="16.4" hidden="false" customHeight="false" outlineLevel="0" collapsed="false">
      <c r="A236" s="174"/>
      <c r="B236" s="174"/>
      <c r="C236" s="174"/>
      <c r="D236" s="174"/>
      <c r="E236" s="174"/>
      <c r="F236" s="174"/>
      <c r="G236" s="174"/>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150" t="n">
        <f aca="false">AF235+1</f>
        <v>80</v>
      </c>
      <c r="AG236" s="150" t="n">
        <f aca="false">$AG$156+AF236*($AG$256-$AG$156)/$AF$256</f>
        <v>8</v>
      </c>
      <c r="AH236" s="151" t="n">
        <f aca="false">AG236*VACnom</f>
        <v>96</v>
      </c>
      <c r="AI236" s="152" t="n">
        <f aca="false">IF(VACnom&lt;Vbat, (Vbat-VACnom)/Vbat, Vbat/VACnom)</f>
        <v>0.0476190476190476</v>
      </c>
      <c r="AJ236" s="152" t="n">
        <f aca="false">IF(VACnom&lt;Vbat, AG236/(1-AI236), AG236*AI236)</f>
        <v>8.4</v>
      </c>
      <c r="AK236" s="152" t="n">
        <f aca="false">Ipkpk_VACnom</f>
        <v>0.285714285714285</v>
      </c>
      <c r="AL236" s="152" t="n">
        <f aca="false">SQRT(AJ236^2+AK236^2/12)</f>
        <v>8.40040491411506</v>
      </c>
      <c r="AM236" s="153"/>
      <c r="AN236" s="152" t="n">
        <f aca="false">MAX(0,Table7[[#This Row],[I_L]]-0.5*Table7[[#This Row],[I_L pkpk]])</f>
        <v>8.25714285714286</v>
      </c>
      <c r="AO236" s="152" t="n">
        <f aca="false">Table7[[#This Row],[I_L]]+0.5*Table7[[#This Row],[I_L pkpk]]</f>
        <v>8.54285714285714</v>
      </c>
      <c r="AP236" s="152" t="e">
        <f aca="false">IF(VACnom&gt;Vbat, (VGS_S-(TI_MOSFET_S_VTH_H_BU+Table7[[#This Row],[I_L]]/TI_MOSFET_S_gFS_H_BU))/3.4, (VGS_S-(TI_MOSFET_S_VTH_L_BO+Table7[[#This Row],[I_L]]/TI_MOSFET_S_gFS_L_BO))/3.4 )</f>
        <v>#REF!</v>
      </c>
      <c r="AQ236" s="152" t="e">
        <f aca="false">IF(VACnom&gt;Vbat, ((TI_MOSFET_S_VTH_H_BU+Table7[[#This Row],[I_L]]/TI_MOSFET_S_gFS_H_BU))/1, ((TI_MOSFET_S_VTH_L_BO+Table7[[#This Row],[I_L]]/TI_MOSFET_S_gFS_L_BO))/1 )</f>
        <v>#REF!</v>
      </c>
      <c r="AR236" s="152" t="e">
        <f aca="false">IF(VACnom&gt;Vbat, (TI_MOSFET_S_QGD_H_BU+TI_MOSFET_S_QGS_H_BU)*10^-9/Table7[[#This Row],[Ion (A)]], (TI_MOSFET_S_QGD_L_BO+TI_MOSFET_S_QGS_L_BO)*10^-9/Table7[[#This Row],[Ion (A)]])/10^-9</f>
        <v>#REF!</v>
      </c>
      <c r="AS236" s="152" t="e">
        <f aca="false">IF(VACnom&gt;Vbat, (TI_MOSFET_S_QGD_H_BU+TI_MOSFET_S_QGS_H_BU)*10^-9/Table7[[#This Row],[Ioff (A)]], (TI_MOSFET_S_QGD_L_BO+TI_MOSFET_S_QGS_L_BO)*10^-9/Table7[[#This Row],[Ioff (A)]])/10^-9</f>
        <v>#REF!</v>
      </c>
      <c r="AT236" s="152" t="e">
        <f aca="false">0.5*VACnom*Table7[[#This Row],[Ivalley (A)]]*Table7[[#This Row],[ton (ns)]]*10^-9*Fsw*10^3+0.5*VACnom*Table7[[#This Row],[Ipeak (A)]]*Table7[[#This Row],[toff (ns)]]*10^-9*Fsw*10^3/10^-3</f>
        <v>#REF!</v>
      </c>
      <c r="AU236" s="152" t="e">
        <f aca="false">IF(VACnom&gt;Vbat, 0.5*VACnom*TI_MOSFET_S_QOSS_H_BU*10^-9*Fsw*10^3,0.5*VACnom*TI_MOSFET_S_QOSS_L_BO*10^-9*Fsw*10^3)/10^-3</f>
        <v>#REF!</v>
      </c>
      <c r="AV236" s="152" t="e">
        <f aca="false">IF(VACnom&gt;Vbat, VACnom*TI_MOSFET_S_QG_H_BU*10^-9*Fsw*10^3,VACnom*TI_MOSFET_S_QG_H_BO*10^-9*Fsw*10^3)/10^-3</f>
        <v>#REF!</v>
      </c>
      <c r="AW236" s="152" t="e">
        <f aca="false">IF(VACnom&gt;Vbat, VACnom*TI_MOSFET_S_QRR_L_BU*10^-9*Fsw*10^3, VACnom*TI_MOSFET_S_QRR_H_BO*10^-9*Fsw*10^3)/10^-3</f>
        <v>#REF!</v>
      </c>
      <c r="AX236" s="152" t="e">
        <f aca="false">IF(VACnom&gt;Vbat, TI_MOSFET_S_VSD_L_BU*Table7[[#This Row],[Ivalley (A)]]*Fsw*10^3*40*10^-9+TI_MOSFET_S_VSD_L_BU*Table7[[#This Row],[Ipeak (A)]]*Fsw*10^3*30*10^-9, TI_MOSFET_S_VSD_H_BO*Table7[[#This Row],[Ivalley (A)]]*Fsw*10^3*40*10^-9+TI_MOSFET_S_VSD_H_BO*Table7[[#This Row],[Ipeak (A)]]*Fsw*10^3*30*10^-9)/10^-3</f>
        <v>#REF!</v>
      </c>
      <c r="AY236" s="152" t="e">
        <f aca="false">IF(VACnom&gt;Vbat, VACnom*TI_MOSFET_S_QG_L_BU*10^-9*Fsw*10^3, VACnom*TI_MOSFET_S_QG_L_BO*10^-9*Fsw*10^3)/10^-3</f>
        <v>#REF!</v>
      </c>
      <c r="AZ236" s="152" t="e">
        <f aca="false">IF(VACnom&lt;Vbat, Table7[[#This Row],[Duty Cycle]]*Table7[[#This Row],[I_L RMS]]^2*TI_MOSFET_S_RDSON_H_BU*10^-3, (1-Table7[[#This Row],[Duty Cycle]])*Table7[[#This Row],[I_L RMS]]^2*TI_MOSFET_S_RDSON_H_BO*10^-3)/10^-3</f>
        <v>#REF!</v>
      </c>
      <c r="BA236" s="152" t="e">
        <f aca="false">IF(VACnom&gt;Vbat, Table7[[#This Row],[PIV (mW)]]+Table7[[#This Row],[Pqoss (mW)]]+Table7[[#This Row],[Pgate_top (mW)]], Table7[[#This Row],[PRR (mW)]]+Table7[[#This Row],[Pdead (mW)]]+Table7[[#This Row],[Pgate_top (mW)]])</f>
        <v>#REF!</v>
      </c>
      <c r="BB236" s="152" t="e">
        <f aca="false">Table7[[#This Row],[Pcon_top (mW)]]+Table7[[#This Row],[Psw_top (mW)]]</f>
        <v>#REF!</v>
      </c>
      <c r="BC236" s="152" t="e">
        <f aca="false">IF(VACnom&gt;Vbat, (1-Table7[[#This Row],[Duty Cycle]])*Table7[[#This Row],[I_L RMS]]^2*TI_MOSFET_S_RDSON_L_BU*10^-3, Table7[[#This Row],[Duty Cycle]]*Table7[[#This Row],[I_L RMS]]^2*TI_MOSFET_S_RDSON_L_BO*10^-3)/10^-3</f>
        <v>#REF!</v>
      </c>
      <c r="BD236" s="152" t="e">
        <f aca="false">IF(VACnom&gt;Vbat, Table7[[#This Row],[PRR (mW)]]+Table7[[#This Row],[Pdead (mW)]]+Table7[[#This Row],[Pgate_bottom (mW)]], Table7[[#This Row],[PIV (mW)]]+Table7[[#This Row],[Pqoss (mW)]]+Table7[[#This Row],[Pgate_bottom (mW)]])</f>
        <v>#REF!</v>
      </c>
      <c r="BE236" s="154" t="e">
        <f aca="false">Table7[[#This Row],[Pcon_bottom (mW)]]+Table7[[#This Row],[Psw_bottom (mW)]]</f>
        <v>#REF!</v>
      </c>
      <c r="BF236" s="152" t="e">
        <f aca="false">Table7[[#This Row],[Pbottom (mW)]]+Table7[[#This Row],[Ptop (mW)]]</f>
        <v>#REF!</v>
      </c>
      <c r="BG236" s="155"/>
      <c r="BH236" s="152" t="n">
        <f aca="false">MAX(0,Table7[[#This Row],[I_L]]-0.5*Table7[[#This Row],[I_L pkpk]])</f>
        <v>8.25714285714286</v>
      </c>
      <c r="BI236" s="152" t="n">
        <f aca="false">Table7[[#This Row],[I_L]]+0.5*Table7[[#This Row],[I_L pkpk]]</f>
        <v>8.54285714285714</v>
      </c>
      <c r="BJ236" s="152" t="n">
        <f aca="false">IF(VACnom&gt;Vbat, (VGS_S-(C_MOSFET_S_VTH_H_BU+Table7[[#This Row],[I_L]]/C_MOSFET_S_gFS_H_BU))/3.4, (VGS_S-(C_MOSFET_S_VTH_L_BO+Table7[[#This Row],[I_L]]/C_MOSFET_S_gFS_L_BO))/3.4 )</f>
        <v>2.33647058823529</v>
      </c>
      <c r="BK236" s="152" t="n">
        <f aca="false">IF(VACnom&gt;Vbat, ((C_MOSFET_S_VTH_H_BU+Table7[[#This Row],[I_L]]/C_MOSFET_S_gFS_H_BU))/1, ((C_MOSFET_S_VTH_L_BO+Table7[[#This Row],[I_L]]/C_MOSFET_S_gFS_L_BO))/1 )</f>
        <v>2.056</v>
      </c>
      <c r="BL236" s="152" t="n">
        <f aca="false">IF(VACnom&gt;Vbat, (C_MOSFET_S_QGD_H_BU+C_MOSFET_S_QGS_H_BU)*10^-9/Table7[[#This Row],[Ion (A) C]], (C_MOSFET_S_QGD_L_BO+C_MOSFET_S_QGS_L_BO)*10^-9/Table7[[#This Row],[Ion (A) C]])/10^-9</f>
        <v>2.78197381671702</v>
      </c>
      <c r="BM236" s="152" t="n">
        <f aca="false">IF(VACnom&gt;Vbat, (C_MOSFET_S_QGD_H_BU+C_MOSFET_S_QGS_H_BU)*10^-9/Table7[[#This Row],[Ioff (A) C]], (C_MOSFET_S_QGD_L_BO+C_MOSFET_S_QGS_L_BO)*10^-9/Table7[[#This Row],[Ioff (A) C]])/10^-9</f>
        <v>3.16147859922179</v>
      </c>
      <c r="BN236" s="152" t="n">
        <f aca="false">0.5*VACnom*Table7[[#This Row],[Ivalley (A) C]]*Table7[[#This Row],[ton (ns) C]]*10^-9*Fsw*10^3+0.5*VACnom*Table7[[#This Row],[Ipeak (A) C]]*Table7[[#This Row],[toff (ns) C]]*10^-9*Fsw*10^3/10^-3</f>
        <v>32.4372374262976</v>
      </c>
      <c r="BO236" s="152" t="n">
        <f aca="false">IF(VACnom&gt;Vbat, 0.5*VACnom*C_MOSFET_S_QOSS_H_BU*10^-9*Fsw*10^3,0.5*VACnom*C_MOSFET_S_QOSS_L_BO*10^-9*Fsw*10^3)/10^-3</f>
        <v>43.2</v>
      </c>
      <c r="BP236" s="152" t="e">
        <f aca="false">IF(VACnom&gt;Vbat, VACnom*C_MOSFET_S_QG_H_BU*10^-9*Fsw*10^3,VACnom*C_MOSFET_S_QG_H_BO*10^-9*Fsw*10^3)/10^-3</f>
        <v>#REF!</v>
      </c>
      <c r="BQ236" s="152" t="n">
        <f aca="false">IF(VACnom&gt;Vbat, VACnom*C_MOSFET_S_QRR_L_BU*10^-9*Fsw*10^3, VACnom*C_MOSFET_S_QRR_H_BO*10^-9*Fsw*10^3)/10^-3</f>
        <v>79.2</v>
      </c>
      <c r="BR236" s="152" t="n">
        <f aca="false">IF(VACnom&gt;Vbat, C_MOSFET_S_VSD_L_BU*Table7[[#This Row],[Ivalley (A) C]]*Fsw*10^3*40*10^-9+C_MOSFET_S_VSD_L_BU*Table7[[#This Row],[Ipeak (A) C]]*Fsw*10^3*30*10^-9, C_MOSFET_S_VSD_H_BO*Table7[[#This Row],[Ivalley (A) C]]*Fsw*10^3*40*10^-9+C_MOSFET_S_VSD_H_BO*Table7[[#This Row],[Ipeak (A) C]]*Fsw*10^3*30*10^-9)/10^-3</f>
        <v>93.8514285714286</v>
      </c>
      <c r="BS236" s="152" t="e">
        <f aca="false">IF(VACnom&gt;Vbat, VACnom*C_MOSFET_S_QG_L_BU*10^-9*Fsw*10^3, VACnom*C_MOSFET_S_QG_L_BO*10^-9*Fsw*10^3)/10^-3</f>
        <v>#REF!</v>
      </c>
      <c r="BT236" s="152" t="n">
        <f aca="false">IF(VACnom&lt;Vbat, Table7[[#This Row],[Duty Cycle]]*Table7[[#This Row],[I_L RMS]]^2*C_MOSFET_S_RDSON_H_BU*10^-3, (1-Table7[[#This Row],[Duty Cycle]])*Table7[[#This Row],[I_L RMS]]^2*C_MOSFET_S_RDSON_H_BO*10^-3)/10^-3</f>
        <v>19.1538464528669</v>
      </c>
      <c r="BU236" s="152" t="e">
        <f aca="false">IF(VACnom&gt;Vbat, Table7[[#This Row],[PIV (mW) C]]+Table7[[#This Row],[PQoss (mW) C]]+Table7[[#This Row],[Pgate_top (mW) C]], Table7[[#This Row],[PRR (mW) C]]+Table7[[#This Row],[Pdead (mW) C]]+Table7[[#This Row],[Pgate_top (mW) C]])</f>
        <v>#REF!</v>
      </c>
      <c r="BV236" s="152" t="e">
        <f aca="false">Table7[[#This Row],[Pcon_top (mW) C]]+Table7[[#This Row],[Psw_top (mW) C]]</f>
        <v>#REF!</v>
      </c>
      <c r="BW236" s="152" t="e">
        <f aca="false">IF(VACnom&gt;Vbat, (1-Table7[[#This Row],[Duty Cycle]])*Table7[[#This Row],[I_L RMS]]^2*C_MOSFET_S_RDSON_L_BU*10^-3, Table7[[#This Row],[Duty Cycle]]*Table7[[#This Row],[I_L RMS]]^2*C_MOSFET_S_RDSON_L_BO*10^-3)/10^-3</f>
        <v>#REF!</v>
      </c>
      <c r="BX236" s="152" t="e">
        <f aca="false">IF(VACnom&gt;Vbat, Table7[[#This Row],[PRR (mW) C]]+Table7[[#This Row],[Pdead (mW) C]]+Table7[[#This Row],[Pgate_bottom (mW) C]], Table7[[#This Row],[PIV (mW) C]]+Table7[[#This Row],[PQoss (mW) C]]+Table7[[#This Row],[Pgate_bottom (mW) C]])</f>
        <v>#REF!</v>
      </c>
      <c r="BY236" s="152" t="e">
        <f aca="false">Table7[[#This Row],[Pcon_bottom (mW) C]]+Table7[[#This Row],[Psw_bottom (mV) C]]</f>
        <v>#REF!</v>
      </c>
      <c r="BZ236" s="152" t="e">
        <f aca="false">Table7[[#This Row],[Pbottom (mW) C]]+Table7[[#This Row],[Ptop (mW) C]]</f>
        <v>#REF!</v>
      </c>
      <c r="CA236" s="156"/>
      <c r="CB236" s="151" t="n">
        <f aca="false">(RAC_SNS*10^-3*(Table7[[#This Row],[IOUT (A)]]*Vbat/VACnom)^2/10^-3)</f>
        <v>352.8</v>
      </c>
      <c r="CC236" s="151" t="n">
        <f aca="false">(RBAT_SNS*10^-3*Table7[[#This Row],[IOUT (A)]]^2)/10^-3</f>
        <v>320</v>
      </c>
      <c r="CD236" s="151" t="n">
        <f aca="false">IF(VACnom&gt;Vbat,(L_DRC*10^-3*(Table7[[#This Row],[IOUT (A)]])^2/10^-3),(L_DRC*10^-3*(Table7[[#This Row],[IOUT (A)]]*Vbat/VACnom)^2/10^-3))</f>
        <v>846.72</v>
      </c>
      <c r="CE236" s="157"/>
      <c r="CF236" s="152" t="n">
        <f aca="false">(Table7[[#This Row],[R_AC (mW)]]+Table7[[#This Row],[R_SR (mW)]]+Table7[[#This Row],[Inductor Loss (mW)]])/10^3</f>
        <v>1.51952</v>
      </c>
      <c r="CG236" s="152" t="e">
        <f aca="false">Table7[[#This Row],[Total TI (mW)]]/10^3</f>
        <v>#REF!</v>
      </c>
      <c r="CH236" s="152" t="e">
        <f aca="false">Table7[[#This Row],[Total Sense Loss]]+Table7[[#This Row],[Total MOSFET Loss]]</f>
        <v>#REF!</v>
      </c>
      <c r="CI236" s="158" t="e">
        <f aca="false">IF(Table7[[#This Row],[POUT (W)]]=0,0,(Table7[[#This Row],[POUT (W)]])/(Table7[[#This Row],[POUT (W)]]+Table7[[#This Row],[Total Power Loss (W)]]))*100</f>
        <v>#REF!</v>
      </c>
      <c r="CJ236" s="159"/>
      <c r="CK236" s="152" t="n">
        <f aca="false">(Table7[[#This Row],[R_AC (mW)]]+Table7[[#This Row],[R_SR (mW)]]+Table7[[#This Row],[Inductor Loss (mW)]])/10^3</f>
        <v>1.51952</v>
      </c>
      <c r="CL236" s="152" t="e">
        <f aca="false">Table7[[#This Row],[Total (mW) C]]/10^3</f>
        <v>#REF!</v>
      </c>
      <c r="CM236" s="152" t="e">
        <f aca="false">Table7[[#This Row],[Total Sense Loss C]]+Table7[[#This Row],[Total MOSFET Loss C]]</f>
        <v>#REF!</v>
      </c>
      <c r="CN236" s="158" t="e">
        <f aca="false">IF(Table7[[#This Row],[POUT (W)]]=0,0,(Table7[[#This Row],[POUT (W)]])/(Table7[[#This Row],[POUT (W)]]+Table7[[#This Row],[Total Power Loss (W) C]]))*100</f>
        <v>#REF!</v>
      </c>
      <c r="CO236" s="159"/>
      <c r="CP236" s="158" t="n">
        <f aca="false">IF(MOSFET_S=Custom_MOSFET,Table7[[#This Row],[Total Sense Loss C]],Table7[[#This Row],[Total Sense Loss]])</f>
        <v>1.51952</v>
      </c>
      <c r="CQ236" s="158" t="e">
        <f aca="false">IF(MOSFET_S=Custom_MOSFET,Table7[[#This Row],[Total MOSFET Loss C]],Table7[[#This Row],[Total MOSFET Loss]])</f>
        <v>#REF!</v>
      </c>
      <c r="CR236" s="158" t="e">
        <f aca="false">IF(MOSFET_S=Custom_MOSFET,Table7[[#This Row],[Efficiency C]],Table7[[#This Row],[Efficiency]])</f>
        <v>#REF!</v>
      </c>
      <c r="CS236" s="159"/>
      <c r="CT236" s="158" t="n">
        <f aca="false">IF(MOSFET_S=Compare_MOSFET, Table7[[#This Row],[Total Sense Loss C]], -100)</f>
        <v>-100</v>
      </c>
      <c r="CU236" s="158" t="n">
        <f aca="false">IF(MOSFET_S=Compare_MOSFET, Table7[[#This Row],[Total MOSFET Loss C]], -100)</f>
        <v>-100</v>
      </c>
      <c r="CV236" s="158" t="n">
        <f aca="false">IF(MOSFET_S=Compare_MOSFET, Table7[[#This Row],[Efficiency C]], -100)</f>
        <v>-100</v>
      </c>
      <c r="CW236" s="159"/>
      <c r="CX236" s="158" t="e">
        <f aca="false">IF(Save_Sel=CLR_Save,  Table7[[#This Row],[Total Sense Loss P1]], Table7[[#This Row],[Total Sense Loss P1 Saved]])</f>
        <v>#VALUE!</v>
      </c>
      <c r="CY236" s="158" t="e">
        <f aca="false">IF(Save_Sel=CLR_Save,  Table7[[#This Row],[Total MOSFET Loss P1]], Table7[[#This Row],[Total MOSFET Loss P1 Saved]] )</f>
        <v>#VALUE!</v>
      </c>
      <c r="CZ236" s="158" t="e">
        <f aca="false">IF(Save_Sel=CLR_Save, Table7[[#This Row],[Efficiency P1]], Table7[[#This Row],[Efficiency P1 Saved]])</f>
        <v>#VALUE!</v>
      </c>
      <c r="DA236" s="159"/>
      <c r="DB236" s="158" t="e">
        <f aca="false">IF(Save_Sel=CLR_Save,  Table7[[#This Row],[Total Sense Loss P2]], Table7[[#This Row],[Total Sense Loss P2 Saved]])</f>
        <v>#VALUE!</v>
      </c>
      <c r="DC236" s="158" t="e">
        <f aca="false">IF(Save_Sel=CLR_Save,  Table7[[#This Row],[Total MOSFET Loss P2]], Table7[[#This Row],[Total MOSFET Loss P2 Saved]] )</f>
        <v>#VALUE!</v>
      </c>
      <c r="DD236" s="158" t="e">
        <f aca="false">IF(Save_Sel=CLR_Save, Table7[[#This Row],[Efficiency P2]], Table7[[#This Row],[Efficiency P2 Saved]])</f>
        <v>#VALUE!</v>
      </c>
      <c r="DE236" s="159"/>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row>
    <row r="237" customFormat="false" ht="16.4" hidden="false" customHeight="false" outlineLevel="0" collapsed="false">
      <c r="A237" s="174"/>
      <c r="B237" s="174"/>
      <c r="C237" s="174"/>
      <c r="D237" s="174"/>
      <c r="E237" s="174"/>
      <c r="F237" s="174"/>
      <c r="G237" s="174"/>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150" t="n">
        <f aca="false">AF236+1</f>
        <v>81</v>
      </c>
      <c r="AG237" s="150" t="n">
        <f aca="false">$AG$156+AF237*($AG$256-$AG$156)/$AF$256</f>
        <v>8.1</v>
      </c>
      <c r="AH237" s="151" t="n">
        <f aca="false">AG237*VACnom</f>
        <v>97.2</v>
      </c>
      <c r="AI237" s="152" t="n">
        <f aca="false">IF(VACnom&lt;Vbat, (Vbat-VACnom)/Vbat, Vbat/VACnom)</f>
        <v>0.0476190476190476</v>
      </c>
      <c r="AJ237" s="152" t="n">
        <f aca="false">IF(VACnom&lt;Vbat, AG237/(1-AI237), AG237*AI237)</f>
        <v>8.505</v>
      </c>
      <c r="AK237" s="152" t="n">
        <f aca="false">Ipkpk_VACnom</f>
        <v>0.285714285714285</v>
      </c>
      <c r="AL237" s="152" t="n">
        <f aca="false">SQRT(AJ237^2+AK237^2/12)</f>
        <v>8.50539991541188</v>
      </c>
      <c r="AM237" s="153"/>
      <c r="AN237" s="152" t="n">
        <f aca="false">MAX(0,Table7[[#This Row],[I_L]]-0.5*Table7[[#This Row],[I_L pkpk]])</f>
        <v>8.36214285714286</v>
      </c>
      <c r="AO237" s="152" t="n">
        <f aca="false">Table7[[#This Row],[I_L]]+0.5*Table7[[#This Row],[I_L pkpk]]</f>
        <v>8.64785714285714</v>
      </c>
      <c r="AP237" s="152" t="e">
        <f aca="false">IF(VACnom&gt;Vbat, (VGS_S-(TI_MOSFET_S_VTH_H_BU+Table7[[#This Row],[I_L]]/TI_MOSFET_S_gFS_H_BU))/3.4, (VGS_S-(TI_MOSFET_S_VTH_L_BO+Table7[[#This Row],[I_L]]/TI_MOSFET_S_gFS_L_BO))/3.4 )</f>
        <v>#REF!</v>
      </c>
      <c r="AQ237" s="152" t="e">
        <f aca="false">IF(VACnom&gt;Vbat, ((TI_MOSFET_S_VTH_H_BU+Table7[[#This Row],[I_L]]/TI_MOSFET_S_gFS_H_BU))/1, ((TI_MOSFET_S_VTH_L_BO+Table7[[#This Row],[I_L]]/TI_MOSFET_S_gFS_L_BO))/1 )</f>
        <v>#REF!</v>
      </c>
      <c r="AR237" s="152" t="e">
        <f aca="false">IF(VACnom&gt;Vbat, (TI_MOSFET_S_QGD_H_BU+TI_MOSFET_S_QGS_H_BU)*10^-9/Table7[[#This Row],[Ion (A)]], (TI_MOSFET_S_QGD_L_BO+TI_MOSFET_S_QGS_L_BO)*10^-9/Table7[[#This Row],[Ion (A)]])/10^-9</f>
        <v>#REF!</v>
      </c>
      <c r="AS237" s="152" t="e">
        <f aca="false">IF(VACnom&gt;Vbat, (TI_MOSFET_S_QGD_H_BU+TI_MOSFET_S_QGS_H_BU)*10^-9/Table7[[#This Row],[Ioff (A)]], (TI_MOSFET_S_QGD_L_BO+TI_MOSFET_S_QGS_L_BO)*10^-9/Table7[[#This Row],[Ioff (A)]])/10^-9</f>
        <v>#REF!</v>
      </c>
      <c r="AT237" s="152" t="e">
        <f aca="false">0.5*VACnom*Table7[[#This Row],[Ivalley (A)]]*Table7[[#This Row],[ton (ns)]]*10^-9*Fsw*10^3+0.5*VACnom*Table7[[#This Row],[Ipeak (A)]]*Table7[[#This Row],[toff (ns)]]*10^-9*Fsw*10^3/10^-3</f>
        <v>#REF!</v>
      </c>
      <c r="AU237" s="152" t="e">
        <f aca="false">IF(VACnom&gt;Vbat, 0.5*VACnom*TI_MOSFET_S_QOSS_H_BU*10^-9*Fsw*10^3,0.5*VACnom*TI_MOSFET_S_QOSS_L_BO*10^-9*Fsw*10^3)/10^-3</f>
        <v>#REF!</v>
      </c>
      <c r="AV237" s="152" t="e">
        <f aca="false">IF(VACnom&gt;Vbat, VACnom*TI_MOSFET_S_QG_H_BU*10^-9*Fsw*10^3,VACnom*TI_MOSFET_S_QG_H_BO*10^-9*Fsw*10^3)/10^-3</f>
        <v>#REF!</v>
      </c>
      <c r="AW237" s="152" t="e">
        <f aca="false">IF(VACnom&gt;Vbat, VACnom*TI_MOSFET_S_QRR_L_BU*10^-9*Fsw*10^3, VACnom*TI_MOSFET_S_QRR_H_BO*10^-9*Fsw*10^3)/10^-3</f>
        <v>#REF!</v>
      </c>
      <c r="AX237" s="152" t="e">
        <f aca="false">IF(VACnom&gt;Vbat, TI_MOSFET_S_VSD_L_BU*Table7[[#This Row],[Ivalley (A)]]*Fsw*10^3*40*10^-9+TI_MOSFET_S_VSD_L_BU*Table7[[#This Row],[Ipeak (A)]]*Fsw*10^3*30*10^-9, TI_MOSFET_S_VSD_H_BO*Table7[[#This Row],[Ivalley (A)]]*Fsw*10^3*40*10^-9+TI_MOSFET_S_VSD_H_BO*Table7[[#This Row],[Ipeak (A)]]*Fsw*10^3*30*10^-9)/10^-3</f>
        <v>#REF!</v>
      </c>
      <c r="AY237" s="152" t="e">
        <f aca="false">IF(VACnom&gt;Vbat, VACnom*TI_MOSFET_S_QG_L_BU*10^-9*Fsw*10^3, VACnom*TI_MOSFET_S_QG_L_BO*10^-9*Fsw*10^3)/10^-3</f>
        <v>#REF!</v>
      </c>
      <c r="AZ237" s="152" t="e">
        <f aca="false">IF(VACnom&lt;Vbat, Table7[[#This Row],[Duty Cycle]]*Table7[[#This Row],[I_L RMS]]^2*TI_MOSFET_S_RDSON_H_BU*10^-3, (1-Table7[[#This Row],[Duty Cycle]])*Table7[[#This Row],[I_L RMS]]^2*TI_MOSFET_S_RDSON_H_BO*10^-3)/10^-3</f>
        <v>#REF!</v>
      </c>
      <c r="BA237" s="152" t="e">
        <f aca="false">IF(VACnom&gt;Vbat, Table7[[#This Row],[PIV (mW)]]+Table7[[#This Row],[Pqoss (mW)]]+Table7[[#This Row],[Pgate_top (mW)]], Table7[[#This Row],[PRR (mW)]]+Table7[[#This Row],[Pdead (mW)]]+Table7[[#This Row],[Pgate_top (mW)]])</f>
        <v>#REF!</v>
      </c>
      <c r="BB237" s="152" t="e">
        <f aca="false">Table7[[#This Row],[Pcon_top (mW)]]+Table7[[#This Row],[Psw_top (mW)]]</f>
        <v>#REF!</v>
      </c>
      <c r="BC237" s="152" t="e">
        <f aca="false">IF(VACnom&gt;Vbat, (1-Table7[[#This Row],[Duty Cycle]])*Table7[[#This Row],[I_L RMS]]^2*TI_MOSFET_S_RDSON_L_BU*10^-3, Table7[[#This Row],[Duty Cycle]]*Table7[[#This Row],[I_L RMS]]^2*TI_MOSFET_S_RDSON_L_BO*10^-3)/10^-3</f>
        <v>#REF!</v>
      </c>
      <c r="BD237" s="152" t="e">
        <f aca="false">IF(VACnom&gt;Vbat, Table7[[#This Row],[PRR (mW)]]+Table7[[#This Row],[Pdead (mW)]]+Table7[[#This Row],[Pgate_bottom (mW)]], Table7[[#This Row],[PIV (mW)]]+Table7[[#This Row],[Pqoss (mW)]]+Table7[[#This Row],[Pgate_bottom (mW)]])</f>
        <v>#REF!</v>
      </c>
      <c r="BE237" s="154" t="e">
        <f aca="false">Table7[[#This Row],[Pcon_bottom (mW)]]+Table7[[#This Row],[Psw_bottom (mW)]]</f>
        <v>#REF!</v>
      </c>
      <c r="BF237" s="152" t="e">
        <f aca="false">Table7[[#This Row],[Pbottom (mW)]]+Table7[[#This Row],[Ptop (mW)]]</f>
        <v>#REF!</v>
      </c>
      <c r="BG237" s="155"/>
      <c r="BH237" s="152" t="n">
        <f aca="false">MAX(0,Table7[[#This Row],[I_L]]-0.5*Table7[[#This Row],[I_L pkpk]])</f>
        <v>8.36214285714286</v>
      </c>
      <c r="BI237" s="152" t="n">
        <f aca="false">Table7[[#This Row],[I_L]]+0.5*Table7[[#This Row],[I_L pkpk]]</f>
        <v>8.64785714285714</v>
      </c>
      <c r="BJ237" s="152" t="n">
        <f aca="false">IF(VACnom&gt;Vbat, (VGS_S-(C_MOSFET_S_VTH_H_BU+Table7[[#This Row],[I_L]]/C_MOSFET_S_gFS_H_BU))/3.4, (VGS_S-(C_MOSFET_S_VTH_L_BO+Table7[[#This Row],[I_L]]/C_MOSFET_S_gFS_L_BO))/3.4 )</f>
        <v>2.33626470588235</v>
      </c>
      <c r="BK237" s="152" t="n">
        <f aca="false">IF(VACnom&gt;Vbat, ((C_MOSFET_S_VTH_H_BU+Table7[[#This Row],[I_L]]/C_MOSFET_S_gFS_H_BU))/1, ((C_MOSFET_S_VTH_L_BO+Table7[[#This Row],[I_L]]/C_MOSFET_S_gFS_L_BO))/1 )</f>
        <v>2.0567</v>
      </c>
      <c r="BL237" s="152" t="n">
        <f aca="false">IF(VACnom&gt;Vbat, (C_MOSFET_S_QGD_H_BU+C_MOSFET_S_QGS_H_BU)*10^-9/Table7[[#This Row],[Ion (A) C]], (C_MOSFET_S_QGD_L_BO+C_MOSFET_S_QGS_L_BO)*10^-9/Table7[[#This Row],[Ion (A) C]])/10^-9</f>
        <v>2.78221897699948</v>
      </c>
      <c r="BM237" s="152" t="n">
        <f aca="false">IF(VACnom&gt;Vbat, (C_MOSFET_S_QGD_H_BU+C_MOSFET_S_QGS_H_BU)*10^-9/Table7[[#This Row],[Ioff (A) C]], (C_MOSFET_S_QGD_L_BO+C_MOSFET_S_QGS_L_BO)*10^-9/Table7[[#This Row],[Ioff (A) C]])/10^-9</f>
        <v>3.16040258666796</v>
      </c>
      <c r="BN237" s="152" t="n">
        <f aca="false">0.5*VACnom*Table7[[#This Row],[Ivalley (A) C]]*Table7[[#This Row],[ton (ns) C]]*10^-9*Fsw*10^3+0.5*VACnom*Table7[[#This Row],[Ipeak (A) C]]*Table7[[#This Row],[toff (ns) C]]*10^-9*Fsw*10^3/10^-3</f>
        <v>32.8247704751595</v>
      </c>
      <c r="BO237" s="152" t="n">
        <f aca="false">IF(VACnom&gt;Vbat, 0.5*VACnom*C_MOSFET_S_QOSS_H_BU*10^-9*Fsw*10^3,0.5*VACnom*C_MOSFET_S_QOSS_L_BO*10^-9*Fsw*10^3)/10^-3</f>
        <v>43.2</v>
      </c>
      <c r="BP237" s="152" t="e">
        <f aca="false">IF(VACnom&gt;Vbat, VACnom*C_MOSFET_S_QG_H_BU*10^-9*Fsw*10^3,VACnom*C_MOSFET_S_QG_H_BO*10^-9*Fsw*10^3)/10^-3</f>
        <v>#REF!</v>
      </c>
      <c r="BQ237" s="152" t="n">
        <f aca="false">IF(VACnom&gt;Vbat, VACnom*C_MOSFET_S_QRR_L_BU*10^-9*Fsw*10^3, VACnom*C_MOSFET_S_QRR_H_BO*10^-9*Fsw*10^3)/10^-3</f>
        <v>79.2</v>
      </c>
      <c r="BR237" s="152" t="n">
        <f aca="false">IF(VACnom&gt;Vbat, C_MOSFET_S_VSD_L_BU*Table7[[#This Row],[Ivalley (A) C]]*Fsw*10^3*40*10^-9+C_MOSFET_S_VSD_L_BU*Table7[[#This Row],[Ipeak (A) C]]*Fsw*10^3*30*10^-9, C_MOSFET_S_VSD_H_BO*Table7[[#This Row],[Ivalley (A) C]]*Fsw*10^3*40*10^-9+C_MOSFET_S_VSD_H_BO*Table7[[#This Row],[Ipeak (A) C]]*Fsw*10^3*30*10^-9)/10^-3</f>
        <v>95.0274285714286</v>
      </c>
      <c r="BS237" s="152" t="e">
        <f aca="false">IF(VACnom&gt;Vbat, VACnom*C_MOSFET_S_QG_L_BU*10^-9*Fsw*10^3, VACnom*C_MOSFET_S_QG_L_BO*10^-9*Fsw*10^3)/10^-3</f>
        <v>#REF!</v>
      </c>
      <c r="BT237" s="152" t="n">
        <f aca="false">IF(VACnom&lt;Vbat, Table7[[#This Row],[Duty Cycle]]*Table7[[#This Row],[I_L RMS]]^2*C_MOSFET_S_RDSON_H_BU*10^-3, (1-Table7[[#This Row],[Duty Cycle]])*Table7[[#This Row],[I_L RMS]]^2*C_MOSFET_S_RDSON_H_BO*10^-3)/10^-3</f>
        <v>19.6356389528669</v>
      </c>
      <c r="BU237" s="152" t="e">
        <f aca="false">IF(VACnom&gt;Vbat, Table7[[#This Row],[PIV (mW) C]]+Table7[[#This Row],[PQoss (mW) C]]+Table7[[#This Row],[Pgate_top (mW) C]], Table7[[#This Row],[PRR (mW) C]]+Table7[[#This Row],[Pdead (mW) C]]+Table7[[#This Row],[Pgate_top (mW) C]])</f>
        <v>#REF!</v>
      </c>
      <c r="BV237" s="152" t="e">
        <f aca="false">Table7[[#This Row],[Pcon_top (mW) C]]+Table7[[#This Row],[Psw_top (mW) C]]</f>
        <v>#REF!</v>
      </c>
      <c r="BW237" s="152" t="e">
        <f aca="false">IF(VACnom&gt;Vbat, (1-Table7[[#This Row],[Duty Cycle]])*Table7[[#This Row],[I_L RMS]]^2*C_MOSFET_S_RDSON_L_BU*10^-3, Table7[[#This Row],[Duty Cycle]]*Table7[[#This Row],[I_L RMS]]^2*C_MOSFET_S_RDSON_L_BO*10^-3)/10^-3</f>
        <v>#REF!</v>
      </c>
      <c r="BX237" s="152" t="e">
        <f aca="false">IF(VACnom&gt;Vbat, Table7[[#This Row],[PRR (mW) C]]+Table7[[#This Row],[Pdead (mW) C]]+Table7[[#This Row],[Pgate_bottom (mW) C]], Table7[[#This Row],[PIV (mW) C]]+Table7[[#This Row],[PQoss (mW) C]]+Table7[[#This Row],[Pgate_bottom (mW) C]])</f>
        <v>#REF!</v>
      </c>
      <c r="BY237" s="152" t="e">
        <f aca="false">Table7[[#This Row],[Pcon_bottom (mW) C]]+Table7[[#This Row],[Psw_bottom (mV) C]]</f>
        <v>#REF!</v>
      </c>
      <c r="BZ237" s="152" t="e">
        <f aca="false">Table7[[#This Row],[Pbottom (mW) C]]+Table7[[#This Row],[Ptop (mW) C]]</f>
        <v>#REF!</v>
      </c>
      <c r="CA237" s="156"/>
      <c r="CB237" s="151" t="n">
        <f aca="false">(RAC_SNS*10^-3*(Table7[[#This Row],[IOUT (A)]]*Vbat/VACnom)^2/10^-3)</f>
        <v>361.675125</v>
      </c>
      <c r="CC237" s="151" t="n">
        <f aca="false">(RBAT_SNS*10^-3*Table7[[#This Row],[IOUT (A)]]^2)/10^-3</f>
        <v>328.05</v>
      </c>
      <c r="CD237" s="151" t="n">
        <f aca="false">IF(VACnom&gt;Vbat,(L_DRC*10^-3*(Table7[[#This Row],[IOUT (A)]])^2/10^-3),(L_DRC*10^-3*(Table7[[#This Row],[IOUT (A)]]*Vbat/VACnom)^2/10^-3))</f>
        <v>868.0203</v>
      </c>
      <c r="CE237" s="157"/>
      <c r="CF237" s="152" t="n">
        <f aca="false">(Table7[[#This Row],[R_AC (mW)]]+Table7[[#This Row],[R_SR (mW)]]+Table7[[#This Row],[Inductor Loss (mW)]])/10^3</f>
        <v>1.557745425</v>
      </c>
      <c r="CG237" s="152" t="e">
        <f aca="false">Table7[[#This Row],[Total TI (mW)]]/10^3</f>
        <v>#REF!</v>
      </c>
      <c r="CH237" s="152" t="e">
        <f aca="false">Table7[[#This Row],[Total Sense Loss]]+Table7[[#This Row],[Total MOSFET Loss]]</f>
        <v>#REF!</v>
      </c>
      <c r="CI237" s="158" t="e">
        <f aca="false">IF(Table7[[#This Row],[POUT (W)]]=0,0,(Table7[[#This Row],[POUT (W)]])/(Table7[[#This Row],[POUT (W)]]+Table7[[#This Row],[Total Power Loss (W)]]))*100</f>
        <v>#REF!</v>
      </c>
      <c r="CJ237" s="159"/>
      <c r="CK237" s="152" t="n">
        <f aca="false">(Table7[[#This Row],[R_AC (mW)]]+Table7[[#This Row],[R_SR (mW)]]+Table7[[#This Row],[Inductor Loss (mW)]])/10^3</f>
        <v>1.557745425</v>
      </c>
      <c r="CL237" s="152" t="e">
        <f aca="false">Table7[[#This Row],[Total (mW) C]]/10^3</f>
        <v>#REF!</v>
      </c>
      <c r="CM237" s="152" t="e">
        <f aca="false">Table7[[#This Row],[Total Sense Loss C]]+Table7[[#This Row],[Total MOSFET Loss C]]</f>
        <v>#REF!</v>
      </c>
      <c r="CN237" s="158" t="e">
        <f aca="false">IF(Table7[[#This Row],[POUT (W)]]=0,0,(Table7[[#This Row],[POUT (W)]])/(Table7[[#This Row],[POUT (W)]]+Table7[[#This Row],[Total Power Loss (W) C]]))*100</f>
        <v>#REF!</v>
      </c>
      <c r="CO237" s="159"/>
      <c r="CP237" s="158" t="n">
        <f aca="false">IF(MOSFET_S=Custom_MOSFET,Table7[[#This Row],[Total Sense Loss C]],Table7[[#This Row],[Total Sense Loss]])</f>
        <v>1.557745425</v>
      </c>
      <c r="CQ237" s="158" t="e">
        <f aca="false">IF(MOSFET_S=Custom_MOSFET,Table7[[#This Row],[Total MOSFET Loss C]],Table7[[#This Row],[Total MOSFET Loss]])</f>
        <v>#REF!</v>
      </c>
      <c r="CR237" s="158" t="e">
        <f aca="false">IF(MOSFET_S=Custom_MOSFET,Table7[[#This Row],[Efficiency C]],Table7[[#This Row],[Efficiency]])</f>
        <v>#REF!</v>
      </c>
      <c r="CS237" s="159"/>
      <c r="CT237" s="158" t="n">
        <f aca="false">IF(MOSFET_S=Compare_MOSFET, Table7[[#This Row],[Total Sense Loss C]], -100)</f>
        <v>-100</v>
      </c>
      <c r="CU237" s="158" t="n">
        <f aca="false">IF(MOSFET_S=Compare_MOSFET, Table7[[#This Row],[Total MOSFET Loss C]], -100)</f>
        <v>-100</v>
      </c>
      <c r="CV237" s="158" t="n">
        <f aca="false">IF(MOSFET_S=Compare_MOSFET, Table7[[#This Row],[Efficiency C]], -100)</f>
        <v>-100</v>
      </c>
      <c r="CW237" s="159"/>
      <c r="CX237" s="158" t="e">
        <f aca="false">IF(Save_Sel=CLR_Save,  Table7[[#This Row],[Total Sense Loss P1]], Table7[[#This Row],[Total Sense Loss P1 Saved]])</f>
        <v>#VALUE!</v>
      </c>
      <c r="CY237" s="158" t="e">
        <f aca="false">IF(Save_Sel=CLR_Save,  Table7[[#This Row],[Total MOSFET Loss P1]], Table7[[#This Row],[Total MOSFET Loss P1 Saved]] )</f>
        <v>#VALUE!</v>
      </c>
      <c r="CZ237" s="158" t="e">
        <f aca="false">IF(Save_Sel=CLR_Save, Table7[[#This Row],[Efficiency P1]], Table7[[#This Row],[Efficiency P1 Saved]])</f>
        <v>#VALUE!</v>
      </c>
      <c r="DA237" s="159"/>
      <c r="DB237" s="158" t="e">
        <f aca="false">IF(Save_Sel=CLR_Save,  Table7[[#This Row],[Total Sense Loss P2]], Table7[[#This Row],[Total Sense Loss P2 Saved]])</f>
        <v>#VALUE!</v>
      </c>
      <c r="DC237" s="158" t="e">
        <f aca="false">IF(Save_Sel=CLR_Save,  Table7[[#This Row],[Total MOSFET Loss P2]], Table7[[#This Row],[Total MOSFET Loss P2 Saved]] )</f>
        <v>#VALUE!</v>
      </c>
      <c r="DD237" s="158" t="e">
        <f aca="false">IF(Save_Sel=CLR_Save, Table7[[#This Row],[Efficiency P2]], Table7[[#This Row],[Efficiency P2 Saved]])</f>
        <v>#VALUE!</v>
      </c>
      <c r="DE237" s="159"/>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row>
    <row r="238" customFormat="false" ht="16.4" hidden="false" customHeight="false" outlineLevel="0" collapsed="false">
      <c r="A238" s="174"/>
      <c r="B238" s="174"/>
      <c r="C238" s="174"/>
      <c r="D238" s="174"/>
      <c r="E238" s="174"/>
      <c r="F238" s="174"/>
      <c r="G238" s="174"/>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150" t="n">
        <f aca="false">AF237+1</f>
        <v>82</v>
      </c>
      <c r="AG238" s="150" t="n">
        <f aca="false">$AG$156+AF238*($AG$256-$AG$156)/$AF$256</f>
        <v>8.2</v>
      </c>
      <c r="AH238" s="151" t="n">
        <f aca="false">AG238*VACnom</f>
        <v>98.4</v>
      </c>
      <c r="AI238" s="152" t="n">
        <f aca="false">IF(VACnom&lt;Vbat, (Vbat-VACnom)/Vbat, Vbat/VACnom)</f>
        <v>0.0476190476190476</v>
      </c>
      <c r="AJ238" s="152" t="n">
        <f aca="false">IF(VACnom&lt;Vbat, AG238/(1-AI238), AG238*AI238)</f>
        <v>8.61</v>
      </c>
      <c r="AK238" s="152" t="n">
        <f aca="false">Ipkpk_VACnom</f>
        <v>0.285714285714285</v>
      </c>
      <c r="AL238" s="152" t="n">
        <f aca="false">SQRT(AJ238^2+AK238^2/12)</f>
        <v>8.6103950386198</v>
      </c>
      <c r="AM238" s="153"/>
      <c r="AN238" s="152" t="n">
        <f aca="false">MAX(0,Table7[[#This Row],[I_L]]-0.5*Table7[[#This Row],[I_L pkpk]])</f>
        <v>8.46714285714286</v>
      </c>
      <c r="AO238" s="152" t="n">
        <f aca="false">Table7[[#This Row],[I_L]]+0.5*Table7[[#This Row],[I_L pkpk]]</f>
        <v>8.75285714285714</v>
      </c>
      <c r="AP238" s="152" t="e">
        <f aca="false">IF(VACnom&gt;Vbat, (VGS_S-(TI_MOSFET_S_VTH_H_BU+Table7[[#This Row],[I_L]]/TI_MOSFET_S_gFS_H_BU))/3.4, (VGS_S-(TI_MOSFET_S_VTH_L_BO+Table7[[#This Row],[I_L]]/TI_MOSFET_S_gFS_L_BO))/3.4 )</f>
        <v>#REF!</v>
      </c>
      <c r="AQ238" s="152" t="e">
        <f aca="false">IF(VACnom&gt;Vbat, ((TI_MOSFET_S_VTH_H_BU+Table7[[#This Row],[I_L]]/TI_MOSFET_S_gFS_H_BU))/1, ((TI_MOSFET_S_VTH_L_BO+Table7[[#This Row],[I_L]]/TI_MOSFET_S_gFS_L_BO))/1 )</f>
        <v>#REF!</v>
      </c>
      <c r="AR238" s="152" t="e">
        <f aca="false">IF(VACnom&gt;Vbat, (TI_MOSFET_S_QGD_H_BU+TI_MOSFET_S_QGS_H_BU)*10^-9/Table7[[#This Row],[Ion (A)]], (TI_MOSFET_S_QGD_L_BO+TI_MOSFET_S_QGS_L_BO)*10^-9/Table7[[#This Row],[Ion (A)]])/10^-9</f>
        <v>#REF!</v>
      </c>
      <c r="AS238" s="152" t="e">
        <f aca="false">IF(VACnom&gt;Vbat, (TI_MOSFET_S_QGD_H_BU+TI_MOSFET_S_QGS_H_BU)*10^-9/Table7[[#This Row],[Ioff (A)]], (TI_MOSFET_S_QGD_L_BO+TI_MOSFET_S_QGS_L_BO)*10^-9/Table7[[#This Row],[Ioff (A)]])/10^-9</f>
        <v>#REF!</v>
      </c>
      <c r="AT238" s="152" t="e">
        <f aca="false">0.5*VACnom*Table7[[#This Row],[Ivalley (A)]]*Table7[[#This Row],[ton (ns)]]*10^-9*Fsw*10^3+0.5*VACnom*Table7[[#This Row],[Ipeak (A)]]*Table7[[#This Row],[toff (ns)]]*10^-9*Fsw*10^3/10^-3</f>
        <v>#REF!</v>
      </c>
      <c r="AU238" s="152" t="e">
        <f aca="false">IF(VACnom&gt;Vbat, 0.5*VACnom*TI_MOSFET_S_QOSS_H_BU*10^-9*Fsw*10^3,0.5*VACnom*TI_MOSFET_S_QOSS_L_BO*10^-9*Fsw*10^3)/10^-3</f>
        <v>#REF!</v>
      </c>
      <c r="AV238" s="152" t="e">
        <f aca="false">IF(VACnom&gt;Vbat, VACnom*TI_MOSFET_S_QG_H_BU*10^-9*Fsw*10^3,VACnom*TI_MOSFET_S_QG_H_BO*10^-9*Fsw*10^3)/10^-3</f>
        <v>#REF!</v>
      </c>
      <c r="AW238" s="152" t="e">
        <f aca="false">IF(VACnom&gt;Vbat, VACnom*TI_MOSFET_S_QRR_L_BU*10^-9*Fsw*10^3, VACnom*TI_MOSFET_S_QRR_H_BO*10^-9*Fsw*10^3)/10^-3</f>
        <v>#REF!</v>
      </c>
      <c r="AX238" s="152" t="e">
        <f aca="false">IF(VACnom&gt;Vbat, TI_MOSFET_S_VSD_L_BU*Table7[[#This Row],[Ivalley (A)]]*Fsw*10^3*40*10^-9+TI_MOSFET_S_VSD_L_BU*Table7[[#This Row],[Ipeak (A)]]*Fsw*10^3*30*10^-9, TI_MOSFET_S_VSD_H_BO*Table7[[#This Row],[Ivalley (A)]]*Fsw*10^3*40*10^-9+TI_MOSFET_S_VSD_H_BO*Table7[[#This Row],[Ipeak (A)]]*Fsw*10^3*30*10^-9)/10^-3</f>
        <v>#REF!</v>
      </c>
      <c r="AY238" s="152" t="e">
        <f aca="false">IF(VACnom&gt;Vbat, VACnom*TI_MOSFET_S_QG_L_BU*10^-9*Fsw*10^3, VACnom*TI_MOSFET_S_QG_L_BO*10^-9*Fsw*10^3)/10^-3</f>
        <v>#REF!</v>
      </c>
      <c r="AZ238" s="152" t="e">
        <f aca="false">IF(VACnom&lt;Vbat, Table7[[#This Row],[Duty Cycle]]*Table7[[#This Row],[I_L RMS]]^2*TI_MOSFET_S_RDSON_H_BU*10^-3, (1-Table7[[#This Row],[Duty Cycle]])*Table7[[#This Row],[I_L RMS]]^2*TI_MOSFET_S_RDSON_H_BO*10^-3)/10^-3</f>
        <v>#REF!</v>
      </c>
      <c r="BA238" s="152" t="e">
        <f aca="false">IF(VACnom&gt;Vbat, Table7[[#This Row],[PIV (mW)]]+Table7[[#This Row],[Pqoss (mW)]]+Table7[[#This Row],[Pgate_top (mW)]], Table7[[#This Row],[PRR (mW)]]+Table7[[#This Row],[Pdead (mW)]]+Table7[[#This Row],[Pgate_top (mW)]])</f>
        <v>#REF!</v>
      </c>
      <c r="BB238" s="152" t="e">
        <f aca="false">Table7[[#This Row],[Pcon_top (mW)]]+Table7[[#This Row],[Psw_top (mW)]]</f>
        <v>#REF!</v>
      </c>
      <c r="BC238" s="152" t="e">
        <f aca="false">IF(VACnom&gt;Vbat, (1-Table7[[#This Row],[Duty Cycle]])*Table7[[#This Row],[I_L RMS]]^2*TI_MOSFET_S_RDSON_L_BU*10^-3, Table7[[#This Row],[Duty Cycle]]*Table7[[#This Row],[I_L RMS]]^2*TI_MOSFET_S_RDSON_L_BO*10^-3)/10^-3</f>
        <v>#REF!</v>
      </c>
      <c r="BD238" s="152" t="e">
        <f aca="false">IF(VACnom&gt;Vbat, Table7[[#This Row],[PRR (mW)]]+Table7[[#This Row],[Pdead (mW)]]+Table7[[#This Row],[Pgate_bottom (mW)]], Table7[[#This Row],[PIV (mW)]]+Table7[[#This Row],[Pqoss (mW)]]+Table7[[#This Row],[Pgate_bottom (mW)]])</f>
        <v>#REF!</v>
      </c>
      <c r="BE238" s="154" t="e">
        <f aca="false">Table7[[#This Row],[Pcon_bottom (mW)]]+Table7[[#This Row],[Psw_bottom (mW)]]</f>
        <v>#REF!</v>
      </c>
      <c r="BF238" s="152" t="e">
        <f aca="false">Table7[[#This Row],[Pbottom (mW)]]+Table7[[#This Row],[Ptop (mW)]]</f>
        <v>#REF!</v>
      </c>
      <c r="BG238" s="155"/>
      <c r="BH238" s="152" t="n">
        <f aca="false">MAX(0,Table7[[#This Row],[I_L]]-0.5*Table7[[#This Row],[I_L pkpk]])</f>
        <v>8.46714285714286</v>
      </c>
      <c r="BI238" s="152" t="n">
        <f aca="false">Table7[[#This Row],[I_L]]+0.5*Table7[[#This Row],[I_L pkpk]]</f>
        <v>8.75285714285714</v>
      </c>
      <c r="BJ238" s="152" t="n">
        <f aca="false">IF(VACnom&gt;Vbat, (VGS_S-(C_MOSFET_S_VTH_H_BU+Table7[[#This Row],[I_L]]/C_MOSFET_S_gFS_H_BU))/3.4, (VGS_S-(C_MOSFET_S_VTH_L_BO+Table7[[#This Row],[I_L]]/C_MOSFET_S_gFS_L_BO))/3.4 )</f>
        <v>2.33605882352941</v>
      </c>
      <c r="BK238" s="152" t="n">
        <f aca="false">IF(VACnom&gt;Vbat, ((C_MOSFET_S_VTH_H_BU+Table7[[#This Row],[I_L]]/C_MOSFET_S_gFS_H_BU))/1, ((C_MOSFET_S_VTH_L_BO+Table7[[#This Row],[I_L]]/C_MOSFET_S_gFS_L_BO))/1 )</f>
        <v>2.0574</v>
      </c>
      <c r="BL238" s="152" t="n">
        <f aca="false">IF(VACnom&gt;Vbat, (C_MOSFET_S_QGD_H_BU+C_MOSFET_S_QGS_H_BU)*10^-9/Table7[[#This Row],[Ion (A) C]], (C_MOSFET_S_QGD_L_BO+C_MOSFET_S_QGS_L_BO)*10^-9/Table7[[#This Row],[Ion (A) C]])/10^-9</f>
        <v>2.78246418049505</v>
      </c>
      <c r="BM238" s="152" t="n">
        <f aca="false">IF(VACnom&gt;Vbat, (C_MOSFET_S_QGD_H_BU+C_MOSFET_S_QGS_H_BU)*10^-9/Table7[[#This Row],[Ioff (A) C]], (C_MOSFET_S_QGD_L_BO+C_MOSFET_S_QGS_L_BO)*10^-9/Table7[[#This Row],[Ioff (A) C]])/10^-9</f>
        <v>3.15932730630893</v>
      </c>
      <c r="BN238" s="152" t="n">
        <f aca="false">0.5*VACnom*Table7[[#This Row],[Ivalley (A) C]]*Table7[[#This Row],[ton (ns) C]]*10^-9*Fsw*10^3+0.5*VACnom*Table7[[#This Row],[Ipeak (A) C]]*Table7[[#This Row],[toff (ns) C]]*10^-9*Fsw*10^3/10^-3</f>
        <v>33.2120401216331</v>
      </c>
      <c r="BO238" s="152" t="n">
        <f aca="false">IF(VACnom&gt;Vbat, 0.5*VACnom*C_MOSFET_S_QOSS_H_BU*10^-9*Fsw*10^3,0.5*VACnom*C_MOSFET_S_QOSS_L_BO*10^-9*Fsw*10^3)/10^-3</f>
        <v>43.2</v>
      </c>
      <c r="BP238" s="152" t="e">
        <f aca="false">IF(VACnom&gt;Vbat, VACnom*C_MOSFET_S_QG_H_BU*10^-9*Fsw*10^3,VACnom*C_MOSFET_S_QG_H_BO*10^-9*Fsw*10^3)/10^-3</f>
        <v>#REF!</v>
      </c>
      <c r="BQ238" s="152" t="n">
        <f aca="false">IF(VACnom&gt;Vbat, VACnom*C_MOSFET_S_QRR_L_BU*10^-9*Fsw*10^3, VACnom*C_MOSFET_S_QRR_H_BO*10^-9*Fsw*10^3)/10^-3</f>
        <v>79.2</v>
      </c>
      <c r="BR238" s="152" t="n">
        <f aca="false">IF(VACnom&gt;Vbat, C_MOSFET_S_VSD_L_BU*Table7[[#This Row],[Ivalley (A) C]]*Fsw*10^3*40*10^-9+C_MOSFET_S_VSD_L_BU*Table7[[#This Row],[Ipeak (A) C]]*Fsw*10^3*30*10^-9, C_MOSFET_S_VSD_H_BO*Table7[[#This Row],[Ivalley (A) C]]*Fsw*10^3*40*10^-9+C_MOSFET_S_VSD_H_BO*Table7[[#This Row],[Ipeak (A) C]]*Fsw*10^3*30*10^-9)/10^-3</f>
        <v>96.2034285714286</v>
      </c>
      <c r="BS238" s="152" t="e">
        <f aca="false">IF(VACnom&gt;Vbat, VACnom*C_MOSFET_S_QG_L_BU*10^-9*Fsw*10^3, VACnom*C_MOSFET_S_QG_L_BO*10^-9*Fsw*10^3)/10^-3</f>
        <v>#REF!</v>
      </c>
      <c r="BT238" s="152" t="n">
        <f aca="false">IF(VACnom&lt;Vbat, Table7[[#This Row],[Duty Cycle]]*Table7[[#This Row],[I_L RMS]]^2*C_MOSFET_S_RDSON_H_BU*10^-3, (1-Table7[[#This Row],[Duty Cycle]])*Table7[[#This Row],[I_L RMS]]^2*C_MOSFET_S_RDSON_H_BO*10^-3)/10^-3</f>
        <v>20.1234164528669</v>
      </c>
      <c r="BU238" s="152" t="e">
        <f aca="false">IF(VACnom&gt;Vbat, Table7[[#This Row],[PIV (mW) C]]+Table7[[#This Row],[PQoss (mW) C]]+Table7[[#This Row],[Pgate_top (mW) C]], Table7[[#This Row],[PRR (mW) C]]+Table7[[#This Row],[Pdead (mW) C]]+Table7[[#This Row],[Pgate_top (mW) C]])</f>
        <v>#REF!</v>
      </c>
      <c r="BV238" s="152" t="e">
        <f aca="false">Table7[[#This Row],[Pcon_top (mW) C]]+Table7[[#This Row],[Psw_top (mW) C]]</f>
        <v>#REF!</v>
      </c>
      <c r="BW238" s="152" t="e">
        <f aca="false">IF(VACnom&gt;Vbat, (1-Table7[[#This Row],[Duty Cycle]])*Table7[[#This Row],[I_L RMS]]^2*C_MOSFET_S_RDSON_L_BU*10^-3, Table7[[#This Row],[Duty Cycle]]*Table7[[#This Row],[I_L RMS]]^2*C_MOSFET_S_RDSON_L_BO*10^-3)/10^-3</f>
        <v>#REF!</v>
      </c>
      <c r="BX238" s="152" t="e">
        <f aca="false">IF(VACnom&gt;Vbat, Table7[[#This Row],[PRR (mW) C]]+Table7[[#This Row],[Pdead (mW) C]]+Table7[[#This Row],[Pgate_bottom (mW) C]], Table7[[#This Row],[PIV (mW) C]]+Table7[[#This Row],[PQoss (mW) C]]+Table7[[#This Row],[Pgate_bottom (mW) C]])</f>
        <v>#REF!</v>
      </c>
      <c r="BY238" s="152" t="e">
        <f aca="false">Table7[[#This Row],[Pcon_bottom (mW) C]]+Table7[[#This Row],[Psw_bottom (mV) C]]</f>
        <v>#REF!</v>
      </c>
      <c r="BZ238" s="152" t="e">
        <f aca="false">Table7[[#This Row],[Pbottom (mW) C]]+Table7[[#This Row],[Ptop (mW) C]]</f>
        <v>#REF!</v>
      </c>
      <c r="CA238" s="156"/>
      <c r="CB238" s="151" t="n">
        <f aca="false">(RAC_SNS*10^-3*(Table7[[#This Row],[IOUT (A)]]*Vbat/VACnom)^2/10^-3)</f>
        <v>370.6605</v>
      </c>
      <c r="CC238" s="151" t="n">
        <f aca="false">(RBAT_SNS*10^-3*Table7[[#This Row],[IOUT (A)]]^2)/10^-3</f>
        <v>336.2</v>
      </c>
      <c r="CD238" s="151" t="n">
        <f aca="false">IF(VACnom&gt;Vbat,(L_DRC*10^-3*(Table7[[#This Row],[IOUT (A)]])^2/10^-3),(L_DRC*10^-3*(Table7[[#This Row],[IOUT (A)]]*Vbat/VACnom)^2/10^-3))</f>
        <v>889.5852</v>
      </c>
      <c r="CE238" s="157"/>
      <c r="CF238" s="152" t="n">
        <f aca="false">(Table7[[#This Row],[R_AC (mW)]]+Table7[[#This Row],[R_SR (mW)]]+Table7[[#This Row],[Inductor Loss (mW)]])/10^3</f>
        <v>1.5964457</v>
      </c>
      <c r="CG238" s="152" t="e">
        <f aca="false">Table7[[#This Row],[Total TI (mW)]]/10^3</f>
        <v>#REF!</v>
      </c>
      <c r="CH238" s="152" t="e">
        <f aca="false">Table7[[#This Row],[Total Sense Loss]]+Table7[[#This Row],[Total MOSFET Loss]]</f>
        <v>#REF!</v>
      </c>
      <c r="CI238" s="158" t="e">
        <f aca="false">IF(Table7[[#This Row],[POUT (W)]]=0,0,(Table7[[#This Row],[POUT (W)]])/(Table7[[#This Row],[POUT (W)]]+Table7[[#This Row],[Total Power Loss (W)]]))*100</f>
        <v>#REF!</v>
      </c>
      <c r="CJ238" s="159"/>
      <c r="CK238" s="152" t="n">
        <f aca="false">(Table7[[#This Row],[R_AC (mW)]]+Table7[[#This Row],[R_SR (mW)]]+Table7[[#This Row],[Inductor Loss (mW)]])/10^3</f>
        <v>1.5964457</v>
      </c>
      <c r="CL238" s="152" t="e">
        <f aca="false">Table7[[#This Row],[Total (mW) C]]/10^3</f>
        <v>#REF!</v>
      </c>
      <c r="CM238" s="152" t="e">
        <f aca="false">Table7[[#This Row],[Total Sense Loss C]]+Table7[[#This Row],[Total MOSFET Loss C]]</f>
        <v>#REF!</v>
      </c>
      <c r="CN238" s="158" t="e">
        <f aca="false">IF(Table7[[#This Row],[POUT (W)]]=0,0,(Table7[[#This Row],[POUT (W)]])/(Table7[[#This Row],[POUT (W)]]+Table7[[#This Row],[Total Power Loss (W) C]]))*100</f>
        <v>#REF!</v>
      </c>
      <c r="CO238" s="159"/>
      <c r="CP238" s="158" t="n">
        <f aca="false">IF(MOSFET_S=Custom_MOSFET,Table7[[#This Row],[Total Sense Loss C]],Table7[[#This Row],[Total Sense Loss]])</f>
        <v>1.5964457</v>
      </c>
      <c r="CQ238" s="158" t="e">
        <f aca="false">IF(MOSFET_S=Custom_MOSFET,Table7[[#This Row],[Total MOSFET Loss C]],Table7[[#This Row],[Total MOSFET Loss]])</f>
        <v>#REF!</v>
      </c>
      <c r="CR238" s="158" t="e">
        <f aca="false">IF(MOSFET_S=Custom_MOSFET,Table7[[#This Row],[Efficiency C]],Table7[[#This Row],[Efficiency]])</f>
        <v>#REF!</v>
      </c>
      <c r="CS238" s="159"/>
      <c r="CT238" s="158" t="n">
        <f aca="false">IF(MOSFET_S=Compare_MOSFET, Table7[[#This Row],[Total Sense Loss C]], -100)</f>
        <v>-100</v>
      </c>
      <c r="CU238" s="158" t="n">
        <f aca="false">IF(MOSFET_S=Compare_MOSFET, Table7[[#This Row],[Total MOSFET Loss C]], -100)</f>
        <v>-100</v>
      </c>
      <c r="CV238" s="158" t="n">
        <f aca="false">IF(MOSFET_S=Compare_MOSFET, Table7[[#This Row],[Efficiency C]], -100)</f>
        <v>-100</v>
      </c>
      <c r="CW238" s="159"/>
      <c r="CX238" s="158" t="e">
        <f aca="false">IF(Save_Sel=CLR_Save,  Table7[[#This Row],[Total Sense Loss P1]], Table7[[#This Row],[Total Sense Loss P1 Saved]])</f>
        <v>#VALUE!</v>
      </c>
      <c r="CY238" s="158" t="e">
        <f aca="false">IF(Save_Sel=CLR_Save,  Table7[[#This Row],[Total MOSFET Loss P1]], Table7[[#This Row],[Total MOSFET Loss P1 Saved]] )</f>
        <v>#VALUE!</v>
      </c>
      <c r="CZ238" s="158" t="e">
        <f aca="false">IF(Save_Sel=CLR_Save, Table7[[#This Row],[Efficiency P1]], Table7[[#This Row],[Efficiency P1 Saved]])</f>
        <v>#VALUE!</v>
      </c>
      <c r="DA238" s="159"/>
      <c r="DB238" s="158" t="e">
        <f aca="false">IF(Save_Sel=CLR_Save,  Table7[[#This Row],[Total Sense Loss P2]], Table7[[#This Row],[Total Sense Loss P2 Saved]])</f>
        <v>#VALUE!</v>
      </c>
      <c r="DC238" s="158" t="e">
        <f aca="false">IF(Save_Sel=CLR_Save,  Table7[[#This Row],[Total MOSFET Loss P2]], Table7[[#This Row],[Total MOSFET Loss P2 Saved]] )</f>
        <v>#VALUE!</v>
      </c>
      <c r="DD238" s="158" t="e">
        <f aca="false">IF(Save_Sel=CLR_Save, Table7[[#This Row],[Efficiency P2]], Table7[[#This Row],[Efficiency P2 Saved]])</f>
        <v>#VALUE!</v>
      </c>
      <c r="DE238" s="159"/>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row>
    <row r="239" customFormat="false" ht="16.4" hidden="false" customHeight="false" outlineLevel="0" collapsed="false">
      <c r="A239" s="174"/>
      <c r="B239" s="174"/>
      <c r="C239" s="174"/>
      <c r="D239" s="174"/>
      <c r="E239" s="174"/>
      <c r="F239" s="174"/>
      <c r="G239" s="174"/>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150" t="n">
        <f aca="false">AF238+1</f>
        <v>83</v>
      </c>
      <c r="AG239" s="150" t="n">
        <f aca="false">$AG$156+AF239*($AG$256-$AG$156)/$AF$256</f>
        <v>8.3</v>
      </c>
      <c r="AH239" s="151" t="n">
        <f aca="false">AG239*VACnom</f>
        <v>99.6</v>
      </c>
      <c r="AI239" s="152" t="n">
        <f aca="false">IF(VACnom&lt;Vbat, (Vbat-VACnom)/Vbat, Vbat/VACnom)</f>
        <v>0.0476190476190476</v>
      </c>
      <c r="AJ239" s="152" t="n">
        <f aca="false">IF(VACnom&lt;Vbat, AG239/(1-AI239), AG239*AI239)</f>
        <v>8.715</v>
      </c>
      <c r="AK239" s="152" t="n">
        <f aca="false">Ipkpk_VACnom</f>
        <v>0.285714285714285</v>
      </c>
      <c r="AL239" s="152" t="n">
        <f aca="false">SQRT(AJ239^2+AK239^2/12)</f>
        <v>8.71539027933279</v>
      </c>
      <c r="AM239" s="153"/>
      <c r="AN239" s="152" t="n">
        <f aca="false">MAX(0,Table7[[#This Row],[I_L]]-0.5*Table7[[#This Row],[I_L pkpk]])</f>
        <v>8.57214285714286</v>
      </c>
      <c r="AO239" s="152" t="n">
        <f aca="false">Table7[[#This Row],[I_L]]+0.5*Table7[[#This Row],[I_L pkpk]]</f>
        <v>8.85785714285714</v>
      </c>
      <c r="AP239" s="152" t="e">
        <f aca="false">IF(VACnom&gt;Vbat, (VGS_S-(TI_MOSFET_S_VTH_H_BU+Table7[[#This Row],[I_L]]/TI_MOSFET_S_gFS_H_BU))/3.4, (VGS_S-(TI_MOSFET_S_VTH_L_BO+Table7[[#This Row],[I_L]]/TI_MOSFET_S_gFS_L_BO))/3.4 )</f>
        <v>#REF!</v>
      </c>
      <c r="AQ239" s="152" t="e">
        <f aca="false">IF(VACnom&gt;Vbat, ((TI_MOSFET_S_VTH_H_BU+Table7[[#This Row],[I_L]]/TI_MOSFET_S_gFS_H_BU))/1, ((TI_MOSFET_S_VTH_L_BO+Table7[[#This Row],[I_L]]/TI_MOSFET_S_gFS_L_BO))/1 )</f>
        <v>#REF!</v>
      </c>
      <c r="AR239" s="152" t="e">
        <f aca="false">IF(VACnom&gt;Vbat, (TI_MOSFET_S_QGD_H_BU+TI_MOSFET_S_QGS_H_BU)*10^-9/Table7[[#This Row],[Ion (A)]], (TI_MOSFET_S_QGD_L_BO+TI_MOSFET_S_QGS_L_BO)*10^-9/Table7[[#This Row],[Ion (A)]])/10^-9</f>
        <v>#REF!</v>
      </c>
      <c r="AS239" s="152" t="e">
        <f aca="false">IF(VACnom&gt;Vbat, (TI_MOSFET_S_QGD_H_BU+TI_MOSFET_S_QGS_H_BU)*10^-9/Table7[[#This Row],[Ioff (A)]], (TI_MOSFET_S_QGD_L_BO+TI_MOSFET_S_QGS_L_BO)*10^-9/Table7[[#This Row],[Ioff (A)]])/10^-9</f>
        <v>#REF!</v>
      </c>
      <c r="AT239" s="152" t="e">
        <f aca="false">0.5*VACnom*Table7[[#This Row],[Ivalley (A)]]*Table7[[#This Row],[ton (ns)]]*10^-9*Fsw*10^3+0.5*VACnom*Table7[[#This Row],[Ipeak (A)]]*Table7[[#This Row],[toff (ns)]]*10^-9*Fsw*10^3/10^-3</f>
        <v>#REF!</v>
      </c>
      <c r="AU239" s="152" t="e">
        <f aca="false">IF(VACnom&gt;Vbat, 0.5*VACnom*TI_MOSFET_S_QOSS_H_BU*10^-9*Fsw*10^3,0.5*VACnom*TI_MOSFET_S_QOSS_L_BO*10^-9*Fsw*10^3)/10^-3</f>
        <v>#REF!</v>
      </c>
      <c r="AV239" s="152" t="e">
        <f aca="false">IF(VACnom&gt;Vbat, VACnom*TI_MOSFET_S_QG_H_BU*10^-9*Fsw*10^3,VACnom*TI_MOSFET_S_QG_H_BO*10^-9*Fsw*10^3)/10^-3</f>
        <v>#REF!</v>
      </c>
      <c r="AW239" s="152" t="e">
        <f aca="false">IF(VACnom&gt;Vbat, VACnom*TI_MOSFET_S_QRR_L_BU*10^-9*Fsw*10^3, VACnom*TI_MOSFET_S_QRR_H_BO*10^-9*Fsw*10^3)/10^-3</f>
        <v>#REF!</v>
      </c>
      <c r="AX239" s="152" t="e">
        <f aca="false">IF(VACnom&gt;Vbat, TI_MOSFET_S_VSD_L_BU*Table7[[#This Row],[Ivalley (A)]]*Fsw*10^3*40*10^-9+TI_MOSFET_S_VSD_L_BU*Table7[[#This Row],[Ipeak (A)]]*Fsw*10^3*30*10^-9, TI_MOSFET_S_VSD_H_BO*Table7[[#This Row],[Ivalley (A)]]*Fsw*10^3*40*10^-9+TI_MOSFET_S_VSD_H_BO*Table7[[#This Row],[Ipeak (A)]]*Fsw*10^3*30*10^-9)/10^-3</f>
        <v>#REF!</v>
      </c>
      <c r="AY239" s="152" t="e">
        <f aca="false">IF(VACnom&gt;Vbat, VACnom*TI_MOSFET_S_QG_L_BU*10^-9*Fsw*10^3, VACnom*TI_MOSFET_S_QG_L_BO*10^-9*Fsw*10^3)/10^-3</f>
        <v>#REF!</v>
      </c>
      <c r="AZ239" s="152" t="e">
        <f aca="false">IF(VACnom&lt;Vbat, Table7[[#This Row],[Duty Cycle]]*Table7[[#This Row],[I_L RMS]]^2*TI_MOSFET_S_RDSON_H_BU*10^-3, (1-Table7[[#This Row],[Duty Cycle]])*Table7[[#This Row],[I_L RMS]]^2*TI_MOSFET_S_RDSON_H_BO*10^-3)/10^-3</f>
        <v>#REF!</v>
      </c>
      <c r="BA239" s="152" t="e">
        <f aca="false">IF(VACnom&gt;Vbat, Table7[[#This Row],[PIV (mW)]]+Table7[[#This Row],[Pqoss (mW)]]+Table7[[#This Row],[Pgate_top (mW)]], Table7[[#This Row],[PRR (mW)]]+Table7[[#This Row],[Pdead (mW)]]+Table7[[#This Row],[Pgate_top (mW)]])</f>
        <v>#REF!</v>
      </c>
      <c r="BB239" s="152" t="e">
        <f aca="false">Table7[[#This Row],[Pcon_top (mW)]]+Table7[[#This Row],[Psw_top (mW)]]</f>
        <v>#REF!</v>
      </c>
      <c r="BC239" s="152" t="e">
        <f aca="false">IF(VACnom&gt;Vbat, (1-Table7[[#This Row],[Duty Cycle]])*Table7[[#This Row],[I_L RMS]]^2*TI_MOSFET_S_RDSON_L_BU*10^-3, Table7[[#This Row],[Duty Cycle]]*Table7[[#This Row],[I_L RMS]]^2*TI_MOSFET_S_RDSON_L_BO*10^-3)/10^-3</f>
        <v>#REF!</v>
      </c>
      <c r="BD239" s="152" t="e">
        <f aca="false">IF(VACnom&gt;Vbat, Table7[[#This Row],[PRR (mW)]]+Table7[[#This Row],[Pdead (mW)]]+Table7[[#This Row],[Pgate_bottom (mW)]], Table7[[#This Row],[PIV (mW)]]+Table7[[#This Row],[Pqoss (mW)]]+Table7[[#This Row],[Pgate_bottom (mW)]])</f>
        <v>#REF!</v>
      </c>
      <c r="BE239" s="154" t="e">
        <f aca="false">Table7[[#This Row],[Pcon_bottom (mW)]]+Table7[[#This Row],[Psw_bottom (mW)]]</f>
        <v>#REF!</v>
      </c>
      <c r="BF239" s="152" t="e">
        <f aca="false">Table7[[#This Row],[Pbottom (mW)]]+Table7[[#This Row],[Ptop (mW)]]</f>
        <v>#REF!</v>
      </c>
      <c r="BG239" s="155"/>
      <c r="BH239" s="152" t="n">
        <f aca="false">MAX(0,Table7[[#This Row],[I_L]]-0.5*Table7[[#This Row],[I_L pkpk]])</f>
        <v>8.57214285714286</v>
      </c>
      <c r="BI239" s="152" t="n">
        <f aca="false">Table7[[#This Row],[I_L]]+0.5*Table7[[#This Row],[I_L pkpk]]</f>
        <v>8.85785714285714</v>
      </c>
      <c r="BJ239" s="152" t="n">
        <f aca="false">IF(VACnom&gt;Vbat, (VGS_S-(C_MOSFET_S_VTH_H_BU+Table7[[#This Row],[I_L]]/C_MOSFET_S_gFS_H_BU))/3.4, (VGS_S-(C_MOSFET_S_VTH_L_BO+Table7[[#This Row],[I_L]]/C_MOSFET_S_gFS_L_BO))/3.4 )</f>
        <v>2.33585294117647</v>
      </c>
      <c r="BK239" s="152" t="n">
        <f aca="false">IF(VACnom&gt;Vbat, ((C_MOSFET_S_VTH_H_BU+Table7[[#This Row],[I_L]]/C_MOSFET_S_gFS_H_BU))/1, ((C_MOSFET_S_VTH_L_BO+Table7[[#This Row],[I_L]]/C_MOSFET_S_gFS_L_BO))/1 )</f>
        <v>2.0581</v>
      </c>
      <c r="BL239" s="152" t="n">
        <f aca="false">IF(VACnom&gt;Vbat, (C_MOSFET_S_QGD_H_BU+C_MOSFET_S_QGS_H_BU)*10^-9/Table7[[#This Row],[Ion (A) C]], (C_MOSFET_S_QGD_L_BO+C_MOSFET_S_QGS_L_BO)*10^-9/Table7[[#This Row],[Ion (A) C]])/10^-9</f>
        <v>2.78270942721515</v>
      </c>
      <c r="BM239" s="152" t="n">
        <f aca="false">IF(VACnom&gt;Vbat, (C_MOSFET_S_QGD_H_BU+C_MOSFET_S_QGS_H_BU)*10^-9/Table7[[#This Row],[Ioff (A) C]], (C_MOSFET_S_QGD_L_BO+C_MOSFET_S_QGS_L_BO)*10^-9/Table7[[#This Row],[Ioff (A) C]])/10^-9</f>
        <v>3.1582527573976</v>
      </c>
      <c r="BN239" s="152" t="n">
        <f aca="false">0.5*VACnom*Table7[[#This Row],[Ivalley (A) C]]*Table7[[#This Row],[ton (ns) C]]*10^-9*Fsw*10^3+0.5*VACnom*Table7[[#This Row],[Ipeak (A) C]]*Table7[[#This Row],[toff (ns) C]]*10^-9*Fsw*10^3/10^-3</f>
        <v>33.5990466345631</v>
      </c>
      <c r="BO239" s="152" t="n">
        <f aca="false">IF(VACnom&gt;Vbat, 0.5*VACnom*C_MOSFET_S_QOSS_H_BU*10^-9*Fsw*10^3,0.5*VACnom*C_MOSFET_S_QOSS_L_BO*10^-9*Fsw*10^3)/10^-3</f>
        <v>43.2</v>
      </c>
      <c r="BP239" s="152" t="e">
        <f aca="false">IF(VACnom&gt;Vbat, VACnom*C_MOSFET_S_QG_H_BU*10^-9*Fsw*10^3,VACnom*C_MOSFET_S_QG_H_BO*10^-9*Fsw*10^3)/10^-3</f>
        <v>#REF!</v>
      </c>
      <c r="BQ239" s="152" t="n">
        <f aca="false">IF(VACnom&gt;Vbat, VACnom*C_MOSFET_S_QRR_L_BU*10^-9*Fsw*10^3, VACnom*C_MOSFET_S_QRR_H_BO*10^-9*Fsw*10^3)/10^-3</f>
        <v>79.2</v>
      </c>
      <c r="BR239" s="152" t="n">
        <f aca="false">IF(VACnom&gt;Vbat, C_MOSFET_S_VSD_L_BU*Table7[[#This Row],[Ivalley (A) C]]*Fsw*10^3*40*10^-9+C_MOSFET_S_VSD_L_BU*Table7[[#This Row],[Ipeak (A) C]]*Fsw*10^3*30*10^-9, C_MOSFET_S_VSD_H_BO*Table7[[#This Row],[Ivalley (A) C]]*Fsw*10^3*40*10^-9+C_MOSFET_S_VSD_H_BO*Table7[[#This Row],[Ipeak (A) C]]*Fsw*10^3*30*10^-9)/10^-3</f>
        <v>97.3794285714286</v>
      </c>
      <c r="BS239" s="152" t="e">
        <f aca="false">IF(VACnom&gt;Vbat, VACnom*C_MOSFET_S_QG_L_BU*10^-9*Fsw*10^3, VACnom*C_MOSFET_S_QG_L_BO*10^-9*Fsw*10^3)/10^-3</f>
        <v>#REF!</v>
      </c>
      <c r="BT239" s="152" t="n">
        <f aca="false">IF(VACnom&lt;Vbat, Table7[[#This Row],[Duty Cycle]]*Table7[[#This Row],[I_L RMS]]^2*C_MOSFET_S_RDSON_H_BU*10^-3, (1-Table7[[#This Row],[Duty Cycle]])*Table7[[#This Row],[I_L RMS]]^2*C_MOSFET_S_RDSON_H_BO*10^-3)/10^-3</f>
        <v>20.6171789528669</v>
      </c>
      <c r="BU239" s="152" t="e">
        <f aca="false">IF(VACnom&gt;Vbat, Table7[[#This Row],[PIV (mW) C]]+Table7[[#This Row],[PQoss (mW) C]]+Table7[[#This Row],[Pgate_top (mW) C]], Table7[[#This Row],[PRR (mW) C]]+Table7[[#This Row],[Pdead (mW) C]]+Table7[[#This Row],[Pgate_top (mW) C]])</f>
        <v>#REF!</v>
      </c>
      <c r="BV239" s="152" t="e">
        <f aca="false">Table7[[#This Row],[Pcon_top (mW) C]]+Table7[[#This Row],[Psw_top (mW) C]]</f>
        <v>#REF!</v>
      </c>
      <c r="BW239" s="152" t="e">
        <f aca="false">IF(VACnom&gt;Vbat, (1-Table7[[#This Row],[Duty Cycle]])*Table7[[#This Row],[I_L RMS]]^2*C_MOSFET_S_RDSON_L_BU*10^-3, Table7[[#This Row],[Duty Cycle]]*Table7[[#This Row],[I_L RMS]]^2*C_MOSFET_S_RDSON_L_BO*10^-3)/10^-3</f>
        <v>#REF!</v>
      </c>
      <c r="BX239" s="152" t="e">
        <f aca="false">IF(VACnom&gt;Vbat, Table7[[#This Row],[PRR (mW) C]]+Table7[[#This Row],[Pdead (mW) C]]+Table7[[#This Row],[Pgate_bottom (mW) C]], Table7[[#This Row],[PIV (mW) C]]+Table7[[#This Row],[PQoss (mW) C]]+Table7[[#This Row],[Pgate_bottom (mW) C]])</f>
        <v>#REF!</v>
      </c>
      <c r="BY239" s="152" t="e">
        <f aca="false">Table7[[#This Row],[Pcon_bottom (mW) C]]+Table7[[#This Row],[Psw_bottom (mV) C]]</f>
        <v>#REF!</v>
      </c>
      <c r="BZ239" s="152" t="e">
        <f aca="false">Table7[[#This Row],[Pbottom (mW) C]]+Table7[[#This Row],[Ptop (mW) C]]</f>
        <v>#REF!</v>
      </c>
      <c r="CA239" s="156"/>
      <c r="CB239" s="151" t="n">
        <f aca="false">(RAC_SNS*10^-3*(Table7[[#This Row],[IOUT (A)]]*Vbat/VACnom)^2/10^-3)</f>
        <v>379.756125</v>
      </c>
      <c r="CC239" s="151" t="n">
        <f aca="false">(RBAT_SNS*10^-3*Table7[[#This Row],[IOUT (A)]]^2)/10^-3</f>
        <v>344.45</v>
      </c>
      <c r="CD239" s="151" t="n">
        <f aca="false">IF(VACnom&gt;Vbat,(L_DRC*10^-3*(Table7[[#This Row],[IOUT (A)]])^2/10^-3),(L_DRC*10^-3*(Table7[[#This Row],[IOUT (A)]]*Vbat/VACnom)^2/10^-3))</f>
        <v>911.4147</v>
      </c>
      <c r="CE239" s="157"/>
      <c r="CF239" s="152" t="n">
        <f aca="false">(Table7[[#This Row],[R_AC (mW)]]+Table7[[#This Row],[R_SR (mW)]]+Table7[[#This Row],[Inductor Loss (mW)]])/10^3</f>
        <v>1.635620825</v>
      </c>
      <c r="CG239" s="152" t="e">
        <f aca="false">Table7[[#This Row],[Total TI (mW)]]/10^3</f>
        <v>#REF!</v>
      </c>
      <c r="CH239" s="152" t="e">
        <f aca="false">Table7[[#This Row],[Total Sense Loss]]+Table7[[#This Row],[Total MOSFET Loss]]</f>
        <v>#REF!</v>
      </c>
      <c r="CI239" s="158" t="e">
        <f aca="false">IF(Table7[[#This Row],[POUT (W)]]=0,0,(Table7[[#This Row],[POUT (W)]])/(Table7[[#This Row],[POUT (W)]]+Table7[[#This Row],[Total Power Loss (W)]]))*100</f>
        <v>#REF!</v>
      </c>
      <c r="CJ239" s="159"/>
      <c r="CK239" s="152" t="n">
        <f aca="false">(Table7[[#This Row],[R_AC (mW)]]+Table7[[#This Row],[R_SR (mW)]]+Table7[[#This Row],[Inductor Loss (mW)]])/10^3</f>
        <v>1.635620825</v>
      </c>
      <c r="CL239" s="152" t="e">
        <f aca="false">Table7[[#This Row],[Total (mW) C]]/10^3</f>
        <v>#REF!</v>
      </c>
      <c r="CM239" s="152" t="e">
        <f aca="false">Table7[[#This Row],[Total Sense Loss C]]+Table7[[#This Row],[Total MOSFET Loss C]]</f>
        <v>#REF!</v>
      </c>
      <c r="CN239" s="158" t="e">
        <f aca="false">IF(Table7[[#This Row],[POUT (W)]]=0,0,(Table7[[#This Row],[POUT (W)]])/(Table7[[#This Row],[POUT (W)]]+Table7[[#This Row],[Total Power Loss (W) C]]))*100</f>
        <v>#REF!</v>
      </c>
      <c r="CO239" s="159"/>
      <c r="CP239" s="158" t="n">
        <f aca="false">IF(MOSFET_S=Custom_MOSFET,Table7[[#This Row],[Total Sense Loss C]],Table7[[#This Row],[Total Sense Loss]])</f>
        <v>1.635620825</v>
      </c>
      <c r="CQ239" s="158" t="e">
        <f aca="false">IF(MOSFET_S=Custom_MOSFET,Table7[[#This Row],[Total MOSFET Loss C]],Table7[[#This Row],[Total MOSFET Loss]])</f>
        <v>#REF!</v>
      </c>
      <c r="CR239" s="158" t="e">
        <f aca="false">IF(MOSFET_S=Custom_MOSFET,Table7[[#This Row],[Efficiency C]],Table7[[#This Row],[Efficiency]])</f>
        <v>#REF!</v>
      </c>
      <c r="CS239" s="159"/>
      <c r="CT239" s="158" t="n">
        <f aca="false">IF(MOSFET_S=Compare_MOSFET, Table7[[#This Row],[Total Sense Loss C]], -100)</f>
        <v>-100</v>
      </c>
      <c r="CU239" s="158" t="n">
        <f aca="false">IF(MOSFET_S=Compare_MOSFET, Table7[[#This Row],[Total MOSFET Loss C]], -100)</f>
        <v>-100</v>
      </c>
      <c r="CV239" s="158" t="n">
        <f aca="false">IF(MOSFET_S=Compare_MOSFET, Table7[[#This Row],[Efficiency C]], -100)</f>
        <v>-100</v>
      </c>
      <c r="CW239" s="159"/>
      <c r="CX239" s="158" t="e">
        <f aca="false">IF(Save_Sel=CLR_Save,  Table7[[#This Row],[Total Sense Loss P1]], Table7[[#This Row],[Total Sense Loss P1 Saved]])</f>
        <v>#VALUE!</v>
      </c>
      <c r="CY239" s="158" t="e">
        <f aca="false">IF(Save_Sel=CLR_Save,  Table7[[#This Row],[Total MOSFET Loss P1]], Table7[[#This Row],[Total MOSFET Loss P1 Saved]] )</f>
        <v>#VALUE!</v>
      </c>
      <c r="CZ239" s="158" t="e">
        <f aca="false">IF(Save_Sel=CLR_Save, Table7[[#This Row],[Efficiency P1]], Table7[[#This Row],[Efficiency P1 Saved]])</f>
        <v>#VALUE!</v>
      </c>
      <c r="DA239" s="159"/>
      <c r="DB239" s="158" t="e">
        <f aca="false">IF(Save_Sel=CLR_Save,  Table7[[#This Row],[Total Sense Loss P2]], Table7[[#This Row],[Total Sense Loss P2 Saved]])</f>
        <v>#VALUE!</v>
      </c>
      <c r="DC239" s="158" t="e">
        <f aca="false">IF(Save_Sel=CLR_Save,  Table7[[#This Row],[Total MOSFET Loss P2]], Table7[[#This Row],[Total MOSFET Loss P2 Saved]] )</f>
        <v>#VALUE!</v>
      </c>
      <c r="DD239" s="158" t="e">
        <f aca="false">IF(Save_Sel=CLR_Save, Table7[[#This Row],[Efficiency P2]], Table7[[#This Row],[Efficiency P2 Saved]])</f>
        <v>#VALUE!</v>
      </c>
      <c r="DE239" s="159"/>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row>
    <row r="240" customFormat="false" ht="16.4" hidden="false" customHeight="false" outlineLevel="0" collapsed="false">
      <c r="A240" s="174"/>
      <c r="B240" s="174"/>
      <c r="C240" s="174"/>
      <c r="D240" s="174"/>
      <c r="E240" s="174"/>
      <c r="F240" s="174"/>
      <c r="G240" s="174"/>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150" t="n">
        <f aca="false">AF239+1</f>
        <v>84</v>
      </c>
      <c r="AG240" s="150" t="n">
        <f aca="false">$AG$156+AF240*($AG$256-$AG$156)/$AF$256</f>
        <v>8.4</v>
      </c>
      <c r="AH240" s="151" t="n">
        <f aca="false">AG240*VACnom</f>
        <v>100.8</v>
      </c>
      <c r="AI240" s="152" t="n">
        <f aca="false">IF(VACnom&lt;Vbat, (Vbat-VACnom)/Vbat, Vbat/VACnom)</f>
        <v>0.0476190476190476</v>
      </c>
      <c r="AJ240" s="152" t="n">
        <f aca="false">IF(VACnom&lt;Vbat, AG240/(1-AI240), AG240*AI240)</f>
        <v>8.82</v>
      </c>
      <c r="AK240" s="152" t="n">
        <f aca="false">Ipkpk_VACnom</f>
        <v>0.285714285714285</v>
      </c>
      <c r="AL240" s="152" t="n">
        <f aca="false">SQRT(AJ240^2+AK240^2/12)</f>
        <v>8.82038563335461</v>
      </c>
      <c r="AM240" s="153"/>
      <c r="AN240" s="152" t="n">
        <f aca="false">MAX(0,Table7[[#This Row],[I_L]]-0.5*Table7[[#This Row],[I_L pkpk]])</f>
        <v>8.67714285714286</v>
      </c>
      <c r="AO240" s="152" t="n">
        <f aca="false">Table7[[#This Row],[I_L]]+0.5*Table7[[#This Row],[I_L pkpk]]</f>
        <v>8.96285714285714</v>
      </c>
      <c r="AP240" s="152" t="e">
        <f aca="false">IF(VACnom&gt;Vbat, (VGS_S-(TI_MOSFET_S_VTH_H_BU+Table7[[#This Row],[I_L]]/TI_MOSFET_S_gFS_H_BU))/3.4, (VGS_S-(TI_MOSFET_S_VTH_L_BO+Table7[[#This Row],[I_L]]/TI_MOSFET_S_gFS_L_BO))/3.4 )</f>
        <v>#REF!</v>
      </c>
      <c r="AQ240" s="152" t="e">
        <f aca="false">IF(VACnom&gt;Vbat, ((TI_MOSFET_S_VTH_H_BU+Table7[[#This Row],[I_L]]/TI_MOSFET_S_gFS_H_BU))/1, ((TI_MOSFET_S_VTH_L_BO+Table7[[#This Row],[I_L]]/TI_MOSFET_S_gFS_L_BO))/1 )</f>
        <v>#REF!</v>
      </c>
      <c r="AR240" s="152" t="e">
        <f aca="false">IF(VACnom&gt;Vbat, (TI_MOSFET_S_QGD_H_BU+TI_MOSFET_S_QGS_H_BU)*10^-9/Table7[[#This Row],[Ion (A)]], (TI_MOSFET_S_QGD_L_BO+TI_MOSFET_S_QGS_L_BO)*10^-9/Table7[[#This Row],[Ion (A)]])/10^-9</f>
        <v>#REF!</v>
      </c>
      <c r="AS240" s="152" t="e">
        <f aca="false">IF(VACnom&gt;Vbat, (TI_MOSFET_S_QGD_H_BU+TI_MOSFET_S_QGS_H_BU)*10^-9/Table7[[#This Row],[Ioff (A)]], (TI_MOSFET_S_QGD_L_BO+TI_MOSFET_S_QGS_L_BO)*10^-9/Table7[[#This Row],[Ioff (A)]])/10^-9</f>
        <v>#REF!</v>
      </c>
      <c r="AT240" s="152" t="e">
        <f aca="false">0.5*VACnom*Table7[[#This Row],[Ivalley (A)]]*Table7[[#This Row],[ton (ns)]]*10^-9*Fsw*10^3+0.5*VACnom*Table7[[#This Row],[Ipeak (A)]]*Table7[[#This Row],[toff (ns)]]*10^-9*Fsw*10^3/10^-3</f>
        <v>#REF!</v>
      </c>
      <c r="AU240" s="152" t="e">
        <f aca="false">IF(VACnom&gt;Vbat, 0.5*VACnom*TI_MOSFET_S_QOSS_H_BU*10^-9*Fsw*10^3,0.5*VACnom*TI_MOSFET_S_QOSS_L_BO*10^-9*Fsw*10^3)/10^-3</f>
        <v>#REF!</v>
      </c>
      <c r="AV240" s="152" t="e">
        <f aca="false">IF(VACnom&gt;Vbat, VACnom*TI_MOSFET_S_QG_H_BU*10^-9*Fsw*10^3,VACnom*TI_MOSFET_S_QG_H_BO*10^-9*Fsw*10^3)/10^-3</f>
        <v>#REF!</v>
      </c>
      <c r="AW240" s="152" t="e">
        <f aca="false">IF(VACnom&gt;Vbat, VACnom*TI_MOSFET_S_QRR_L_BU*10^-9*Fsw*10^3, VACnom*TI_MOSFET_S_QRR_H_BO*10^-9*Fsw*10^3)/10^-3</f>
        <v>#REF!</v>
      </c>
      <c r="AX240" s="152" t="e">
        <f aca="false">IF(VACnom&gt;Vbat, TI_MOSFET_S_VSD_L_BU*Table7[[#This Row],[Ivalley (A)]]*Fsw*10^3*40*10^-9+TI_MOSFET_S_VSD_L_BU*Table7[[#This Row],[Ipeak (A)]]*Fsw*10^3*30*10^-9, TI_MOSFET_S_VSD_H_BO*Table7[[#This Row],[Ivalley (A)]]*Fsw*10^3*40*10^-9+TI_MOSFET_S_VSD_H_BO*Table7[[#This Row],[Ipeak (A)]]*Fsw*10^3*30*10^-9)/10^-3</f>
        <v>#REF!</v>
      </c>
      <c r="AY240" s="152" t="e">
        <f aca="false">IF(VACnom&gt;Vbat, VACnom*TI_MOSFET_S_QG_L_BU*10^-9*Fsw*10^3, VACnom*TI_MOSFET_S_QG_L_BO*10^-9*Fsw*10^3)/10^-3</f>
        <v>#REF!</v>
      </c>
      <c r="AZ240" s="152" t="e">
        <f aca="false">IF(VACnom&lt;Vbat, Table7[[#This Row],[Duty Cycle]]*Table7[[#This Row],[I_L RMS]]^2*TI_MOSFET_S_RDSON_H_BU*10^-3, (1-Table7[[#This Row],[Duty Cycle]])*Table7[[#This Row],[I_L RMS]]^2*TI_MOSFET_S_RDSON_H_BO*10^-3)/10^-3</f>
        <v>#REF!</v>
      </c>
      <c r="BA240" s="152" t="e">
        <f aca="false">IF(VACnom&gt;Vbat, Table7[[#This Row],[PIV (mW)]]+Table7[[#This Row],[Pqoss (mW)]]+Table7[[#This Row],[Pgate_top (mW)]], Table7[[#This Row],[PRR (mW)]]+Table7[[#This Row],[Pdead (mW)]]+Table7[[#This Row],[Pgate_top (mW)]])</f>
        <v>#REF!</v>
      </c>
      <c r="BB240" s="152" t="e">
        <f aca="false">Table7[[#This Row],[Pcon_top (mW)]]+Table7[[#This Row],[Psw_top (mW)]]</f>
        <v>#REF!</v>
      </c>
      <c r="BC240" s="152" t="e">
        <f aca="false">IF(VACnom&gt;Vbat, (1-Table7[[#This Row],[Duty Cycle]])*Table7[[#This Row],[I_L RMS]]^2*TI_MOSFET_S_RDSON_L_BU*10^-3, Table7[[#This Row],[Duty Cycle]]*Table7[[#This Row],[I_L RMS]]^2*TI_MOSFET_S_RDSON_L_BO*10^-3)/10^-3</f>
        <v>#REF!</v>
      </c>
      <c r="BD240" s="152" t="e">
        <f aca="false">IF(VACnom&gt;Vbat, Table7[[#This Row],[PRR (mW)]]+Table7[[#This Row],[Pdead (mW)]]+Table7[[#This Row],[Pgate_bottom (mW)]], Table7[[#This Row],[PIV (mW)]]+Table7[[#This Row],[Pqoss (mW)]]+Table7[[#This Row],[Pgate_bottom (mW)]])</f>
        <v>#REF!</v>
      </c>
      <c r="BE240" s="154" t="e">
        <f aca="false">Table7[[#This Row],[Pcon_bottom (mW)]]+Table7[[#This Row],[Psw_bottom (mW)]]</f>
        <v>#REF!</v>
      </c>
      <c r="BF240" s="152" t="e">
        <f aca="false">Table7[[#This Row],[Pbottom (mW)]]+Table7[[#This Row],[Ptop (mW)]]</f>
        <v>#REF!</v>
      </c>
      <c r="BG240" s="155"/>
      <c r="BH240" s="152" t="n">
        <f aca="false">MAX(0,Table7[[#This Row],[I_L]]-0.5*Table7[[#This Row],[I_L pkpk]])</f>
        <v>8.67714285714286</v>
      </c>
      <c r="BI240" s="152" t="n">
        <f aca="false">Table7[[#This Row],[I_L]]+0.5*Table7[[#This Row],[I_L pkpk]]</f>
        <v>8.96285714285714</v>
      </c>
      <c r="BJ240" s="152" t="n">
        <f aca="false">IF(VACnom&gt;Vbat, (VGS_S-(C_MOSFET_S_VTH_H_BU+Table7[[#This Row],[I_L]]/C_MOSFET_S_gFS_H_BU))/3.4, (VGS_S-(C_MOSFET_S_VTH_L_BO+Table7[[#This Row],[I_L]]/C_MOSFET_S_gFS_L_BO))/3.4 )</f>
        <v>2.33564705882353</v>
      </c>
      <c r="BK240" s="152" t="n">
        <f aca="false">IF(VACnom&gt;Vbat, ((C_MOSFET_S_VTH_H_BU+Table7[[#This Row],[I_L]]/C_MOSFET_S_gFS_H_BU))/1, ((C_MOSFET_S_VTH_L_BO+Table7[[#This Row],[I_L]]/C_MOSFET_S_gFS_L_BO))/1 )</f>
        <v>2.0588</v>
      </c>
      <c r="BL240" s="152" t="n">
        <f aca="false">IF(VACnom&gt;Vbat, (C_MOSFET_S_QGD_H_BU+C_MOSFET_S_QGS_H_BU)*10^-9/Table7[[#This Row],[Ion (A) C]], (C_MOSFET_S_QGD_L_BO+C_MOSFET_S_QGS_L_BO)*10^-9/Table7[[#This Row],[Ion (A) C]])/10^-9</f>
        <v>2.78295471717121</v>
      </c>
      <c r="BM240" s="152" t="n">
        <f aca="false">IF(VACnom&gt;Vbat, (C_MOSFET_S_QGD_H_BU+C_MOSFET_S_QGS_H_BU)*10^-9/Table7[[#This Row],[Ioff (A) C]], (C_MOSFET_S_QGD_L_BO+C_MOSFET_S_QGS_L_BO)*10^-9/Table7[[#This Row],[Ioff (A) C]])/10^-9</f>
        <v>3.15717893918788</v>
      </c>
      <c r="BN240" s="152" t="n">
        <f aca="false">0.5*VACnom*Table7[[#This Row],[Ivalley (A) C]]*Table7[[#This Row],[ton (ns) C]]*10^-9*Fsw*10^3+0.5*VACnom*Table7[[#This Row],[Ipeak (A) C]]*Table7[[#This Row],[toff (ns) C]]*10^-9*Fsw*10^3/10^-3</f>
        <v>33.9857902824289</v>
      </c>
      <c r="BO240" s="152" t="n">
        <f aca="false">IF(VACnom&gt;Vbat, 0.5*VACnom*C_MOSFET_S_QOSS_H_BU*10^-9*Fsw*10^3,0.5*VACnom*C_MOSFET_S_QOSS_L_BO*10^-9*Fsw*10^3)/10^-3</f>
        <v>43.2</v>
      </c>
      <c r="BP240" s="152" t="e">
        <f aca="false">IF(VACnom&gt;Vbat, VACnom*C_MOSFET_S_QG_H_BU*10^-9*Fsw*10^3,VACnom*C_MOSFET_S_QG_H_BO*10^-9*Fsw*10^3)/10^-3</f>
        <v>#REF!</v>
      </c>
      <c r="BQ240" s="152" t="n">
        <f aca="false">IF(VACnom&gt;Vbat, VACnom*C_MOSFET_S_QRR_L_BU*10^-9*Fsw*10^3, VACnom*C_MOSFET_S_QRR_H_BO*10^-9*Fsw*10^3)/10^-3</f>
        <v>79.2</v>
      </c>
      <c r="BR240" s="152" t="n">
        <f aca="false">IF(VACnom&gt;Vbat, C_MOSFET_S_VSD_L_BU*Table7[[#This Row],[Ivalley (A) C]]*Fsw*10^3*40*10^-9+C_MOSFET_S_VSD_L_BU*Table7[[#This Row],[Ipeak (A) C]]*Fsw*10^3*30*10^-9, C_MOSFET_S_VSD_H_BO*Table7[[#This Row],[Ivalley (A) C]]*Fsw*10^3*40*10^-9+C_MOSFET_S_VSD_H_BO*Table7[[#This Row],[Ipeak (A) C]]*Fsw*10^3*30*10^-9)/10^-3</f>
        <v>98.5554285714286</v>
      </c>
      <c r="BS240" s="152" t="e">
        <f aca="false">IF(VACnom&gt;Vbat, VACnom*C_MOSFET_S_QG_L_BU*10^-9*Fsw*10^3, VACnom*C_MOSFET_S_QG_L_BO*10^-9*Fsw*10^3)/10^-3</f>
        <v>#REF!</v>
      </c>
      <c r="BT240" s="152" t="n">
        <f aca="false">IF(VACnom&lt;Vbat, Table7[[#This Row],[Duty Cycle]]*Table7[[#This Row],[I_L RMS]]^2*C_MOSFET_S_RDSON_H_BU*10^-3, (1-Table7[[#This Row],[Duty Cycle]])*Table7[[#This Row],[I_L RMS]]^2*C_MOSFET_S_RDSON_H_BO*10^-3)/10^-3</f>
        <v>21.1169264528669</v>
      </c>
      <c r="BU240" s="152" t="e">
        <f aca="false">IF(VACnom&gt;Vbat, Table7[[#This Row],[PIV (mW) C]]+Table7[[#This Row],[PQoss (mW) C]]+Table7[[#This Row],[Pgate_top (mW) C]], Table7[[#This Row],[PRR (mW) C]]+Table7[[#This Row],[Pdead (mW) C]]+Table7[[#This Row],[Pgate_top (mW) C]])</f>
        <v>#REF!</v>
      </c>
      <c r="BV240" s="152" t="e">
        <f aca="false">Table7[[#This Row],[Pcon_top (mW) C]]+Table7[[#This Row],[Psw_top (mW) C]]</f>
        <v>#REF!</v>
      </c>
      <c r="BW240" s="152" t="e">
        <f aca="false">IF(VACnom&gt;Vbat, (1-Table7[[#This Row],[Duty Cycle]])*Table7[[#This Row],[I_L RMS]]^2*C_MOSFET_S_RDSON_L_BU*10^-3, Table7[[#This Row],[Duty Cycle]]*Table7[[#This Row],[I_L RMS]]^2*C_MOSFET_S_RDSON_L_BO*10^-3)/10^-3</f>
        <v>#REF!</v>
      </c>
      <c r="BX240" s="152" t="e">
        <f aca="false">IF(VACnom&gt;Vbat, Table7[[#This Row],[PRR (mW) C]]+Table7[[#This Row],[Pdead (mW) C]]+Table7[[#This Row],[Pgate_bottom (mW) C]], Table7[[#This Row],[PIV (mW) C]]+Table7[[#This Row],[PQoss (mW) C]]+Table7[[#This Row],[Pgate_bottom (mW) C]])</f>
        <v>#REF!</v>
      </c>
      <c r="BY240" s="152" t="e">
        <f aca="false">Table7[[#This Row],[Pcon_bottom (mW) C]]+Table7[[#This Row],[Psw_bottom (mV) C]]</f>
        <v>#REF!</v>
      </c>
      <c r="BZ240" s="152" t="e">
        <f aca="false">Table7[[#This Row],[Pbottom (mW) C]]+Table7[[#This Row],[Ptop (mW) C]]</f>
        <v>#REF!</v>
      </c>
      <c r="CA240" s="156"/>
      <c r="CB240" s="151" t="n">
        <f aca="false">(RAC_SNS*10^-3*(Table7[[#This Row],[IOUT (A)]]*Vbat/VACnom)^2/10^-3)</f>
        <v>388.962</v>
      </c>
      <c r="CC240" s="151" t="n">
        <f aca="false">(RBAT_SNS*10^-3*Table7[[#This Row],[IOUT (A)]]^2)/10^-3</f>
        <v>352.8</v>
      </c>
      <c r="CD240" s="151" t="n">
        <f aca="false">IF(VACnom&gt;Vbat,(L_DRC*10^-3*(Table7[[#This Row],[IOUT (A)]])^2/10^-3),(L_DRC*10^-3*(Table7[[#This Row],[IOUT (A)]]*Vbat/VACnom)^2/10^-3))</f>
        <v>933.5088</v>
      </c>
      <c r="CE240" s="157"/>
      <c r="CF240" s="152" t="n">
        <f aca="false">(Table7[[#This Row],[R_AC (mW)]]+Table7[[#This Row],[R_SR (mW)]]+Table7[[#This Row],[Inductor Loss (mW)]])/10^3</f>
        <v>1.6752708</v>
      </c>
      <c r="CG240" s="152" t="e">
        <f aca="false">Table7[[#This Row],[Total TI (mW)]]/10^3</f>
        <v>#REF!</v>
      </c>
      <c r="CH240" s="152" t="e">
        <f aca="false">Table7[[#This Row],[Total Sense Loss]]+Table7[[#This Row],[Total MOSFET Loss]]</f>
        <v>#REF!</v>
      </c>
      <c r="CI240" s="158" t="e">
        <f aca="false">IF(Table7[[#This Row],[POUT (W)]]=0,0,(Table7[[#This Row],[POUT (W)]])/(Table7[[#This Row],[POUT (W)]]+Table7[[#This Row],[Total Power Loss (W)]]))*100</f>
        <v>#REF!</v>
      </c>
      <c r="CJ240" s="159"/>
      <c r="CK240" s="152" t="n">
        <f aca="false">(Table7[[#This Row],[R_AC (mW)]]+Table7[[#This Row],[R_SR (mW)]]+Table7[[#This Row],[Inductor Loss (mW)]])/10^3</f>
        <v>1.6752708</v>
      </c>
      <c r="CL240" s="152" t="e">
        <f aca="false">Table7[[#This Row],[Total (mW) C]]/10^3</f>
        <v>#REF!</v>
      </c>
      <c r="CM240" s="152" t="e">
        <f aca="false">Table7[[#This Row],[Total Sense Loss C]]+Table7[[#This Row],[Total MOSFET Loss C]]</f>
        <v>#REF!</v>
      </c>
      <c r="CN240" s="158" t="e">
        <f aca="false">IF(Table7[[#This Row],[POUT (W)]]=0,0,(Table7[[#This Row],[POUT (W)]])/(Table7[[#This Row],[POUT (W)]]+Table7[[#This Row],[Total Power Loss (W) C]]))*100</f>
        <v>#REF!</v>
      </c>
      <c r="CO240" s="159"/>
      <c r="CP240" s="158" t="n">
        <f aca="false">IF(MOSFET_S=Custom_MOSFET,Table7[[#This Row],[Total Sense Loss C]],Table7[[#This Row],[Total Sense Loss]])</f>
        <v>1.6752708</v>
      </c>
      <c r="CQ240" s="158" t="e">
        <f aca="false">IF(MOSFET_S=Custom_MOSFET,Table7[[#This Row],[Total MOSFET Loss C]],Table7[[#This Row],[Total MOSFET Loss]])</f>
        <v>#REF!</v>
      </c>
      <c r="CR240" s="158" t="e">
        <f aca="false">IF(MOSFET_S=Custom_MOSFET,Table7[[#This Row],[Efficiency C]],Table7[[#This Row],[Efficiency]])</f>
        <v>#REF!</v>
      </c>
      <c r="CS240" s="159"/>
      <c r="CT240" s="158" t="n">
        <f aca="false">IF(MOSFET_S=Compare_MOSFET, Table7[[#This Row],[Total Sense Loss C]], -100)</f>
        <v>-100</v>
      </c>
      <c r="CU240" s="158" t="n">
        <f aca="false">IF(MOSFET_S=Compare_MOSFET, Table7[[#This Row],[Total MOSFET Loss C]], -100)</f>
        <v>-100</v>
      </c>
      <c r="CV240" s="158" t="n">
        <f aca="false">IF(MOSFET_S=Compare_MOSFET, Table7[[#This Row],[Efficiency C]], -100)</f>
        <v>-100</v>
      </c>
      <c r="CW240" s="159"/>
      <c r="CX240" s="158" t="e">
        <f aca="false">IF(Save_Sel=CLR_Save,  Table7[[#This Row],[Total Sense Loss P1]], Table7[[#This Row],[Total Sense Loss P1 Saved]])</f>
        <v>#VALUE!</v>
      </c>
      <c r="CY240" s="158" t="e">
        <f aca="false">IF(Save_Sel=CLR_Save,  Table7[[#This Row],[Total MOSFET Loss P1]], Table7[[#This Row],[Total MOSFET Loss P1 Saved]] )</f>
        <v>#VALUE!</v>
      </c>
      <c r="CZ240" s="158" t="e">
        <f aca="false">IF(Save_Sel=CLR_Save, Table7[[#This Row],[Efficiency P1]], Table7[[#This Row],[Efficiency P1 Saved]])</f>
        <v>#VALUE!</v>
      </c>
      <c r="DA240" s="159"/>
      <c r="DB240" s="158" t="e">
        <f aca="false">IF(Save_Sel=CLR_Save,  Table7[[#This Row],[Total Sense Loss P2]], Table7[[#This Row],[Total Sense Loss P2 Saved]])</f>
        <v>#VALUE!</v>
      </c>
      <c r="DC240" s="158" t="e">
        <f aca="false">IF(Save_Sel=CLR_Save,  Table7[[#This Row],[Total MOSFET Loss P2]], Table7[[#This Row],[Total MOSFET Loss P2 Saved]] )</f>
        <v>#VALUE!</v>
      </c>
      <c r="DD240" s="158" t="e">
        <f aca="false">IF(Save_Sel=CLR_Save, Table7[[#This Row],[Efficiency P2]], Table7[[#This Row],[Efficiency P2 Saved]])</f>
        <v>#VALUE!</v>
      </c>
      <c r="DE240" s="159"/>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row>
    <row r="241" customFormat="false" ht="16.4" hidden="false" customHeight="false" outlineLevel="0" collapsed="false">
      <c r="A241" s="174"/>
      <c r="B241" s="174"/>
      <c r="C241" s="174"/>
      <c r="D241" s="174"/>
      <c r="E241" s="174"/>
      <c r="F241" s="174"/>
      <c r="G241" s="174"/>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150" t="n">
        <f aca="false">AF240+1</f>
        <v>85</v>
      </c>
      <c r="AG241" s="150" t="n">
        <f aca="false">$AG$156+AF241*($AG$256-$AG$156)/$AF$256</f>
        <v>8.5</v>
      </c>
      <c r="AH241" s="151" t="n">
        <f aca="false">AG241*VACnom</f>
        <v>102</v>
      </c>
      <c r="AI241" s="152" t="n">
        <f aca="false">IF(VACnom&lt;Vbat, (Vbat-VACnom)/Vbat, Vbat/VACnom)</f>
        <v>0.0476190476190476</v>
      </c>
      <c r="AJ241" s="152" t="n">
        <f aca="false">IF(VACnom&lt;Vbat, AG241/(1-AI241), AG241*AI241)</f>
        <v>8.925</v>
      </c>
      <c r="AK241" s="152" t="n">
        <f aca="false">Ipkpk_VACnom</f>
        <v>0.285714285714285</v>
      </c>
      <c r="AL241" s="152" t="n">
        <f aca="false">SQRT(AJ241^2+AK241^2/12)</f>
        <v>8.92538109668648</v>
      </c>
      <c r="AM241" s="153"/>
      <c r="AN241" s="152" t="n">
        <f aca="false">MAX(0,Table7[[#This Row],[I_L]]-0.5*Table7[[#This Row],[I_L pkpk]])</f>
        <v>8.78214285714286</v>
      </c>
      <c r="AO241" s="152" t="n">
        <f aca="false">Table7[[#This Row],[I_L]]+0.5*Table7[[#This Row],[I_L pkpk]]</f>
        <v>9.06785714285714</v>
      </c>
      <c r="AP241" s="152" t="e">
        <f aca="false">IF(VACnom&gt;Vbat, (VGS_S-(TI_MOSFET_S_VTH_H_BU+Table7[[#This Row],[I_L]]/TI_MOSFET_S_gFS_H_BU))/3.4, (VGS_S-(TI_MOSFET_S_VTH_L_BO+Table7[[#This Row],[I_L]]/TI_MOSFET_S_gFS_L_BO))/3.4 )</f>
        <v>#REF!</v>
      </c>
      <c r="AQ241" s="152" t="e">
        <f aca="false">IF(VACnom&gt;Vbat, ((TI_MOSFET_S_VTH_H_BU+Table7[[#This Row],[I_L]]/TI_MOSFET_S_gFS_H_BU))/1, ((TI_MOSFET_S_VTH_L_BO+Table7[[#This Row],[I_L]]/TI_MOSFET_S_gFS_L_BO))/1 )</f>
        <v>#REF!</v>
      </c>
      <c r="AR241" s="152" t="e">
        <f aca="false">IF(VACnom&gt;Vbat, (TI_MOSFET_S_QGD_H_BU+TI_MOSFET_S_QGS_H_BU)*10^-9/Table7[[#This Row],[Ion (A)]], (TI_MOSFET_S_QGD_L_BO+TI_MOSFET_S_QGS_L_BO)*10^-9/Table7[[#This Row],[Ion (A)]])/10^-9</f>
        <v>#REF!</v>
      </c>
      <c r="AS241" s="152" t="e">
        <f aca="false">IF(VACnom&gt;Vbat, (TI_MOSFET_S_QGD_H_BU+TI_MOSFET_S_QGS_H_BU)*10^-9/Table7[[#This Row],[Ioff (A)]], (TI_MOSFET_S_QGD_L_BO+TI_MOSFET_S_QGS_L_BO)*10^-9/Table7[[#This Row],[Ioff (A)]])/10^-9</f>
        <v>#REF!</v>
      </c>
      <c r="AT241" s="152" t="e">
        <f aca="false">0.5*VACnom*Table7[[#This Row],[Ivalley (A)]]*Table7[[#This Row],[ton (ns)]]*10^-9*Fsw*10^3+0.5*VACnom*Table7[[#This Row],[Ipeak (A)]]*Table7[[#This Row],[toff (ns)]]*10^-9*Fsw*10^3/10^-3</f>
        <v>#REF!</v>
      </c>
      <c r="AU241" s="152" t="e">
        <f aca="false">IF(VACnom&gt;Vbat, 0.5*VACnom*TI_MOSFET_S_QOSS_H_BU*10^-9*Fsw*10^3,0.5*VACnom*TI_MOSFET_S_QOSS_L_BO*10^-9*Fsw*10^3)/10^-3</f>
        <v>#REF!</v>
      </c>
      <c r="AV241" s="152" t="e">
        <f aca="false">IF(VACnom&gt;Vbat, VACnom*TI_MOSFET_S_QG_H_BU*10^-9*Fsw*10^3,VACnom*TI_MOSFET_S_QG_H_BO*10^-9*Fsw*10^3)/10^-3</f>
        <v>#REF!</v>
      </c>
      <c r="AW241" s="152" t="e">
        <f aca="false">IF(VACnom&gt;Vbat, VACnom*TI_MOSFET_S_QRR_L_BU*10^-9*Fsw*10^3, VACnom*TI_MOSFET_S_QRR_H_BO*10^-9*Fsw*10^3)/10^-3</f>
        <v>#REF!</v>
      </c>
      <c r="AX241" s="152" t="e">
        <f aca="false">IF(VACnom&gt;Vbat, TI_MOSFET_S_VSD_L_BU*Table7[[#This Row],[Ivalley (A)]]*Fsw*10^3*40*10^-9+TI_MOSFET_S_VSD_L_BU*Table7[[#This Row],[Ipeak (A)]]*Fsw*10^3*30*10^-9, TI_MOSFET_S_VSD_H_BO*Table7[[#This Row],[Ivalley (A)]]*Fsw*10^3*40*10^-9+TI_MOSFET_S_VSD_H_BO*Table7[[#This Row],[Ipeak (A)]]*Fsw*10^3*30*10^-9)/10^-3</f>
        <v>#REF!</v>
      </c>
      <c r="AY241" s="152" t="e">
        <f aca="false">IF(VACnom&gt;Vbat, VACnom*TI_MOSFET_S_QG_L_BU*10^-9*Fsw*10^3, VACnom*TI_MOSFET_S_QG_L_BO*10^-9*Fsw*10^3)/10^-3</f>
        <v>#REF!</v>
      </c>
      <c r="AZ241" s="152" t="e">
        <f aca="false">IF(VACnom&lt;Vbat, Table7[[#This Row],[Duty Cycle]]*Table7[[#This Row],[I_L RMS]]^2*TI_MOSFET_S_RDSON_H_BU*10^-3, (1-Table7[[#This Row],[Duty Cycle]])*Table7[[#This Row],[I_L RMS]]^2*TI_MOSFET_S_RDSON_H_BO*10^-3)/10^-3</f>
        <v>#REF!</v>
      </c>
      <c r="BA241" s="152" t="e">
        <f aca="false">IF(VACnom&gt;Vbat, Table7[[#This Row],[PIV (mW)]]+Table7[[#This Row],[Pqoss (mW)]]+Table7[[#This Row],[Pgate_top (mW)]], Table7[[#This Row],[PRR (mW)]]+Table7[[#This Row],[Pdead (mW)]]+Table7[[#This Row],[Pgate_top (mW)]])</f>
        <v>#REF!</v>
      </c>
      <c r="BB241" s="152" t="e">
        <f aca="false">Table7[[#This Row],[Pcon_top (mW)]]+Table7[[#This Row],[Psw_top (mW)]]</f>
        <v>#REF!</v>
      </c>
      <c r="BC241" s="152" t="e">
        <f aca="false">IF(VACnom&gt;Vbat, (1-Table7[[#This Row],[Duty Cycle]])*Table7[[#This Row],[I_L RMS]]^2*TI_MOSFET_S_RDSON_L_BU*10^-3, Table7[[#This Row],[Duty Cycle]]*Table7[[#This Row],[I_L RMS]]^2*TI_MOSFET_S_RDSON_L_BO*10^-3)/10^-3</f>
        <v>#REF!</v>
      </c>
      <c r="BD241" s="152" t="e">
        <f aca="false">IF(VACnom&gt;Vbat, Table7[[#This Row],[PRR (mW)]]+Table7[[#This Row],[Pdead (mW)]]+Table7[[#This Row],[Pgate_bottom (mW)]], Table7[[#This Row],[PIV (mW)]]+Table7[[#This Row],[Pqoss (mW)]]+Table7[[#This Row],[Pgate_bottom (mW)]])</f>
        <v>#REF!</v>
      </c>
      <c r="BE241" s="154" t="e">
        <f aca="false">Table7[[#This Row],[Pcon_bottom (mW)]]+Table7[[#This Row],[Psw_bottom (mW)]]</f>
        <v>#REF!</v>
      </c>
      <c r="BF241" s="152" t="e">
        <f aca="false">Table7[[#This Row],[Pbottom (mW)]]+Table7[[#This Row],[Ptop (mW)]]</f>
        <v>#REF!</v>
      </c>
      <c r="BG241" s="155"/>
      <c r="BH241" s="152" t="n">
        <f aca="false">MAX(0,Table7[[#This Row],[I_L]]-0.5*Table7[[#This Row],[I_L pkpk]])</f>
        <v>8.78214285714286</v>
      </c>
      <c r="BI241" s="152" t="n">
        <f aca="false">Table7[[#This Row],[I_L]]+0.5*Table7[[#This Row],[I_L pkpk]]</f>
        <v>9.06785714285714</v>
      </c>
      <c r="BJ241" s="152" t="n">
        <f aca="false">IF(VACnom&gt;Vbat, (VGS_S-(C_MOSFET_S_VTH_H_BU+Table7[[#This Row],[I_L]]/C_MOSFET_S_gFS_H_BU))/3.4, (VGS_S-(C_MOSFET_S_VTH_L_BO+Table7[[#This Row],[I_L]]/C_MOSFET_S_gFS_L_BO))/3.4 )</f>
        <v>2.33544117647059</v>
      </c>
      <c r="BK241" s="152" t="n">
        <f aca="false">IF(VACnom&gt;Vbat, ((C_MOSFET_S_VTH_H_BU+Table7[[#This Row],[I_L]]/C_MOSFET_S_gFS_H_BU))/1, ((C_MOSFET_S_VTH_L_BO+Table7[[#This Row],[I_L]]/C_MOSFET_S_gFS_L_BO))/1 )</f>
        <v>2.0595</v>
      </c>
      <c r="BL241" s="152" t="n">
        <f aca="false">IF(VACnom&gt;Vbat, (C_MOSFET_S_QGD_H_BU+C_MOSFET_S_QGS_H_BU)*10^-9/Table7[[#This Row],[Ion (A) C]], (C_MOSFET_S_QGD_L_BO+C_MOSFET_S_QGS_L_BO)*10^-9/Table7[[#This Row],[Ion (A) C]])/10^-9</f>
        <v>2.78320005037466</v>
      </c>
      <c r="BM241" s="152" t="n">
        <f aca="false">IF(VACnom&gt;Vbat, (C_MOSFET_S_QGD_H_BU+C_MOSFET_S_QGS_H_BU)*10^-9/Table7[[#This Row],[Ioff (A) C]], (C_MOSFET_S_QGD_L_BO+C_MOSFET_S_QGS_L_BO)*10^-9/Table7[[#This Row],[Ioff (A) C]])/10^-9</f>
        <v>3.15610585093469</v>
      </c>
      <c r="BN241" s="152" t="n">
        <f aca="false">0.5*VACnom*Table7[[#This Row],[Ivalley (A) C]]*Table7[[#This Row],[ton (ns) C]]*10^-9*Fsw*10^3+0.5*VACnom*Table7[[#This Row],[Ipeak (A) C]]*Table7[[#This Row],[toff (ns) C]]*10^-9*Fsw*10^3/10^-3</f>
        <v>34.3722713333445</v>
      </c>
      <c r="BO241" s="152" t="n">
        <f aca="false">IF(VACnom&gt;Vbat, 0.5*VACnom*C_MOSFET_S_QOSS_H_BU*10^-9*Fsw*10^3,0.5*VACnom*C_MOSFET_S_QOSS_L_BO*10^-9*Fsw*10^3)/10^-3</f>
        <v>43.2</v>
      </c>
      <c r="BP241" s="152" t="e">
        <f aca="false">IF(VACnom&gt;Vbat, VACnom*C_MOSFET_S_QG_H_BU*10^-9*Fsw*10^3,VACnom*C_MOSFET_S_QG_H_BO*10^-9*Fsw*10^3)/10^-3</f>
        <v>#REF!</v>
      </c>
      <c r="BQ241" s="152" t="n">
        <f aca="false">IF(VACnom&gt;Vbat, VACnom*C_MOSFET_S_QRR_L_BU*10^-9*Fsw*10^3, VACnom*C_MOSFET_S_QRR_H_BO*10^-9*Fsw*10^3)/10^-3</f>
        <v>79.2</v>
      </c>
      <c r="BR241" s="152" t="n">
        <f aca="false">IF(VACnom&gt;Vbat, C_MOSFET_S_VSD_L_BU*Table7[[#This Row],[Ivalley (A) C]]*Fsw*10^3*40*10^-9+C_MOSFET_S_VSD_L_BU*Table7[[#This Row],[Ipeak (A) C]]*Fsw*10^3*30*10^-9, C_MOSFET_S_VSD_H_BO*Table7[[#This Row],[Ivalley (A) C]]*Fsw*10^3*40*10^-9+C_MOSFET_S_VSD_H_BO*Table7[[#This Row],[Ipeak (A) C]]*Fsw*10^3*30*10^-9)/10^-3</f>
        <v>99.7314285714286</v>
      </c>
      <c r="BS241" s="152" t="e">
        <f aca="false">IF(VACnom&gt;Vbat, VACnom*C_MOSFET_S_QG_L_BU*10^-9*Fsw*10^3, VACnom*C_MOSFET_S_QG_L_BO*10^-9*Fsw*10^3)/10^-3</f>
        <v>#REF!</v>
      </c>
      <c r="BT241" s="152" t="n">
        <f aca="false">IF(VACnom&lt;Vbat, Table7[[#This Row],[Duty Cycle]]*Table7[[#This Row],[I_L RMS]]^2*C_MOSFET_S_RDSON_H_BU*10^-3, (1-Table7[[#This Row],[Duty Cycle]])*Table7[[#This Row],[I_L RMS]]^2*C_MOSFET_S_RDSON_H_BO*10^-3)/10^-3</f>
        <v>21.6226589528669</v>
      </c>
      <c r="BU241" s="152" t="e">
        <f aca="false">IF(VACnom&gt;Vbat, Table7[[#This Row],[PIV (mW) C]]+Table7[[#This Row],[PQoss (mW) C]]+Table7[[#This Row],[Pgate_top (mW) C]], Table7[[#This Row],[PRR (mW) C]]+Table7[[#This Row],[Pdead (mW) C]]+Table7[[#This Row],[Pgate_top (mW) C]])</f>
        <v>#REF!</v>
      </c>
      <c r="BV241" s="152" t="e">
        <f aca="false">Table7[[#This Row],[Pcon_top (mW) C]]+Table7[[#This Row],[Psw_top (mW) C]]</f>
        <v>#REF!</v>
      </c>
      <c r="BW241" s="152" t="e">
        <f aca="false">IF(VACnom&gt;Vbat, (1-Table7[[#This Row],[Duty Cycle]])*Table7[[#This Row],[I_L RMS]]^2*C_MOSFET_S_RDSON_L_BU*10^-3, Table7[[#This Row],[Duty Cycle]]*Table7[[#This Row],[I_L RMS]]^2*C_MOSFET_S_RDSON_L_BO*10^-3)/10^-3</f>
        <v>#REF!</v>
      </c>
      <c r="BX241" s="152" t="e">
        <f aca="false">IF(VACnom&gt;Vbat, Table7[[#This Row],[PRR (mW) C]]+Table7[[#This Row],[Pdead (mW) C]]+Table7[[#This Row],[Pgate_bottom (mW) C]], Table7[[#This Row],[PIV (mW) C]]+Table7[[#This Row],[PQoss (mW) C]]+Table7[[#This Row],[Pgate_bottom (mW) C]])</f>
        <v>#REF!</v>
      </c>
      <c r="BY241" s="152" t="e">
        <f aca="false">Table7[[#This Row],[Pcon_bottom (mW) C]]+Table7[[#This Row],[Psw_bottom (mV) C]]</f>
        <v>#REF!</v>
      </c>
      <c r="BZ241" s="152" t="e">
        <f aca="false">Table7[[#This Row],[Pbottom (mW) C]]+Table7[[#This Row],[Ptop (mW) C]]</f>
        <v>#REF!</v>
      </c>
      <c r="CA241" s="156"/>
      <c r="CB241" s="151" t="n">
        <f aca="false">(RAC_SNS*10^-3*(Table7[[#This Row],[IOUT (A)]]*Vbat/VACnom)^2/10^-3)</f>
        <v>398.278125</v>
      </c>
      <c r="CC241" s="151" t="n">
        <f aca="false">(RBAT_SNS*10^-3*Table7[[#This Row],[IOUT (A)]]^2)/10^-3</f>
        <v>361.25</v>
      </c>
      <c r="CD241" s="151" t="n">
        <f aca="false">IF(VACnom&gt;Vbat,(L_DRC*10^-3*(Table7[[#This Row],[IOUT (A)]])^2/10^-3),(L_DRC*10^-3*(Table7[[#This Row],[IOUT (A)]]*Vbat/VACnom)^2/10^-3))</f>
        <v>955.8675</v>
      </c>
      <c r="CE241" s="157"/>
      <c r="CF241" s="152" t="n">
        <f aca="false">(Table7[[#This Row],[R_AC (mW)]]+Table7[[#This Row],[R_SR (mW)]]+Table7[[#This Row],[Inductor Loss (mW)]])/10^3</f>
        <v>1.715395625</v>
      </c>
      <c r="CG241" s="152" t="e">
        <f aca="false">Table7[[#This Row],[Total TI (mW)]]/10^3</f>
        <v>#REF!</v>
      </c>
      <c r="CH241" s="152" t="e">
        <f aca="false">Table7[[#This Row],[Total Sense Loss]]+Table7[[#This Row],[Total MOSFET Loss]]</f>
        <v>#REF!</v>
      </c>
      <c r="CI241" s="158" t="e">
        <f aca="false">IF(Table7[[#This Row],[POUT (W)]]=0,0,(Table7[[#This Row],[POUT (W)]])/(Table7[[#This Row],[POUT (W)]]+Table7[[#This Row],[Total Power Loss (W)]]))*100</f>
        <v>#REF!</v>
      </c>
      <c r="CJ241" s="159"/>
      <c r="CK241" s="152" t="n">
        <f aca="false">(Table7[[#This Row],[R_AC (mW)]]+Table7[[#This Row],[R_SR (mW)]]+Table7[[#This Row],[Inductor Loss (mW)]])/10^3</f>
        <v>1.715395625</v>
      </c>
      <c r="CL241" s="152" t="e">
        <f aca="false">Table7[[#This Row],[Total (mW) C]]/10^3</f>
        <v>#REF!</v>
      </c>
      <c r="CM241" s="152" t="e">
        <f aca="false">Table7[[#This Row],[Total Sense Loss C]]+Table7[[#This Row],[Total MOSFET Loss C]]</f>
        <v>#REF!</v>
      </c>
      <c r="CN241" s="158" t="e">
        <f aca="false">IF(Table7[[#This Row],[POUT (W)]]=0,0,(Table7[[#This Row],[POUT (W)]])/(Table7[[#This Row],[POUT (W)]]+Table7[[#This Row],[Total Power Loss (W) C]]))*100</f>
        <v>#REF!</v>
      </c>
      <c r="CO241" s="159"/>
      <c r="CP241" s="158" t="n">
        <f aca="false">IF(MOSFET_S=Custom_MOSFET,Table7[[#This Row],[Total Sense Loss C]],Table7[[#This Row],[Total Sense Loss]])</f>
        <v>1.715395625</v>
      </c>
      <c r="CQ241" s="158" t="e">
        <f aca="false">IF(MOSFET_S=Custom_MOSFET,Table7[[#This Row],[Total MOSFET Loss C]],Table7[[#This Row],[Total MOSFET Loss]])</f>
        <v>#REF!</v>
      </c>
      <c r="CR241" s="158" t="e">
        <f aca="false">IF(MOSFET_S=Custom_MOSFET,Table7[[#This Row],[Efficiency C]],Table7[[#This Row],[Efficiency]])</f>
        <v>#REF!</v>
      </c>
      <c r="CS241" s="159"/>
      <c r="CT241" s="158" t="n">
        <f aca="false">IF(MOSFET_S=Compare_MOSFET, Table7[[#This Row],[Total Sense Loss C]], -100)</f>
        <v>-100</v>
      </c>
      <c r="CU241" s="158" t="n">
        <f aca="false">IF(MOSFET_S=Compare_MOSFET, Table7[[#This Row],[Total MOSFET Loss C]], -100)</f>
        <v>-100</v>
      </c>
      <c r="CV241" s="158" t="n">
        <f aca="false">IF(MOSFET_S=Compare_MOSFET, Table7[[#This Row],[Efficiency C]], -100)</f>
        <v>-100</v>
      </c>
      <c r="CW241" s="159"/>
      <c r="CX241" s="158" t="e">
        <f aca="false">IF(Save_Sel=CLR_Save,  Table7[[#This Row],[Total Sense Loss P1]], Table7[[#This Row],[Total Sense Loss P1 Saved]])</f>
        <v>#VALUE!</v>
      </c>
      <c r="CY241" s="158" t="e">
        <f aca="false">IF(Save_Sel=CLR_Save,  Table7[[#This Row],[Total MOSFET Loss P1]], Table7[[#This Row],[Total MOSFET Loss P1 Saved]] )</f>
        <v>#VALUE!</v>
      </c>
      <c r="CZ241" s="158" t="e">
        <f aca="false">IF(Save_Sel=CLR_Save, Table7[[#This Row],[Efficiency P1]], Table7[[#This Row],[Efficiency P1 Saved]])</f>
        <v>#VALUE!</v>
      </c>
      <c r="DA241" s="159"/>
      <c r="DB241" s="158" t="e">
        <f aca="false">IF(Save_Sel=CLR_Save,  Table7[[#This Row],[Total Sense Loss P2]], Table7[[#This Row],[Total Sense Loss P2 Saved]])</f>
        <v>#VALUE!</v>
      </c>
      <c r="DC241" s="158" t="e">
        <f aca="false">IF(Save_Sel=CLR_Save,  Table7[[#This Row],[Total MOSFET Loss P2]], Table7[[#This Row],[Total MOSFET Loss P2 Saved]] )</f>
        <v>#VALUE!</v>
      </c>
      <c r="DD241" s="158" t="e">
        <f aca="false">IF(Save_Sel=CLR_Save, Table7[[#This Row],[Efficiency P2]], Table7[[#This Row],[Efficiency P2 Saved]])</f>
        <v>#VALUE!</v>
      </c>
      <c r="DE241" s="159"/>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row>
    <row r="242" customFormat="false" ht="16.4" hidden="false" customHeight="false" outlineLevel="0" collapsed="false">
      <c r="A242" s="174"/>
      <c r="B242" s="174"/>
      <c r="C242" s="174"/>
      <c r="D242" s="174"/>
      <c r="E242" s="174"/>
      <c r="F242" s="174"/>
      <c r="G242" s="174"/>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150" t="n">
        <f aca="false">AF241+1</f>
        <v>86</v>
      </c>
      <c r="AG242" s="150" t="n">
        <f aca="false">$AG$156+AF242*($AG$256-$AG$156)/$AF$256</f>
        <v>8.6</v>
      </c>
      <c r="AH242" s="151" t="n">
        <f aca="false">AG242*VACnom</f>
        <v>103.2</v>
      </c>
      <c r="AI242" s="152" t="n">
        <f aca="false">IF(VACnom&lt;Vbat, (Vbat-VACnom)/Vbat, Vbat/VACnom)</f>
        <v>0.0476190476190476</v>
      </c>
      <c r="AJ242" s="152" t="n">
        <f aca="false">IF(VACnom&lt;Vbat, AG242/(1-AI242), AG242*AI242)</f>
        <v>9.03</v>
      </c>
      <c r="AK242" s="152" t="n">
        <f aca="false">Ipkpk_VACnom</f>
        <v>0.285714285714285</v>
      </c>
      <c r="AL242" s="152" t="n">
        <f aca="false">SQRT(AJ242^2+AK242^2/12)</f>
        <v>9.03037666551559</v>
      </c>
      <c r="AM242" s="153"/>
      <c r="AN242" s="152" t="n">
        <f aca="false">MAX(0,Table7[[#This Row],[I_L]]-0.5*Table7[[#This Row],[I_L pkpk]])</f>
        <v>8.88714285714286</v>
      </c>
      <c r="AO242" s="152" t="n">
        <f aca="false">Table7[[#This Row],[I_L]]+0.5*Table7[[#This Row],[I_L pkpk]]</f>
        <v>9.17285714285714</v>
      </c>
      <c r="AP242" s="152" t="e">
        <f aca="false">IF(VACnom&gt;Vbat, (VGS_S-(TI_MOSFET_S_VTH_H_BU+Table7[[#This Row],[I_L]]/TI_MOSFET_S_gFS_H_BU))/3.4, (VGS_S-(TI_MOSFET_S_VTH_L_BO+Table7[[#This Row],[I_L]]/TI_MOSFET_S_gFS_L_BO))/3.4 )</f>
        <v>#REF!</v>
      </c>
      <c r="AQ242" s="152" t="e">
        <f aca="false">IF(VACnom&gt;Vbat, ((TI_MOSFET_S_VTH_H_BU+Table7[[#This Row],[I_L]]/TI_MOSFET_S_gFS_H_BU))/1, ((TI_MOSFET_S_VTH_L_BO+Table7[[#This Row],[I_L]]/TI_MOSFET_S_gFS_L_BO))/1 )</f>
        <v>#REF!</v>
      </c>
      <c r="AR242" s="152" t="e">
        <f aca="false">IF(VACnom&gt;Vbat, (TI_MOSFET_S_QGD_H_BU+TI_MOSFET_S_QGS_H_BU)*10^-9/Table7[[#This Row],[Ion (A)]], (TI_MOSFET_S_QGD_L_BO+TI_MOSFET_S_QGS_L_BO)*10^-9/Table7[[#This Row],[Ion (A)]])/10^-9</f>
        <v>#REF!</v>
      </c>
      <c r="AS242" s="152" t="e">
        <f aca="false">IF(VACnom&gt;Vbat, (TI_MOSFET_S_QGD_H_BU+TI_MOSFET_S_QGS_H_BU)*10^-9/Table7[[#This Row],[Ioff (A)]], (TI_MOSFET_S_QGD_L_BO+TI_MOSFET_S_QGS_L_BO)*10^-9/Table7[[#This Row],[Ioff (A)]])/10^-9</f>
        <v>#REF!</v>
      </c>
      <c r="AT242" s="152" t="e">
        <f aca="false">0.5*VACnom*Table7[[#This Row],[Ivalley (A)]]*Table7[[#This Row],[ton (ns)]]*10^-9*Fsw*10^3+0.5*VACnom*Table7[[#This Row],[Ipeak (A)]]*Table7[[#This Row],[toff (ns)]]*10^-9*Fsw*10^3/10^-3</f>
        <v>#REF!</v>
      </c>
      <c r="AU242" s="152" t="e">
        <f aca="false">IF(VACnom&gt;Vbat, 0.5*VACnom*TI_MOSFET_S_QOSS_H_BU*10^-9*Fsw*10^3,0.5*VACnom*TI_MOSFET_S_QOSS_L_BO*10^-9*Fsw*10^3)/10^-3</f>
        <v>#REF!</v>
      </c>
      <c r="AV242" s="152" t="e">
        <f aca="false">IF(VACnom&gt;Vbat, VACnom*TI_MOSFET_S_QG_H_BU*10^-9*Fsw*10^3,VACnom*TI_MOSFET_S_QG_H_BO*10^-9*Fsw*10^3)/10^-3</f>
        <v>#REF!</v>
      </c>
      <c r="AW242" s="152" t="e">
        <f aca="false">IF(VACnom&gt;Vbat, VACnom*TI_MOSFET_S_QRR_L_BU*10^-9*Fsw*10^3, VACnom*TI_MOSFET_S_QRR_H_BO*10^-9*Fsw*10^3)/10^-3</f>
        <v>#REF!</v>
      </c>
      <c r="AX242" s="152" t="e">
        <f aca="false">IF(VACnom&gt;Vbat, TI_MOSFET_S_VSD_L_BU*Table7[[#This Row],[Ivalley (A)]]*Fsw*10^3*40*10^-9+TI_MOSFET_S_VSD_L_BU*Table7[[#This Row],[Ipeak (A)]]*Fsw*10^3*30*10^-9, TI_MOSFET_S_VSD_H_BO*Table7[[#This Row],[Ivalley (A)]]*Fsw*10^3*40*10^-9+TI_MOSFET_S_VSD_H_BO*Table7[[#This Row],[Ipeak (A)]]*Fsw*10^3*30*10^-9)/10^-3</f>
        <v>#REF!</v>
      </c>
      <c r="AY242" s="152" t="e">
        <f aca="false">IF(VACnom&gt;Vbat, VACnom*TI_MOSFET_S_QG_L_BU*10^-9*Fsw*10^3, VACnom*TI_MOSFET_S_QG_L_BO*10^-9*Fsw*10^3)/10^-3</f>
        <v>#REF!</v>
      </c>
      <c r="AZ242" s="152" t="e">
        <f aca="false">IF(VACnom&lt;Vbat, Table7[[#This Row],[Duty Cycle]]*Table7[[#This Row],[I_L RMS]]^2*TI_MOSFET_S_RDSON_H_BU*10^-3, (1-Table7[[#This Row],[Duty Cycle]])*Table7[[#This Row],[I_L RMS]]^2*TI_MOSFET_S_RDSON_H_BO*10^-3)/10^-3</f>
        <v>#REF!</v>
      </c>
      <c r="BA242" s="152" t="e">
        <f aca="false">IF(VACnom&gt;Vbat, Table7[[#This Row],[PIV (mW)]]+Table7[[#This Row],[Pqoss (mW)]]+Table7[[#This Row],[Pgate_top (mW)]], Table7[[#This Row],[PRR (mW)]]+Table7[[#This Row],[Pdead (mW)]]+Table7[[#This Row],[Pgate_top (mW)]])</f>
        <v>#REF!</v>
      </c>
      <c r="BB242" s="152" t="e">
        <f aca="false">Table7[[#This Row],[Pcon_top (mW)]]+Table7[[#This Row],[Psw_top (mW)]]</f>
        <v>#REF!</v>
      </c>
      <c r="BC242" s="152" t="e">
        <f aca="false">IF(VACnom&gt;Vbat, (1-Table7[[#This Row],[Duty Cycle]])*Table7[[#This Row],[I_L RMS]]^2*TI_MOSFET_S_RDSON_L_BU*10^-3, Table7[[#This Row],[Duty Cycle]]*Table7[[#This Row],[I_L RMS]]^2*TI_MOSFET_S_RDSON_L_BO*10^-3)/10^-3</f>
        <v>#REF!</v>
      </c>
      <c r="BD242" s="152" t="e">
        <f aca="false">IF(VACnom&gt;Vbat, Table7[[#This Row],[PRR (mW)]]+Table7[[#This Row],[Pdead (mW)]]+Table7[[#This Row],[Pgate_bottom (mW)]], Table7[[#This Row],[PIV (mW)]]+Table7[[#This Row],[Pqoss (mW)]]+Table7[[#This Row],[Pgate_bottom (mW)]])</f>
        <v>#REF!</v>
      </c>
      <c r="BE242" s="154" t="e">
        <f aca="false">Table7[[#This Row],[Pcon_bottom (mW)]]+Table7[[#This Row],[Psw_bottom (mW)]]</f>
        <v>#REF!</v>
      </c>
      <c r="BF242" s="152" t="e">
        <f aca="false">Table7[[#This Row],[Pbottom (mW)]]+Table7[[#This Row],[Ptop (mW)]]</f>
        <v>#REF!</v>
      </c>
      <c r="BG242" s="155"/>
      <c r="BH242" s="152" t="n">
        <f aca="false">MAX(0,Table7[[#This Row],[I_L]]-0.5*Table7[[#This Row],[I_L pkpk]])</f>
        <v>8.88714285714286</v>
      </c>
      <c r="BI242" s="152" t="n">
        <f aca="false">Table7[[#This Row],[I_L]]+0.5*Table7[[#This Row],[I_L pkpk]]</f>
        <v>9.17285714285714</v>
      </c>
      <c r="BJ242" s="152" t="n">
        <f aca="false">IF(VACnom&gt;Vbat, (VGS_S-(C_MOSFET_S_VTH_H_BU+Table7[[#This Row],[I_L]]/C_MOSFET_S_gFS_H_BU))/3.4, (VGS_S-(C_MOSFET_S_VTH_L_BO+Table7[[#This Row],[I_L]]/C_MOSFET_S_gFS_L_BO))/3.4 )</f>
        <v>2.33523529411765</v>
      </c>
      <c r="BK242" s="152" t="n">
        <f aca="false">IF(VACnom&gt;Vbat, ((C_MOSFET_S_VTH_H_BU+Table7[[#This Row],[I_L]]/C_MOSFET_S_gFS_H_BU))/1, ((C_MOSFET_S_VTH_L_BO+Table7[[#This Row],[I_L]]/C_MOSFET_S_gFS_L_BO))/1 )</f>
        <v>2.0602</v>
      </c>
      <c r="BL242" s="152" t="n">
        <f aca="false">IF(VACnom&gt;Vbat, (C_MOSFET_S_QGD_H_BU+C_MOSFET_S_QGS_H_BU)*10^-9/Table7[[#This Row],[Ion (A) C]], (C_MOSFET_S_QGD_L_BO+C_MOSFET_S_QGS_L_BO)*10^-9/Table7[[#This Row],[Ion (A) C]])/10^-9</f>
        <v>2.78344542683695</v>
      </c>
      <c r="BM242" s="152" t="n">
        <f aca="false">IF(VACnom&gt;Vbat, (C_MOSFET_S_QGD_H_BU+C_MOSFET_S_QGS_H_BU)*10^-9/Table7[[#This Row],[Ioff (A) C]], (C_MOSFET_S_QGD_L_BO+C_MOSFET_S_QGS_L_BO)*10^-9/Table7[[#This Row],[Ioff (A) C]])/10^-9</f>
        <v>3.15503349189399</v>
      </c>
      <c r="BN242" s="152" t="n">
        <f aca="false">0.5*VACnom*Table7[[#This Row],[Ivalley (A) C]]*Table7[[#This Row],[ton (ns) C]]*10^-9*Fsw*10^3+0.5*VACnom*Table7[[#This Row],[Ipeak (A) C]]*Table7[[#This Row],[toff (ns) C]]*10^-9*Fsw*10^3/10^-3</f>
        <v>34.75849005506</v>
      </c>
      <c r="BO242" s="152" t="n">
        <f aca="false">IF(VACnom&gt;Vbat, 0.5*VACnom*C_MOSFET_S_QOSS_H_BU*10^-9*Fsw*10^3,0.5*VACnom*C_MOSFET_S_QOSS_L_BO*10^-9*Fsw*10^3)/10^-3</f>
        <v>43.2</v>
      </c>
      <c r="BP242" s="152" t="e">
        <f aca="false">IF(VACnom&gt;Vbat, VACnom*C_MOSFET_S_QG_H_BU*10^-9*Fsw*10^3,VACnom*C_MOSFET_S_QG_H_BO*10^-9*Fsw*10^3)/10^-3</f>
        <v>#REF!</v>
      </c>
      <c r="BQ242" s="152" t="n">
        <f aca="false">IF(VACnom&gt;Vbat, VACnom*C_MOSFET_S_QRR_L_BU*10^-9*Fsw*10^3, VACnom*C_MOSFET_S_QRR_H_BO*10^-9*Fsw*10^3)/10^-3</f>
        <v>79.2</v>
      </c>
      <c r="BR242" s="152" t="n">
        <f aca="false">IF(VACnom&gt;Vbat, C_MOSFET_S_VSD_L_BU*Table7[[#This Row],[Ivalley (A) C]]*Fsw*10^3*40*10^-9+C_MOSFET_S_VSD_L_BU*Table7[[#This Row],[Ipeak (A) C]]*Fsw*10^3*30*10^-9, C_MOSFET_S_VSD_H_BO*Table7[[#This Row],[Ivalley (A) C]]*Fsw*10^3*40*10^-9+C_MOSFET_S_VSD_H_BO*Table7[[#This Row],[Ipeak (A) C]]*Fsw*10^3*30*10^-9)/10^-3</f>
        <v>100.907428571429</v>
      </c>
      <c r="BS242" s="152" t="e">
        <f aca="false">IF(VACnom&gt;Vbat, VACnom*C_MOSFET_S_QG_L_BU*10^-9*Fsw*10^3, VACnom*C_MOSFET_S_QG_L_BO*10^-9*Fsw*10^3)/10^-3</f>
        <v>#REF!</v>
      </c>
      <c r="BT242" s="152" t="n">
        <f aca="false">IF(VACnom&lt;Vbat, Table7[[#This Row],[Duty Cycle]]*Table7[[#This Row],[I_L RMS]]^2*C_MOSFET_S_RDSON_H_BU*10^-3, (1-Table7[[#This Row],[Duty Cycle]])*Table7[[#This Row],[I_L RMS]]^2*C_MOSFET_S_RDSON_H_BO*10^-3)/10^-3</f>
        <v>22.1343764528669</v>
      </c>
      <c r="BU242" s="152" t="e">
        <f aca="false">IF(VACnom&gt;Vbat, Table7[[#This Row],[PIV (mW) C]]+Table7[[#This Row],[PQoss (mW) C]]+Table7[[#This Row],[Pgate_top (mW) C]], Table7[[#This Row],[PRR (mW) C]]+Table7[[#This Row],[Pdead (mW) C]]+Table7[[#This Row],[Pgate_top (mW) C]])</f>
        <v>#REF!</v>
      </c>
      <c r="BV242" s="152" t="e">
        <f aca="false">Table7[[#This Row],[Pcon_top (mW) C]]+Table7[[#This Row],[Psw_top (mW) C]]</f>
        <v>#REF!</v>
      </c>
      <c r="BW242" s="152" t="e">
        <f aca="false">IF(VACnom&gt;Vbat, (1-Table7[[#This Row],[Duty Cycle]])*Table7[[#This Row],[I_L RMS]]^2*C_MOSFET_S_RDSON_L_BU*10^-3, Table7[[#This Row],[Duty Cycle]]*Table7[[#This Row],[I_L RMS]]^2*C_MOSFET_S_RDSON_L_BO*10^-3)/10^-3</f>
        <v>#REF!</v>
      </c>
      <c r="BX242" s="152" t="e">
        <f aca="false">IF(VACnom&gt;Vbat, Table7[[#This Row],[PRR (mW) C]]+Table7[[#This Row],[Pdead (mW) C]]+Table7[[#This Row],[Pgate_bottom (mW) C]], Table7[[#This Row],[PIV (mW) C]]+Table7[[#This Row],[PQoss (mW) C]]+Table7[[#This Row],[Pgate_bottom (mW) C]])</f>
        <v>#REF!</v>
      </c>
      <c r="BY242" s="152" t="e">
        <f aca="false">Table7[[#This Row],[Pcon_bottom (mW) C]]+Table7[[#This Row],[Psw_bottom (mV) C]]</f>
        <v>#REF!</v>
      </c>
      <c r="BZ242" s="152" t="e">
        <f aca="false">Table7[[#This Row],[Pbottom (mW) C]]+Table7[[#This Row],[Ptop (mW) C]]</f>
        <v>#REF!</v>
      </c>
      <c r="CA242" s="156"/>
      <c r="CB242" s="151" t="n">
        <f aca="false">(RAC_SNS*10^-3*(Table7[[#This Row],[IOUT (A)]]*Vbat/VACnom)^2/10^-3)</f>
        <v>407.7045</v>
      </c>
      <c r="CC242" s="151" t="n">
        <f aca="false">(RBAT_SNS*10^-3*Table7[[#This Row],[IOUT (A)]]^2)/10^-3</f>
        <v>369.8</v>
      </c>
      <c r="CD242" s="151" t="n">
        <f aca="false">IF(VACnom&gt;Vbat,(L_DRC*10^-3*(Table7[[#This Row],[IOUT (A)]])^2/10^-3),(L_DRC*10^-3*(Table7[[#This Row],[IOUT (A)]]*Vbat/VACnom)^2/10^-3))</f>
        <v>978.4908</v>
      </c>
      <c r="CE242" s="157"/>
      <c r="CF242" s="152" t="n">
        <f aca="false">(Table7[[#This Row],[R_AC (mW)]]+Table7[[#This Row],[R_SR (mW)]]+Table7[[#This Row],[Inductor Loss (mW)]])/10^3</f>
        <v>1.7559953</v>
      </c>
      <c r="CG242" s="152" t="e">
        <f aca="false">Table7[[#This Row],[Total TI (mW)]]/10^3</f>
        <v>#REF!</v>
      </c>
      <c r="CH242" s="152" t="e">
        <f aca="false">Table7[[#This Row],[Total Sense Loss]]+Table7[[#This Row],[Total MOSFET Loss]]</f>
        <v>#REF!</v>
      </c>
      <c r="CI242" s="158" t="e">
        <f aca="false">IF(Table7[[#This Row],[POUT (W)]]=0,0,(Table7[[#This Row],[POUT (W)]])/(Table7[[#This Row],[POUT (W)]]+Table7[[#This Row],[Total Power Loss (W)]]))*100</f>
        <v>#REF!</v>
      </c>
      <c r="CJ242" s="159"/>
      <c r="CK242" s="152" t="n">
        <f aca="false">(Table7[[#This Row],[R_AC (mW)]]+Table7[[#This Row],[R_SR (mW)]]+Table7[[#This Row],[Inductor Loss (mW)]])/10^3</f>
        <v>1.7559953</v>
      </c>
      <c r="CL242" s="152" t="e">
        <f aca="false">Table7[[#This Row],[Total (mW) C]]/10^3</f>
        <v>#REF!</v>
      </c>
      <c r="CM242" s="152" t="e">
        <f aca="false">Table7[[#This Row],[Total Sense Loss C]]+Table7[[#This Row],[Total MOSFET Loss C]]</f>
        <v>#REF!</v>
      </c>
      <c r="CN242" s="158" t="e">
        <f aca="false">IF(Table7[[#This Row],[POUT (W)]]=0,0,(Table7[[#This Row],[POUT (W)]])/(Table7[[#This Row],[POUT (W)]]+Table7[[#This Row],[Total Power Loss (W) C]]))*100</f>
        <v>#REF!</v>
      </c>
      <c r="CO242" s="159"/>
      <c r="CP242" s="158" t="n">
        <f aca="false">IF(MOSFET_S=Custom_MOSFET,Table7[[#This Row],[Total Sense Loss C]],Table7[[#This Row],[Total Sense Loss]])</f>
        <v>1.7559953</v>
      </c>
      <c r="CQ242" s="158" t="e">
        <f aca="false">IF(MOSFET_S=Custom_MOSFET,Table7[[#This Row],[Total MOSFET Loss C]],Table7[[#This Row],[Total MOSFET Loss]])</f>
        <v>#REF!</v>
      </c>
      <c r="CR242" s="158" t="e">
        <f aca="false">IF(MOSFET_S=Custom_MOSFET,Table7[[#This Row],[Efficiency C]],Table7[[#This Row],[Efficiency]])</f>
        <v>#REF!</v>
      </c>
      <c r="CS242" s="159"/>
      <c r="CT242" s="158" t="n">
        <f aca="false">IF(MOSFET_S=Compare_MOSFET, Table7[[#This Row],[Total Sense Loss C]], -100)</f>
        <v>-100</v>
      </c>
      <c r="CU242" s="158" t="n">
        <f aca="false">IF(MOSFET_S=Compare_MOSFET, Table7[[#This Row],[Total MOSFET Loss C]], -100)</f>
        <v>-100</v>
      </c>
      <c r="CV242" s="158" t="n">
        <f aca="false">IF(MOSFET_S=Compare_MOSFET, Table7[[#This Row],[Efficiency C]], -100)</f>
        <v>-100</v>
      </c>
      <c r="CW242" s="159"/>
      <c r="CX242" s="158" t="e">
        <f aca="false">IF(Save_Sel=CLR_Save,  Table7[[#This Row],[Total Sense Loss P1]], Table7[[#This Row],[Total Sense Loss P1 Saved]])</f>
        <v>#VALUE!</v>
      </c>
      <c r="CY242" s="158" t="e">
        <f aca="false">IF(Save_Sel=CLR_Save,  Table7[[#This Row],[Total MOSFET Loss P1]], Table7[[#This Row],[Total MOSFET Loss P1 Saved]] )</f>
        <v>#VALUE!</v>
      </c>
      <c r="CZ242" s="158" t="e">
        <f aca="false">IF(Save_Sel=CLR_Save, Table7[[#This Row],[Efficiency P1]], Table7[[#This Row],[Efficiency P1 Saved]])</f>
        <v>#VALUE!</v>
      </c>
      <c r="DA242" s="159"/>
      <c r="DB242" s="158" t="e">
        <f aca="false">IF(Save_Sel=CLR_Save,  Table7[[#This Row],[Total Sense Loss P2]], Table7[[#This Row],[Total Sense Loss P2 Saved]])</f>
        <v>#VALUE!</v>
      </c>
      <c r="DC242" s="158" t="e">
        <f aca="false">IF(Save_Sel=CLR_Save,  Table7[[#This Row],[Total MOSFET Loss P2]], Table7[[#This Row],[Total MOSFET Loss P2 Saved]] )</f>
        <v>#VALUE!</v>
      </c>
      <c r="DD242" s="158" t="e">
        <f aca="false">IF(Save_Sel=CLR_Save, Table7[[#This Row],[Efficiency P2]], Table7[[#This Row],[Efficiency P2 Saved]])</f>
        <v>#VALUE!</v>
      </c>
      <c r="DE242" s="159"/>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row>
    <row r="243" customFormat="false" ht="16.4" hidden="false" customHeight="false" outlineLevel="0" collapsed="false">
      <c r="A243" s="174"/>
      <c r="B243" s="174"/>
      <c r="C243" s="174"/>
      <c r="D243" s="174"/>
      <c r="E243" s="174"/>
      <c r="F243" s="174"/>
      <c r="G243" s="174"/>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150" t="n">
        <f aca="false">AF242+1</f>
        <v>87</v>
      </c>
      <c r="AG243" s="150" t="n">
        <f aca="false">$AG$156+AF243*($AG$256-$AG$156)/$AF$256</f>
        <v>8.7</v>
      </c>
      <c r="AH243" s="151" t="n">
        <f aca="false">AG243*VACnom</f>
        <v>104.4</v>
      </c>
      <c r="AI243" s="152" t="n">
        <f aca="false">IF(VACnom&lt;Vbat, (Vbat-VACnom)/Vbat, Vbat/VACnom)</f>
        <v>0.0476190476190476</v>
      </c>
      <c r="AJ243" s="152" t="n">
        <f aca="false">IF(VACnom&lt;Vbat, AG243/(1-AI243), AG243*AI243)</f>
        <v>9.135</v>
      </c>
      <c r="AK243" s="152" t="n">
        <f aca="false">Ipkpk_VACnom</f>
        <v>0.285714285714285</v>
      </c>
      <c r="AL243" s="152" t="n">
        <f aca="false">SQRT(AJ243^2+AK243^2/12)</f>
        <v>9.13537233620439</v>
      </c>
      <c r="AM243" s="153"/>
      <c r="AN243" s="152" t="n">
        <f aca="false">MAX(0,Table7[[#This Row],[I_L]]-0.5*Table7[[#This Row],[I_L pkpk]])</f>
        <v>8.99214285714286</v>
      </c>
      <c r="AO243" s="152" t="n">
        <f aca="false">Table7[[#This Row],[I_L]]+0.5*Table7[[#This Row],[I_L pkpk]]</f>
        <v>9.27785714285714</v>
      </c>
      <c r="AP243" s="152" t="e">
        <f aca="false">IF(VACnom&gt;Vbat, (VGS_S-(TI_MOSFET_S_VTH_H_BU+Table7[[#This Row],[I_L]]/TI_MOSFET_S_gFS_H_BU))/3.4, (VGS_S-(TI_MOSFET_S_VTH_L_BO+Table7[[#This Row],[I_L]]/TI_MOSFET_S_gFS_L_BO))/3.4 )</f>
        <v>#REF!</v>
      </c>
      <c r="AQ243" s="152" t="e">
        <f aca="false">IF(VACnom&gt;Vbat, ((TI_MOSFET_S_VTH_H_BU+Table7[[#This Row],[I_L]]/TI_MOSFET_S_gFS_H_BU))/1, ((TI_MOSFET_S_VTH_L_BO+Table7[[#This Row],[I_L]]/TI_MOSFET_S_gFS_L_BO))/1 )</f>
        <v>#REF!</v>
      </c>
      <c r="AR243" s="152" t="e">
        <f aca="false">IF(VACnom&gt;Vbat, (TI_MOSFET_S_QGD_H_BU+TI_MOSFET_S_QGS_H_BU)*10^-9/Table7[[#This Row],[Ion (A)]], (TI_MOSFET_S_QGD_L_BO+TI_MOSFET_S_QGS_L_BO)*10^-9/Table7[[#This Row],[Ion (A)]])/10^-9</f>
        <v>#REF!</v>
      </c>
      <c r="AS243" s="152" t="e">
        <f aca="false">IF(VACnom&gt;Vbat, (TI_MOSFET_S_QGD_H_BU+TI_MOSFET_S_QGS_H_BU)*10^-9/Table7[[#This Row],[Ioff (A)]], (TI_MOSFET_S_QGD_L_BO+TI_MOSFET_S_QGS_L_BO)*10^-9/Table7[[#This Row],[Ioff (A)]])/10^-9</f>
        <v>#REF!</v>
      </c>
      <c r="AT243" s="152" t="e">
        <f aca="false">0.5*VACnom*Table7[[#This Row],[Ivalley (A)]]*Table7[[#This Row],[ton (ns)]]*10^-9*Fsw*10^3+0.5*VACnom*Table7[[#This Row],[Ipeak (A)]]*Table7[[#This Row],[toff (ns)]]*10^-9*Fsw*10^3/10^-3</f>
        <v>#REF!</v>
      </c>
      <c r="AU243" s="152" t="e">
        <f aca="false">IF(VACnom&gt;Vbat, 0.5*VACnom*TI_MOSFET_S_QOSS_H_BU*10^-9*Fsw*10^3,0.5*VACnom*TI_MOSFET_S_QOSS_L_BO*10^-9*Fsw*10^3)/10^-3</f>
        <v>#REF!</v>
      </c>
      <c r="AV243" s="152" t="e">
        <f aca="false">IF(VACnom&gt;Vbat, VACnom*TI_MOSFET_S_QG_H_BU*10^-9*Fsw*10^3,VACnom*TI_MOSFET_S_QG_H_BO*10^-9*Fsw*10^3)/10^-3</f>
        <v>#REF!</v>
      </c>
      <c r="AW243" s="152" t="e">
        <f aca="false">IF(VACnom&gt;Vbat, VACnom*TI_MOSFET_S_QRR_L_BU*10^-9*Fsw*10^3, VACnom*TI_MOSFET_S_QRR_H_BO*10^-9*Fsw*10^3)/10^-3</f>
        <v>#REF!</v>
      </c>
      <c r="AX243" s="152" t="e">
        <f aca="false">IF(VACnom&gt;Vbat, TI_MOSFET_S_VSD_L_BU*Table7[[#This Row],[Ivalley (A)]]*Fsw*10^3*40*10^-9+TI_MOSFET_S_VSD_L_BU*Table7[[#This Row],[Ipeak (A)]]*Fsw*10^3*30*10^-9, TI_MOSFET_S_VSD_H_BO*Table7[[#This Row],[Ivalley (A)]]*Fsw*10^3*40*10^-9+TI_MOSFET_S_VSD_H_BO*Table7[[#This Row],[Ipeak (A)]]*Fsw*10^3*30*10^-9)/10^-3</f>
        <v>#REF!</v>
      </c>
      <c r="AY243" s="152" t="e">
        <f aca="false">IF(VACnom&gt;Vbat, VACnom*TI_MOSFET_S_QG_L_BU*10^-9*Fsw*10^3, VACnom*TI_MOSFET_S_QG_L_BO*10^-9*Fsw*10^3)/10^-3</f>
        <v>#REF!</v>
      </c>
      <c r="AZ243" s="152" t="e">
        <f aca="false">IF(VACnom&lt;Vbat, Table7[[#This Row],[Duty Cycle]]*Table7[[#This Row],[I_L RMS]]^2*TI_MOSFET_S_RDSON_H_BU*10^-3, (1-Table7[[#This Row],[Duty Cycle]])*Table7[[#This Row],[I_L RMS]]^2*TI_MOSFET_S_RDSON_H_BO*10^-3)/10^-3</f>
        <v>#REF!</v>
      </c>
      <c r="BA243" s="152" t="e">
        <f aca="false">IF(VACnom&gt;Vbat, Table7[[#This Row],[PIV (mW)]]+Table7[[#This Row],[Pqoss (mW)]]+Table7[[#This Row],[Pgate_top (mW)]], Table7[[#This Row],[PRR (mW)]]+Table7[[#This Row],[Pdead (mW)]]+Table7[[#This Row],[Pgate_top (mW)]])</f>
        <v>#REF!</v>
      </c>
      <c r="BB243" s="152" t="e">
        <f aca="false">Table7[[#This Row],[Pcon_top (mW)]]+Table7[[#This Row],[Psw_top (mW)]]</f>
        <v>#REF!</v>
      </c>
      <c r="BC243" s="152" t="e">
        <f aca="false">IF(VACnom&gt;Vbat, (1-Table7[[#This Row],[Duty Cycle]])*Table7[[#This Row],[I_L RMS]]^2*TI_MOSFET_S_RDSON_L_BU*10^-3, Table7[[#This Row],[Duty Cycle]]*Table7[[#This Row],[I_L RMS]]^2*TI_MOSFET_S_RDSON_L_BO*10^-3)/10^-3</f>
        <v>#REF!</v>
      </c>
      <c r="BD243" s="152" t="e">
        <f aca="false">IF(VACnom&gt;Vbat, Table7[[#This Row],[PRR (mW)]]+Table7[[#This Row],[Pdead (mW)]]+Table7[[#This Row],[Pgate_bottom (mW)]], Table7[[#This Row],[PIV (mW)]]+Table7[[#This Row],[Pqoss (mW)]]+Table7[[#This Row],[Pgate_bottom (mW)]])</f>
        <v>#REF!</v>
      </c>
      <c r="BE243" s="154" t="e">
        <f aca="false">Table7[[#This Row],[Pcon_bottom (mW)]]+Table7[[#This Row],[Psw_bottom (mW)]]</f>
        <v>#REF!</v>
      </c>
      <c r="BF243" s="152" t="e">
        <f aca="false">Table7[[#This Row],[Pbottom (mW)]]+Table7[[#This Row],[Ptop (mW)]]</f>
        <v>#REF!</v>
      </c>
      <c r="BG243" s="155"/>
      <c r="BH243" s="152" t="n">
        <f aca="false">MAX(0,Table7[[#This Row],[I_L]]-0.5*Table7[[#This Row],[I_L pkpk]])</f>
        <v>8.99214285714286</v>
      </c>
      <c r="BI243" s="152" t="n">
        <f aca="false">Table7[[#This Row],[I_L]]+0.5*Table7[[#This Row],[I_L pkpk]]</f>
        <v>9.27785714285714</v>
      </c>
      <c r="BJ243" s="152" t="n">
        <f aca="false">IF(VACnom&gt;Vbat, (VGS_S-(C_MOSFET_S_VTH_H_BU+Table7[[#This Row],[I_L]]/C_MOSFET_S_gFS_H_BU))/3.4, (VGS_S-(C_MOSFET_S_VTH_L_BO+Table7[[#This Row],[I_L]]/C_MOSFET_S_gFS_L_BO))/3.4 )</f>
        <v>2.33502941176471</v>
      </c>
      <c r="BK243" s="152" t="n">
        <f aca="false">IF(VACnom&gt;Vbat, ((C_MOSFET_S_VTH_H_BU+Table7[[#This Row],[I_L]]/C_MOSFET_S_gFS_H_BU))/1, ((C_MOSFET_S_VTH_L_BO+Table7[[#This Row],[I_L]]/C_MOSFET_S_gFS_L_BO))/1 )</f>
        <v>2.0609</v>
      </c>
      <c r="BL243" s="152" t="n">
        <f aca="false">IF(VACnom&gt;Vbat, (C_MOSFET_S_QGD_H_BU+C_MOSFET_S_QGS_H_BU)*10^-9/Table7[[#This Row],[Ion (A) C]], (C_MOSFET_S_QGD_L_BO+C_MOSFET_S_QGS_L_BO)*10^-9/Table7[[#This Row],[Ion (A) C]])/10^-9</f>
        <v>2.78369084656951</v>
      </c>
      <c r="BM243" s="152" t="n">
        <f aca="false">IF(VACnom&gt;Vbat, (C_MOSFET_S_QGD_H_BU+C_MOSFET_S_QGS_H_BU)*10^-9/Table7[[#This Row],[Ioff (A) C]], (C_MOSFET_S_QGD_L_BO+C_MOSFET_S_QGS_L_BO)*10^-9/Table7[[#This Row],[Ioff (A) C]])/10^-9</f>
        <v>3.15396186132272</v>
      </c>
      <c r="BN243" s="152" t="n">
        <f aca="false">0.5*VACnom*Table7[[#This Row],[Ivalley (A) C]]*Table7[[#This Row],[ton (ns) C]]*10^-9*Fsw*10^3+0.5*VACnom*Table7[[#This Row],[Ipeak (A) C]]*Table7[[#This Row],[toff (ns) C]]*10^-9*Fsw*10^3/10^-3</f>
        <v>35.1444467149614</v>
      </c>
      <c r="BO243" s="152" t="n">
        <f aca="false">IF(VACnom&gt;Vbat, 0.5*VACnom*C_MOSFET_S_QOSS_H_BU*10^-9*Fsw*10^3,0.5*VACnom*C_MOSFET_S_QOSS_L_BO*10^-9*Fsw*10^3)/10^-3</f>
        <v>43.2</v>
      </c>
      <c r="BP243" s="152" t="e">
        <f aca="false">IF(VACnom&gt;Vbat, VACnom*C_MOSFET_S_QG_H_BU*10^-9*Fsw*10^3,VACnom*C_MOSFET_S_QG_H_BO*10^-9*Fsw*10^3)/10^-3</f>
        <v>#REF!</v>
      </c>
      <c r="BQ243" s="152" t="n">
        <f aca="false">IF(VACnom&gt;Vbat, VACnom*C_MOSFET_S_QRR_L_BU*10^-9*Fsw*10^3, VACnom*C_MOSFET_S_QRR_H_BO*10^-9*Fsw*10^3)/10^-3</f>
        <v>79.2</v>
      </c>
      <c r="BR243" s="152" t="n">
        <f aca="false">IF(VACnom&gt;Vbat, C_MOSFET_S_VSD_L_BU*Table7[[#This Row],[Ivalley (A) C]]*Fsw*10^3*40*10^-9+C_MOSFET_S_VSD_L_BU*Table7[[#This Row],[Ipeak (A) C]]*Fsw*10^3*30*10^-9, C_MOSFET_S_VSD_H_BO*Table7[[#This Row],[Ivalley (A) C]]*Fsw*10^3*40*10^-9+C_MOSFET_S_VSD_H_BO*Table7[[#This Row],[Ipeak (A) C]]*Fsw*10^3*30*10^-9)/10^-3</f>
        <v>102.083428571429</v>
      </c>
      <c r="BS243" s="152" t="e">
        <f aca="false">IF(VACnom&gt;Vbat, VACnom*C_MOSFET_S_QG_L_BU*10^-9*Fsw*10^3, VACnom*C_MOSFET_S_QG_L_BO*10^-9*Fsw*10^3)/10^-3</f>
        <v>#REF!</v>
      </c>
      <c r="BT243" s="152" t="n">
        <f aca="false">IF(VACnom&lt;Vbat, Table7[[#This Row],[Duty Cycle]]*Table7[[#This Row],[I_L RMS]]^2*C_MOSFET_S_RDSON_H_BU*10^-3, (1-Table7[[#This Row],[Duty Cycle]])*Table7[[#This Row],[I_L RMS]]^2*C_MOSFET_S_RDSON_H_BO*10^-3)/10^-3</f>
        <v>22.6520789528668</v>
      </c>
      <c r="BU243" s="152" t="e">
        <f aca="false">IF(VACnom&gt;Vbat, Table7[[#This Row],[PIV (mW) C]]+Table7[[#This Row],[PQoss (mW) C]]+Table7[[#This Row],[Pgate_top (mW) C]], Table7[[#This Row],[PRR (mW) C]]+Table7[[#This Row],[Pdead (mW) C]]+Table7[[#This Row],[Pgate_top (mW) C]])</f>
        <v>#REF!</v>
      </c>
      <c r="BV243" s="152" t="e">
        <f aca="false">Table7[[#This Row],[Pcon_top (mW) C]]+Table7[[#This Row],[Psw_top (mW) C]]</f>
        <v>#REF!</v>
      </c>
      <c r="BW243" s="152" t="e">
        <f aca="false">IF(VACnom&gt;Vbat, (1-Table7[[#This Row],[Duty Cycle]])*Table7[[#This Row],[I_L RMS]]^2*C_MOSFET_S_RDSON_L_BU*10^-3, Table7[[#This Row],[Duty Cycle]]*Table7[[#This Row],[I_L RMS]]^2*C_MOSFET_S_RDSON_L_BO*10^-3)/10^-3</f>
        <v>#REF!</v>
      </c>
      <c r="BX243" s="152" t="e">
        <f aca="false">IF(VACnom&gt;Vbat, Table7[[#This Row],[PRR (mW) C]]+Table7[[#This Row],[Pdead (mW) C]]+Table7[[#This Row],[Pgate_bottom (mW) C]], Table7[[#This Row],[PIV (mW) C]]+Table7[[#This Row],[PQoss (mW) C]]+Table7[[#This Row],[Pgate_bottom (mW) C]])</f>
        <v>#REF!</v>
      </c>
      <c r="BY243" s="152" t="e">
        <f aca="false">Table7[[#This Row],[Pcon_bottom (mW) C]]+Table7[[#This Row],[Psw_bottom (mV) C]]</f>
        <v>#REF!</v>
      </c>
      <c r="BZ243" s="152" t="e">
        <f aca="false">Table7[[#This Row],[Pbottom (mW) C]]+Table7[[#This Row],[Ptop (mW) C]]</f>
        <v>#REF!</v>
      </c>
      <c r="CA243" s="156"/>
      <c r="CB243" s="151" t="n">
        <f aca="false">(RAC_SNS*10^-3*(Table7[[#This Row],[IOUT (A)]]*Vbat/VACnom)^2/10^-3)</f>
        <v>417.241125</v>
      </c>
      <c r="CC243" s="151" t="n">
        <f aca="false">(RBAT_SNS*10^-3*Table7[[#This Row],[IOUT (A)]]^2)/10^-3</f>
        <v>378.45</v>
      </c>
      <c r="CD243" s="151" t="n">
        <f aca="false">IF(VACnom&gt;Vbat,(L_DRC*10^-3*(Table7[[#This Row],[IOUT (A)]])^2/10^-3),(L_DRC*10^-3*(Table7[[#This Row],[IOUT (A)]]*Vbat/VACnom)^2/10^-3))</f>
        <v>1001.3787</v>
      </c>
      <c r="CE243" s="157"/>
      <c r="CF243" s="152" t="n">
        <f aca="false">(Table7[[#This Row],[R_AC (mW)]]+Table7[[#This Row],[R_SR (mW)]]+Table7[[#This Row],[Inductor Loss (mW)]])/10^3</f>
        <v>1.797069825</v>
      </c>
      <c r="CG243" s="152" t="e">
        <f aca="false">Table7[[#This Row],[Total TI (mW)]]/10^3</f>
        <v>#REF!</v>
      </c>
      <c r="CH243" s="152" t="e">
        <f aca="false">Table7[[#This Row],[Total Sense Loss]]+Table7[[#This Row],[Total MOSFET Loss]]</f>
        <v>#REF!</v>
      </c>
      <c r="CI243" s="158" t="e">
        <f aca="false">IF(Table7[[#This Row],[POUT (W)]]=0,0,(Table7[[#This Row],[POUT (W)]])/(Table7[[#This Row],[POUT (W)]]+Table7[[#This Row],[Total Power Loss (W)]]))*100</f>
        <v>#REF!</v>
      </c>
      <c r="CJ243" s="159"/>
      <c r="CK243" s="152" t="n">
        <f aca="false">(Table7[[#This Row],[R_AC (mW)]]+Table7[[#This Row],[R_SR (mW)]]+Table7[[#This Row],[Inductor Loss (mW)]])/10^3</f>
        <v>1.797069825</v>
      </c>
      <c r="CL243" s="152" t="e">
        <f aca="false">Table7[[#This Row],[Total (mW) C]]/10^3</f>
        <v>#REF!</v>
      </c>
      <c r="CM243" s="152" t="e">
        <f aca="false">Table7[[#This Row],[Total Sense Loss C]]+Table7[[#This Row],[Total MOSFET Loss C]]</f>
        <v>#REF!</v>
      </c>
      <c r="CN243" s="158" t="e">
        <f aca="false">IF(Table7[[#This Row],[POUT (W)]]=0,0,(Table7[[#This Row],[POUT (W)]])/(Table7[[#This Row],[POUT (W)]]+Table7[[#This Row],[Total Power Loss (W) C]]))*100</f>
        <v>#REF!</v>
      </c>
      <c r="CO243" s="159"/>
      <c r="CP243" s="158" t="n">
        <f aca="false">IF(MOSFET_S=Custom_MOSFET,Table7[[#This Row],[Total Sense Loss C]],Table7[[#This Row],[Total Sense Loss]])</f>
        <v>1.797069825</v>
      </c>
      <c r="CQ243" s="158" t="e">
        <f aca="false">IF(MOSFET_S=Custom_MOSFET,Table7[[#This Row],[Total MOSFET Loss C]],Table7[[#This Row],[Total MOSFET Loss]])</f>
        <v>#REF!</v>
      </c>
      <c r="CR243" s="158" t="e">
        <f aca="false">IF(MOSFET_S=Custom_MOSFET,Table7[[#This Row],[Efficiency C]],Table7[[#This Row],[Efficiency]])</f>
        <v>#REF!</v>
      </c>
      <c r="CS243" s="159"/>
      <c r="CT243" s="158" t="n">
        <f aca="false">IF(MOSFET_S=Compare_MOSFET, Table7[[#This Row],[Total Sense Loss C]], -100)</f>
        <v>-100</v>
      </c>
      <c r="CU243" s="158" t="n">
        <f aca="false">IF(MOSFET_S=Compare_MOSFET, Table7[[#This Row],[Total MOSFET Loss C]], -100)</f>
        <v>-100</v>
      </c>
      <c r="CV243" s="158" t="n">
        <f aca="false">IF(MOSFET_S=Compare_MOSFET, Table7[[#This Row],[Efficiency C]], -100)</f>
        <v>-100</v>
      </c>
      <c r="CW243" s="159"/>
      <c r="CX243" s="158" t="e">
        <f aca="false">IF(Save_Sel=CLR_Save,  Table7[[#This Row],[Total Sense Loss P1]], Table7[[#This Row],[Total Sense Loss P1 Saved]])</f>
        <v>#VALUE!</v>
      </c>
      <c r="CY243" s="158" t="e">
        <f aca="false">IF(Save_Sel=CLR_Save,  Table7[[#This Row],[Total MOSFET Loss P1]], Table7[[#This Row],[Total MOSFET Loss P1 Saved]] )</f>
        <v>#VALUE!</v>
      </c>
      <c r="CZ243" s="158" t="e">
        <f aca="false">IF(Save_Sel=CLR_Save, Table7[[#This Row],[Efficiency P1]], Table7[[#This Row],[Efficiency P1 Saved]])</f>
        <v>#VALUE!</v>
      </c>
      <c r="DA243" s="159"/>
      <c r="DB243" s="158" t="e">
        <f aca="false">IF(Save_Sel=CLR_Save,  Table7[[#This Row],[Total Sense Loss P2]], Table7[[#This Row],[Total Sense Loss P2 Saved]])</f>
        <v>#VALUE!</v>
      </c>
      <c r="DC243" s="158" t="e">
        <f aca="false">IF(Save_Sel=CLR_Save,  Table7[[#This Row],[Total MOSFET Loss P2]], Table7[[#This Row],[Total MOSFET Loss P2 Saved]] )</f>
        <v>#VALUE!</v>
      </c>
      <c r="DD243" s="158" t="e">
        <f aca="false">IF(Save_Sel=CLR_Save, Table7[[#This Row],[Efficiency P2]], Table7[[#This Row],[Efficiency P2 Saved]])</f>
        <v>#VALUE!</v>
      </c>
      <c r="DE243" s="159"/>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row>
    <row r="244" customFormat="false" ht="16.4" hidden="false" customHeight="false" outlineLevel="0" collapsed="false">
      <c r="A244" s="174"/>
      <c r="B244" s="174"/>
      <c r="C244" s="174"/>
      <c r="D244" s="174"/>
      <c r="E244" s="174"/>
      <c r="F244" s="174"/>
      <c r="G244" s="174"/>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150" t="n">
        <f aca="false">AF243+1</f>
        <v>88</v>
      </c>
      <c r="AG244" s="150" t="n">
        <f aca="false">$AG$156+AF244*($AG$256-$AG$156)/$AF$256</f>
        <v>8.8</v>
      </c>
      <c r="AH244" s="151" t="n">
        <f aca="false">AG244*VACnom</f>
        <v>105.6</v>
      </c>
      <c r="AI244" s="152" t="n">
        <f aca="false">IF(VACnom&lt;Vbat, (Vbat-VACnom)/Vbat, Vbat/VACnom)</f>
        <v>0.0476190476190476</v>
      </c>
      <c r="AJ244" s="152" t="n">
        <f aca="false">IF(VACnom&lt;Vbat, AG244/(1-AI244), AG244*AI244)</f>
        <v>9.24</v>
      </c>
      <c r="AK244" s="152" t="n">
        <f aca="false">Ipkpk_VACnom</f>
        <v>0.285714285714285</v>
      </c>
      <c r="AL244" s="152" t="n">
        <f aca="false">SQRT(AJ244^2+AK244^2/12)</f>
        <v>9.24036810528068</v>
      </c>
      <c r="AM244" s="153"/>
      <c r="AN244" s="152" t="n">
        <f aca="false">MAX(0,Table7[[#This Row],[I_L]]-0.5*Table7[[#This Row],[I_L pkpk]])</f>
        <v>9.09714285714286</v>
      </c>
      <c r="AO244" s="152" t="n">
        <f aca="false">Table7[[#This Row],[I_L]]+0.5*Table7[[#This Row],[I_L pkpk]]</f>
        <v>9.38285714285714</v>
      </c>
      <c r="AP244" s="152" t="e">
        <f aca="false">IF(VACnom&gt;Vbat, (VGS_S-(TI_MOSFET_S_VTH_H_BU+Table7[[#This Row],[I_L]]/TI_MOSFET_S_gFS_H_BU))/3.4, (VGS_S-(TI_MOSFET_S_VTH_L_BO+Table7[[#This Row],[I_L]]/TI_MOSFET_S_gFS_L_BO))/3.4 )</f>
        <v>#REF!</v>
      </c>
      <c r="AQ244" s="152" t="e">
        <f aca="false">IF(VACnom&gt;Vbat, ((TI_MOSFET_S_VTH_H_BU+Table7[[#This Row],[I_L]]/TI_MOSFET_S_gFS_H_BU))/1, ((TI_MOSFET_S_VTH_L_BO+Table7[[#This Row],[I_L]]/TI_MOSFET_S_gFS_L_BO))/1 )</f>
        <v>#REF!</v>
      </c>
      <c r="AR244" s="152" t="e">
        <f aca="false">IF(VACnom&gt;Vbat, (TI_MOSFET_S_QGD_H_BU+TI_MOSFET_S_QGS_H_BU)*10^-9/Table7[[#This Row],[Ion (A)]], (TI_MOSFET_S_QGD_L_BO+TI_MOSFET_S_QGS_L_BO)*10^-9/Table7[[#This Row],[Ion (A)]])/10^-9</f>
        <v>#REF!</v>
      </c>
      <c r="AS244" s="152" t="e">
        <f aca="false">IF(VACnom&gt;Vbat, (TI_MOSFET_S_QGD_H_BU+TI_MOSFET_S_QGS_H_BU)*10^-9/Table7[[#This Row],[Ioff (A)]], (TI_MOSFET_S_QGD_L_BO+TI_MOSFET_S_QGS_L_BO)*10^-9/Table7[[#This Row],[Ioff (A)]])/10^-9</f>
        <v>#REF!</v>
      </c>
      <c r="AT244" s="152" t="e">
        <f aca="false">0.5*VACnom*Table7[[#This Row],[Ivalley (A)]]*Table7[[#This Row],[ton (ns)]]*10^-9*Fsw*10^3+0.5*VACnom*Table7[[#This Row],[Ipeak (A)]]*Table7[[#This Row],[toff (ns)]]*10^-9*Fsw*10^3/10^-3</f>
        <v>#REF!</v>
      </c>
      <c r="AU244" s="152" t="e">
        <f aca="false">IF(VACnom&gt;Vbat, 0.5*VACnom*TI_MOSFET_S_QOSS_H_BU*10^-9*Fsw*10^3,0.5*VACnom*TI_MOSFET_S_QOSS_L_BO*10^-9*Fsw*10^3)/10^-3</f>
        <v>#REF!</v>
      </c>
      <c r="AV244" s="152" t="e">
        <f aca="false">IF(VACnom&gt;Vbat, VACnom*TI_MOSFET_S_QG_H_BU*10^-9*Fsw*10^3,VACnom*TI_MOSFET_S_QG_H_BO*10^-9*Fsw*10^3)/10^-3</f>
        <v>#REF!</v>
      </c>
      <c r="AW244" s="152" t="e">
        <f aca="false">IF(VACnom&gt;Vbat, VACnom*TI_MOSFET_S_QRR_L_BU*10^-9*Fsw*10^3, VACnom*TI_MOSFET_S_QRR_H_BO*10^-9*Fsw*10^3)/10^-3</f>
        <v>#REF!</v>
      </c>
      <c r="AX244" s="152" t="e">
        <f aca="false">IF(VACnom&gt;Vbat, TI_MOSFET_S_VSD_L_BU*Table7[[#This Row],[Ivalley (A)]]*Fsw*10^3*40*10^-9+TI_MOSFET_S_VSD_L_BU*Table7[[#This Row],[Ipeak (A)]]*Fsw*10^3*30*10^-9, TI_MOSFET_S_VSD_H_BO*Table7[[#This Row],[Ivalley (A)]]*Fsw*10^3*40*10^-9+TI_MOSFET_S_VSD_H_BO*Table7[[#This Row],[Ipeak (A)]]*Fsw*10^3*30*10^-9)/10^-3</f>
        <v>#REF!</v>
      </c>
      <c r="AY244" s="152" t="e">
        <f aca="false">IF(VACnom&gt;Vbat, VACnom*TI_MOSFET_S_QG_L_BU*10^-9*Fsw*10^3, VACnom*TI_MOSFET_S_QG_L_BO*10^-9*Fsw*10^3)/10^-3</f>
        <v>#REF!</v>
      </c>
      <c r="AZ244" s="152" t="e">
        <f aca="false">IF(VACnom&lt;Vbat, Table7[[#This Row],[Duty Cycle]]*Table7[[#This Row],[I_L RMS]]^2*TI_MOSFET_S_RDSON_H_BU*10^-3, (1-Table7[[#This Row],[Duty Cycle]])*Table7[[#This Row],[I_L RMS]]^2*TI_MOSFET_S_RDSON_H_BO*10^-3)/10^-3</f>
        <v>#REF!</v>
      </c>
      <c r="BA244" s="152" t="e">
        <f aca="false">IF(VACnom&gt;Vbat, Table7[[#This Row],[PIV (mW)]]+Table7[[#This Row],[Pqoss (mW)]]+Table7[[#This Row],[Pgate_top (mW)]], Table7[[#This Row],[PRR (mW)]]+Table7[[#This Row],[Pdead (mW)]]+Table7[[#This Row],[Pgate_top (mW)]])</f>
        <v>#REF!</v>
      </c>
      <c r="BB244" s="152" t="e">
        <f aca="false">Table7[[#This Row],[Pcon_top (mW)]]+Table7[[#This Row],[Psw_top (mW)]]</f>
        <v>#REF!</v>
      </c>
      <c r="BC244" s="152" t="e">
        <f aca="false">IF(VACnom&gt;Vbat, (1-Table7[[#This Row],[Duty Cycle]])*Table7[[#This Row],[I_L RMS]]^2*TI_MOSFET_S_RDSON_L_BU*10^-3, Table7[[#This Row],[Duty Cycle]]*Table7[[#This Row],[I_L RMS]]^2*TI_MOSFET_S_RDSON_L_BO*10^-3)/10^-3</f>
        <v>#REF!</v>
      </c>
      <c r="BD244" s="152" t="e">
        <f aca="false">IF(VACnom&gt;Vbat, Table7[[#This Row],[PRR (mW)]]+Table7[[#This Row],[Pdead (mW)]]+Table7[[#This Row],[Pgate_bottom (mW)]], Table7[[#This Row],[PIV (mW)]]+Table7[[#This Row],[Pqoss (mW)]]+Table7[[#This Row],[Pgate_bottom (mW)]])</f>
        <v>#REF!</v>
      </c>
      <c r="BE244" s="154" t="e">
        <f aca="false">Table7[[#This Row],[Pcon_bottom (mW)]]+Table7[[#This Row],[Psw_bottom (mW)]]</f>
        <v>#REF!</v>
      </c>
      <c r="BF244" s="152" t="e">
        <f aca="false">Table7[[#This Row],[Pbottom (mW)]]+Table7[[#This Row],[Ptop (mW)]]</f>
        <v>#REF!</v>
      </c>
      <c r="BG244" s="155"/>
      <c r="BH244" s="152" t="n">
        <f aca="false">MAX(0,Table7[[#This Row],[I_L]]-0.5*Table7[[#This Row],[I_L pkpk]])</f>
        <v>9.09714285714286</v>
      </c>
      <c r="BI244" s="152" t="n">
        <f aca="false">Table7[[#This Row],[I_L]]+0.5*Table7[[#This Row],[I_L pkpk]]</f>
        <v>9.38285714285714</v>
      </c>
      <c r="BJ244" s="152" t="n">
        <f aca="false">IF(VACnom&gt;Vbat, (VGS_S-(C_MOSFET_S_VTH_H_BU+Table7[[#This Row],[I_L]]/C_MOSFET_S_gFS_H_BU))/3.4, (VGS_S-(C_MOSFET_S_VTH_L_BO+Table7[[#This Row],[I_L]]/C_MOSFET_S_gFS_L_BO))/3.4 )</f>
        <v>2.33482352941176</v>
      </c>
      <c r="BK244" s="152" t="n">
        <f aca="false">IF(VACnom&gt;Vbat, ((C_MOSFET_S_VTH_H_BU+Table7[[#This Row],[I_L]]/C_MOSFET_S_gFS_H_BU))/1, ((C_MOSFET_S_VTH_L_BO+Table7[[#This Row],[I_L]]/C_MOSFET_S_gFS_L_BO))/1 )</f>
        <v>2.0616</v>
      </c>
      <c r="BL244" s="152" t="n">
        <f aca="false">IF(VACnom&gt;Vbat, (C_MOSFET_S_QGD_H_BU+C_MOSFET_S_QGS_H_BU)*10^-9/Table7[[#This Row],[Ion (A) C]], (C_MOSFET_S_QGD_L_BO+C_MOSFET_S_QGS_L_BO)*10^-9/Table7[[#This Row],[Ion (A) C]])/10^-9</f>
        <v>2.7839363095838</v>
      </c>
      <c r="BM244" s="152" t="n">
        <f aca="false">IF(VACnom&gt;Vbat, (C_MOSFET_S_QGD_H_BU+C_MOSFET_S_QGS_H_BU)*10^-9/Table7[[#This Row],[Ioff (A) C]], (C_MOSFET_S_QGD_L_BO+C_MOSFET_S_QGS_L_BO)*10^-9/Table7[[#This Row],[Ioff (A) C]])/10^-9</f>
        <v>3.15289095847885</v>
      </c>
      <c r="BN244" s="152" t="n">
        <f aca="false">0.5*VACnom*Table7[[#This Row],[Ivalley (A) C]]*Table7[[#This Row],[ton (ns) C]]*10^-9*Fsw*10^3+0.5*VACnom*Table7[[#This Row],[Ipeak (A) C]]*Table7[[#This Row],[toff (ns) C]]*10^-9*Fsw*10^3/10^-3</f>
        <v>35.5301415800718</v>
      </c>
      <c r="BO244" s="152" t="n">
        <f aca="false">IF(VACnom&gt;Vbat, 0.5*VACnom*C_MOSFET_S_QOSS_H_BU*10^-9*Fsw*10^3,0.5*VACnom*C_MOSFET_S_QOSS_L_BO*10^-9*Fsw*10^3)/10^-3</f>
        <v>43.2</v>
      </c>
      <c r="BP244" s="152" t="e">
        <f aca="false">IF(VACnom&gt;Vbat, VACnom*C_MOSFET_S_QG_H_BU*10^-9*Fsw*10^3,VACnom*C_MOSFET_S_QG_H_BO*10^-9*Fsw*10^3)/10^-3</f>
        <v>#REF!</v>
      </c>
      <c r="BQ244" s="152" t="n">
        <f aca="false">IF(VACnom&gt;Vbat, VACnom*C_MOSFET_S_QRR_L_BU*10^-9*Fsw*10^3, VACnom*C_MOSFET_S_QRR_H_BO*10^-9*Fsw*10^3)/10^-3</f>
        <v>79.2</v>
      </c>
      <c r="BR244" s="152" t="n">
        <f aca="false">IF(VACnom&gt;Vbat, C_MOSFET_S_VSD_L_BU*Table7[[#This Row],[Ivalley (A) C]]*Fsw*10^3*40*10^-9+C_MOSFET_S_VSD_L_BU*Table7[[#This Row],[Ipeak (A) C]]*Fsw*10^3*30*10^-9, C_MOSFET_S_VSD_H_BO*Table7[[#This Row],[Ivalley (A) C]]*Fsw*10^3*40*10^-9+C_MOSFET_S_VSD_H_BO*Table7[[#This Row],[Ipeak (A) C]]*Fsw*10^3*30*10^-9)/10^-3</f>
        <v>103.259428571429</v>
      </c>
      <c r="BS244" s="152" t="e">
        <f aca="false">IF(VACnom&gt;Vbat, VACnom*C_MOSFET_S_QG_L_BU*10^-9*Fsw*10^3, VACnom*C_MOSFET_S_QG_L_BO*10^-9*Fsw*10^3)/10^-3</f>
        <v>#REF!</v>
      </c>
      <c r="BT244" s="152" t="n">
        <f aca="false">IF(VACnom&lt;Vbat, Table7[[#This Row],[Duty Cycle]]*Table7[[#This Row],[I_L RMS]]^2*C_MOSFET_S_RDSON_H_BU*10^-3, (1-Table7[[#This Row],[Duty Cycle]])*Table7[[#This Row],[I_L RMS]]^2*C_MOSFET_S_RDSON_H_BO*10^-3)/10^-3</f>
        <v>23.1757664528669</v>
      </c>
      <c r="BU244" s="152" t="e">
        <f aca="false">IF(VACnom&gt;Vbat, Table7[[#This Row],[PIV (mW) C]]+Table7[[#This Row],[PQoss (mW) C]]+Table7[[#This Row],[Pgate_top (mW) C]], Table7[[#This Row],[PRR (mW) C]]+Table7[[#This Row],[Pdead (mW) C]]+Table7[[#This Row],[Pgate_top (mW) C]])</f>
        <v>#REF!</v>
      </c>
      <c r="BV244" s="152" t="e">
        <f aca="false">Table7[[#This Row],[Pcon_top (mW) C]]+Table7[[#This Row],[Psw_top (mW) C]]</f>
        <v>#REF!</v>
      </c>
      <c r="BW244" s="152" t="e">
        <f aca="false">IF(VACnom&gt;Vbat, (1-Table7[[#This Row],[Duty Cycle]])*Table7[[#This Row],[I_L RMS]]^2*C_MOSFET_S_RDSON_L_BU*10^-3, Table7[[#This Row],[Duty Cycle]]*Table7[[#This Row],[I_L RMS]]^2*C_MOSFET_S_RDSON_L_BO*10^-3)/10^-3</f>
        <v>#REF!</v>
      </c>
      <c r="BX244" s="152" t="e">
        <f aca="false">IF(VACnom&gt;Vbat, Table7[[#This Row],[PRR (mW) C]]+Table7[[#This Row],[Pdead (mW) C]]+Table7[[#This Row],[Pgate_bottom (mW) C]], Table7[[#This Row],[PIV (mW) C]]+Table7[[#This Row],[PQoss (mW) C]]+Table7[[#This Row],[Pgate_bottom (mW) C]])</f>
        <v>#REF!</v>
      </c>
      <c r="BY244" s="152" t="e">
        <f aca="false">Table7[[#This Row],[Pcon_bottom (mW) C]]+Table7[[#This Row],[Psw_bottom (mV) C]]</f>
        <v>#REF!</v>
      </c>
      <c r="BZ244" s="152" t="e">
        <f aca="false">Table7[[#This Row],[Pbottom (mW) C]]+Table7[[#This Row],[Ptop (mW) C]]</f>
        <v>#REF!</v>
      </c>
      <c r="CA244" s="156"/>
      <c r="CB244" s="151" t="n">
        <f aca="false">(RAC_SNS*10^-3*(Table7[[#This Row],[IOUT (A)]]*Vbat/VACnom)^2/10^-3)</f>
        <v>426.888</v>
      </c>
      <c r="CC244" s="151" t="n">
        <f aca="false">(RBAT_SNS*10^-3*Table7[[#This Row],[IOUT (A)]]^2)/10^-3</f>
        <v>387.2</v>
      </c>
      <c r="CD244" s="151" t="n">
        <f aca="false">IF(VACnom&gt;Vbat,(L_DRC*10^-3*(Table7[[#This Row],[IOUT (A)]])^2/10^-3),(L_DRC*10^-3*(Table7[[#This Row],[IOUT (A)]]*Vbat/VACnom)^2/10^-3))</f>
        <v>1024.5312</v>
      </c>
      <c r="CE244" s="157"/>
      <c r="CF244" s="152" t="n">
        <f aca="false">(Table7[[#This Row],[R_AC (mW)]]+Table7[[#This Row],[R_SR (mW)]]+Table7[[#This Row],[Inductor Loss (mW)]])/10^3</f>
        <v>1.8386192</v>
      </c>
      <c r="CG244" s="152" t="e">
        <f aca="false">Table7[[#This Row],[Total TI (mW)]]/10^3</f>
        <v>#REF!</v>
      </c>
      <c r="CH244" s="152" t="e">
        <f aca="false">Table7[[#This Row],[Total Sense Loss]]+Table7[[#This Row],[Total MOSFET Loss]]</f>
        <v>#REF!</v>
      </c>
      <c r="CI244" s="158" t="e">
        <f aca="false">IF(Table7[[#This Row],[POUT (W)]]=0,0,(Table7[[#This Row],[POUT (W)]])/(Table7[[#This Row],[POUT (W)]]+Table7[[#This Row],[Total Power Loss (W)]]))*100</f>
        <v>#REF!</v>
      </c>
      <c r="CJ244" s="159"/>
      <c r="CK244" s="152" t="n">
        <f aca="false">(Table7[[#This Row],[R_AC (mW)]]+Table7[[#This Row],[R_SR (mW)]]+Table7[[#This Row],[Inductor Loss (mW)]])/10^3</f>
        <v>1.8386192</v>
      </c>
      <c r="CL244" s="152" t="e">
        <f aca="false">Table7[[#This Row],[Total (mW) C]]/10^3</f>
        <v>#REF!</v>
      </c>
      <c r="CM244" s="152" t="e">
        <f aca="false">Table7[[#This Row],[Total Sense Loss C]]+Table7[[#This Row],[Total MOSFET Loss C]]</f>
        <v>#REF!</v>
      </c>
      <c r="CN244" s="158" t="e">
        <f aca="false">IF(Table7[[#This Row],[POUT (W)]]=0,0,(Table7[[#This Row],[POUT (W)]])/(Table7[[#This Row],[POUT (W)]]+Table7[[#This Row],[Total Power Loss (W) C]]))*100</f>
        <v>#REF!</v>
      </c>
      <c r="CO244" s="159"/>
      <c r="CP244" s="158" t="n">
        <f aca="false">IF(MOSFET_S=Custom_MOSFET,Table7[[#This Row],[Total Sense Loss C]],Table7[[#This Row],[Total Sense Loss]])</f>
        <v>1.8386192</v>
      </c>
      <c r="CQ244" s="158" t="e">
        <f aca="false">IF(MOSFET_S=Custom_MOSFET,Table7[[#This Row],[Total MOSFET Loss C]],Table7[[#This Row],[Total MOSFET Loss]])</f>
        <v>#REF!</v>
      </c>
      <c r="CR244" s="158" t="e">
        <f aca="false">IF(MOSFET_S=Custom_MOSFET,Table7[[#This Row],[Efficiency C]],Table7[[#This Row],[Efficiency]])</f>
        <v>#REF!</v>
      </c>
      <c r="CS244" s="159"/>
      <c r="CT244" s="158" t="n">
        <f aca="false">IF(MOSFET_S=Compare_MOSFET, Table7[[#This Row],[Total Sense Loss C]], -100)</f>
        <v>-100</v>
      </c>
      <c r="CU244" s="158" t="n">
        <f aca="false">IF(MOSFET_S=Compare_MOSFET, Table7[[#This Row],[Total MOSFET Loss C]], -100)</f>
        <v>-100</v>
      </c>
      <c r="CV244" s="158" t="n">
        <f aca="false">IF(MOSFET_S=Compare_MOSFET, Table7[[#This Row],[Efficiency C]], -100)</f>
        <v>-100</v>
      </c>
      <c r="CW244" s="159"/>
      <c r="CX244" s="158" t="e">
        <f aca="false">IF(Save_Sel=CLR_Save,  Table7[[#This Row],[Total Sense Loss P1]], Table7[[#This Row],[Total Sense Loss P1 Saved]])</f>
        <v>#VALUE!</v>
      </c>
      <c r="CY244" s="158" t="e">
        <f aca="false">IF(Save_Sel=CLR_Save,  Table7[[#This Row],[Total MOSFET Loss P1]], Table7[[#This Row],[Total MOSFET Loss P1 Saved]] )</f>
        <v>#VALUE!</v>
      </c>
      <c r="CZ244" s="158" t="e">
        <f aca="false">IF(Save_Sel=CLR_Save, Table7[[#This Row],[Efficiency P1]], Table7[[#This Row],[Efficiency P1 Saved]])</f>
        <v>#VALUE!</v>
      </c>
      <c r="DA244" s="159"/>
      <c r="DB244" s="158" t="e">
        <f aca="false">IF(Save_Sel=CLR_Save,  Table7[[#This Row],[Total Sense Loss P2]], Table7[[#This Row],[Total Sense Loss P2 Saved]])</f>
        <v>#VALUE!</v>
      </c>
      <c r="DC244" s="158" t="e">
        <f aca="false">IF(Save_Sel=CLR_Save,  Table7[[#This Row],[Total MOSFET Loss P2]], Table7[[#This Row],[Total MOSFET Loss P2 Saved]] )</f>
        <v>#VALUE!</v>
      </c>
      <c r="DD244" s="158" t="e">
        <f aca="false">IF(Save_Sel=CLR_Save, Table7[[#This Row],[Efficiency P2]], Table7[[#This Row],[Efficiency P2 Saved]])</f>
        <v>#VALUE!</v>
      </c>
      <c r="DE244" s="159"/>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row>
    <row r="245" customFormat="false" ht="16.4" hidden="false" customHeight="false" outlineLevel="0" collapsed="false">
      <c r="A245" s="174"/>
      <c r="B245" s="174"/>
      <c r="C245" s="174"/>
      <c r="D245" s="174"/>
      <c r="E245" s="174"/>
      <c r="F245" s="174"/>
      <c r="G245" s="174"/>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150" t="n">
        <f aca="false">AF244+1</f>
        <v>89</v>
      </c>
      <c r="AG245" s="150" t="n">
        <f aca="false">$AG$156+AF245*($AG$256-$AG$156)/$AF$256</f>
        <v>8.9</v>
      </c>
      <c r="AH245" s="151" t="n">
        <f aca="false">AG245*VACnom</f>
        <v>106.8</v>
      </c>
      <c r="AI245" s="152" t="n">
        <f aca="false">IF(VACnom&lt;Vbat, (Vbat-VACnom)/Vbat, Vbat/VACnom)</f>
        <v>0.0476190476190476</v>
      </c>
      <c r="AJ245" s="152" t="n">
        <f aca="false">IF(VACnom&lt;Vbat, AG245/(1-AI245), AG245*AI245)</f>
        <v>9.345</v>
      </c>
      <c r="AK245" s="152" t="n">
        <f aca="false">Ipkpk_VACnom</f>
        <v>0.285714285714285</v>
      </c>
      <c r="AL245" s="152" t="n">
        <f aca="false">SQRT(AJ245^2+AK245^2/12)</f>
        <v>9.34536396942829</v>
      </c>
      <c r="AM245" s="153"/>
      <c r="AN245" s="152" t="n">
        <f aca="false">MAX(0,Table7[[#This Row],[I_L]]-0.5*Table7[[#This Row],[I_L pkpk]])</f>
        <v>9.20214285714286</v>
      </c>
      <c r="AO245" s="152" t="n">
        <f aca="false">Table7[[#This Row],[I_L]]+0.5*Table7[[#This Row],[I_L pkpk]]</f>
        <v>9.48785714285714</v>
      </c>
      <c r="AP245" s="152" t="e">
        <f aca="false">IF(VACnom&gt;Vbat, (VGS_S-(TI_MOSFET_S_VTH_H_BU+Table7[[#This Row],[I_L]]/TI_MOSFET_S_gFS_H_BU))/3.4, (VGS_S-(TI_MOSFET_S_VTH_L_BO+Table7[[#This Row],[I_L]]/TI_MOSFET_S_gFS_L_BO))/3.4 )</f>
        <v>#REF!</v>
      </c>
      <c r="AQ245" s="152" t="e">
        <f aca="false">IF(VACnom&gt;Vbat, ((TI_MOSFET_S_VTH_H_BU+Table7[[#This Row],[I_L]]/TI_MOSFET_S_gFS_H_BU))/1, ((TI_MOSFET_S_VTH_L_BO+Table7[[#This Row],[I_L]]/TI_MOSFET_S_gFS_L_BO))/1 )</f>
        <v>#REF!</v>
      </c>
      <c r="AR245" s="152" t="e">
        <f aca="false">IF(VACnom&gt;Vbat, (TI_MOSFET_S_QGD_H_BU+TI_MOSFET_S_QGS_H_BU)*10^-9/Table7[[#This Row],[Ion (A)]], (TI_MOSFET_S_QGD_L_BO+TI_MOSFET_S_QGS_L_BO)*10^-9/Table7[[#This Row],[Ion (A)]])/10^-9</f>
        <v>#REF!</v>
      </c>
      <c r="AS245" s="152" t="e">
        <f aca="false">IF(VACnom&gt;Vbat, (TI_MOSFET_S_QGD_H_BU+TI_MOSFET_S_QGS_H_BU)*10^-9/Table7[[#This Row],[Ioff (A)]], (TI_MOSFET_S_QGD_L_BO+TI_MOSFET_S_QGS_L_BO)*10^-9/Table7[[#This Row],[Ioff (A)]])/10^-9</f>
        <v>#REF!</v>
      </c>
      <c r="AT245" s="152" t="e">
        <f aca="false">0.5*VACnom*Table7[[#This Row],[Ivalley (A)]]*Table7[[#This Row],[ton (ns)]]*10^-9*Fsw*10^3+0.5*VACnom*Table7[[#This Row],[Ipeak (A)]]*Table7[[#This Row],[toff (ns)]]*10^-9*Fsw*10^3/10^-3</f>
        <v>#REF!</v>
      </c>
      <c r="AU245" s="152" t="e">
        <f aca="false">IF(VACnom&gt;Vbat, 0.5*VACnom*TI_MOSFET_S_QOSS_H_BU*10^-9*Fsw*10^3,0.5*VACnom*TI_MOSFET_S_QOSS_L_BO*10^-9*Fsw*10^3)/10^-3</f>
        <v>#REF!</v>
      </c>
      <c r="AV245" s="152" t="e">
        <f aca="false">IF(VACnom&gt;Vbat, VACnom*TI_MOSFET_S_QG_H_BU*10^-9*Fsw*10^3,VACnom*TI_MOSFET_S_QG_H_BO*10^-9*Fsw*10^3)/10^-3</f>
        <v>#REF!</v>
      </c>
      <c r="AW245" s="152" t="e">
        <f aca="false">IF(VACnom&gt;Vbat, VACnom*TI_MOSFET_S_QRR_L_BU*10^-9*Fsw*10^3, VACnom*TI_MOSFET_S_QRR_H_BO*10^-9*Fsw*10^3)/10^-3</f>
        <v>#REF!</v>
      </c>
      <c r="AX245" s="152" t="e">
        <f aca="false">IF(VACnom&gt;Vbat, TI_MOSFET_S_VSD_L_BU*Table7[[#This Row],[Ivalley (A)]]*Fsw*10^3*40*10^-9+TI_MOSFET_S_VSD_L_BU*Table7[[#This Row],[Ipeak (A)]]*Fsw*10^3*30*10^-9, TI_MOSFET_S_VSD_H_BO*Table7[[#This Row],[Ivalley (A)]]*Fsw*10^3*40*10^-9+TI_MOSFET_S_VSD_H_BO*Table7[[#This Row],[Ipeak (A)]]*Fsw*10^3*30*10^-9)/10^-3</f>
        <v>#REF!</v>
      </c>
      <c r="AY245" s="152" t="e">
        <f aca="false">IF(VACnom&gt;Vbat, VACnom*TI_MOSFET_S_QG_L_BU*10^-9*Fsw*10^3, VACnom*TI_MOSFET_S_QG_L_BO*10^-9*Fsw*10^3)/10^-3</f>
        <v>#REF!</v>
      </c>
      <c r="AZ245" s="152" t="e">
        <f aca="false">IF(VACnom&lt;Vbat, Table7[[#This Row],[Duty Cycle]]*Table7[[#This Row],[I_L RMS]]^2*TI_MOSFET_S_RDSON_H_BU*10^-3, (1-Table7[[#This Row],[Duty Cycle]])*Table7[[#This Row],[I_L RMS]]^2*TI_MOSFET_S_RDSON_H_BO*10^-3)/10^-3</f>
        <v>#REF!</v>
      </c>
      <c r="BA245" s="152" t="e">
        <f aca="false">IF(VACnom&gt;Vbat, Table7[[#This Row],[PIV (mW)]]+Table7[[#This Row],[Pqoss (mW)]]+Table7[[#This Row],[Pgate_top (mW)]], Table7[[#This Row],[PRR (mW)]]+Table7[[#This Row],[Pdead (mW)]]+Table7[[#This Row],[Pgate_top (mW)]])</f>
        <v>#REF!</v>
      </c>
      <c r="BB245" s="152" t="e">
        <f aca="false">Table7[[#This Row],[Pcon_top (mW)]]+Table7[[#This Row],[Psw_top (mW)]]</f>
        <v>#REF!</v>
      </c>
      <c r="BC245" s="152" t="e">
        <f aca="false">IF(VACnom&gt;Vbat, (1-Table7[[#This Row],[Duty Cycle]])*Table7[[#This Row],[I_L RMS]]^2*TI_MOSFET_S_RDSON_L_BU*10^-3, Table7[[#This Row],[Duty Cycle]]*Table7[[#This Row],[I_L RMS]]^2*TI_MOSFET_S_RDSON_L_BO*10^-3)/10^-3</f>
        <v>#REF!</v>
      </c>
      <c r="BD245" s="152" t="e">
        <f aca="false">IF(VACnom&gt;Vbat, Table7[[#This Row],[PRR (mW)]]+Table7[[#This Row],[Pdead (mW)]]+Table7[[#This Row],[Pgate_bottom (mW)]], Table7[[#This Row],[PIV (mW)]]+Table7[[#This Row],[Pqoss (mW)]]+Table7[[#This Row],[Pgate_bottom (mW)]])</f>
        <v>#REF!</v>
      </c>
      <c r="BE245" s="154" t="e">
        <f aca="false">Table7[[#This Row],[Pcon_bottom (mW)]]+Table7[[#This Row],[Psw_bottom (mW)]]</f>
        <v>#REF!</v>
      </c>
      <c r="BF245" s="152" t="e">
        <f aca="false">Table7[[#This Row],[Pbottom (mW)]]+Table7[[#This Row],[Ptop (mW)]]</f>
        <v>#REF!</v>
      </c>
      <c r="BG245" s="155"/>
      <c r="BH245" s="152" t="n">
        <f aca="false">MAX(0,Table7[[#This Row],[I_L]]-0.5*Table7[[#This Row],[I_L pkpk]])</f>
        <v>9.20214285714286</v>
      </c>
      <c r="BI245" s="152" t="n">
        <f aca="false">Table7[[#This Row],[I_L]]+0.5*Table7[[#This Row],[I_L pkpk]]</f>
        <v>9.48785714285714</v>
      </c>
      <c r="BJ245" s="152" t="n">
        <f aca="false">IF(VACnom&gt;Vbat, (VGS_S-(C_MOSFET_S_VTH_H_BU+Table7[[#This Row],[I_L]]/C_MOSFET_S_gFS_H_BU))/3.4, (VGS_S-(C_MOSFET_S_VTH_L_BO+Table7[[#This Row],[I_L]]/C_MOSFET_S_gFS_L_BO))/3.4 )</f>
        <v>2.33461764705882</v>
      </c>
      <c r="BK245" s="152" t="n">
        <f aca="false">IF(VACnom&gt;Vbat, ((C_MOSFET_S_VTH_H_BU+Table7[[#This Row],[I_L]]/C_MOSFET_S_gFS_H_BU))/1, ((C_MOSFET_S_VTH_L_BO+Table7[[#This Row],[I_L]]/C_MOSFET_S_gFS_L_BO))/1 )</f>
        <v>2.0623</v>
      </c>
      <c r="BL245" s="152" t="n">
        <f aca="false">IF(VACnom&gt;Vbat, (C_MOSFET_S_QGD_H_BU+C_MOSFET_S_QGS_H_BU)*10^-9/Table7[[#This Row],[Ion (A) C]], (C_MOSFET_S_QGD_L_BO+C_MOSFET_S_QGS_L_BO)*10^-9/Table7[[#This Row],[Ion (A) C]])/10^-9</f>
        <v>2.78418181589125</v>
      </c>
      <c r="BM245" s="152" t="n">
        <f aca="false">IF(VACnom&gt;Vbat, (C_MOSFET_S_QGD_H_BU+C_MOSFET_S_QGS_H_BU)*10^-9/Table7[[#This Row],[Ioff (A) C]], (C_MOSFET_S_QGD_L_BO+C_MOSFET_S_QGS_L_BO)*10^-9/Table7[[#This Row],[Ioff (A) C]])/10^-9</f>
        <v>3.15182078262135</v>
      </c>
      <c r="BN245" s="152" t="n">
        <f aca="false">0.5*VACnom*Table7[[#This Row],[Ivalley (A) C]]*Table7[[#This Row],[ton (ns) C]]*10^-9*Fsw*10^3+0.5*VACnom*Table7[[#This Row],[Ipeak (A) C]]*Table7[[#This Row],[toff (ns) C]]*10^-9*Fsw*10^3/10^-3</f>
        <v>35.9155749170515</v>
      </c>
      <c r="BO245" s="152" t="n">
        <f aca="false">IF(VACnom&gt;Vbat, 0.5*VACnom*C_MOSFET_S_QOSS_H_BU*10^-9*Fsw*10^3,0.5*VACnom*C_MOSFET_S_QOSS_L_BO*10^-9*Fsw*10^3)/10^-3</f>
        <v>43.2</v>
      </c>
      <c r="BP245" s="152" t="e">
        <f aca="false">IF(VACnom&gt;Vbat, VACnom*C_MOSFET_S_QG_H_BU*10^-9*Fsw*10^3,VACnom*C_MOSFET_S_QG_H_BO*10^-9*Fsw*10^3)/10^-3</f>
        <v>#REF!</v>
      </c>
      <c r="BQ245" s="152" t="n">
        <f aca="false">IF(VACnom&gt;Vbat, VACnom*C_MOSFET_S_QRR_L_BU*10^-9*Fsw*10^3, VACnom*C_MOSFET_S_QRR_H_BO*10^-9*Fsw*10^3)/10^-3</f>
        <v>79.2</v>
      </c>
      <c r="BR245" s="152" t="n">
        <f aca="false">IF(VACnom&gt;Vbat, C_MOSFET_S_VSD_L_BU*Table7[[#This Row],[Ivalley (A) C]]*Fsw*10^3*40*10^-9+C_MOSFET_S_VSD_L_BU*Table7[[#This Row],[Ipeak (A) C]]*Fsw*10^3*30*10^-9, C_MOSFET_S_VSD_H_BO*Table7[[#This Row],[Ivalley (A) C]]*Fsw*10^3*40*10^-9+C_MOSFET_S_VSD_H_BO*Table7[[#This Row],[Ipeak (A) C]]*Fsw*10^3*30*10^-9)/10^-3</f>
        <v>104.435428571429</v>
      </c>
      <c r="BS245" s="152" t="e">
        <f aca="false">IF(VACnom&gt;Vbat, VACnom*C_MOSFET_S_QG_L_BU*10^-9*Fsw*10^3, VACnom*C_MOSFET_S_QG_L_BO*10^-9*Fsw*10^3)/10^-3</f>
        <v>#REF!</v>
      </c>
      <c r="BT245" s="152" t="n">
        <f aca="false">IF(VACnom&lt;Vbat, Table7[[#This Row],[Duty Cycle]]*Table7[[#This Row],[I_L RMS]]^2*C_MOSFET_S_RDSON_H_BU*10^-3, (1-Table7[[#This Row],[Duty Cycle]])*Table7[[#This Row],[I_L RMS]]^2*C_MOSFET_S_RDSON_H_BO*10^-3)/10^-3</f>
        <v>23.7054389528669</v>
      </c>
      <c r="BU245" s="152" t="e">
        <f aca="false">IF(VACnom&gt;Vbat, Table7[[#This Row],[PIV (mW) C]]+Table7[[#This Row],[PQoss (mW) C]]+Table7[[#This Row],[Pgate_top (mW) C]], Table7[[#This Row],[PRR (mW) C]]+Table7[[#This Row],[Pdead (mW) C]]+Table7[[#This Row],[Pgate_top (mW) C]])</f>
        <v>#REF!</v>
      </c>
      <c r="BV245" s="152" t="e">
        <f aca="false">Table7[[#This Row],[Pcon_top (mW) C]]+Table7[[#This Row],[Psw_top (mW) C]]</f>
        <v>#REF!</v>
      </c>
      <c r="BW245" s="152" t="e">
        <f aca="false">IF(VACnom&gt;Vbat, (1-Table7[[#This Row],[Duty Cycle]])*Table7[[#This Row],[I_L RMS]]^2*C_MOSFET_S_RDSON_L_BU*10^-3, Table7[[#This Row],[Duty Cycle]]*Table7[[#This Row],[I_L RMS]]^2*C_MOSFET_S_RDSON_L_BO*10^-3)/10^-3</f>
        <v>#REF!</v>
      </c>
      <c r="BX245" s="152" t="e">
        <f aca="false">IF(VACnom&gt;Vbat, Table7[[#This Row],[PRR (mW) C]]+Table7[[#This Row],[Pdead (mW) C]]+Table7[[#This Row],[Pgate_bottom (mW) C]], Table7[[#This Row],[PIV (mW) C]]+Table7[[#This Row],[PQoss (mW) C]]+Table7[[#This Row],[Pgate_bottom (mW) C]])</f>
        <v>#REF!</v>
      </c>
      <c r="BY245" s="152" t="e">
        <f aca="false">Table7[[#This Row],[Pcon_bottom (mW) C]]+Table7[[#This Row],[Psw_bottom (mV) C]]</f>
        <v>#REF!</v>
      </c>
      <c r="BZ245" s="152" t="e">
        <f aca="false">Table7[[#This Row],[Pbottom (mW) C]]+Table7[[#This Row],[Ptop (mW) C]]</f>
        <v>#REF!</v>
      </c>
      <c r="CA245" s="156"/>
      <c r="CB245" s="151" t="n">
        <f aca="false">(RAC_SNS*10^-3*(Table7[[#This Row],[IOUT (A)]]*Vbat/VACnom)^2/10^-3)</f>
        <v>436.645125</v>
      </c>
      <c r="CC245" s="151" t="n">
        <f aca="false">(RBAT_SNS*10^-3*Table7[[#This Row],[IOUT (A)]]^2)/10^-3</f>
        <v>396.05</v>
      </c>
      <c r="CD245" s="151" t="n">
        <f aca="false">IF(VACnom&gt;Vbat,(L_DRC*10^-3*(Table7[[#This Row],[IOUT (A)]])^2/10^-3),(L_DRC*10^-3*(Table7[[#This Row],[IOUT (A)]]*Vbat/VACnom)^2/10^-3))</f>
        <v>1047.9483</v>
      </c>
      <c r="CE245" s="157"/>
      <c r="CF245" s="152" t="n">
        <f aca="false">(Table7[[#This Row],[R_AC (mW)]]+Table7[[#This Row],[R_SR (mW)]]+Table7[[#This Row],[Inductor Loss (mW)]])/10^3</f>
        <v>1.880643425</v>
      </c>
      <c r="CG245" s="152" t="e">
        <f aca="false">Table7[[#This Row],[Total TI (mW)]]/10^3</f>
        <v>#REF!</v>
      </c>
      <c r="CH245" s="152" t="e">
        <f aca="false">Table7[[#This Row],[Total Sense Loss]]+Table7[[#This Row],[Total MOSFET Loss]]</f>
        <v>#REF!</v>
      </c>
      <c r="CI245" s="158" t="e">
        <f aca="false">IF(Table7[[#This Row],[POUT (W)]]=0,0,(Table7[[#This Row],[POUT (W)]])/(Table7[[#This Row],[POUT (W)]]+Table7[[#This Row],[Total Power Loss (W)]]))*100</f>
        <v>#REF!</v>
      </c>
      <c r="CJ245" s="159"/>
      <c r="CK245" s="152" t="n">
        <f aca="false">(Table7[[#This Row],[R_AC (mW)]]+Table7[[#This Row],[R_SR (mW)]]+Table7[[#This Row],[Inductor Loss (mW)]])/10^3</f>
        <v>1.880643425</v>
      </c>
      <c r="CL245" s="152" t="e">
        <f aca="false">Table7[[#This Row],[Total (mW) C]]/10^3</f>
        <v>#REF!</v>
      </c>
      <c r="CM245" s="152" t="e">
        <f aca="false">Table7[[#This Row],[Total Sense Loss C]]+Table7[[#This Row],[Total MOSFET Loss C]]</f>
        <v>#REF!</v>
      </c>
      <c r="CN245" s="158" t="e">
        <f aca="false">IF(Table7[[#This Row],[POUT (W)]]=0,0,(Table7[[#This Row],[POUT (W)]])/(Table7[[#This Row],[POUT (W)]]+Table7[[#This Row],[Total Power Loss (W) C]]))*100</f>
        <v>#REF!</v>
      </c>
      <c r="CO245" s="159"/>
      <c r="CP245" s="158" t="n">
        <f aca="false">IF(MOSFET_S=Custom_MOSFET,Table7[[#This Row],[Total Sense Loss C]],Table7[[#This Row],[Total Sense Loss]])</f>
        <v>1.880643425</v>
      </c>
      <c r="CQ245" s="158" t="e">
        <f aca="false">IF(MOSFET_S=Custom_MOSFET,Table7[[#This Row],[Total MOSFET Loss C]],Table7[[#This Row],[Total MOSFET Loss]])</f>
        <v>#REF!</v>
      </c>
      <c r="CR245" s="158" t="e">
        <f aca="false">IF(MOSFET_S=Custom_MOSFET,Table7[[#This Row],[Efficiency C]],Table7[[#This Row],[Efficiency]])</f>
        <v>#REF!</v>
      </c>
      <c r="CS245" s="159"/>
      <c r="CT245" s="158" t="n">
        <f aca="false">IF(MOSFET_S=Compare_MOSFET, Table7[[#This Row],[Total Sense Loss C]], -100)</f>
        <v>-100</v>
      </c>
      <c r="CU245" s="158" t="n">
        <f aca="false">IF(MOSFET_S=Compare_MOSFET, Table7[[#This Row],[Total MOSFET Loss C]], -100)</f>
        <v>-100</v>
      </c>
      <c r="CV245" s="158" t="n">
        <f aca="false">IF(MOSFET_S=Compare_MOSFET, Table7[[#This Row],[Efficiency C]], -100)</f>
        <v>-100</v>
      </c>
      <c r="CW245" s="159"/>
      <c r="CX245" s="158" t="e">
        <f aca="false">IF(Save_Sel=CLR_Save,  Table7[[#This Row],[Total Sense Loss P1]], Table7[[#This Row],[Total Sense Loss P1 Saved]])</f>
        <v>#VALUE!</v>
      </c>
      <c r="CY245" s="158" t="e">
        <f aca="false">IF(Save_Sel=CLR_Save,  Table7[[#This Row],[Total MOSFET Loss P1]], Table7[[#This Row],[Total MOSFET Loss P1 Saved]] )</f>
        <v>#VALUE!</v>
      </c>
      <c r="CZ245" s="158" t="e">
        <f aca="false">IF(Save_Sel=CLR_Save, Table7[[#This Row],[Efficiency P1]], Table7[[#This Row],[Efficiency P1 Saved]])</f>
        <v>#VALUE!</v>
      </c>
      <c r="DA245" s="159"/>
      <c r="DB245" s="158" t="e">
        <f aca="false">IF(Save_Sel=CLR_Save,  Table7[[#This Row],[Total Sense Loss P2]], Table7[[#This Row],[Total Sense Loss P2 Saved]])</f>
        <v>#VALUE!</v>
      </c>
      <c r="DC245" s="158" t="e">
        <f aca="false">IF(Save_Sel=CLR_Save,  Table7[[#This Row],[Total MOSFET Loss P2]], Table7[[#This Row],[Total MOSFET Loss P2 Saved]] )</f>
        <v>#VALUE!</v>
      </c>
      <c r="DD245" s="158" t="e">
        <f aca="false">IF(Save_Sel=CLR_Save, Table7[[#This Row],[Efficiency P2]], Table7[[#This Row],[Efficiency P2 Saved]])</f>
        <v>#VALUE!</v>
      </c>
      <c r="DE245" s="159"/>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row>
    <row r="246" customFormat="false" ht="16.4" hidden="false" customHeight="false" outlineLevel="0" collapsed="false">
      <c r="A246" s="174"/>
      <c r="B246" s="174"/>
      <c r="C246" s="174"/>
      <c r="D246" s="174"/>
      <c r="E246" s="174"/>
      <c r="F246" s="174"/>
      <c r="G246" s="174"/>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150" t="n">
        <f aca="false">AF245+1</f>
        <v>90</v>
      </c>
      <c r="AG246" s="150" t="n">
        <f aca="false">$AG$156+AF246*($AG$256-$AG$156)/$AF$256</f>
        <v>9</v>
      </c>
      <c r="AH246" s="151" t="n">
        <f aca="false">AG246*VACnom</f>
        <v>108</v>
      </c>
      <c r="AI246" s="152" t="n">
        <f aca="false">IF(VACnom&lt;Vbat, (Vbat-VACnom)/Vbat, Vbat/VACnom)</f>
        <v>0.0476190476190476</v>
      </c>
      <c r="AJ246" s="152" t="n">
        <f aca="false">IF(VACnom&lt;Vbat, AG246/(1-AI246), AG246*AI246)</f>
        <v>9.45</v>
      </c>
      <c r="AK246" s="152" t="n">
        <f aca="false">Ipkpk_VACnom</f>
        <v>0.285714285714285</v>
      </c>
      <c r="AL246" s="152" t="n">
        <f aca="false">SQRT(AJ246^2+AK246^2/12)</f>
        <v>9.45035992547842</v>
      </c>
      <c r="AM246" s="153"/>
      <c r="AN246" s="152" t="n">
        <f aca="false">MAX(0,Table7[[#This Row],[I_L]]-0.5*Table7[[#This Row],[I_L pkpk]])</f>
        <v>9.30714285714286</v>
      </c>
      <c r="AO246" s="152" t="n">
        <f aca="false">Table7[[#This Row],[I_L]]+0.5*Table7[[#This Row],[I_L pkpk]]</f>
        <v>9.59285714285714</v>
      </c>
      <c r="AP246" s="152" t="e">
        <f aca="false">IF(VACnom&gt;Vbat, (VGS_S-(TI_MOSFET_S_VTH_H_BU+Table7[[#This Row],[I_L]]/TI_MOSFET_S_gFS_H_BU))/3.4, (VGS_S-(TI_MOSFET_S_VTH_L_BO+Table7[[#This Row],[I_L]]/TI_MOSFET_S_gFS_L_BO))/3.4 )</f>
        <v>#REF!</v>
      </c>
      <c r="AQ246" s="152" t="e">
        <f aca="false">IF(VACnom&gt;Vbat, ((TI_MOSFET_S_VTH_H_BU+Table7[[#This Row],[I_L]]/TI_MOSFET_S_gFS_H_BU))/1, ((TI_MOSFET_S_VTH_L_BO+Table7[[#This Row],[I_L]]/TI_MOSFET_S_gFS_L_BO))/1 )</f>
        <v>#REF!</v>
      </c>
      <c r="AR246" s="152" t="e">
        <f aca="false">IF(VACnom&gt;Vbat, (TI_MOSFET_S_QGD_H_BU+TI_MOSFET_S_QGS_H_BU)*10^-9/Table7[[#This Row],[Ion (A)]], (TI_MOSFET_S_QGD_L_BO+TI_MOSFET_S_QGS_L_BO)*10^-9/Table7[[#This Row],[Ion (A)]])/10^-9</f>
        <v>#REF!</v>
      </c>
      <c r="AS246" s="152" t="e">
        <f aca="false">IF(VACnom&gt;Vbat, (TI_MOSFET_S_QGD_H_BU+TI_MOSFET_S_QGS_H_BU)*10^-9/Table7[[#This Row],[Ioff (A)]], (TI_MOSFET_S_QGD_L_BO+TI_MOSFET_S_QGS_L_BO)*10^-9/Table7[[#This Row],[Ioff (A)]])/10^-9</f>
        <v>#REF!</v>
      </c>
      <c r="AT246" s="152" t="e">
        <f aca="false">0.5*VACnom*Table7[[#This Row],[Ivalley (A)]]*Table7[[#This Row],[ton (ns)]]*10^-9*Fsw*10^3+0.5*VACnom*Table7[[#This Row],[Ipeak (A)]]*Table7[[#This Row],[toff (ns)]]*10^-9*Fsw*10^3/10^-3</f>
        <v>#REF!</v>
      </c>
      <c r="AU246" s="152" t="e">
        <f aca="false">IF(VACnom&gt;Vbat, 0.5*VACnom*TI_MOSFET_S_QOSS_H_BU*10^-9*Fsw*10^3,0.5*VACnom*TI_MOSFET_S_QOSS_L_BO*10^-9*Fsw*10^3)/10^-3</f>
        <v>#REF!</v>
      </c>
      <c r="AV246" s="152" t="e">
        <f aca="false">IF(VACnom&gt;Vbat, VACnom*TI_MOSFET_S_QG_H_BU*10^-9*Fsw*10^3,VACnom*TI_MOSFET_S_QG_H_BO*10^-9*Fsw*10^3)/10^-3</f>
        <v>#REF!</v>
      </c>
      <c r="AW246" s="152" t="e">
        <f aca="false">IF(VACnom&gt;Vbat, VACnom*TI_MOSFET_S_QRR_L_BU*10^-9*Fsw*10^3, VACnom*TI_MOSFET_S_QRR_H_BO*10^-9*Fsw*10^3)/10^-3</f>
        <v>#REF!</v>
      </c>
      <c r="AX246" s="152" t="e">
        <f aca="false">IF(VACnom&gt;Vbat, TI_MOSFET_S_VSD_L_BU*Table7[[#This Row],[Ivalley (A)]]*Fsw*10^3*40*10^-9+TI_MOSFET_S_VSD_L_BU*Table7[[#This Row],[Ipeak (A)]]*Fsw*10^3*30*10^-9, TI_MOSFET_S_VSD_H_BO*Table7[[#This Row],[Ivalley (A)]]*Fsw*10^3*40*10^-9+TI_MOSFET_S_VSD_H_BO*Table7[[#This Row],[Ipeak (A)]]*Fsw*10^3*30*10^-9)/10^-3</f>
        <v>#REF!</v>
      </c>
      <c r="AY246" s="152" t="e">
        <f aca="false">IF(VACnom&gt;Vbat, VACnom*TI_MOSFET_S_QG_L_BU*10^-9*Fsw*10^3, VACnom*TI_MOSFET_S_QG_L_BO*10^-9*Fsw*10^3)/10^-3</f>
        <v>#REF!</v>
      </c>
      <c r="AZ246" s="152" t="e">
        <f aca="false">IF(VACnom&lt;Vbat, Table7[[#This Row],[Duty Cycle]]*Table7[[#This Row],[I_L RMS]]^2*TI_MOSFET_S_RDSON_H_BU*10^-3, (1-Table7[[#This Row],[Duty Cycle]])*Table7[[#This Row],[I_L RMS]]^2*TI_MOSFET_S_RDSON_H_BO*10^-3)/10^-3</f>
        <v>#REF!</v>
      </c>
      <c r="BA246" s="152" t="e">
        <f aca="false">IF(VACnom&gt;Vbat, Table7[[#This Row],[PIV (mW)]]+Table7[[#This Row],[Pqoss (mW)]]+Table7[[#This Row],[Pgate_top (mW)]], Table7[[#This Row],[PRR (mW)]]+Table7[[#This Row],[Pdead (mW)]]+Table7[[#This Row],[Pgate_top (mW)]])</f>
        <v>#REF!</v>
      </c>
      <c r="BB246" s="152" t="e">
        <f aca="false">Table7[[#This Row],[Pcon_top (mW)]]+Table7[[#This Row],[Psw_top (mW)]]</f>
        <v>#REF!</v>
      </c>
      <c r="BC246" s="152" t="e">
        <f aca="false">IF(VACnom&gt;Vbat, (1-Table7[[#This Row],[Duty Cycle]])*Table7[[#This Row],[I_L RMS]]^2*TI_MOSFET_S_RDSON_L_BU*10^-3, Table7[[#This Row],[Duty Cycle]]*Table7[[#This Row],[I_L RMS]]^2*TI_MOSFET_S_RDSON_L_BO*10^-3)/10^-3</f>
        <v>#REF!</v>
      </c>
      <c r="BD246" s="152" t="e">
        <f aca="false">IF(VACnom&gt;Vbat, Table7[[#This Row],[PRR (mW)]]+Table7[[#This Row],[Pdead (mW)]]+Table7[[#This Row],[Pgate_bottom (mW)]], Table7[[#This Row],[PIV (mW)]]+Table7[[#This Row],[Pqoss (mW)]]+Table7[[#This Row],[Pgate_bottom (mW)]])</f>
        <v>#REF!</v>
      </c>
      <c r="BE246" s="154" t="e">
        <f aca="false">Table7[[#This Row],[Pcon_bottom (mW)]]+Table7[[#This Row],[Psw_bottom (mW)]]</f>
        <v>#REF!</v>
      </c>
      <c r="BF246" s="152" t="e">
        <f aca="false">Table7[[#This Row],[Pbottom (mW)]]+Table7[[#This Row],[Ptop (mW)]]</f>
        <v>#REF!</v>
      </c>
      <c r="BG246" s="155"/>
      <c r="BH246" s="152" t="n">
        <f aca="false">MAX(0,Table7[[#This Row],[I_L]]-0.5*Table7[[#This Row],[I_L pkpk]])</f>
        <v>9.30714285714286</v>
      </c>
      <c r="BI246" s="152" t="n">
        <f aca="false">Table7[[#This Row],[I_L]]+0.5*Table7[[#This Row],[I_L pkpk]]</f>
        <v>9.59285714285714</v>
      </c>
      <c r="BJ246" s="152" t="n">
        <f aca="false">IF(VACnom&gt;Vbat, (VGS_S-(C_MOSFET_S_VTH_H_BU+Table7[[#This Row],[I_L]]/C_MOSFET_S_gFS_H_BU))/3.4, (VGS_S-(C_MOSFET_S_VTH_L_BO+Table7[[#This Row],[I_L]]/C_MOSFET_S_gFS_L_BO))/3.4 )</f>
        <v>2.33441176470588</v>
      </c>
      <c r="BK246" s="152" t="n">
        <f aca="false">IF(VACnom&gt;Vbat, ((C_MOSFET_S_VTH_H_BU+Table7[[#This Row],[I_L]]/C_MOSFET_S_gFS_H_BU))/1, ((C_MOSFET_S_VTH_L_BO+Table7[[#This Row],[I_L]]/C_MOSFET_S_gFS_L_BO))/1 )</f>
        <v>2.063</v>
      </c>
      <c r="BL246" s="152" t="n">
        <f aca="false">IF(VACnom&gt;Vbat, (C_MOSFET_S_QGD_H_BU+C_MOSFET_S_QGS_H_BU)*10^-9/Table7[[#This Row],[Ion (A) C]], (C_MOSFET_S_QGD_L_BO+C_MOSFET_S_QGS_L_BO)*10^-9/Table7[[#This Row],[Ion (A) C]])/10^-9</f>
        <v>2.78442736550334</v>
      </c>
      <c r="BM246" s="152" t="n">
        <f aca="false">IF(VACnom&gt;Vbat, (C_MOSFET_S_QGD_H_BU+C_MOSFET_S_QGS_H_BU)*10^-9/Table7[[#This Row],[Ioff (A) C]], (C_MOSFET_S_QGD_L_BO+C_MOSFET_S_QGS_L_BO)*10^-9/Table7[[#This Row],[Ioff (A) C]])/10^-9</f>
        <v>3.15075133301018</v>
      </c>
      <c r="BN246" s="152" t="n">
        <f aca="false">0.5*VACnom*Table7[[#This Row],[Ivalley (A) C]]*Table7[[#This Row],[ton (ns) C]]*10^-9*Fsw*10^3+0.5*VACnom*Table7[[#This Row],[Ipeak (A) C]]*Table7[[#This Row],[toff (ns) C]]*10^-9*Fsw*10^3/10^-3</f>
        <v>36.3007469921993</v>
      </c>
      <c r="BO246" s="152" t="n">
        <f aca="false">IF(VACnom&gt;Vbat, 0.5*VACnom*C_MOSFET_S_QOSS_H_BU*10^-9*Fsw*10^3,0.5*VACnom*C_MOSFET_S_QOSS_L_BO*10^-9*Fsw*10^3)/10^-3</f>
        <v>43.2</v>
      </c>
      <c r="BP246" s="152" t="e">
        <f aca="false">IF(VACnom&gt;Vbat, VACnom*C_MOSFET_S_QG_H_BU*10^-9*Fsw*10^3,VACnom*C_MOSFET_S_QG_H_BO*10^-9*Fsw*10^3)/10^-3</f>
        <v>#REF!</v>
      </c>
      <c r="BQ246" s="152" t="n">
        <f aca="false">IF(VACnom&gt;Vbat, VACnom*C_MOSFET_S_QRR_L_BU*10^-9*Fsw*10^3, VACnom*C_MOSFET_S_QRR_H_BO*10^-9*Fsw*10^3)/10^-3</f>
        <v>79.2</v>
      </c>
      <c r="BR246" s="152" t="n">
        <f aca="false">IF(VACnom&gt;Vbat, C_MOSFET_S_VSD_L_BU*Table7[[#This Row],[Ivalley (A) C]]*Fsw*10^3*40*10^-9+C_MOSFET_S_VSD_L_BU*Table7[[#This Row],[Ipeak (A) C]]*Fsw*10^3*30*10^-9, C_MOSFET_S_VSD_H_BO*Table7[[#This Row],[Ivalley (A) C]]*Fsw*10^3*40*10^-9+C_MOSFET_S_VSD_H_BO*Table7[[#This Row],[Ipeak (A) C]]*Fsw*10^3*30*10^-9)/10^-3</f>
        <v>105.611428571429</v>
      </c>
      <c r="BS246" s="152" t="e">
        <f aca="false">IF(VACnom&gt;Vbat, VACnom*C_MOSFET_S_QG_L_BU*10^-9*Fsw*10^3, VACnom*C_MOSFET_S_QG_L_BO*10^-9*Fsw*10^3)/10^-3</f>
        <v>#REF!</v>
      </c>
      <c r="BT246" s="152" t="n">
        <f aca="false">IF(VACnom&lt;Vbat, Table7[[#This Row],[Duty Cycle]]*Table7[[#This Row],[I_L RMS]]^2*C_MOSFET_S_RDSON_H_BU*10^-3, (1-Table7[[#This Row],[Duty Cycle]])*Table7[[#This Row],[I_L RMS]]^2*C_MOSFET_S_RDSON_H_BO*10^-3)/10^-3</f>
        <v>24.2410964528668</v>
      </c>
      <c r="BU246" s="152" t="e">
        <f aca="false">IF(VACnom&gt;Vbat, Table7[[#This Row],[PIV (mW) C]]+Table7[[#This Row],[PQoss (mW) C]]+Table7[[#This Row],[Pgate_top (mW) C]], Table7[[#This Row],[PRR (mW) C]]+Table7[[#This Row],[Pdead (mW) C]]+Table7[[#This Row],[Pgate_top (mW) C]])</f>
        <v>#REF!</v>
      </c>
      <c r="BV246" s="152" t="e">
        <f aca="false">Table7[[#This Row],[Pcon_top (mW) C]]+Table7[[#This Row],[Psw_top (mW) C]]</f>
        <v>#REF!</v>
      </c>
      <c r="BW246" s="152" t="e">
        <f aca="false">IF(VACnom&gt;Vbat, (1-Table7[[#This Row],[Duty Cycle]])*Table7[[#This Row],[I_L RMS]]^2*C_MOSFET_S_RDSON_L_BU*10^-3, Table7[[#This Row],[Duty Cycle]]*Table7[[#This Row],[I_L RMS]]^2*C_MOSFET_S_RDSON_L_BO*10^-3)/10^-3</f>
        <v>#REF!</v>
      </c>
      <c r="BX246" s="152" t="e">
        <f aca="false">IF(VACnom&gt;Vbat, Table7[[#This Row],[PRR (mW) C]]+Table7[[#This Row],[Pdead (mW) C]]+Table7[[#This Row],[Pgate_bottom (mW) C]], Table7[[#This Row],[PIV (mW) C]]+Table7[[#This Row],[PQoss (mW) C]]+Table7[[#This Row],[Pgate_bottom (mW) C]])</f>
        <v>#REF!</v>
      </c>
      <c r="BY246" s="152" t="e">
        <f aca="false">Table7[[#This Row],[Pcon_bottom (mW) C]]+Table7[[#This Row],[Psw_bottom (mV) C]]</f>
        <v>#REF!</v>
      </c>
      <c r="BZ246" s="152" t="e">
        <f aca="false">Table7[[#This Row],[Pbottom (mW) C]]+Table7[[#This Row],[Ptop (mW) C]]</f>
        <v>#REF!</v>
      </c>
      <c r="CA246" s="156"/>
      <c r="CB246" s="151" t="n">
        <f aca="false">(RAC_SNS*10^-3*(Table7[[#This Row],[IOUT (A)]]*Vbat/VACnom)^2/10^-3)</f>
        <v>446.5125</v>
      </c>
      <c r="CC246" s="151" t="n">
        <f aca="false">(RBAT_SNS*10^-3*Table7[[#This Row],[IOUT (A)]]^2)/10^-3</f>
        <v>405</v>
      </c>
      <c r="CD246" s="151" t="n">
        <f aca="false">IF(VACnom&gt;Vbat,(L_DRC*10^-3*(Table7[[#This Row],[IOUT (A)]])^2/10^-3),(L_DRC*10^-3*(Table7[[#This Row],[IOUT (A)]]*Vbat/VACnom)^2/10^-3))</f>
        <v>1071.63</v>
      </c>
      <c r="CE246" s="157"/>
      <c r="CF246" s="152" t="n">
        <f aca="false">(Table7[[#This Row],[R_AC (mW)]]+Table7[[#This Row],[R_SR (mW)]]+Table7[[#This Row],[Inductor Loss (mW)]])/10^3</f>
        <v>1.9231425</v>
      </c>
      <c r="CG246" s="152" t="e">
        <f aca="false">Table7[[#This Row],[Total TI (mW)]]/10^3</f>
        <v>#REF!</v>
      </c>
      <c r="CH246" s="152" t="e">
        <f aca="false">Table7[[#This Row],[Total Sense Loss]]+Table7[[#This Row],[Total MOSFET Loss]]</f>
        <v>#REF!</v>
      </c>
      <c r="CI246" s="158" t="e">
        <f aca="false">IF(Table7[[#This Row],[POUT (W)]]=0,0,(Table7[[#This Row],[POUT (W)]])/(Table7[[#This Row],[POUT (W)]]+Table7[[#This Row],[Total Power Loss (W)]]))*100</f>
        <v>#REF!</v>
      </c>
      <c r="CJ246" s="159"/>
      <c r="CK246" s="152" t="n">
        <f aca="false">(Table7[[#This Row],[R_AC (mW)]]+Table7[[#This Row],[R_SR (mW)]]+Table7[[#This Row],[Inductor Loss (mW)]])/10^3</f>
        <v>1.9231425</v>
      </c>
      <c r="CL246" s="152" t="e">
        <f aca="false">Table7[[#This Row],[Total (mW) C]]/10^3</f>
        <v>#REF!</v>
      </c>
      <c r="CM246" s="152" t="e">
        <f aca="false">Table7[[#This Row],[Total Sense Loss C]]+Table7[[#This Row],[Total MOSFET Loss C]]</f>
        <v>#REF!</v>
      </c>
      <c r="CN246" s="158" t="e">
        <f aca="false">IF(Table7[[#This Row],[POUT (W)]]=0,0,(Table7[[#This Row],[POUT (W)]])/(Table7[[#This Row],[POUT (W)]]+Table7[[#This Row],[Total Power Loss (W) C]]))*100</f>
        <v>#REF!</v>
      </c>
      <c r="CO246" s="159"/>
      <c r="CP246" s="158" t="n">
        <f aca="false">IF(MOSFET_S=Custom_MOSFET,Table7[[#This Row],[Total Sense Loss C]],Table7[[#This Row],[Total Sense Loss]])</f>
        <v>1.9231425</v>
      </c>
      <c r="CQ246" s="158" t="e">
        <f aca="false">IF(MOSFET_S=Custom_MOSFET,Table7[[#This Row],[Total MOSFET Loss C]],Table7[[#This Row],[Total MOSFET Loss]])</f>
        <v>#REF!</v>
      </c>
      <c r="CR246" s="158" t="e">
        <f aca="false">IF(MOSFET_S=Custom_MOSFET,Table7[[#This Row],[Efficiency C]],Table7[[#This Row],[Efficiency]])</f>
        <v>#REF!</v>
      </c>
      <c r="CS246" s="159"/>
      <c r="CT246" s="158" t="n">
        <f aca="false">IF(MOSFET_S=Compare_MOSFET, Table7[[#This Row],[Total Sense Loss C]], -100)</f>
        <v>-100</v>
      </c>
      <c r="CU246" s="158" t="n">
        <f aca="false">IF(MOSFET_S=Compare_MOSFET, Table7[[#This Row],[Total MOSFET Loss C]], -100)</f>
        <v>-100</v>
      </c>
      <c r="CV246" s="158" t="n">
        <f aca="false">IF(MOSFET_S=Compare_MOSFET, Table7[[#This Row],[Efficiency C]], -100)</f>
        <v>-100</v>
      </c>
      <c r="CW246" s="159"/>
      <c r="CX246" s="158" t="e">
        <f aca="false">IF(Save_Sel=CLR_Save,  Table7[[#This Row],[Total Sense Loss P1]], Table7[[#This Row],[Total Sense Loss P1 Saved]])</f>
        <v>#VALUE!</v>
      </c>
      <c r="CY246" s="158" t="e">
        <f aca="false">IF(Save_Sel=CLR_Save,  Table7[[#This Row],[Total MOSFET Loss P1]], Table7[[#This Row],[Total MOSFET Loss P1 Saved]] )</f>
        <v>#VALUE!</v>
      </c>
      <c r="CZ246" s="158" t="e">
        <f aca="false">IF(Save_Sel=CLR_Save, Table7[[#This Row],[Efficiency P1]], Table7[[#This Row],[Efficiency P1 Saved]])</f>
        <v>#VALUE!</v>
      </c>
      <c r="DA246" s="159"/>
      <c r="DB246" s="158" t="e">
        <f aca="false">IF(Save_Sel=CLR_Save,  Table7[[#This Row],[Total Sense Loss P2]], Table7[[#This Row],[Total Sense Loss P2 Saved]])</f>
        <v>#VALUE!</v>
      </c>
      <c r="DC246" s="158" t="e">
        <f aca="false">IF(Save_Sel=CLR_Save,  Table7[[#This Row],[Total MOSFET Loss P2]], Table7[[#This Row],[Total MOSFET Loss P2 Saved]] )</f>
        <v>#VALUE!</v>
      </c>
      <c r="DD246" s="158" t="e">
        <f aca="false">IF(Save_Sel=CLR_Save, Table7[[#This Row],[Efficiency P2]], Table7[[#This Row],[Efficiency P2 Saved]])</f>
        <v>#VALUE!</v>
      </c>
      <c r="DE246" s="159"/>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row>
    <row r="247" customFormat="false" ht="16.4" hidden="false" customHeight="false" outlineLevel="0" collapsed="false">
      <c r="A247" s="174"/>
      <c r="B247" s="174"/>
      <c r="C247" s="174"/>
      <c r="D247" s="174"/>
      <c r="E247" s="174"/>
      <c r="F247" s="174"/>
      <c r="G247" s="174"/>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150" t="n">
        <f aca="false">AF246+1</f>
        <v>91</v>
      </c>
      <c r="AG247" s="150" t="n">
        <f aca="false">$AG$156+AF247*($AG$256-$AG$156)/$AF$256</f>
        <v>9.1</v>
      </c>
      <c r="AH247" s="151" t="n">
        <f aca="false">AG247*VACnom</f>
        <v>109.2</v>
      </c>
      <c r="AI247" s="152" t="n">
        <f aca="false">IF(VACnom&lt;Vbat, (Vbat-VACnom)/Vbat, Vbat/VACnom)</f>
        <v>0.0476190476190476</v>
      </c>
      <c r="AJ247" s="152" t="n">
        <f aca="false">IF(VACnom&lt;Vbat, AG247/(1-AI247), AG247*AI247)</f>
        <v>9.555</v>
      </c>
      <c r="AK247" s="152" t="n">
        <f aca="false">Ipkpk_VACnom</f>
        <v>0.285714285714285</v>
      </c>
      <c r="AL247" s="152" t="n">
        <f aca="false">SQRT(AJ247^2+AK247^2/12)</f>
        <v>9.55535597040154</v>
      </c>
      <c r="AM247" s="153"/>
      <c r="AN247" s="152" t="n">
        <f aca="false">MAX(0,Table7[[#This Row],[I_L]]-0.5*Table7[[#This Row],[I_L pkpk]])</f>
        <v>9.41214285714286</v>
      </c>
      <c r="AO247" s="152" t="n">
        <f aca="false">Table7[[#This Row],[I_L]]+0.5*Table7[[#This Row],[I_L pkpk]]</f>
        <v>9.69785714285714</v>
      </c>
      <c r="AP247" s="152" t="e">
        <f aca="false">IF(VACnom&gt;Vbat, (VGS_S-(TI_MOSFET_S_VTH_H_BU+Table7[[#This Row],[I_L]]/TI_MOSFET_S_gFS_H_BU))/3.4, (VGS_S-(TI_MOSFET_S_VTH_L_BO+Table7[[#This Row],[I_L]]/TI_MOSFET_S_gFS_L_BO))/3.4 )</f>
        <v>#REF!</v>
      </c>
      <c r="AQ247" s="152" t="e">
        <f aca="false">IF(VACnom&gt;Vbat, ((TI_MOSFET_S_VTH_H_BU+Table7[[#This Row],[I_L]]/TI_MOSFET_S_gFS_H_BU))/1, ((TI_MOSFET_S_VTH_L_BO+Table7[[#This Row],[I_L]]/TI_MOSFET_S_gFS_L_BO))/1 )</f>
        <v>#REF!</v>
      </c>
      <c r="AR247" s="152" t="e">
        <f aca="false">IF(VACnom&gt;Vbat, (TI_MOSFET_S_QGD_H_BU+TI_MOSFET_S_QGS_H_BU)*10^-9/Table7[[#This Row],[Ion (A)]], (TI_MOSFET_S_QGD_L_BO+TI_MOSFET_S_QGS_L_BO)*10^-9/Table7[[#This Row],[Ion (A)]])/10^-9</f>
        <v>#REF!</v>
      </c>
      <c r="AS247" s="152" t="e">
        <f aca="false">IF(VACnom&gt;Vbat, (TI_MOSFET_S_QGD_H_BU+TI_MOSFET_S_QGS_H_BU)*10^-9/Table7[[#This Row],[Ioff (A)]], (TI_MOSFET_S_QGD_L_BO+TI_MOSFET_S_QGS_L_BO)*10^-9/Table7[[#This Row],[Ioff (A)]])/10^-9</f>
        <v>#REF!</v>
      </c>
      <c r="AT247" s="152" t="e">
        <f aca="false">0.5*VACnom*Table7[[#This Row],[Ivalley (A)]]*Table7[[#This Row],[ton (ns)]]*10^-9*Fsw*10^3+0.5*VACnom*Table7[[#This Row],[Ipeak (A)]]*Table7[[#This Row],[toff (ns)]]*10^-9*Fsw*10^3/10^-3</f>
        <v>#REF!</v>
      </c>
      <c r="AU247" s="152" t="e">
        <f aca="false">IF(VACnom&gt;Vbat, 0.5*VACnom*TI_MOSFET_S_QOSS_H_BU*10^-9*Fsw*10^3,0.5*VACnom*TI_MOSFET_S_QOSS_L_BO*10^-9*Fsw*10^3)/10^-3</f>
        <v>#REF!</v>
      </c>
      <c r="AV247" s="152" t="e">
        <f aca="false">IF(VACnom&gt;Vbat, VACnom*TI_MOSFET_S_QG_H_BU*10^-9*Fsw*10^3,VACnom*TI_MOSFET_S_QG_H_BO*10^-9*Fsw*10^3)/10^-3</f>
        <v>#REF!</v>
      </c>
      <c r="AW247" s="152" t="e">
        <f aca="false">IF(VACnom&gt;Vbat, VACnom*TI_MOSFET_S_QRR_L_BU*10^-9*Fsw*10^3, VACnom*TI_MOSFET_S_QRR_H_BO*10^-9*Fsw*10^3)/10^-3</f>
        <v>#REF!</v>
      </c>
      <c r="AX247" s="152" t="e">
        <f aca="false">IF(VACnom&gt;Vbat, TI_MOSFET_S_VSD_L_BU*Table7[[#This Row],[Ivalley (A)]]*Fsw*10^3*40*10^-9+TI_MOSFET_S_VSD_L_BU*Table7[[#This Row],[Ipeak (A)]]*Fsw*10^3*30*10^-9, TI_MOSFET_S_VSD_H_BO*Table7[[#This Row],[Ivalley (A)]]*Fsw*10^3*40*10^-9+TI_MOSFET_S_VSD_H_BO*Table7[[#This Row],[Ipeak (A)]]*Fsw*10^3*30*10^-9)/10^-3</f>
        <v>#REF!</v>
      </c>
      <c r="AY247" s="152" t="e">
        <f aca="false">IF(VACnom&gt;Vbat, VACnom*TI_MOSFET_S_QG_L_BU*10^-9*Fsw*10^3, VACnom*TI_MOSFET_S_QG_L_BO*10^-9*Fsw*10^3)/10^-3</f>
        <v>#REF!</v>
      </c>
      <c r="AZ247" s="152" t="e">
        <f aca="false">IF(VACnom&lt;Vbat, Table7[[#This Row],[Duty Cycle]]*Table7[[#This Row],[I_L RMS]]^2*TI_MOSFET_S_RDSON_H_BU*10^-3, (1-Table7[[#This Row],[Duty Cycle]])*Table7[[#This Row],[I_L RMS]]^2*TI_MOSFET_S_RDSON_H_BO*10^-3)/10^-3</f>
        <v>#REF!</v>
      </c>
      <c r="BA247" s="152" t="e">
        <f aca="false">IF(VACnom&gt;Vbat, Table7[[#This Row],[PIV (mW)]]+Table7[[#This Row],[Pqoss (mW)]]+Table7[[#This Row],[Pgate_top (mW)]], Table7[[#This Row],[PRR (mW)]]+Table7[[#This Row],[Pdead (mW)]]+Table7[[#This Row],[Pgate_top (mW)]])</f>
        <v>#REF!</v>
      </c>
      <c r="BB247" s="152" t="e">
        <f aca="false">Table7[[#This Row],[Pcon_top (mW)]]+Table7[[#This Row],[Psw_top (mW)]]</f>
        <v>#REF!</v>
      </c>
      <c r="BC247" s="152" t="e">
        <f aca="false">IF(VACnom&gt;Vbat, (1-Table7[[#This Row],[Duty Cycle]])*Table7[[#This Row],[I_L RMS]]^2*TI_MOSFET_S_RDSON_L_BU*10^-3, Table7[[#This Row],[Duty Cycle]]*Table7[[#This Row],[I_L RMS]]^2*TI_MOSFET_S_RDSON_L_BO*10^-3)/10^-3</f>
        <v>#REF!</v>
      </c>
      <c r="BD247" s="152" t="e">
        <f aca="false">IF(VACnom&gt;Vbat, Table7[[#This Row],[PRR (mW)]]+Table7[[#This Row],[Pdead (mW)]]+Table7[[#This Row],[Pgate_bottom (mW)]], Table7[[#This Row],[PIV (mW)]]+Table7[[#This Row],[Pqoss (mW)]]+Table7[[#This Row],[Pgate_bottom (mW)]])</f>
        <v>#REF!</v>
      </c>
      <c r="BE247" s="154" t="e">
        <f aca="false">Table7[[#This Row],[Pcon_bottom (mW)]]+Table7[[#This Row],[Psw_bottom (mW)]]</f>
        <v>#REF!</v>
      </c>
      <c r="BF247" s="152" t="e">
        <f aca="false">Table7[[#This Row],[Pbottom (mW)]]+Table7[[#This Row],[Ptop (mW)]]</f>
        <v>#REF!</v>
      </c>
      <c r="BG247" s="155"/>
      <c r="BH247" s="152" t="n">
        <f aca="false">MAX(0,Table7[[#This Row],[I_L]]-0.5*Table7[[#This Row],[I_L pkpk]])</f>
        <v>9.41214285714286</v>
      </c>
      <c r="BI247" s="152" t="n">
        <f aca="false">Table7[[#This Row],[I_L]]+0.5*Table7[[#This Row],[I_L pkpk]]</f>
        <v>9.69785714285714</v>
      </c>
      <c r="BJ247" s="152" t="n">
        <f aca="false">IF(VACnom&gt;Vbat, (VGS_S-(C_MOSFET_S_VTH_H_BU+Table7[[#This Row],[I_L]]/C_MOSFET_S_gFS_H_BU))/3.4, (VGS_S-(C_MOSFET_S_VTH_L_BO+Table7[[#This Row],[I_L]]/C_MOSFET_S_gFS_L_BO))/3.4 )</f>
        <v>2.33420588235294</v>
      </c>
      <c r="BK247" s="152" t="n">
        <f aca="false">IF(VACnom&gt;Vbat, ((C_MOSFET_S_VTH_H_BU+Table7[[#This Row],[I_L]]/C_MOSFET_S_gFS_H_BU))/1, ((C_MOSFET_S_VTH_L_BO+Table7[[#This Row],[I_L]]/C_MOSFET_S_gFS_L_BO))/1 )</f>
        <v>2.0637</v>
      </c>
      <c r="BL247" s="152" t="n">
        <f aca="false">IF(VACnom&gt;Vbat, (C_MOSFET_S_QGD_H_BU+C_MOSFET_S_QGS_H_BU)*10^-9/Table7[[#This Row],[Ion (A) C]], (C_MOSFET_S_QGD_L_BO+C_MOSFET_S_QGS_L_BO)*10^-9/Table7[[#This Row],[Ion (A) C]])/10^-9</f>
        <v>2.78467295843151</v>
      </c>
      <c r="BM247" s="152" t="n">
        <f aca="false">IF(VACnom&gt;Vbat, (C_MOSFET_S_QGD_H_BU+C_MOSFET_S_QGS_H_BU)*10^-9/Table7[[#This Row],[Ioff (A) C]], (C_MOSFET_S_QGD_L_BO+C_MOSFET_S_QGS_L_BO)*10^-9/Table7[[#This Row],[Ioff (A) C]])/10^-9</f>
        <v>3.14968260890633</v>
      </c>
      <c r="BN247" s="152" t="n">
        <f aca="false">0.5*VACnom*Table7[[#This Row],[Ivalley (A) C]]*Table7[[#This Row],[ton (ns) C]]*10^-9*Fsw*10^3+0.5*VACnom*Table7[[#This Row],[Ipeak (A) C]]*Table7[[#This Row],[toff (ns) C]]*10^-9*Fsw*10^3/10^-3</f>
        <v>36.6856580714525</v>
      </c>
      <c r="BO247" s="152" t="n">
        <f aca="false">IF(VACnom&gt;Vbat, 0.5*VACnom*C_MOSFET_S_QOSS_H_BU*10^-9*Fsw*10^3,0.5*VACnom*C_MOSFET_S_QOSS_L_BO*10^-9*Fsw*10^3)/10^-3</f>
        <v>43.2</v>
      </c>
      <c r="BP247" s="152" t="e">
        <f aca="false">IF(VACnom&gt;Vbat, VACnom*C_MOSFET_S_QG_H_BU*10^-9*Fsw*10^3,VACnom*C_MOSFET_S_QG_H_BO*10^-9*Fsw*10^3)/10^-3</f>
        <v>#REF!</v>
      </c>
      <c r="BQ247" s="152" t="n">
        <f aca="false">IF(VACnom&gt;Vbat, VACnom*C_MOSFET_S_QRR_L_BU*10^-9*Fsw*10^3, VACnom*C_MOSFET_S_QRR_H_BO*10^-9*Fsw*10^3)/10^-3</f>
        <v>79.2</v>
      </c>
      <c r="BR247" s="152" t="n">
        <f aca="false">IF(VACnom&gt;Vbat, C_MOSFET_S_VSD_L_BU*Table7[[#This Row],[Ivalley (A) C]]*Fsw*10^3*40*10^-9+C_MOSFET_S_VSD_L_BU*Table7[[#This Row],[Ipeak (A) C]]*Fsw*10^3*30*10^-9, C_MOSFET_S_VSD_H_BO*Table7[[#This Row],[Ivalley (A) C]]*Fsw*10^3*40*10^-9+C_MOSFET_S_VSD_H_BO*Table7[[#This Row],[Ipeak (A) C]]*Fsw*10^3*30*10^-9)/10^-3</f>
        <v>106.787428571429</v>
      </c>
      <c r="BS247" s="152" t="e">
        <f aca="false">IF(VACnom&gt;Vbat, VACnom*C_MOSFET_S_QG_L_BU*10^-9*Fsw*10^3, VACnom*C_MOSFET_S_QG_L_BO*10^-9*Fsw*10^3)/10^-3</f>
        <v>#REF!</v>
      </c>
      <c r="BT247" s="152" t="n">
        <f aca="false">IF(VACnom&lt;Vbat, Table7[[#This Row],[Duty Cycle]]*Table7[[#This Row],[I_L RMS]]^2*C_MOSFET_S_RDSON_H_BU*10^-3, (1-Table7[[#This Row],[Duty Cycle]])*Table7[[#This Row],[I_L RMS]]^2*C_MOSFET_S_RDSON_H_BO*10^-3)/10^-3</f>
        <v>24.7827389528669</v>
      </c>
      <c r="BU247" s="152" t="e">
        <f aca="false">IF(VACnom&gt;Vbat, Table7[[#This Row],[PIV (mW) C]]+Table7[[#This Row],[PQoss (mW) C]]+Table7[[#This Row],[Pgate_top (mW) C]], Table7[[#This Row],[PRR (mW) C]]+Table7[[#This Row],[Pdead (mW) C]]+Table7[[#This Row],[Pgate_top (mW) C]])</f>
        <v>#REF!</v>
      </c>
      <c r="BV247" s="152" t="e">
        <f aca="false">Table7[[#This Row],[Pcon_top (mW) C]]+Table7[[#This Row],[Psw_top (mW) C]]</f>
        <v>#REF!</v>
      </c>
      <c r="BW247" s="152" t="e">
        <f aca="false">IF(VACnom&gt;Vbat, (1-Table7[[#This Row],[Duty Cycle]])*Table7[[#This Row],[I_L RMS]]^2*C_MOSFET_S_RDSON_L_BU*10^-3, Table7[[#This Row],[Duty Cycle]]*Table7[[#This Row],[I_L RMS]]^2*C_MOSFET_S_RDSON_L_BO*10^-3)/10^-3</f>
        <v>#REF!</v>
      </c>
      <c r="BX247" s="152" t="e">
        <f aca="false">IF(VACnom&gt;Vbat, Table7[[#This Row],[PRR (mW) C]]+Table7[[#This Row],[Pdead (mW) C]]+Table7[[#This Row],[Pgate_bottom (mW) C]], Table7[[#This Row],[PIV (mW) C]]+Table7[[#This Row],[PQoss (mW) C]]+Table7[[#This Row],[Pgate_bottom (mW) C]])</f>
        <v>#REF!</v>
      </c>
      <c r="BY247" s="152" t="e">
        <f aca="false">Table7[[#This Row],[Pcon_bottom (mW) C]]+Table7[[#This Row],[Psw_bottom (mV) C]]</f>
        <v>#REF!</v>
      </c>
      <c r="BZ247" s="152" t="e">
        <f aca="false">Table7[[#This Row],[Pbottom (mW) C]]+Table7[[#This Row],[Ptop (mW) C]]</f>
        <v>#REF!</v>
      </c>
      <c r="CA247" s="156"/>
      <c r="CB247" s="151" t="n">
        <f aca="false">(RAC_SNS*10^-3*(Table7[[#This Row],[IOUT (A)]]*Vbat/VACnom)^2/10^-3)</f>
        <v>456.490125</v>
      </c>
      <c r="CC247" s="151" t="n">
        <f aca="false">(RBAT_SNS*10^-3*Table7[[#This Row],[IOUT (A)]]^2)/10^-3</f>
        <v>414.05</v>
      </c>
      <c r="CD247" s="151" t="n">
        <f aca="false">IF(VACnom&gt;Vbat,(L_DRC*10^-3*(Table7[[#This Row],[IOUT (A)]])^2/10^-3),(L_DRC*10^-3*(Table7[[#This Row],[IOUT (A)]]*Vbat/VACnom)^2/10^-3))</f>
        <v>1095.5763</v>
      </c>
      <c r="CE247" s="157"/>
      <c r="CF247" s="152" t="n">
        <f aca="false">(Table7[[#This Row],[R_AC (mW)]]+Table7[[#This Row],[R_SR (mW)]]+Table7[[#This Row],[Inductor Loss (mW)]])/10^3</f>
        <v>1.966116425</v>
      </c>
      <c r="CG247" s="152" t="e">
        <f aca="false">Table7[[#This Row],[Total TI (mW)]]/10^3</f>
        <v>#REF!</v>
      </c>
      <c r="CH247" s="152" t="e">
        <f aca="false">Table7[[#This Row],[Total Sense Loss]]+Table7[[#This Row],[Total MOSFET Loss]]</f>
        <v>#REF!</v>
      </c>
      <c r="CI247" s="158" t="e">
        <f aca="false">IF(Table7[[#This Row],[POUT (W)]]=0,0,(Table7[[#This Row],[POUT (W)]])/(Table7[[#This Row],[POUT (W)]]+Table7[[#This Row],[Total Power Loss (W)]]))*100</f>
        <v>#REF!</v>
      </c>
      <c r="CJ247" s="159"/>
      <c r="CK247" s="152" t="n">
        <f aca="false">(Table7[[#This Row],[R_AC (mW)]]+Table7[[#This Row],[R_SR (mW)]]+Table7[[#This Row],[Inductor Loss (mW)]])/10^3</f>
        <v>1.966116425</v>
      </c>
      <c r="CL247" s="152" t="e">
        <f aca="false">Table7[[#This Row],[Total (mW) C]]/10^3</f>
        <v>#REF!</v>
      </c>
      <c r="CM247" s="152" t="e">
        <f aca="false">Table7[[#This Row],[Total Sense Loss C]]+Table7[[#This Row],[Total MOSFET Loss C]]</f>
        <v>#REF!</v>
      </c>
      <c r="CN247" s="158" t="e">
        <f aca="false">IF(Table7[[#This Row],[POUT (W)]]=0,0,(Table7[[#This Row],[POUT (W)]])/(Table7[[#This Row],[POUT (W)]]+Table7[[#This Row],[Total Power Loss (W) C]]))*100</f>
        <v>#REF!</v>
      </c>
      <c r="CO247" s="159"/>
      <c r="CP247" s="158" t="n">
        <f aca="false">IF(MOSFET_S=Custom_MOSFET,Table7[[#This Row],[Total Sense Loss C]],Table7[[#This Row],[Total Sense Loss]])</f>
        <v>1.966116425</v>
      </c>
      <c r="CQ247" s="158" t="e">
        <f aca="false">IF(MOSFET_S=Custom_MOSFET,Table7[[#This Row],[Total MOSFET Loss C]],Table7[[#This Row],[Total MOSFET Loss]])</f>
        <v>#REF!</v>
      </c>
      <c r="CR247" s="158" t="e">
        <f aca="false">IF(MOSFET_S=Custom_MOSFET,Table7[[#This Row],[Efficiency C]],Table7[[#This Row],[Efficiency]])</f>
        <v>#REF!</v>
      </c>
      <c r="CS247" s="159"/>
      <c r="CT247" s="158" t="n">
        <f aca="false">IF(MOSFET_S=Compare_MOSFET, Table7[[#This Row],[Total Sense Loss C]], -100)</f>
        <v>-100</v>
      </c>
      <c r="CU247" s="158" t="n">
        <f aca="false">IF(MOSFET_S=Compare_MOSFET, Table7[[#This Row],[Total MOSFET Loss C]], -100)</f>
        <v>-100</v>
      </c>
      <c r="CV247" s="158" t="n">
        <f aca="false">IF(MOSFET_S=Compare_MOSFET, Table7[[#This Row],[Efficiency C]], -100)</f>
        <v>-100</v>
      </c>
      <c r="CW247" s="159"/>
      <c r="CX247" s="158" t="e">
        <f aca="false">IF(Save_Sel=CLR_Save,  Table7[[#This Row],[Total Sense Loss P1]], Table7[[#This Row],[Total Sense Loss P1 Saved]])</f>
        <v>#VALUE!</v>
      </c>
      <c r="CY247" s="158" t="e">
        <f aca="false">IF(Save_Sel=CLR_Save,  Table7[[#This Row],[Total MOSFET Loss P1]], Table7[[#This Row],[Total MOSFET Loss P1 Saved]] )</f>
        <v>#VALUE!</v>
      </c>
      <c r="CZ247" s="158" t="e">
        <f aca="false">IF(Save_Sel=CLR_Save, Table7[[#This Row],[Efficiency P1]], Table7[[#This Row],[Efficiency P1 Saved]])</f>
        <v>#VALUE!</v>
      </c>
      <c r="DA247" s="159"/>
      <c r="DB247" s="158" t="e">
        <f aca="false">IF(Save_Sel=CLR_Save,  Table7[[#This Row],[Total Sense Loss P2]], Table7[[#This Row],[Total Sense Loss P2 Saved]])</f>
        <v>#VALUE!</v>
      </c>
      <c r="DC247" s="158" t="e">
        <f aca="false">IF(Save_Sel=CLR_Save,  Table7[[#This Row],[Total MOSFET Loss P2]], Table7[[#This Row],[Total MOSFET Loss P2 Saved]] )</f>
        <v>#VALUE!</v>
      </c>
      <c r="DD247" s="158" t="e">
        <f aca="false">IF(Save_Sel=CLR_Save, Table7[[#This Row],[Efficiency P2]], Table7[[#This Row],[Efficiency P2 Saved]])</f>
        <v>#VALUE!</v>
      </c>
      <c r="DE247" s="159"/>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row>
    <row r="248" customFormat="false" ht="16.4" hidden="false" customHeight="false" outlineLevel="0" collapsed="false">
      <c r="A248" s="174"/>
      <c r="B248" s="174"/>
      <c r="C248" s="174"/>
      <c r="D248" s="174"/>
      <c r="E248" s="174"/>
      <c r="F248" s="174"/>
      <c r="G248" s="174"/>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150" t="n">
        <f aca="false">AF247+1</f>
        <v>92</v>
      </c>
      <c r="AG248" s="150" t="n">
        <f aca="false">$AG$156+AF248*($AG$256-$AG$156)/$AF$256</f>
        <v>9.2</v>
      </c>
      <c r="AH248" s="151" t="n">
        <f aca="false">AG248*VACnom</f>
        <v>110.4</v>
      </c>
      <c r="AI248" s="152" t="n">
        <f aca="false">IF(VACnom&lt;Vbat, (Vbat-VACnom)/Vbat, Vbat/VACnom)</f>
        <v>0.0476190476190476</v>
      </c>
      <c r="AJ248" s="152" t="n">
        <f aca="false">IF(VACnom&lt;Vbat, AG248/(1-AI248), AG248*AI248)</f>
        <v>9.66</v>
      </c>
      <c r="AK248" s="152" t="n">
        <f aca="false">Ipkpk_VACnom</f>
        <v>0.285714285714285</v>
      </c>
      <c r="AL248" s="152" t="n">
        <f aca="false">SQRT(AJ248^2+AK248^2/12)</f>
        <v>9.66035210129985</v>
      </c>
      <c r="AM248" s="153"/>
      <c r="AN248" s="152" t="n">
        <f aca="false">MAX(0,Table7[[#This Row],[I_L]]-0.5*Table7[[#This Row],[I_L pkpk]])</f>
        <v>9.51714285714286</v>
      </c>
      <c r="AO248" s="152" t="n">
        <f aca="false">Table7[[#This Row],[I_L]]+0.5*Table7[[#This Row],[I_L pkpk]]</f>
        <v>9.80285714285714</v>
      </c>
      <c r="AP248" s="152" t="e">
        <f aca="false">IF(VACnom&gt;Vbat, (VGS_S-(TI_MOSFET_S_VTH_H_BU+Table7[[#This Row],[I_L]]/TI_MOSFET_S_gFS_H_BU))/3.4, (VGS_S-(TI_MOSFET_S_VTH_L_BO+Table7[[#This Row],[I_L]]/TI_MOSFET_S_gFS_L_BO))/3.4 )</f>
        <v>#REF!</v>
      </c>
      <c r="AQ248" s="152" t="e">
        <f aca="false">IF(VACnom&gt;Vbat, ((TI_MOSFET_S_VTH_H_BU+Table7[[#This Row],[I_L]]/TI_MOSFET_S_gFS_H_BU))/1, ((TI_MOSFET_S_VTH_L_BO+Table7[[#This Row],[I_L]]/TI_MOSFET_S_gFS_L_BO))/1 )</f>
        <v>#REF!</v>
      </c>
      <c r="AR248" s="152" t="e">
        <f aca="false">IF(VACnom&gt;Vbat, (TI_MOSFET_S_QGD_H_BU+TI_MOSFET_S_QGS_H_BU)*10^-9/Table7[[#This Row],[Ion (A)]], (TI_MOSFET_S_QGD_L_BO+TI_MOSFET_S_QGS_L_BO)*10^-9/Table7[[#This Row],[Ion (A)]])/10^-9</f>
        <v>#REF!</v>
      </c>
      <c r="AS248" s="152" t="e">
        <f aca="false">IF(VACnom&gt;Vbat, (TI_MOSFET_S_QGD_H_BU+TI_MOSFET_S_QGS_H_BU)*10^-9/Table7[[#This Row],[Ioff (A)]], (TI_MOSFET_S_QGD_L_BO+TI_MOSFET_S_QGS_L_BO)*10^-9/Table7[[#This Row],[Ioff (A)]])/10^-9</f>
        <v>#REF!</v>
      </c>
      <c r="AT248" s="152" t="e">
        <f aca="false">0.5*VACnom*Table7[[#This Row],[Ivalley (A)]]*Table7[[#This Row],[ton (ns)]]*10^-9*Fsw*10^3+0.5*VACnom*Table7[[#This Row],[Ipeak (A)]]*Table7[[#This Row],[toff (ns)]]*10^-9*Fsw*10^3/10^-3</f>
        <v>#REF!</v>
      </c>
      <c r="AU248" s="152" t="e">
        <f aca="false">IF(VACnom&gt;Vbat, 0.5*VACnom*TI_MOSFET_S_QOSS_H_BU*10^-9*Fsw*10^3,0.5*VACnom*TI_MOSFET_S_QOSS_L_BO*10^-9*Fsw*10^3)/10^-3</f>
        <v>#REF!</v>
      </c>
      <c r="AV248" s="152" t="e">
        <f aca="false">IF(VACnom&gt;Vbat, VACnom*TI_MOSFET_S_QG_H_BU*10^-9*Fsw*10^3,VACnom*TI_MOSFET_S_QG_H_BO*10^-9*Fsw*10^3)/10^-3</f>
        <v>#REF!</v>
      </c>
      <c r="AW248" s="152" t="e">
        <f aca="false">IF(VACnom&gt;Vbat, VACnom*TI_MOSFET_S_QRR_L_BU*10^-9*Fsw*10^3, VACnom*TI_MOSFET_S_QRR_H_BO*10^-9*Fsw*10^3)/10^-3</f>
        <v>#REF!</v>
      </c>
      <c r="AX248" s="152" t="e">
        <f aca="false">IF(VACnom&gt;Vbat, TI_MOSFET_S_VSD_L_BU*Table7[[#This Row],[Ivalley (A)]]*Fsw*10^3*40*10^-9+TI_MOSFET_S_VSD_L_BU*Table7[[#This Row],[Ipeak (A)]]*Fsw*10^3*30*10^-9, TI_MOSFET_S_VSD_H_BO*Table7[[#This Row],[Ivalley (A)]]*Fsw*10^3*40*10^-9+TI_MOSFET_S_VSD_H_BO*Table7[[#This Row],[Ipeak (A)]]*Fsw*10^3*30*10^-9)/10^-3</f>
        <v>#REF!</v>
      </c>
      <c r="AY248" s="152" t="e">
        <f aca="false">IF(VACnom&gt;Vbat, VACnom*TI_MOSFET_S_QG_L_BU*10^-9*Fsw*10^3, VACnom*TI_MOSFET_S_QG_L_BO*10^-9*Fsw*10^3)/10^-3</f>
        <v>#REF!</v>
      </c>
      <c r="AZ248" s="152" t="e">
        <f aca="false">IF(VACnom&lt;Vbat, Table7[[#This Row],[Duty Cycle]]*Table7[[#This Row],[I_L RMS]]^2*TI_MOSFET_S_RDSON_H_BU*10^-3, (1-Table7[[#This Row],[Duty Cycle]])*Table7[[#This Row],[I_L RMS]]^2*TI_MOSFET_S_RDSON_H_BO*10^-3)/10^-3</f>
        <v>#REF!</v>
      </c>
      <c r="BA248" s="152" t="e">
        <f aca="false">IF(VACnom&gt;Vbat, Table7[[#This Row],[PIV (mW)]]+Table7[[#This Row],[Pqoss (mW)]]+Table7[[#This Row],[Pgate_top (mW)]], Table7[[#This Row],[PRR (mW)]]+Table7[[#This Row],[Pdead (mW)]]+Table7[[#This Row],[Pgate_top (mW)]])</f>
        <v>#REF!</v>
      </c>
      <c r="BB248" s="152" t="e">
        <f aca="false">Table7[[#This Row],[Pcon_top (mW)]]+Table7[[#This Row],[Psw_top (mW)]]</f>
        <v>#REF!</v>
      </c>
      <c r="BC248" s="152" t="e">
        <f aca="false">IF(VACnom&gt;Vbat, (1-Table7[[#This Row],[Duty Cycle]])*Table7[[#This Row],[I_L RMS]]^2*TI_MOSFET_S_RDSON_L_BU*10^-3, Table7[[#This Row],[Duty Cycle]]*Table7[[#This Row],[I_L RMS]]^2*TI_MOSFET_S_RDSON_L_BO*10^-3)/10^-3</f>
        <v>#REF!</v>
      </c>
      <c r="BD248" s="152" t="e">
        <f aca="false">IF(VACnom&gt;Vbat, Table7[[#This Row],[PRR (mW)]]+Table7[[#This Row],[Pdead (mW)]]+Table7[[#This Row],[Pgate_bottom (mW)]], Table7[[#This Row],[PIV (mW)]]+Table7[[#This Row],[Pqoss (mW)]]+Table7[[#This Row],[Pgate_bottom (mW)]])</f>
        <v>#REF!</v>
      </c>
      <c r="BE248" s="154" t="e">
        <f aca="false">Table7[[#This Row],[Pcon_bottom (mW)]]+Table7[[#This Row],[Psw_bottom (mW)]]</f>
        <v>#REF!</v>
      </c>
      <c r="BF248" s="152" t="e">
        <f aca="false">Table7[[#This Row],[Pbottom (mW)]]+Table7[[#This Row],[Ptop (mW)]]</f>
        <v>#REF!</v>
      </c>
      <c r="BG248" s="155"/>
      <c r="BH248" s="152" t="n">
        <f aca="false">MAX(0,Table7[[#This Row],[I_L]]-0.5*Table7[[#This Row],[I_L pkpk]])</f>
        <v>9.51714285714286</v>
      </c>
      <c r="BI248" s="152" t="n">
        <f aca="false">Table7[[#This Row],[I_L]]+0.5*Table7[[#This Row],[I_L pkpk]]</f>
        <v>9.80285714285714</v>
      </c>
      <c r="BJ248" s="152" t="n">
        <f aca="false">IF(VACnom&gt;Vbat, (VGS_S-(C_MOSFET_S_VTH_H_BU+Table7[[#This Row],[I_L]]/C_MOSFET_S_gFS_H_BU))/3.4, (VGS_S-(C_MOSFET_S_VTH_L_BO+Table7[[#This Row],[I_L]]/C_MOSFET_S_gFS_L_BO))/3.4 )</f>
        <v>2.334</v>
      </c>
      <c r="BK248" s="152" t="n">
        <f aca="false">IF(VACnom&gt;Vbat, ((C_MOSFET_S_VTH_H_BU+Table7[[#This Row],[I_L]]/C_MOSFET_S_gFS_H_BU))/1, ((C_MOSFET_S_VTH_L_BO+Table7[[#This Row],[I_L]]/C_MOSFET_S_gFS_L_BO))/1 )</f>
        <v>2.0644</v>
      </c>
      <c r="BL248" s="152" t="n">
        <f aca="false">IF(VACnom&gt;Vbat, (C_MOSFET_S_QGD_H_BU+C_MOSFET_S_QGS_H_BU)*10^-9/Table7[[#This Row],[Ion (A) C]], (C_MOSFET_S_QGD_L_BO+C_MOSFET_S_QGS_L_BO)*10^-9/Table7[[#This Row],[Ion (A) C]])/10^-9</f>
        <v>2.78491859468723</v>
      </c>
      <c r="BM248" s="152" t="n">
        <f aca="false">IF(VACnom&gt;Vbat, (C_MOSFET_S_QGD_H_BU+C_MOSFET_S_QGS_H_BU)*10^-9/Table7[[#This Row],[Ioff (A) C]], (C_MOSFET_S_QGD_L_BO+C_MOSFET_S_QGS_L_BO)*10^-9/Table7[[#This Row],[Ioff (A) C]])/10^-9</f>
        <v>3.14861460957179</v>
      </c>
      <c r="BN248" s="152" t="n">
        <f aca="false">0.5*VACnom*Table7[[#This Row],[Ivalley (A) C]]*Table7[[#This Row],[ton (ns) C]]*10^-9*Fsw*10^3+0.5*VACnom*Table7[[#This Row],[Ipeak (A) C]]*Table7[[#This Row],[toff (ns) C]]*10^-9*Fsw*10^3/10^-3</f>
        <v>37.0703084203876</v>
      </c>
      <c r="BO248" s="152" t="n">
        <f aca="false">IF(VACnom&gt;Vbat, 0.5*VACnom*C_MOSFET_S_QOSS_H_BU*10^-9*Fsw*10^3,0.5*VACnom*C_MOSFET_S_QOSS_L_BO*10^-9*Fsw*10^3)/10^-3</f>
        <v>43.2</v>
      </c>
      <c r="BP248" s="152" t="e">
        <f aca="false">IF(VACnom&gt;Vbat, VACnom*C_MOSFET_S_QG_H_BU*10^-9*Fsw*10^3,VACnom*C_MOSFET_S_QG_H_BO*10^-9*Fsw*10^3)/10^-3</f>
        <v>#REF!</v>
      </c>
      <c r="BQ248" s="152" t="n">
        <f aca="false">IF(VACnom&gt;Vbat, VACnom*C_MOSFET_S_QRR_L_BU*10^-9*Fsw*10^3, VACnom*C_MOSFET_S_QRR_H_BO*10^-9*Fsw*10^3)/10^-3</f>
        <v>79.2</v>
      </c>
      <c r="BR248" s="152" t="n">
        <f aca="false">IF(VACnom&gt;Vbat, C_MOSFET_S_VSD_L_BU*Table7[[#This Row],[Ivalley (A) C]]*Fsw*10^3*40*10^-9+C_MOSFET_S_VSD_L_BU*Table7[[#This Row],[Ipeak (A) C]]*Fsw*10^3*30*10^-9, C_MOSFET_S_VSD_H_BO*Table7[[#This Row],[Ivalley (A) C]]*Fsw*10^3*40*10^-9+C_MOSFET_S_VSD_H_BO*Table7[[#This Row],[Ipeak (A) C]]*Fsw*10^3*30*10^-9)/10^-3</f>
        <v>107.963428571429</v>
      </c>
      <c r="BS248" s="152" t="e">
        <f aca="false">IF(VACnom&gt;Vbat, VACnom*C_MOSFET_S_QG_L_BU*10^-9*Fsw*10^3, VACnom*C_MOSFET_S_QG_L_BO*10^-9*Fsw*10^3)/10^-3</f>
        <v>#REF!</v>
      </c>
      <c r="BT248" s="152" t="n">
        <f aca="false">IF(VACnom&lt;Vbat, Table7[[#This Row],[Duty Cycle]]*Table7[[#This Row],[I_L RMS]]^2*C_MOSFET_S_RDSON_H_BU*10^-3, (1-Table7[[#This Row],[Duty Cycle]])*Table7[[#This Row],[I_L RMS]]^2*C_MOSFET_S_RDSON_H_BO*10^-3)/10^-3</f>
        <v>25.3303664528668</v>
      </c>
      <c r="BU248" s="152" t="e">
        <f aca="false">IF(VACnom&gt;Vbat, Table7[[#This Row],[PIV (mW) C]]+Table7[[#This Row],[PQoss (mW) C]]+Table7[[#This Row],[Pgate_top (mW) C]], Table7[[#This Row],[PRR (mW) C]]+Table7[[#This Row],[Pdead (mW) C]]+Table7[[#This Row],[Pgate_top (mW) C]])</f>
        <v>#REF!</v>
      </c>
      <c r="BV248" s="152" t="e">
        <f aca="false">Table7[[#This Row],[Pcon_top (mW) C]]+Table7[[#This Row],[Psw_top (mW) C]]</f>
        <v>#REF!</v>
      </c>
      <c r="BW248" s="152" t="e">
        <f aca="false">IF(VACnom&gt;Vbat, (1-Table7[[#This Row],[Duty Cycle]])*Table7[[#This Row],[I_L RMS]]^2*C_MOSFET_S_RDSON_L_BU*10^-3, Table7[[#This Row],[Duty Cycle]]*Table7[[#This Row],[I_L RMS]]^2*C_MOSFET_S_RDSON_L_BO*10^-3)/10^-3</f>
        <v>#REF!</v>
      </c>
      <c r="BX248" s="152" t="e">
        <f aca="false">IF(VACnom&gt;Vbat, Table7[[#This Row],[PRR (mW) C]]+Table7[[#This Row],[Pdead (mW) C]]+Table7[[#This Row],[Pgate_bottom (mW) C]], Table7[[#This Row],[PIV (mW) C]]+Table7[[#This Row],[PQoss (mW) C]]+Table7[[#This Row],[Pgate_bottom (mW) C]])</f>
        <v>#REF!</v>
      </c>
      <c r="BY248" s="152" t="e">
        <f aca="false">Table7[[#This Row],[Pcon_bottom (mW) C]]+Table7[[#This Row],[Psw_bottom (mV) C]]</f>
        <v>#REF!</v>
      </c>
      <c r="BZ248" s="152" t="e">
        <f aca="false">Table7[[#This Row],[Pbottom (mW) C]]+Table7[[#This Row],[Ptop (mW) C]]</f>
        <v>#REF!</v>
      </c>
      <c r="CA248" s="156"/>
      <c r="CB248" s="151" t="n">
        <f aca="false">(RAC_SNS*10^-3*(Table7[[#This Row],[IOUT (A)]]*Vbat/VACnom)^2/10^-3)</f>
        <v>466.578</v>
      </c>
      <c r="CC248" s="151" t="n">
        <f aca="false">(RBAT_SNS*10^-3*Table7[[#This Row],[IOUT (A)]]^2)/10^-3</f>
        <v>423.2</v>
      </c>
      <c r="CD248" s="151" t="n">
        <f aca="false">IF(VACnom&gt;Vbat,(L_DRC*10^-3*(Table7[[#This Row],[IOUT (A)]])^2/10^-3),(L_DRC*10^-3*(Table7[[#This Row],[IOUT (A)]]*Vbat/VACnom)^2/10^-3))</f>
        <v>1119.7872</v>
      </c>
      <c r="CE248" s="157"/>
      <c r="CF248" s="152" t="n">
        <f aca="false">(Table7[[#This Row],[R_AC (mW)]]+Table7[[#This Row],[R_SR (mW)]]+Table7[[#This Row],[Inductor Loss (mW)]])/10^3</f>
        <v>2.0095652</v>
      </c>
      <c r="CG248" s="152" t="e">
        <f aca="false">Table7[[#This Row],[Total TI (mW)]]/10^3</f>
        <v>#REF!</v>
      </c>
      <c r="CH248" s="152" t="e">
        <f aca="false">Table7[[#This Row],[Total Sense Loss]]+Table7[[#This Row],[Total MOSFET Loss]]</f>
        <v>#REF!</v>
      </c>
      <c r="CI248" s="158" t="e">
        <f aca="false">IF(Table7[[#This Row],[POUT (W)]]=0,0,(Table7[[#This Row],[POUT (W)]])/(Table7[[#This Row],[POUT (W)]]+Table7[[#This Row],[Total Power Loss (W)]]))*100</f>
        <v>#REF!</v>
      </c>
      <c r="CJ248" s="159"/>
      <c r="CK248" s="152" t="n">
        <f aca="false">(Table7[[#This Row],[R_AC (mW)]]+Table7[[#This Row],[R_SR (mW)]]+Table7[[#This Row],[Inductor Loss (mW)]])/10^3</f>
        <v>2.0095652</v>
      </c>
      <c r="CL248" s="152" t="e">
        <f aca="false">Table7[[#This Row],[Total (mW) C]]/10^3</f>
        <v>#REF!</v>
      </c>
      <c r="CM248" s="152" t="e">
        <f aca="false">Table7[[#This Row],[Total Sense Loss C]]+Table7[[#This Row],[Total MOSFET Loss C]]</f>
        <v>#REF!</v>
      </c>
      <c r="CN248" s="158" t="e">
        <f aca="false">IF(Table7[[#This Row],[POUT (W)]]=0,0,(Table7[[#This Row],[POUT (W)]])/(Table7[[#This Row],[POUT (W)]]+Table7[[#This Row],[Total Power Loss (W) C]]))*100</f>
        <v>#REF!</v>
      </c>
      <c r="CO248" s="159"/>
      <c r="CP248" s="158" t="n">
        <f aca="false">IF(MOSFET_S=Custom_MOSFET,Table7[[#This Row],[Total Sense Loss C]],Table7[[#This Row],[Total Sense Loss]])</f>
        <v>2.0095652</v>
      </c>
      <c r="CQ248" s="158" t="e">
        <f aca="false">IF(MOSFET_S=Custom_MOSFET,Table7[[#This Row],[Total MOSFET Loss C]],Table7[[#This Row],[Total MOSFET Loss]])</f>
        <v>#REF!</v>
      </c>
      <c r="CR248" s="158" t="e">
        <f aca="false">IF(MOSFET_S=Custom_MOSFET,Table7[[#This Row],[Efficiency C]],Table7[[#This Row],[Efficiency]])</f>
        <v>#REF!</v>
      </c>
      <c r="CS248" s="159"/>
      <c r="CT248" s="158" t="n">
        <f aca="false">IF(MOSFET_S=Compare_MOSFET, Table7[[#This Row],[Total Sense Loss C]], -100)</f>
        <v>-100</v>
      </c>
      <c r="CU248" s="158" t="n">
        <f aca="false">IF(MOSFET_S=Compare_MOSFET, Table7[[#This Row],[Total MOSFET Loss C]], -100)</f>
        <v>-100</v>
      </c>
      <c r="CV248" s="158" t="n">
        <f aca="false">IF(MOSFET_S=Compare_MOSFET, Table7[[#This Row],[Efficiency C]], -100)</f>
        <v>-100</v>
      </c>
      <c r="CW248" s="159"/>
      <c r="CX248" s="158" t="e">
        <f aca="false">IF(Save_Sel=CLR_Save,  Table7[[#This Row],[Total Sense Loss P1]], Table7[[#This Row],[Total Sense Loss P1 Saved]])</f>
        <v>#VALUE!</v>
      </c>
      <c r="CY248" s="158" t="e">
        <f aca="false">IF(Save_Sel=CLR_Save,  Table7[[#This Row],[Total MOSFET Loss P1]], Table7[[#This Row],[Total MOSFET Loss P1 Saved]] )</f>
        <v>#VALUE!</v>
      </c>
      <c r="CZ248" s="158" t="e">
        <f aca="false">IF(Save_Sel=CLR_Save, Table7[[#This Row],[Efficiency P1]], Table7[[#This Row],[Efficiency P1 Saved]])</f>
        <v>#VALUE!</v>
      </c>
      <c r="DA248" s="159"/>
      <c r="DB248" s="158" t="e">
        <f aca="false">IF(Save_Sel=CLR_Save,  Table7[[#This Row],[Total Sense Loss P2]], Table7[[#This Row],[Total Sense Loss P2 Saved]])</f>
        <v>#VALUE!</v>
      </c>
      <c r="DC248" s="158" t="e">
        <f aca="false">IF(Save_Sel=CLR_Save,  Table7[[#This Row],[Total MOSFET Loss P2]], Table7[[#This Row],[Total MOSFET Loss P2 Saved]] )</f>
        <v>#VALUE!</v>
      </c>
      <c r="DD248" s="158" t="e">
        <f aca="false">IF(Save_Sel=CLR_Save, Table7[[#This Row],[Efficiency P2]], Table7[[#This Row],[Efficiency P2 Saved]])</f>
        <v>#VALUE!</v>
      </c>
      <c r="DE248" s="159"/>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row>
    <row r="249" customFormat="false" ht="16.4" hidden="false" customHeight="false" outlineLevel="0" collapsed="false">
      <c r="A249" s="174"/>
      <c r="B249" s="174"/>
      <c r="C249" s="174"/>
      <c r="D249" s="174"/>
      <c r="E249" s="174"/>
      <c r="F249" s="174"/>
      <c r="G249" s="174"/>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150" t="n">
        <f aca="false">AF248+1</f>
        <v>93</v>
      </c>
      <c r="AG249" s="150" t="n">
        <f aca="false">$AG$156+AF249*($AG$256-$AG$156)/$AF$256</f>
        <v>9.3</v>
      </c>
      <c r="AH249" s="151" t="n">
        <f aca="false">AG249*VACnom</f>
        <v>111.6</v>
      </c>
      <c r="AI249" s="152" t="n">
        <f aca="false">IF(VACnom&lt;Vbat, (Vbat-VACnom)/Vbat, Vbat/VACnom)</f>
        <v>0.0476190476190476</v>
      </c>
      <c r="AJ249" s="152" t="n">
        <f aca="false">IF(VACnom&lt;Vbat, AG249/(1-AI249), AG249*AI249)</f>
        <v>9.765</v>
      </c>
      <c r="AK249" s="152" t="n">
        <f aca="false">Ipkpk_VACnom</f>
        <v>0.285714285714285</v>
      </c>
      <c r="AL249" s="152" t="n">
        <f aca="false">SQRT(AJ249^2+AK249^2/12)</f>
        <v>9.76534831540015</v>
      </c>
      <c r="AM249" s="153"/>
      <c r="AN249" s="152" t="n">
        <f aca="false">MAX(0,Table7[[#This Row],[I_L]]-0.5*Table7[[#This Row],[I_L pkpk]])</f>
        <v>9.62214285714286</v>
      </c>
      <c r="AO249" s="152" t="n">
        <f aca="false">Table7[[#This Row],[I_L]]+0.5*Table7[[#This Row],[I_L pkpk]]</f>
        <v>9.90785714285714</v>
      </c>
      <c r="AP249" s="152" t="e">
        <f aca="false">IF(VACnom&gt;Vbat, (VGS_S-(TI_MOSFET_S_VTH_H_BU+Table7[[#This Row],[I_L]]/TI_MOSFET_S_gFS_H_BU))/3.4, (VGS_S-(TI_MOSFET_S_VTH_L_BO+Table7[[#This Row],[I_L]]/TI_MOSFET_S_gFS_L_BO))/3.4 )</f>
        <v>#REF!</v>
      </c>
      <c r="AQ249" s="152" t="e">
        <f aca="false">IF(VACnom&gt;Vbat, ((TI_MOSFET_S_VTH_H_BU+Table7[[#This Row],[I_L]]/TI_MOSFET_S_gFS_H_BU))/1, ((TI_MOSFET_S_VTH_L_BO+Table7[[#This Row],[I_L]]/TI_MOSFET_S_gFS_L_BO))/1 )</f>
        <v>#REF!</v>
      </c>
      <c r="AR249" s="152" t="e">
        <f aca="false">IF(VACnom&gt;Vbat, (TI_MOSFET_S_QGD_H_BU+TI_MOSFET_S_QGS_H_BU)*10^-9/Table7[[#This Row],[Ion (A)]], (TI_MOSFET_S_QGD_L_BO+TI_MOSFET_S_QGS_L_BO)*10^-9/Table7[[#This Row],[Ion (A)]])/10^-9</f>
        <v>#REF!</v>
      </c>
      <c r="AS249" s="152" t="e">
        <f aca="false">IF(VACnom&gt;Vbat, (TI_MOSFET_S_QGD_H_BU+TI_MOSFET_S_QGS_H_BU)*10^-9/Table7[[#This Row],[Ioff (A)]], (TI_MOSFET_S_QGD_L_BO+TI_MOSFET_S_QGS_L_BO)*10^-9/Table7[[#This Row],[Ioff (A)]])/10^-9</f>
        <v>#REF!</v>
      </c>
      <c r="AT249" s="152" t="e">
        <f aca="false">0.5*VACnom*Table7[[#This Row],[Ivalley (A)]]*Table7[[#This Row],[ton (ns)]]*10^-9*Fsw*10^3+0.5*VACnom*Table7[[#This Row],[Ipeak (A)]]*Table7[[#This Row],[toff (ns)]]*10^-9*Fsw*10^3/10^-3</f>
        <v>#REF!</v>
      </c>
      <c r="AU249" s="152" t="e">
        <f aca="false">IF(VACnom&gt;Vbat, 0.5*VACnom*TI_MOSFET_S_QOSS_H_BU*10^-9*Fsw*10^3,0.5*VACnom*TI_MOSFET_S_QOSS_L_BO*10^-9*Fsw*10^3)/10^-3</f>
        <v>#REF!</v>
      </c>
      <c r="AV249" s="152" t="e">
        <f aca="false">IF(VACnom&gt;Vbat, VACnom*TI_MOSFET_S_QG_H_BU*10^-9*Fsw*10^3,VACnom*TI_MOSFET_S_QG_H_BO*10^-9*Fsw*10^3)/10^-3</f>
        <v>#REF!</v>
      </c>
      <c r="AW249" s="152" t="e">
        <f aca="false">IF(VACnom&gt;Vbat, VACnom*TI_MOSFET_S_QRR_L_BU*10^-9*Fsw*10^3, VACnom*TI_MOSFET_S_QRR_H_BO*10^-9*Fsw*10^3)/10^-3</f>
        <v>#REF!</v>
      </c>
      <c r="AX249" s="152" t="e">
        <f aca="false">IF(VACnom&gt;Vbat, TI_MOSFET_S_VSD_L_BU*Table7[[#This Row],[Ivalley (A)]]*Fsw*10^3*40*10^-9+TI_MOSFET_S_VSD_L_BU*Table7[[#This Row],[Ipeak (A)]]*Fsw*10^3*30*10^-9, TI_MOSFET_S_VSD_H_BO*Table7[[#This Row],[Ivalley (A)]]*Fsw*10^3*40*10^-9+TI_MOSFET_S_VSD_H_BO*Table7[[#This Row],[Ipeak (A)]]*Fsw*10^3*30*10^-9)/10^-3</f>
        <v>#REF!</v>
      </c>
      <c r="AY249" s="152" t="e">
        <f aca="false">IF(VACnom&gt;Vbat, VACnom*TI_MOSFET_S_QG_L_BU*10^-9*Fsw*10^3, VACnom*TI_MOSFET_S_QG_L_BO*10^-9*Fsw*10^3)/10^-3</f>
        <v>#REF!</v>
      </c>
      <c r="AZ249" s="152" t="e">
        <f aca="false">IF(VACnom&lt;Vbat, Table7[[#This Row],[Duty Cycle]]*Table7[[#This Row],[I_L RMS]]^2*TI_MOSFET_S_RDSON_H_BU*10^-3, (1-Table7[[#This Row],[Duty Cycle]])*Table7[[#This Row],[I_L RMS]]^2*TI_MOSFET_S_RDSON_H_BO*10^-3)/10^-3</f>
        <v>#REF!</v>
      </c>
      <c r="BA249" s="152" t="e">
        <f aca="false">IF(VACnom&gt;Vbat, Table7[[#This Row],[PIV (mW)]]+Table7[[#This Row],[Pqoss (mW)]]+Table7[[#This Row],[Pgate_top (mW)]], Table7[[#This Row],[PRR (mW)]]+Table7[[#This Row],[Pdead (mW)]]+Table7[[#This Row],[Pgate_top (mW)]])</f>
        <v>#REF!</v>
      </c>
      <c r="BB249" s="152" t="e">
        <f aca="false">Table7[[#This Row],[Pcon_top (mW)]]+Table7[[#This Row],[Psw_top (mW)]]</f>
        <v>#REF!</v>
      </c>
      <c r="BC249" s="152" t="e">
        <f aca="false">IF(VACnom&gt;Vbat, (1-Table7[[#This Row],[Duty Cycle]])*Table7[[#This Row],[I_L RMS]]^2*TI_MOSFET_S_RDSON_L_BU*10^-3, Table7[[#This Row],[Duty Cycle]]*Table7[[#This Row],[I_L RMS]]^2*TI_MOSFET_S_RDSON_L_BO*10^-3)/10^-3</f>
        <v>#REF!</v>
      </c>
      <c r="BD249" s="152" t="e">
        <f aca="false">IF(VACnom&gt;Vbat, Table7[[#This Row],[PRR (mW)]]+Table7[[#This Row],[Pdead (mW)]]+Table7[[#This Row],[Pgate_bottom (mW)]], Table7[[#This Row],[PIV (mW)]]+Table7[[#This Row],[Pqoss (mW)]]+Table7[[#This Row],[Pgate_bottom (mW)]])</f>
        <v>#REF!</v>
      </c>
      <c r="BE249" s="154" t="e">
        <f aca="false">Table7[[#This Row],[Pcon_bottom (mW)]]+Table7[[#This Row],[Psw_bottom (mW)]]</f>
        <v>#REF!</v>
      </c>
      <c r="BF249" s="152" t="e">
        <f aca="false">Table7[[#This Row],[Pbottom (mW)]]+Table7[[#This Row],[Ptop (mW)]]</f>
        <v>#REF!</v>
      </c>
      <c r="BG249" s="155"/>
      <c r="BH249" s="152" t="n">
        <f aca="false">MAX(0,Table7[[#This Row],[I_L]]-0.5*Table7[[#This Row],[I_L pkpk]])</f>
        <v>9.62214285714286</v>
      </c>
      <c r="BI249" s="152" t="n">
        <f aca="false">Table7[[#This Row],[I_L]]+0.5*Table7[[#This Row],[I_L pkpk]]</f>
        <v>9.90785714285714</v>
      </c>
      <c r="BJ249" s="152" t="n">
        <f aca="false">IF(VACnom&gt;Vbat, (VGS_S-(C_MOSFET_S_VTH_H_BU+Table7[[#This Row],[I_L]]/C_MOSFET_S_gFS_H_BU))/3.4, (VGS_S-(C_MOSFET_S_VTH_L_BO+Table7[[#This Row],[I_L]]/C_MOSFET_S_gFS_L_BO))/3.4 )</f>
        <v>2.33379411764706</v>
      </c>
      <c r="BK249" s="152" t="n">
        <f aca="false">IF(VACnom&gt;Vbat, ((C_MOSFET_S_VTH_H_BU+Table7[[#This Row],[I_L]]/C_MOSFET_S_gFS_H_BU))/1, ((C_MOSFET_S_VTH_L_BO+Table7[[#This Row],[I_L]]/C_MOSFET_S_gFS_L_BO))/1 )</f>
        <v>2.0651</v>
      </c>
      <c r="BL249" s="152" t="n">
        <f aca="false">IF(VACnom&gt;Vbat, (C_MOSFET_S_QGD_H_BU+C_MOSFET_S_QGS_H_BU)*10^-9/Table7[[#This Row],[Ion (A) C]], (C_MOSFET_S_QGD_L_BO+C_MOSFET_S_QGS_L_BO)*10^-9/Table7[[#This Row],[Ion (A) C]])/10^-9</f>
        <v>2.78516427428197</v>
      </c>
      <c r="BM249" s="152" t="n">
        <f aca="false">IF(VACnom&gt;Vbat, (C_MOSFET_S_QGD_H_BU+C_MOSFET_S_QGS_H_BU)*10^-9/Table7[[#This Row],[Ioff (A) C]], (C_MOSFET_S_QGD_L_BO+C_MOSFET_S_QGS_L_BO)*10^-9/Table7[[#This Row],[Ioff (A) C]])/10^-9</f>
        <v>3.14754733426953</v>
      </c>
      <c r="BN249" s="152" t="n">
        <f aca="false">0.5*VACnom*Table7[[#This Row],[Ivalley (A) C]]*Table7[[#This Row],[ton (ns) C]]*10^-9*Fsw*10^3+0.5*VACnom*Table7[[#This Row],[Ipeak (A) C]]*Table7[[#This Row],[toff (ns) C]]*10^-9*Fsw*10^3/10^-3</f>
        <v>37.4546983042213</v>
      </c>
      <c r="BO249" s="152" t="n">
        <f aca="false">IF(VACnom&gt;Vbat, 0.5*VACnom*C_MOSFET_S_QOSS_H_BU*10^-9*Fsw*10^3,0.5*VACnom*C_MOSFET_S_QOSS_L_BO*10^-9*Fsw*10^3)/10^-3</f>
        <v>43.2</v>
      </c>
      <c r="BP249" s="152" t="e">
        <f aca="false">IF(VACnom&gt;Vbat, VACnom*C_MOSFET_S_QG_H_BU*10^-9*Fsw*10^3,VACnom*C_MOSFET_S_QG_H_BO*10^-9*Fsw*10^3)/10^-3</f>
        <v>#REF!</v>
      </c>
      <c r="BQ249" s="152" t="n">
        <f aca="false">IF(VACnom&gt;Vbat, VACnom*C_MOSFET_S_QRR_L_BU*10^-9*Fsw*10^3, VACnom*C_MOSFET_S_QRR_H_BO*10^-9*Fsw*10^3)/10^-3</f>
        <v>79.2</v>
      </c>
      <c r="BR249" s="152" t="n">
        <f aca="false">IF(VACnom&gt;Vbat, C_MOSFET_S_VSD_L_BU*Table7[[#This Row],[Ivalley (A) C]]*Fsw*10^3*40*10^-9+C_MOSFET_S_VSD_L_BU*Table7[[#This Row],[Ipeak (A) C]]*Fsw*10^3*30*10^-9, C_MOSFET_S_VSD_H_BO*Table7[[#This Row],[Ivalley (A) C]]*Fsw*10^3*40*10^-9+C_MOSFET_S_VSD_H_BO*Table7[[#This Row],[Ipeak (A) C]]*Fsw*10^3*30*10^-9)/10^-3</f>
        <v>109.139428571429</v>
      </c>
      <c r="BS249" s="152" t="e">
        <f aca="false">IF(VACnom&gt;Vbat, VACnom*C_MOSFET_S_QG_L_BU*10^-9*Fsw*10^3, VACnom*C_MOSFET_S_QG_L_BO*10^-9*Fsw*10^3)/10^-3</f>
        <v>#REF!</v>
      </c>
      <c r="BT249" s="152" t="n">
        <f aca="false">IF(VACnom&lt;Vbat, Table7[[#This Row],[Duty Cycle]]*Table7[[#This Row],[I_L RMS]]^2*C_MOSFET_S_RDSON_H_BU*10^-3, (1-Table7[[#This Row],[Duty Cycle]])*Table7[[#This Row],[I_L RMS]]^2*C_MOSFET_S_RDSON_H_BO*10^-3)/10^-3</f>
        <v>25.8839789528668</v>
      </c>
      <c r="BU249" s="152" t="e">
        <f aca="false">IF(VACnom&gt;Vbat, Table7[[#This Row],[PIV (mW) C]]+Table7[[#This Row],[PQoss (mW) C]]+Table7[[#This Row],[Pgate_top (mW) C]], Table7[[#This Row],[PRR (mW) C]]+Table7[[#This Row],[Pdead (mW) C]]+Table7[[#This Row],[Pgate_top (mW) C]])</f>
        <v>#REF!</v>
      </c>
      <c r="BV249" s="152" t="e">
        <f aca="false">Table7[[#This Row],[Pcon_top (mW) C]]+Table7[[#This Row],[Psw_top (mW) C]]</f>
        <v>#REF!</v>
      </c>
      <c r="BW249" s="152" t="e">
        <f aca="false">IF(VACnom&gt;Vbat, (1-Table7[[#This Row],[Duty Cycle]])*Table7[[#This Row],[I_L RMS]]^2*C_MOSFET_S_RDSON_L_BU*10^-3, Table7[[#This Row],[Duty Cycle]]*Table7[[#This Row],[I_L RMS]]^2*C_MOSFET_S_RDSON_L_BO*10^-3)/10^-3</f>
        <v>#REF!</v>
      </c>
      <c r="BX249" s="152" t="e">
        <f aca="false">IF(VACnom&gt;Vbat, Table7[[#This Row],[PRR (mW) C]]+Table7[[#This Row],[Pdead (mW) C]]+Table7[[#This Row],[Pgate_bottom (mW) C]], Table7[[#This Row],[PIV (mW) C]]+Table7[[#This Row],[PQoss (mW) C]]+Table7[[#This Row],[Pgate_bottom (mW) C]])</f>
        <v>#REF!</v>
      </c>
      <c r="BY249" s="152" t="e">
        <f aca="false">Table7[[#This Row],[Pcon_bottom (mW) C]]+Table7[[#This Row],[Psw_bottom (mV) C]]</f>
        <v>#REF!</v>
      </c>
      <c r="BZ249" s="152" t="e">
        <f aca="false">Table7[[#This Row],[Pbottom (mW) C]]+Table7[[#This Row],[Ptop (mW) C]]</f>
        <v>#REF!</v>
      </c>
      <c r="CA249" s="156"/>
      <c r="CB249" s="151" t="n">
        <f aca="false">(RAC_SNS*10^-3*(Table7[[#This Row],[IOUT (A)]]*Vbat/VACnom)^2/10^-3)</f>
        <v>476.776125</v>
      </c>
      <c r="CC249" s="151" t="n">
        <f aca="false">(RBAT_SNS*10^-3*Table7[[#This Row],[IOUT (A)]]^2)/10^-3</f>
        <v>432.45</v>
      </c>
      <c r="CD249" s="151" t="n">
        <f aca="false">IF(VACnom&gt;Vbat,(L_DRC*10^-3*(Table7[[#This Row],[IOUT (A)]])^2/10^-3),(L_DRC*10^-3*(Table7[[#This Row],[IOUT (A)]]*Vbat/VACnom)^2/10^-3))</f>
        <v>1144.2627</v>
      </c>
      <c r="CE249" s="157"/>
      <c r="CF249" s="152" t="n">
        <f aca="false">(Table7[[#This Row],[R_AC (mW)]]+Table7[[#This Row],[R_SR (mW)]]+Table7[[#This Row],[Inductor Loss (mW)]])/10^3</f>
        <v>2.053488825</v>
      </c>
      <c r="CG249" s="152" t="e">
        <f aca="false">Table7[[#This Row],[Total TI (mW)]]/10^3</f>
        <v>#REF!</v>
      </c>
      <c r="CH249" s="152" t="e">
        <f aca="false">Table7[[#This Row],[Total Sense Loss]]+Table7[[#This Row],[Total MOSFET Loss]]</f>
        <v>#REF!</v>
      </c>
      <c r="CI249" s="158" t="e">
        <f aca="false">IF(Table7[[#This Row],[POUT (W)]]=0,0,(Table7[[#This Row],[POUT (W)]])/(Table7[[#This Row],[POUT (W)]]+Table7[[#This Row],[Total Power Loss (W)]]))*100</f>
        <v>#REF!</v>
      </c>
      <c r="CJ249" s="159"/>
      <c r="CK249" s="152" t="n">
        <f aca="false">(Table7[[#This Row],[R_AC (mW)]]+Table7[[#This Row],[R_SR (mW)]]+Table7[[#This Row],[Inductor Loss (mW)]])/10^3</f>
        <v>2.053488825</v>
      </c>
      <c r="CL249" s="152" t="e">
        <f aca="false">Table7[[#This Row],[Total (mW) C]]/10^3</f>
        <v>#REF!</v>
      </c>
      <c r="CM249" s="152" t="e">
        <f aca="false">Table7[[#This Row],[Total Sense Loss C]]+Table7[[#This Row],[Total MOSFET Loss C]]</f>
        <v>#REF!</v>
      </c>
      <c r="CN249" s="158" t="e">
        <f aca="false">IF(Table7[[#This Row],[POUT (W)]]=0,0,(Table7[[#This Row],[POUT (W)]])/(Table7[[#This Row],[POUT (W)]]+Table7[[#This Row],[Total Power Loss (W) C]]))*100</f>
        <v>#REF!</v>
      </c>
      <c r="CO249" s="159"/>
      <c r="CP249" s="158" t="n">
        <f aca="false">IF(MOSFET_S=Custom_MOSFET,Table7[[#This Row],[Total Sense Loss C]],Table7[[#This Row],[Total Sense Loss]])</f>
        <v>2.053488825</v>
      </c>
      <c r="CQ249" s="158" t="e">
        <f aca="false">IF(MOSFET_S=Custom_MOSFET,Table7[[#This Row],[Total MOSFET Loss C]],Table7[[#This Row],[Total MOSFET Loss]])</f>
        <v>#REF!</v>
      </c>
      <c r="CR249" s="158" t="e">
        <f aca="false">IF(MOSFET_S=Custom_MOSFET,Table7[[#This Row],[Efficiency C]],Table7[[#This Row],[Efficiency]])</f>
        <v>#REF!</v>
      </c>
      <c r="CS249" s="159"/>
      <c r="CT249" s="158" t="n">
        <f aca="false">IF(MOSFET_S=Compare_MOSFET, Table7[[#This Row],[Total Sense Loss C]], -100)</f>
        <v>-100</v>
      </c>
      <c r="CU249" s="158" t="n">
        <f aca="false">IF(MOSFET_S=Compare_MOSFET, Table7[[#This Row],[Total MOSFET Loss C]], -100)</f>
        <v>-100</v>
      </c>
      <c r="CV249" s="158" t="n">
        <f aca="false">IF(MOSFET_S=Compare_MOSFET, Table7[[#This Row],[Efficiency C]], -100)</f>
        <v>-100</v>
      </c>
      <c r="CW249" s="159"/>
      <c r="CX249" s="158" t="e">
        <f aca="false">IF(Save_Sel=CLR_Save,  Table7[[#This Row],[Total Sense Loss P1]], Table7[[#This Row],[Total Sense Loss P1 Saved]])</f>
        <v>#VALUE!</v>
      </c>
      <c r="CY249" s="158" t="e">
        <f aca="false">IF(Save_Sel=CLR_Save,  Table7[[#This Row],[Total MOSFET Loss P1]], Table7[[#This Row],[Total MOSFET Loss P1 Saved]] )</f>
        <v>#VALUE!</v>
      </c>
      <c r="CZ249" s="158" t="e">
        <f aca="false">IF(Save_Sel=CLR_Save, Table7[[#This Row],[Efficiency P1]], Table7[[#This Row],[Efficiency P1 Saved]])</f>
        <v>#VALUE!</v>
      </c>
      <c r="DA249" s="159"/>
      <c r="DB249" s="158" t="e">
        <f aca="false">IF(Save_Sel=CLR_Save,  Table7[[#This Row],[Total Sense Loss P2]], Table7[[#This Row],[Total Sense Loss P2 Saved]])</f>
        <v>#VALUE!</v>
      </c>
      <c r="DC249" s="158" t="e">
        <f aca="false">IF(Save_Sel=CLR_Save,  Table7[[#This Row],[Total MOSFET Loss P2]], Table7[[#This Row],[Total MOSFET Loss P2 Saved]] )</f>
        <v>#VALUE!</v>
      </c>
      <c r="DD249" s="158" t="e">
        <f aca="false">IF(Save_Sel=CLR_Save, Table7[[#This Row],[Efficiency P2]], Table7[[#This Row],[Efficiency P2 Saved]])</f>
        <v>#VALUE!</v>
      </c>
      <c r="DE249" s="159"/>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row>
    <row r="250" customFormat="false" ht="16.4" hidden="false" customHeight="false" outlineLevel="0" collapsed="false">
      <c r="A250" s="174"/>
      <c r="B250" s="174"/>
      <c r="C250" s="174"/>
      <c r="D250" s="174"/>
      <c r="E250" s="174"/>
      <c r="F250" s="174"/>
      <c r="G250" s="174"/>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150" t="n">
        <f aca="false">AF249+1</f>
        <v>94</v>
      </c>
      <c r="AG250" s="150" t="n">
        <f aca="false">$AG$156+AF250*($AG$256-$AG$156)/$AF$256</f>
        <v>9.4</v>
      </c>
      <c r="AH250" s="151" t="n">
        <f aca="false">AG250*VACnom</f>
        <v>112.8</v>
      </c>
      <c r="AI250" s="152" t="n">
        <f aca="false">IF(VACnom&lt;Vbat, (Vbat-VACnom)/Vbat, Vbat/VACnom)</f>
        <v>0.0476190476190476</v>
      </c>
      <c r="AJ250" s="152" t="n">
        <f aca="false">IF(VACnom&lt;Vbat, AG250/(1-AI250), AG250*AI250)</f>
        <v>9.87</v>
      </c>
      <c r="AK250" s="152" t="n">
        <f aca="false">Ipkpk_VACnom</f>
        <v>0.285714285714285</v>
      </c>
      <c r="AL250" s="152" t="n">
        <f aca="false">SQRT(AJ250^2+AK250^2/12)</f>
        <v>9.87034461004723</v>
      </c>
      <c r="AM250" s="153"/>
      <c r="AN250" s="152" t="n">
        <f aca="false">MAX(0,Table7[[#This Row],[I_L]]-0.5*Table7[[#This Row],[I_L pkpk]])</f>
        <v>9.72714285714286</v>
      </c>
      <c r="AO250" s="152" t="n">
        <f aca="false">Table7[[#This Row],[I_L]]+0.5*Table7[[#This Row],[I_L pkpk]]</f>
        <v>10.0128571428571</v>
      </c>
      <c r="AP250" s="152" t="e">
        <f aca="false">IF(VACnom&gt;Vbat, (VGS_S-(TI_MOSFET_S_VTH_H_BU+Table7[[#This Row],[I_L]]/TI_MOSFET_S_gFS_H_BU))/3.4, (VGS_S-(TI_MOSFET_S_VTH_L_BO+Table7[[#This Row],[I_L]]/TI_MOSFET_S_gFS_L_BO))/3.4 )</f>
        <v>#REF!</v>
      </c>
      <c r="AQ250" s="152" t="e">
        <f aca="false">IF(VACnom&gt;Vbat, ((TI_MOSFET_S_VTH_H_BU+Table7[[#This Row],[I_L]]/TI_MOSFET_S_gFS_H_BU))/1, ((TI_MOSFET_S_VTH_L_BO+Table7[[#This Row],[I_L]]/TI_MOSFET_S_gFS_L_BO))/1 )</f>
        <v>#REF!</v>
      </c>
      <c r="AR250" s="152" t="e">
        <f aca="false">IF(VACnom&gt;Vbat, (TI_MOSFET_S_QGD_H_BU+TI_MOSFET_S_QGS_H_BU)*10^-9/Table7[[#This Row],[Ion (A)]], (TI_MOSFET_S_QGD_L_BO+TI_MOSFET_S_QGS_L_BO)*10^-9/Table7[[#This Row],[Ion (A)]])/10^-9</f>
        <v>#REF!</v>
      </c>
      <c r="AS250" s="152" t="e">
        <f aca="false">IF(VACnom&gt;Vbat, (TI_MOSFET_S_QGD_H_BU+TI_MOSFET_S_QGS_H_BU)*10^-9/Table7[[#This Row],[Ioff (A)]], (TI_MOSFET_S_QGD_L_BO+TI_MOSFET_S_QGS_L_BO)*10^-9/Table7[[#This Row],[Ioff (A)]])/10^-9</f>
        <v>#REF!</v>
      </c>
      <c r="AT250" s="152" t="e">
        <f aca="false">0.5*VACnom*Table7[[#This Row],[Ivalley (A)]]*Table7[[#This Row],[ton (ns)]]*10^-9*Fsw*10^3+0.5*VACnom*Table7[[#This Row],[Ipeak (A)]]*Table7[[#This Row],[toff (ns)]]*10^-9*Fsw*10^3/10^-3</f>
        <v>#REF!</v>
      </c>
      <c r="AU250" s="152" t="e">
        <f aca="false">IF(VACnom&gt;Vbat, 0.5*VACnom*TI_MOSFET_S_QOSS_H_BU*10^-9*Fsw*10^3,0.5*VACnom*TI_MOSFET_S_QOSS_L_BO*10^-9*Fsw*10^3)/10^-3</f>
        <v>#REF!</v>
      </c>
      <c r="AV250" s="152" t="e">
        <f aca="false">IF(VACnom&gt;Vbat, VACnom*TI_MOSFET_S_QG_H_BU*10^-9*Fsw*10^3,VACnom*TI_MOSFET_S_QG_H_BO*10^-9*Fsw*10^3)/10^-3</f>
        <v>#REF!</v>
      </c>
      <c r="AW250" s="152" t="e">
        <f aca="false">IF(VACnom&gt;Vbat, VACnom*TI_MOSFET_S_QRR_L_BU*10^-9*Fsw*10^3, VACnom*TI_MOSFET_S_QRR_H_BO*10^-9*Fsw*10^3)/10^-3</f>
        <v>#REF!</v>
      </c>
      <c r="AX250" s="152" t="e">
        <f aca="false">IF(VACnom&gt;Vbat, TI_MOSFET_S_VSD_L_BU*Table7[[#This Row],[Ivalley (A)]]*Fsw*10^3*40*10^-9+TI_MOSFET_S_VSD_L_BU*Table7[[#This Row],[Ipeak (A)]]*Fsw*10^3*30*10^-9, TI_MOSFET_S_VSD_H_BO*Table7[[#This Row],[Ivalley (A)]]*Fsw*10^3*40*10^-9+TI_MOSFET_S_VSD_H_BO*Table7[[#This Row],[Ipeak (A)]]*Fsw*10^3*30*10^-9)/10^-3</f>
        <v>#REF!</v>
      </c>
      <c r="AY250" s="152" t="e">
        <f aca="false">IF(VACnom&gt;Vbat, VACnom*TI_MOSFET_S_QG_L_BU*10^-9*Fsw*10^3, VACnom*TI_MOSFET_S_QG_L_BO*10^-9*Fsw*10^3)/10^-3</f>
        <v>#REF!</v>
      </c>
      <c r="AZ250" s="152" t="e">
        <f aca="false">IF(VACnom&lt;Vbat, Table7[[#This Row],[Duty Cycle]]*Table7[[#This Row],[I_L RMS]]^2*TI_MOSFET_S_RDSON_H_BU*10^-3, (1-Table7[[#This Row],[Duty Cycle]])*Table7[[#This Row],[I_L RMS]]^2*TI_MOSFET_S_RDSON_H_BO*10^-3)/10^-3</f>
        <v>#REF!</v>
      </c>
      <c r="BA250" s="152" t="e">
        <f aca="false">IF(VACnom&gt;Vbat, Table7[[#This Row],[PIV (mW)]]+Table7[[#This Row],[Pqoss (mW)]]+Table7[[#This Row],[Pgate_top (mW)]], Table7[[#This Row],[PRR (mW)]]+Table7[[#This Row],[Pdead (mW)]]+Table7[[#This Row],[Pgate_top (mW)]])</f>
        <v>#REF!</v>
      </c>
      <c r="BB250" s="152" t="e">
        <f aca="false">Table7[[#This Row],[Pcon_top (mW)]]+Table7[[#This Row],[Psw_top (mW)]]</f>
        <v>#REF!</v>
      </c>
      <c r="BC250" s="152" t="e">
        <f aca="false">IF(VACnom&gt;Vbat, (1-Table7[[#This Row],[Duty Cycle]])*Table7[[#This Row],[I_L RMS]]^2*TI_MOSFET_S_RDSON_L_BU*10^-3, Table7[[#This Row],[Duty Cycle]]*Table7[[#This Row],[I_L RMS]]^2*TI_MOSFET_S_RDSON_L_BO*10^-3)/10^-3</f>
        <v>#REF!</v>
      </c>
      <c r="BD250" s="152" t="e">
        <f aca="false">IF(VACnom&gt;Vbat, Table7[[#This Row],[PRR (mW)]]+Table7[[#This Row],[Pdead (mW)]]+Table7[[#This Row],[Pgate_bottom (mW)]], Table7[[#This Row],[PIV (mW)]]+Table7[[#This Row],[Pqoss (mW)]]+Table7[[#This Row],[Pgate_bottom (mW)]])</f>
        <v>#REF!</v>
      </c>
      <c r="BE250" s="154" t="e">
        <f aca="false">Table7[[#This Row],[Pcon_bottom (mW)]]+Table7[[#This Row],[Psw_bottom (mW)]]</f>
        <v>#REF!</v>
      </c>
      <c r="BF250" s="152" t="e">
        <f aca="false">Table7[[#This Row],[Pbottom (mW)]]+Table7[[#This Row],[Ptop (mW)]]</f>
        <v>#REF!</v>
      </c>
      <c r="BG250" s="155"/>
      <c r="BH250" s="152" t="n">
        <f aca="false">MAX(0,Table7[[#This Row],[I_L]]-0.5*Table7[[#This Row],[I_L pkpk]])</f>
        <v>9.72714285714286</v>
      </c>
      <c r="BI250" s="152" t="n">
        <f aca="false">Table7[[#This Row],[I_L]]+0.5*Table7[[#This Row],[I_L pkpk]]</f>
        <v>10.0128571428571</v>
      </c>
      <c r="BJ250" s="152" t="n">
        <f aca="false">IF(VACnom&gt;Vbat, (VGS_S-(C_MOSFET_S_VTH_H_BU+Table7[[#This Row],[I_L]]/C_MOSFET_S_gFS_H_BU))/3.4, (VGS_S-(C_MOSFET_S_VTH_L_BO+Table7[[#This Row],[I_L]]/C_MOSFET_S_gFS_L_BO))/3.4 )</f>
        <v>2.33358823529412</v>
      </c>
      <c r="BK250" s="152" t="n">
        <f aca="false">IF(VACnom&gt;Vbat, ((C_MOSFET_S_VTH_H_BU+Table7[[#This Row],[I_L]]/C_MOSFET_S_gFS_H_BU))/1, ((C_MOSFET_S_VTH_L_BO+Table7[[#This Row],[I_L]]/C_MOSFET_S_gFS_L_BO))/1 )</f>
        <v>2.0658</v>
      </c>
      <c r="BL250" s="152" t="n">
        <f aca="false">IF(VACnom&gt;Vbat, (C_MOSFET_S_QGD_H_BU+C_MOSFET_S_QGS_H_BU)*10^-9/Table7[[#This Row],[Ion (A) C]], (C_MOSFET_S_QGD_L_BO+C_MOSFET_S_QGS_L_BO)*10^-9/Table7[[#This Row],[Ion (A) C]])/10^-9</f>
        <v>2.78540999722719</v>
      </c>
      <c r="BM250" s="152" t="n">
        <f aca="false">IF(VACnom&gt;Vbat, (C_MOSFET_S_QGD_H_BU+C_MOSFET_S_QGS_H_BU)*10^-9/Table7[[#This Row],[Ioff (A) C]], (C_MOSFET_S_QGD_L_BO+C_MOSFET_S_QGS_L_BO)*10^-9/Table7[[#This Row],[Ioff (A) C]])/10^-9</f>
        <v>3.14648078226353</v>
      </c>
      <c r="BN250" s="152" t="n">
        <f aca="false">0.5*VACnom*Table7[[#This Row],[Ivalley (A) C]]*Table7[[#This Row],[ton (ns) C]]*10^-9*Fsw*10^3+0.5*VACnom*Table7[[#This Row],[Ipeak (A) C]]*Table7[[#This Row],[toff (ns) C]]*10^-9*Fsw*10^3/10^-3</f>
        <v>37.8388279878106</v>
      </c>
      <c r="BO250" s="152" t="n">
        <f aca="false">IF(VACnom&gt;Vbat, 0.5*VACnom*C_MOSFET_S_QOSS_H_BU*10^-9*Fsw*10^3,0.5*VACnom*C_MOSFET_S_QOSS_L_BO*10^-9*Fsw*10^3)/10^-3</f>
        <v>43.2</v>
      </c>
      <c r="BP250" s="152" t="e">
        <f aca="false">IF(VACnom&gt;Vbat, VACnom*C_MOSFET_S_QG_H_BU*10^-9*Fsw*10^3,VACnom*C_MOSFET_S_QG_H_BO*10^-9*Fsw*10^3)/10^-3</f>
        <v>#REF!</v>
      </c>
      <c r="BQ250" s="152" t="n">
        <f aca="false">IF(VACnom&gt;Vbat, VACnom*C_MOSFET_S_QRR_L_BU*10^-9*Fsw*10^3, VACnom*C_MOSFET_S_QRR_H_BO*10^-9*Fsw*10^3)/10^-3</f>
        <v>79.2</v>
      </c>
      <c r="BR250" s="152" t="n">
        <f aca="false">IF(VACnom&gt;Vbat, C_MOSFET_S_VSD_L_BU*Table7[[#This Row],[Ivalley (A) C]]*Fsw*10^3*40*10^-9+C_MOSFET_S_VSD_L_BU*Table7[[#This Row],[Ipeak (A) C]]*Fsw*10^3*30*10^-9, C_MOSFET_S_VSD_H_BO*Table7[[#This Row],[Ivalley (A) C]]*Fsw*10^3*40*10^-9+C_MOSFET_S_VSD_H_BO*Table7[[#This Row],[Ipeak (A) C]]*Fsw*10^3*30*10^-9)/10^-3</f>
        <v>110.315428571429</v>
      </c>
      <c r="BS250" s="152" t="e">
        <f aca="false">IF(VACnom&gt;Vbat, VACnom*C_MOSFET_S_QG_L_BU*10^-9*Fsw*10^3, VACnom*C_MOSFET_S_QG_L_BO*10^-9*Fsw*10^3)/10^-3</f>
        <v>#REF!</v>
      </c>
      <c r="BT250" s="152" t="n">
        <f aca="false">IF(VACnom&lt;Vbat, Table7[[#This Row],[Duty Cycle]]*Table7[[#This Row],[I_L RMS]]^2*C_MOSFET_S_RDSON_H_BU*10^-3, (1-Table7[[#This Row],[Duty Cycle]])*Table7[[#This Row],[I_L RMS]]^2*C_MOSFET_S_RDSON_H_BO*10^-3)/10^-3</f>
        <v>26.4435764528668</v>
      </c>
      <c r="BU250" s="152" t="e">
        <f aca="false">IF(VACnom&gt;Vbat, Table7[[#This Row],[PIV (mW) C]]+Table7[[#This Row],[PQoss (mW) C]]+Table7[[#This Row],[Pgate_top (mW) C]], Table7[[#This Row],[PRR (mW) C]]+Table7[[#This Row],[Pdead (mW) C]]+Table7[[#This Row],[Pgate_top (mW) C]])</f>
        <v>#REF!</v>
      </c>
      <c r="BV250" s="152" t="e">
        <f aca="false">Table7[[#This Row],[Pcon_top (mW) C]]+Table7[[#This Row],[Psw_top (mW) C]]</f>
        <v>#REF!</v>
      </c>
      <c r="BW250" s="152" t="e">
        <f aca="false">IF(VACnom&gt;Vbat, (1-Table7[[#This Row],[Duty Cycle]])*Table7[[#This Row],[I_L RMS]]^2*C_MOSFET_S_RDSON_L_BU*10^-3, Table7[[#This Row],[Duty Cycle]]*Table7[[#This Row],[I_L RMS]]^2*C_MOSFET_S_RDSON_L_BO*10^-3)/10^-3</f>
        <v>#REF!</v>
      </c>
      <c r="BX250" s="152" t="e">
        <f aca="false">IF(VACnom&gt;Vbat, Table7[[#This Row],[PRR (mW) C]]+Table7[[#This Row],[Pdead (mW) C]]+Table7[[#This Row],[Pgate_bottom (mW) C]], Table7[[#This Row],[PIV (mW) C]]+Table7[[#This Row],[PQoss (mW) C]]+Table7[[#This Row],[Pgate_bottom (mW) C]])</f>
        <v>#REF!</v>
      </c>
      <c r="BY250" s="152" t="e">
        <f aca="false">Table7[[#This Row],[Pcon_bottom (mW) C]]+Table7[[#This Row],[Psw_bottom (mV) C]]</f>
        <v>#REF!</v>
      </c>
      <c r="BZ250" s="152" t="e">
        <f aca="false">Table7[[#This Row],[Pbottom (mW) C]]+Table7[[#This Row],[Ptop (mW) C]]</f>
        <v>#REF!</v>
      </c>
      <c r="CA250" s="156"/>
      <c r="CB250" s="151" t="n">
        <f aca="false">(RAC_SNS*10^-3*(Table7[[#This Row],[IOUT (A)]]*Vbat/VACnom)^2/10^-3)</f>
        <v>487.0845</v>
      </c>
      <c r="CC250" s="151" t="n">
        <f aca="false">(RBAT_SNS*10^-3*Table7[[#This Row],[IOUT (A)]]^2)/10^-3</f>
        <v>441.8</v>
      </c>
      <c r="CD250" s="151" t="n">
        <f aca="false">IF(VACnom&gt;Vbat,(L_DRC*10^-3*(Table7[[#This Row],[IOUT (A)]])^2/10^-3),(L_DRC*10^-3*(Table7[[#This Row],[IOUT (A)]]*Vbat/VACnom)^2/10^-3))</f>
        <v>1169.0028</v>
      </c>
      <c r="CE250" s="157"/>
      <c r="CF250" s="152" t="n">
        <f aca="false">(Table7[[#This Row],[R_AC (mW)]]+Table7[[#This Row],[R_SR (mW)]]+Table7[[#This Row],[Inductor Loss (mW)]])/10^3</f>
        <v>2.0978873</v>
      </c>
      <c r="CG250" s="152" t="e">
        <f aca="false">Table7[[#This Row],[Total TI (mW)]]/10^3</f>
        <v>#REF!</v>
      </c>
      <c r="CH250" s="152" t="e">
        <f aca="false">Table7[[#This Row],[Total Sense Loss]]+Table7[[#This Row],[Total MOSFET Loss]]</f>
        <v>#REF!</v>
      </c>
      <c r="CI250" s="158" t="e">
        <f aca="false">IF(Table7[[#This Row],[POUT (W)]]=0,0,(Table7[[#This Row],[POUT (W)]])/(Table7[[#This Row],[POUT (W)]]+Table7[[#This Row],[Total Power Loss (W)]]))*100</f>
        <v>#REF!</v>
      </c>
      <c r="CJ250" s="159"/>
      <c r="CK250" s="152" t="n">
        <f aca="false">(Table7[[#This Row],[R_AC (mW)]]+Table7[[#This Row],[R_SR (mW)]]+Table7[[#This Row],[Inductor Loss (mW)]])/10^3</f>
        <v>2.0978873</v>
      </c>
      <c r="CL250" s="152" t="e">
        <f aca="false">Table7[[#This Row],[Total (mW) C]]/10^3</f>
        <v>#REF!</v>
      </c>
      <c r="CM250" s="152" t="e">
        <f aca="false">Table7[[#This Row],[Total Sense Loss C]]+Table7[[#This Row],[Total MOSFET Loss C]]</f>
        <v>#REF!</v>
      </c>
      <c r="CN250" s="158" t="e">
        <f aca="false">IF(Table7[[#This Row],[POUT (W)]]=0,0,(Table7[[#This Row],[POUT (W)]])/(Table7[[#This Row],[POUT (W)]]+Table7[[#This Row],[Total Power Loss (W) C]]))*100</f>
        <v>#REF!</v>
      </c>
      <c r="CO250" s="159"/>
      <c r="CP250" s="158" t="n">
        <f aca="false">IF(MOSFET_S=Custom_MOSFET,Table7[[#This Row],[Total Sense Loss C]],Table7[[#This Row],[Total Sense Loss]])</f>
        <v>2.0978873</v>
      </c>
      <c r="CQ250" s="158" t="e">
        <f aca="false">IF(MOSFET_S=Custom_MOSFET,Table7[[#This Row],[Total MOSFET Loss C]],Table7[[#This Row],[Total MOSFET Loss]])</f>
        <v>#REF!</v>
      </c>
      <c r="CR250" s="158" t="e">
        <f aca="false">IF(MOSFET_S=Custom_MOSFET,Table7[[#This Row],[Efficiency C]],Table7[[#This Row],[Efficiency]])</f>
        <v>#REF!</v>
      </c>
      <c r="CS250" s="159"/>
      <c r="CT250" s="158" t="n">
        <f aca="false">IF(MOSFET_S=Compare_MOSFET, Table7[[#This Row],[Total Sense Loss C]], -100)</f>
        <v>-100</v>
      </c>
      <c r="CU250" s="158" t="n">
        <f aca="false">IF(MOSFET_S=Compare_MOSFET, Table7[[#This Row],[Total MOSFET Loss C]], -100)</f>
        <v>-100</v>
      </c>
      <c r="CV250" s="158" t="n">
        <f aca="false">IF(MOSFET_S=Compare_MOSFET, Table7[[#This Row],[Efficiency C]], -100)</f>
        <v>-100</v>
      </c>
      <c r="CW250" s="159"/>
      <c r="CX250" s="158" t="e">
        <f aca="false">IF(Save_Sel=CLR_Save,  Table7[[#This Row],[Total Sense Loss P1]], Table7[[#This Row],[Total Sense Loss P1 Saved]])</f>
        <v>#VALUE!</v>
      </c>
      <c r="CY250" s="158" t="e">
        <f aca="false">IF(Save_Sel=CLR_Save,  Table7[[#This Row],[Total MOSFET Loss P1]], Table7[[#This Row],[Total MOSFET Loss P1 Saved]] )</f>
        <v>#VALUE!</v>
      </c>
      <c r="CZ250" s="158" t="e">
        <f aca="false">IF(Save_Sel=CLR_Save, Table7[[#This Row],[Efficiency P1]], Table7[[#This Row],[Efficiency P1 Saved]])</f>
        <v>#VALUE!</v>
      </c>
      <c r="DA250" s="159"/>
      <c r="DB250" s="158" t="e">
        <f aca="false">IF(Save_Sel=CLR_Save,  Table7[[#This Row],[Total Sense Loss P2]], Table7[[#This Row],[Total Sense Loss P2 Saved]])</f>
        <v>#VALUE!</v>
      </c>
      <c r="DC250" s="158" t="e">
        <f aca="false">IF(Save_Sel=CLR_Save,  Table7[[#This Row],[Total MOSFET Loss P2]], Table7[[#This Row],[Total MOSFET Loss P2 Saved]] )</f>
        <v>#VALUE!</v>
      </c>
      <c r="DD250" s="158" t="e">
        <f aca="false">IF(Save_Sel=CLR_Save, Table7[[#This Row],[Efficiency P2]], Table7[[#This Row],[Efficiency P2 Saved]])</f>
        <v>#VALUE!</v>
      </c>
      <c r="DE250" s="159"/>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row>
    <row r="251" customFormat="false" ht="16.4" hidden="false" customHeight="false" outlineLevel="0" collapsed="false">
      <c r="A251" s="174"/>
      <c r="B251" s="174"/>
      <c r="C251" s="174"/>
      <c r="D251" s="174"/>
      <c r="E251" s="174"/>
      <c r="F251" s="174"/>
      <c r="G251" s="174"/>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150" t="n">
        <f aca="false">AF250+1</f>
        <v>95</v>
      </c>
      <c r="AG251" s="150" t="n">
        <f aca="false">$AG$156+AF251*($AG$256-$AG$156)/$AF$256</f>
        <v>9.5</v>
      </c>
      <c r="AH251" s="151" t="n">
        <f aca="false">AG251*VACnom</f>
        <v>114</v>
      </c>
      <c r="AI251" s="152" t="n">
        <f aca="false">IF(VACnom&lt;Vbat, (Vbat-VACnom)/Vbat, Vbat/VACnom)</f>
        <v>0.0476190476190476</v>
      </c>
      <c r="AJ251" s="152" t="n">
        <f aca="false">IF(VACnom&lt;Vbat, AG251/(1-AI251), AG251*AI251)</f>
        <v>9.975</v>
      </c>
      <c r="AK251" s="152" t="n">
        <f aca="false">Ipkpk_VACnom</f>
        <v>0.285714285714285</v>
      </c>
      <c r="AL251" s="152" t="n">
        <f aca="false">SQRT(AJ251^2+AK251^2/12)</f>
        <v>9.97534098269771</v>
      </c>
      <c r="AM251" s="153"/>
      <c r="AN251" s="152" t="n">
        <f aca="false">MAX(0,Table7[[#This Row],[I_L]]-0.5*Table7[[#This Row],[I_L pkpk]])</f>
        <v>9.83214285714286</v>
      </c>
      <c r="AO251" s="152" t="n">
        <f aca="false">Table7[[#This Row],[I_L]]+0.5*Table7[[#This Row],[I_L pkpk]]</f>
        <v>10.1178571428571</v>
      </c>
      <c r="AP251" s="152" t="e">
        <f aca="false">IF(VACnom&gt;Vbat, (VGS_S-(TI_MOSFET_S_VTH_H_BU+Table7[[#This Row],[I_L]]/TI_MOSFET_S_gFS_H_BU))/3.4, (VGS_S-(TI_MOSFET_S_VTH_L_BO+Table7[[#This Row],[I_L]]/TI_MOSFET_S_gFS_L_BO))/3.4 )</f>
        <v>#REF!</v>
      </c>
      <c r="AQ251" s="152" t="e">
        <f aca="false">IF(VACnom&gt;Vbat, ((TI_MOSFET_S_VTH_H_BU+Table7[[#This Row],[I_L]]/TI_MOSFET_S_gFS_H_BU))/1, ((TI_MOSFET_S_VTH_L_BO+Table7[[#This Row],[I_L]]/TI_MOSFET_S_gFS_L_BO))/1 )</f>
        <v>#REF!</v>
      </c>
      <c r="AR251" s="152" t="e">
        <f aca="false">IF(VACnom&gt;Vbat, (TI_MOSFET_S_QGD_H_BU+TI_MOSFET_S_QGS_H_BU)*10^-9/Table7[[#This Row],[Ion (A)]], (TI_MOSFET_S_QGD_L_BO+TI_MOSFET_S_QGS_L_BO)*10^-9/Table7[[#This Row],[Ion (A)]])/10^-9</f>
        <v>#REF!</v>
      </c>
      <c r="AS251" s="152" t="e">
        <f aca="false">IF(VACnom&gt;Vbat, (TI_MOSFET_S_QGD_H_BU+TI_MOSFET_S_QGS_H_BU)*10^-9/Table7[[#This Row],[Ioff (A)]], (TI_MOSFET_S_QGD_L_BO+TI_MOSFET_S_QGS_L_BO)*10^-9/Table7[[#This Row],[Ioff (A)]])/10^-9</f>
        <v>#REF!</v>
      </c>
      <c r="AT251" s="152" t="e">
        <f aca="false">0.5*VACnom*Table7[[#This Row],[Ivalley (A)]]*Table7[[#This Row],[ton (ns)]]*10^-9*Fsw*10^3+0.5*VACnom*Table7[[#This Row],[Ipeak (A)]]*Table7[[#This Row],[toff (ns)]]*10^-9*Fsw*10^3/10^-3</f>
        <v>#REF!</v>
      </c>
      <c r="AU251" s="152" t="e">
        <f aca="false">IF(VACnom&gt;Vbat, 0.5*VACnom*TI_MOSFET_S_QOSS_H_BU*10^-9*Fsw*10^3,0.5*VACnom*TI_MOSFET_S_QOSS_L_BO*10^-9*Fsw*10^3)/10^-3</f>
        <v>#REF!</v>
      </c>
      <c r="AV251" s="152" t="e">
        <f aca="false">IF(VACnom&gt;Vbat, VACnom*TI_MOSFET_S_QG_H_BU*10^-9*Fsw*10^3,VACnom*TI_MOSFET_S_QG_H_BO*10^-9*Fsw*10^3)/10^-3</f>
        <v>#REF!</v>
      </c>
      <c r="AW251" s="152" t="e">
        <f aca="false">IF(VACnom&gt;Vbat, VACnom*TI_MOSFET_S_QRR_L_BU*10^-9*Fsw*10^3, VACnom*TI_MOSFET_S_QRR_H_BO*10^-9*Fsw*10^3)/10^-3</f>
        <v>#REF!</v>
      </c>
      <c r="AX251" s="152" t="e">
        <f aca="false">IF(VACnom&gt;Vbat, TI_MOSFET_S_VSD_L_BU*Table7[[#This Row],[Ivalley (A)]]*Fsw*10^3*40*10^-9+TI_MOSFET_S_VSD_L_BU*Table7[[#This Row],[Ipeak (A)]]*Fsw*10^3*30*10^-9, TI_MOSFET_S_VSD_H_BO*Table7[[#This Row],[Ivalley (A)]]*Fsw*10^3*40*10^-9+TI_MOSFET_S_VSD_H_BO*Table7[[#This Row],[Ipeak (A)]]*Fsw*10^3*30*10^-9)/10^-3</f>
        <v>#REF!</v>
      </c>
      <c r="AY251" s="152" t="e">
        <f aca="false">IF(VACnom&gt;Vbat, VACnom*TI_MOSFET_S_QG_L_BU*10^-9*Fsw*10^3, VACnom*TI_MOSFET_S_QG_L_BO*10^-9*Fsw*10^3)/10^-3</f>
        <v>#REF!</v>
      </c>
      <c r="AZ251" s="152" t="e">
        <f aca="false">IF(VACnom&lt;Vbat, Table7[[#This Row],[Duty Cycle]]*Table7[[#This Row],[I_L RMS]]^2*TI_MOSFET_S_RDSON_H_BU*10^-3, (1-Table7[[#This Row],[Duty Cycle]])*Table7[[#This Row],[I_L RMS]]^2*TI_MOSFET_S_RDSON_H_BO*10^-3)/10^-3</f>
        <v>#REF!</v>
      </c>
      <c r="BA251" s="152" t="e">
        <f aca="false">IF(VACnom&gt;Vbat, Table7[[#This Row],[PIV (mW)]]+Table7[[#This Row],[Pqoss (mW)]]+Table7[[#This Row],[Pgate_top (mW)]], Table7[[#This Row],[PRR (mW)]]+Table7[[#This Row],[Pdead (mW)]]+Table7[[#This Row],[Pgate_top (mW)]])</f>
        <v>#REF!</v>
      </c>
      <c r="BB251" s="152" t="e">
        <f aca="false">Table7[[#This Row],[Pcon_top (mW)]]+Table7[[#This Row],[Psw_top (mW)]]</f>
        <v>#REF!</v>
      </c>
      <c r="BC251" s="152" t="e">
        <f aca="false">IF(VACnom&gt;Vbat, (1-Table7[[#This Row],[Duty Cycle]])*Table7[[#This Row],[I_L RMS]]^2*TI_MOSFET_S_RDSON_L_BU*10^-3, Table7[[#This Row],[Duty Cycle]]*Table7[[#This Row],[I_L RMS]]^2*TI_MOSFET_S_RDSON_L_BO*10^-3)/10^-3</f>
        <v>#REF!</v>
      </c>
      <c r="BD251" s="152" t="e">
        <f aca="false">IF(VACnom&gt;Vbat, Table7[[#This Row],[PRR (mW)]]+Table7[[#This Row],[Pdead (mW)]]+Table7[[#This Row],[Pgate_bottom (mW)]], Table7[[#This Row],[PIV (mW)]]+Table7[[#This Row],[Pqoss (mW)]]+Table7[[#This Row],[Pgate_bottom (mW)]])</f>
        <v>#REF!</v>
      </c>
      <c r="BE251" s="154" t="e">
        <f aca="false">Table7[[#This Row],[Pcon_bottom (mW)]]+Table7[[#This Row],[Psw_bottom (mW)]]</f>
        <v>#REF!</v>
      </c>
      <c r="BF251" s="152" t="e">
        <f aca="false">Table7[[#This Row],[Pbottom (mW)]]+Table7[[#This Row],[Ptop (mW)]]</f>
        <v>#REF!</v>
      </c>
      <c r="BG251" s="155"/>
      <c r="BH251" s="152" t="n">
        <f aca="false">MAX(0,Table7[[#This Row],[I_L]]-0.5*Table7[[#This Row],[I_L pkpk]])</f>
        <v>9.83214285714286</v>
      </c>
      <c r="BI251" s="152" t="n">
        <f aca="false">Table7[[#This Row],[I_L]]+0.5*Table7[[#This Row],[I_L pkpk]]</f>
        <v>10.1178571428571</v>
      </c>
      <c r="BJ251" s="152" t="n">
        <f aca="false">IF(VACnom&gt;Vbat, (VGS_S-(C_MOSFET_S_VTH_H_BU+Table7[[#This Row],[I_L]]/C_MOSFET_S_gFS_H_BU))/3.4, (VGS_S-(C_MOSFET_S_VTH_L_BO+Table7[[#This Row],[I_L]]/C_MOSFET_S_gFS_L_BO))/3.4 )</f>
        <v>2.33338235294118</v>
      </c>
      <c r="BK251" s="152" t="n">
        <f aca="false">IF(VACnom&gt;Vbat, ((C_MOSFET_S_VTH_H_BU+Table7[[#This Row],[I_L]]/C_MOSFET_S_gFS_H_BU))/1, ((C_MOSFET_S_VTH_L_BO+Table7[[#This Row],[I_L]]/C_MOSFET_S_gFS_L_BO))/1 )</f>
        <v>2.0665</v>
      </c>
      <c r="BL251" s="152" t="n">
        <f aca="false">IF(VACnom&gt;Vbat, (C_MOSFET_S_QGD_H_BU+C_MOSFET_S_QGS_H_BU)*10^-9/Table7[[#This Row],[Ion (A) C]], (C_MOSFET_S_QGD_L_BO+C_MOSFET_S_QGS_L_BO)*10^-9/Table7[[#This Row],[Ion (A) C]])/10^-9</f>
        <v>2.78565576353438</v>
      </c>
      <c r="BM251" s="152" t="n">
        <f aca="false">IF(VACnom&gt;Vbat, (C_MOSFET_S_QGD_H_BU+C_MOSFET_S_QGS_H_BU)*10^-9/Table7[[#This Row],[Ioff (A) C]], (C_MOSFET_S_QGD_L_BO+C_MOSFET_S_QGS_L_BO)*10^-9/Table7[[#This Row],[Ioff (A) C]])/10^-9</f>
        <v>3.14541495281878</v>
      </c>
      <c r="BN251" s="152" t="n">
        <f aca="false">0.5*VACnom*Table7[[#This Row],[Ivalley (A) C]]*Table7[[#This Row],[ton (ns) C]]*10^-9*Fsw*10^3+0.5*VACnom*Table7[[#This Row],[Ipeak (A) C]]*Table7[[#This Row],[toff (ns) C]]*10^-9*Fsw*10^3/10^-3</f>
        <v>38.222697735654</v>
      </c>
      <c r="BO251" s="152" t="n">
        <f aca="false">IF(VACnom&gt;Vbat, 0.5*VACnom*C_MOSFET_S_QOSS_H_BU*10^-9*Fsw*10^3,0.5*VACnom*C_MOSFET_S_QOSS_L_BO*10^-9*Fsw*10^3)/10^-3</f>
        <v>43.2</v>
      </c>
      <c r="BP251" s="152" t="e">
        <f aca="false">IF(VACnom&gt;Vbat, VACnom*C_MOSFET_S_QG_H_BU*10^-9*Fsw*10^3,VACnom*C_MOSFET_S_QG_H_BO*10^-9*Fsw*10^3)/10^-3</f>
        <v>#REF!</v>
      </c>
      <c r="BQ251" s="152" t="n">
        <f aca="false">IF(VACnom&gt;Vbat, VACnom*C_MOSFET_S_QRR_L_BU*10^-9*Fsw*10^3, VACnom*C_MOSFET_S_QRR_H_BO*10^-9*Fsw*10^3)/10^-3</f>
        <v>79.2</v>
      </c>
      <c r="BR251" s="152" t="n">
        <f aca="false">IF(VACnom&gt;Vbat, C_MOSFET_S_VSD_L_BU*Table7[[#This Row],[Ivalley (A) C]]*Fsw*10^3*40*10^-9+C_MOSFET_S_VSD_L_BU*Table7[[#This Row],[Ipeak (A) C]]*Fsw*10^3*30*10^-9, C_MOSFET_S_VSD_H_BO*Table7[[#This Row],[Ivalley (A) C]]*Fsw*10^3*40*10^-9+C_MOSFET_S_VSD_H_BO*Table7[[#This Row],[Ipeak (A) C]]*Fsw*10^3*30*10^-9)/10^-3</f>
        <v>111.491428571429</v>
      </c>
      <c r="BS251" s="152" t="e">
        <f aca="false">IF(VACnom&gt;Vbat, VACnom*C_MOSFET_S_QG_L_BU*10^-9*Fsw*10^3, VACnom*C_MOSFET_S_QG_L_BO*10^-9*Fsw*10^3)/10^-3</f>
        <v>#REF!</v>
      </c>
      <c r="BT251" s="152" t="n">
        <f aca="false">IF(VACnom&lt;Vbat, Table7[[#This Row],[Duty Cycle]]*Table7[[#This Row],[I_L RMS]]^2*C_MOSFET_S_RDSON_H_BU*10^-3, (1-Table7[[#This Row],[Duty Cycle]])*Table7[[#This Row],[I_L RMS]]^2*C_MOSFET_S_RDSON_H_BO*10^-3)/10^-3</f>
        <v>27.0091589528668</v>
      </c>
      <c r="BU251" s="152" t="e">
        <f aca="false">IF(VACnom&gt;Vbat, Table7[[#This Row],[PIV (mW) C]]+Table7[[#This Row],[PQoss (mW) C]]+Table7[[#This Row],[Pgate_top (mW) C]], Table7[[#This Row],[PRR (mW) C]]+Table7[[#This Row],[Pdead (mW) C]]+Table7[[#This Row],[Pgate_top (mW) C]])</f>
        <v>#REF!</v>
      </c>
      <c r="BV251" s="152" t="e">
        <f aca="false">Table7[[#This Row],[Pcon_top (mW) C]]+Table7[[#This Row],[Psw_top (mW) C]]</f>
        <v>#REF!</v>
      </c>
      <c r="BW251" s="152" t="e">
        <f aca="false">IF(VACnom&gt;Vbat, (1-Table7[[#This Row],[Duty Cycle]])*Table7[[#This Row],[I_L RMS]]^2*C_MOSFET_S_RDSON_L_BU*10^-3, Table7[[#This Row],[Duty Cycle]]*Table7[[#This Row],[I_L RMS]]^2*C_MOSFET_S_RDSON_L_BO*10^-3)/10^-3</f>
        <v>#REF!</v>
      </c>
      <c r="BX251" s="152" t="e">
        <f aca="false">IF(VACnom&gt;Vbat, Table7[[#This Row],[PRR (mW) C]]+Table7[[#This Row],[Pdead (mW) C]]+Table7[[#This Row],[Pgate_bottom (mW) C]], Table7[[#This Row],[PIV (mW) C]]+Table7[[#This Row],[PQoss (mW) C]]+Table7[[#This Row],[Pgate_bottom (mW) C]])</f>
        <v>#REF!</v>
      </c>
      <c r="BY251" s="152" t="e">
        <f aca="false">Table7[[#This Row],[Pcon_bottom (mW) C]]+Table7[[#This Row],[Psw_bottom (mV) C]]</f>
        <v>#REF!</v>
      </c>
      <c r="BZ251" s="152" t="e">
        <f aca="false">Table7[[#This Row],[Pbottom (mW) C]]+Table7[[#This Row],[Ptop (mW) C]]</f>
        <v>#REF!</v>
      </c>
      <c r="CA251" s="156"/>
      <c r="CB251" s="151" t="n">
        <f aca="false">(RAC_SNS*10^-3*(Table7[[#This Row],[IOUT (A)]]*Vbat/VACnom)^2/10^-3)</f>
        <v>497.503125</v>
      </c>
      <c r="CC251" s="151" t="n">
        <f aca="false">(RBAT_SNS*10^-3*Table7[[#This Row],[IOUT (A)]]^2)/10^-3</f>
        <v>451.25</v>
      </c>
      <c r="CD251" s="151" t="n">
        <f aca="false">IF(VACnom&gt;Vbat,(L_DRC*10^-3*(Table7[[#This Row],[IOUT (A)]])^2/10^-3),(L_DRC*10^-3*(Table7[[#This Row],[IOUT (A)]]*Vbat/VACnom)^2/10^-3))</f>
        <v>1194.0075</v>
      </c>
      <c r="CE251" s="157"/>
      <c r="CF251" s="152" t="n">
        <f aca="false">(Table7[[#This Row],[R_AC (mW)]]+Table7[[#This Row],[R_SR (mW)]]+Table7[[#This Row],[Inductor Loss (mW)]])/10^3</f>
        <v>2.142760625</v>
      </c>
      <c r="CG251" s="152" t="e">
        <f aca="false">Table7[[#This Row],[Total TI (mW)]]/10^3</f>
        <v>#REF!</v>
      </c>
      <c r="CH251" s="152" t="e">
        <f aca="false">Table7[[#This Row],[Total Sense Loss]]+Table7[[#This Row],[Total MOSFET Loss]]</f>
        <v>#REF!</v>
      </c>
      <c r="CI251" s="158" t="e">
        <f aca="false">IF(Table7[[#This Row],[POUT (W)]]=0,0,(Table7[[#This Row],[POUT (W)]])/(Table7[[#This Row],[POUT (W)]]+Table7[[#This Row],[Total Power Loss (W)]]))*100</f>
        <v>#REF!</v>
      </c>
      <c r="CJ251" s="159"/>
      <c r="CK251" s="152" t="n">
        <f aca="false">(Table7[[#This Row],[R_AC (mW)]]+Table7[[#This Row],[R_SR (mW)]]+Table7[[#This Row],[Inductor Loss (mW)]])/10^3</f>
        <v>2.142760625</v>
      </c>
      <c r="CL251" s="152" t="e">
        <f aca="false">Table7[[#This Row],[Total (mW) C]]/10^3</f>
        <v>#REF!</v>
      </c>
      <c r="CM251" s="152" t="e">
        <f aca="false">Table7[[#This Row],[Total Sense Loss C]]+Table7[[#This Row],[Total MOSFET Loss C]]</f>
        <v>#REF!</v>
      </c>
      <c r="CN251" s="158" t="e">
        <f aca="false">IF(Table7[[#This Row],[POUT (W)]]=0,0,(Table7[[#This Row],[POUT (W)]])/(Table7[[#This Row],[POUT (W)]]+Table7[[#This Row],[Total Power Loss (W) C]]))*100</f>
        <v>#REF!</v>
      </c>
      <c r="CO251" s="159"/>
      <c r="CP251" s="158" t="n">
        <f aca="false">IF(MOSFET_S=Custom_MOSFET,Table7[[#This Row],[Total Sense Loss C]],Table7[[#This Row],[Total Sense Loss]])</f>
        <v>2.142760625</v>
      </c>
      <c r="CQ251" s="158" t="e">
        <f aca="false">IF(MOSFET_S=Custom_MOSFET,Table7[[#This Row],[Total MOSFET Loss C]],Table7[[#This Row],[Total MOSFET Loss]])</f>
        <v>#REF!</v>
      </c>
      <c r="CR251" s="158" t="e">
        <f aca="false">IF(MOSFET_S=Custom_MOSFET,Table7[[#This Row],[Efficiency C]],Table7[[#This Row],[Efficiency]])</f>
        <v>#REF!</v>
      </c>
      <c r="CS251" s="159"/>
      <c r="CT251" s="158" t="n">
        <f aca="false">IF(MOSFET_S=Compare_MOSFET, Table7[[#This Row],[Total Sense Loss C]], -100)</f>
        <v>-100</v>
      </c>
      <c r="CU251" s="158" t="n">
        <f aca="false">IF(MOSFET_S=Compare_MOSFET, Table7[[#This Row],[Total MOSFET Loss C]], -100)</f>
        <v>-100</v>
      </c>
      <c r="CV251" s="158" t="n">
        <f aca="false">IF(MOSFET_S=Compare_MOSFET, Table7[[#This Row],[Efficiency C]], -100)</f>
        <v>-100</v>
      </c>
      <c r="CW251" s="159"/>
      <c r="CX251" s="158" t="e">
        <f aca="false">IF(Save_Sel=CLR_Save,  Table7[[#This Row],[Total Sense Loss P1]], Table7[[#This Row],[Total Sense Loss P1 Saved]])</f>
        <v>#VALUE!</v>
      </c>
      <c r="CY251" s="158" t="e">
        <f aca="false">IF(Save_Sel=CLR_Save,  Table7[[#This Row],[Total MOSFET Loss P1]], Table7[[#This Row],[Total MOSFET Loss P1 Saved]] )</f>
        <v>#VALUE!</v>
      </c>
      <c r="CZ251" s="158" t="e">
        <f aca="false">IF(Save_Sel=CLR_Save, Table7[[#This Row],[Efficiency P1]], Table7[[#This Row],[Efficiency P1 Saved]])</f>
        <v>#VALUE!</v>
      </c>
      <c r="DA251" s="159"/>
      <c r="DB251" s="158" t="e">
        <f aca="false">IF(Save_Sel=CLR_Save,  Table7[[#This Row],[Total Sense Loss P2]], Table7[[#This Row],[Total Sense Loss P2 Saved]])</f>
        <v>#VALUE!</v>
      </c>
      <c r="DC251" s="158" t="e">
        <f aca="false">IF(Save_Sel=CLR_Save,  Table7[[#This Row],[Total MOSFET Loss P2]], Table7[[#This Row],[Total MOSFET Loss P2 Saved]] )</f>
        <v>#VALUE!</v>
      </c>
      <c r="DD251" s="158" t="e">
        <f aca="false">IF(Save_Sel=CLR_Save, Table7[[#This Row],[Efficiency P2]], Table7[[#This Row],[Efficiency P2 Saved]])</f>
        <v>#VALUE!</v>
      </c>
      <c r="DE251" s="159"/>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row>
    <row r="252" customFormat="false" ht="16.4" hidden="false" customHeight="false" outlineLevel="0" collapsed="false">
      <c r="A252" s="174"/>
      <c r="B252" s="174"/>
      <c r="C252" s="174"/>
      <c r="D252" s="174"/>
      <c r="E252" s="174"/>
      <c r="F252" s="174"/>
      <c r="G252" s="174"/>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150" t="n">
        <f aca="false">AF251+1</f>
        <v>96</v>
      </c>
      <c r="AG252" s="150" t="n">
        <f aca="false">$AG$156+AF252*($AG$256-$AG$156)/$AF$256</f>
        <v>9.6</v>
      </c>
      <c r="AH252" s="151" t="n">
        <f aca="false">AG252*VACnom</f>
        <v>115.2</v>
      </c>
      <c r="AI252" s="152" t="n">
        <f aca="false">IF(VACnom&lt;Vbat, (Vbat-VACnom)/Vbat, Vbat/VACnom)</f>
        <v>0.0476190476190476</v>
      </c>
      <c r="AJ252" s="152" t="n">
        <f aca="false">IF(VACnom&lt;Vbat, AG252/(1-AI252), AG252*AI252)</f>
        <v>10.08</v>
      </c>
      <c r="AK252" s="152" t="n">
        <f aca="false">Ipkpk_VACnom</f>
        <v>0.285714285714285</v>
      </c>
      <c r="AL252" s="152" t="n">
        <f aca="false">SQRT(AJ252^2+AK252^2/12)</f>
        <v>10.0803374309141</v>
      </c>
      <c r="AM252" s="153"/>
      <c r="AN252" s="152" t="n">
        <f aca="false">MAX(0,Table7[[#This Row],[I_L]]-0.5*Table7[[#This Row],[I_L pkpk]])</f>
        <v>9.93714285714286</v>
      </c>
      <c r="AO252" s="152" t="n">
        <f aca="false">Table7[[#This Row],[I_L]]+0.5*Table7[[#This Row],[I_L pkpk]]</f>
        <v>10.2228571428571</v>
      </c>
      <c r="AP252" s="152" t="e">
        <f aca="false">IF(VACnom&gt;Vbat, (VGS_S-(TI_MOSFET_S_VTH_H_BU+Table7[[#This Row],[I_L]]/TI_MOSFET_S_gFS_H_BU))/3.4, (VGS_S-(TI_MOSFET_S_VTH_L_BO+Table7[[#This Row],[I_L]]/TI_MOSFET_S_gFS_L_BO))/3.4 )</f>
        <v>#REF!</v>
      </c>
      <c r="AQ252" s="152" t="e">
        <f aca="false">IF(VACnom&gt;Vbat, ((TI_MOSFET_S_VTH_H_BU+Table7[[#This Row],[I_L]]/TI_MOSFET_S_gFS_H_BU))/1, ((TI_MOSFET_S_VTH_L_BO+Table7[[#This Row],[I_L]]/TI_MOSFET_S_gFS_L_BO))/1 )</f>
        <v>#REF!</v>
      </c>
      <c r="AR252" s="152" t="e">
        <f aca="false">IF(VACnom&gt;Vbat, (TI_MOSFET_S_QGD_H_BU+TI_MOSFET_S_QGS_H_BU)*10^-9/Table7[[#This Row],[Ion (A)]], (TI_MOSFET_S_QGD_L_BO+TI_MOSFET_S_QGS_L_BO)*10^-9/Table7[[#This Row],[Ion (A)]])/10^-9</f>
        <v>#REF!</v>
      </c>
      <c r="AS252" s="152" t="e">
        <f aca="false">IF(VACnom&gt;Vbat, (TI_MOSFET_S_QGD_H_BU+TI_MOSFET_S_QGS_H_BU)*10^-9/Table7[[#This Row],[Ioff (A)]], (TI_MOSFET_S_QGD_L_BO+TI_MOSFET_S_QGS_L_BO)*10^-9/Table7[[#This Row],[Ioff (A)]])/10^-9</f>
        <v>#REF!</v>
      </c>
      <c r="AT252" s="152" t="e">
        <f aca="false">0.5*VACnom*Table7[[#This Row],[Ivalley (A)]]*Table7[[#This Row],[ton (ns)]]*10^-9*Fsw*10^3+0.5*VACnom*Table7[[#This Row],[Ipeak (A)]]*Table7[[#This Row],[toff (ns)]]*10^-9*Fsw*10^3/10^-3</f>
        <v>#REF!</v>
      </c>
      <c r="AU252" s="152" t="e">
        <f aca="false">IF(VACnom&gt;Vbat, 0.5*VACnom*TI_MOSFET_S_QOSS_H_BU*10^-9*Fsw*10^3,0.5*VACnom*TI_MOSFET_S_QOSS_L_BO*10^-9*Fsw*10^3)/10^-3</f>
        <v>#REF!</v>
      </c>
      <c r="AV252" s="152" t="e">
        <f aca="false">IF(VACnom&gt;Vbat, VACnom*TI_MOSFET_S_QG_H_BU*10^-9*Fsw*10^3,VACnom*TI_MOSFET_S_QG_H_BO*10^-9*Fsw*10^3)/10^-3</f>
        <v>#REF!</v>
      </c>
      <c r="AW252" s="152" t="e">
        <f aca="false">IF(VACnom&gt;Vbat, VACnom*TI_MOSFET_S_QRR_L_BU*10^-9*Fsw*10^3, VACnom*TI_MOSFET_S_QRR_H_BO*10^-9*Fsw*10^3)/10^-3</f>
        <v>#REF!</v>
      </c>
      <c r="AX252" s="152" t="e">
        <f aca="false">IF(VACnom&gt;Vbat, TI_MOSFET_S_VSD_L_BU*Table7[[#This Row],[Ivalley (A)]]*Fsw*10^3*40*10^-9+TI_MOSFET_S_VSD_L_BU*Table7[[#This Row],[Ipeak (A)]]*Fsw*10^3*30*10^-9, TI_MOSFET_S_VSD_H_BO*Table7[[#This Row],[Ivalley (A)]]*Fsw*10^3*40*10^-9+TI_MOSFET_S_VSD_H_BO*Table7[[#This Row],[Ipeak (A)]]*Fsw*10^3*30*10^-9)/10^-3</f>
        <v>#REF!</v>
      </c>
      <c r="AY252" s="152" t="e">
        <f aca="false">IF(VACnom&gt;Vbat, VACnom*TI_MOSFET_S_QG_L_BU*10^-9*Fsw*10^3, VACnom*TI_MOSFET_S_QG_L_BO*10^-9*Fsw*10^3)/10^-3</f>
        <v>#REF!</v>
      </c>
      <c r="AZ252" s="152" t="e">
        <f aca="false">IF(VACnom&lt;Vbat, Table7[[#This Row],[Duty Cycle]]*Table7[[#This Row],[I_L RMS]]^2*TI_MOSFET_S_RDSON_H_BU*10^-3, (1-Table7[[#This Row],[Duty Cycle]])*Table7[[#This Row],[I_L RMS]]^2*TI_MOSFET_S_RDSON_H_BO*10^-3)/10^-3</f>
        <v>#REF!</v>
      </c>
      <c r="BA252" s="152" t="e">
        <f aca="false">IF(VACnom&gt;Vbat, Table7[[#This Row],[PIV (mW)]]+Table7[[#This Row],[Pqoss (mW)]]+Table7[[#This Row],[Pgate_top (mW)]], Table7[[#This Row],[PRR (mW)]]+Table7[[#This Row],[Pdead (mW)]]+Table7[[#This Row],[Pgate_top (mW)]])</f>
        <v>#REF!</v>
      </c>
      <c r="BB252" s="152" t="e">
        <f aca="false">Table7[[#This Row],[Pcon_top (mW)]]+Table7[[#This Row],[Psw_top (mW)]]</f>
        <v>#REF!</v>
      </c>
      <c r="BC252" s="152" t="e">
        <f aca="false">IF(VACnom&gt;Vbat, (1-Table7[[#This Row],[Duty Cycle]])*Table7[[#This Row],[I_L RMS]]^2*TI_MOSFET_S_RDSON_L_BU*10^-3, Table7[[#This Row],[Duty Cycle]]*Table7[[#This Row],[I_L RMS]]^2*TI_MOSFET_S_RDSON_L_BO*10^-3)/10^-3</f>
        <v>#REF!</v>
      </c>
      <c r="BD252" s="152" t="e">
        <f aca="false">IF(VACnom&gt;Vbat, Table7[[#This Row],[PRR (mW)]]+Table7[[#This Row],[Pdead (mW)]]+Table7[[#This Row],[Pgate_bottom (mW)]], Table7[[#This Row],[PIV (mW)]]+Table7[[#This Row],[Pqoss (mW)]]+Table7[[#This Row],[Pgate_bottom (mW)]])</f>
        <v>#REF!</v>
      </c>
      <c r="BE252" s="154" t="e">
        <f aca="false">Table7[[#This Row],[Pcon_bottom (mW)]]+Table7[[#This Row],[Psw_bottom (mW)]]</f>
        <v>#REF!</v>
      </c>
      <c r="BF252" s="152" t="e">
        <f aca="false">Table7[[#This Row],[Pbottom (mW)]]+Table7[[#This Row],[Ptop (mW)]]</f>
        <v>#REF!</v>
      </c>
      <c r="BG252" s="155"/>
      <c r="BH252" s="152" t="n">
        <f aca="false">MAX(0,Table7[[#This Row],[I_L]]-0.5*Table7[[#This Row],[I_L pkpk]])</f>
        <v>9.93714285714286</v>
      </c>
      <c r="BI252" s="152" t="n">
        <f aca="false">Table7[[#This Row],[I_L]]+0.5*Table7[[#This Row],[I_L pkpk]]</f>
        <v>10.2228571428571</v>
      </c>
      <c r="BJ252" s="152" t="n">
        <f aca="false">IF(VACnom&gt;Vbat, (VGS_S-(C_MOSFET_S_VTH_H_BU+Table7[[#This Row],[I_L]]/C_MOSFET_S_gFS_H_BU))/3.4, (VGS_S-(C_MOSFET_S_VTH_L_BO+Table7[[#This Row],[I_L]]/C_MOSFET_S_gFS_L_BO))/3.4 )</f>
        <v>2.33317647058824</v>
      </c>
      <c r="BK252" s="152" t="n">
        <f aca="false">IF(VACnom&gt;Vbat, ((C_MOSFET_S_VTH_H_BU+Table7[[#This Row],[I_L]]/C_MOSFET_S_gFS_H_BU))/1, ((C_MOSFET_S_VTH_L_BO+Table7[[#This Row],[I_L]]/C_MOSFET_S_gFS_L_BO))/1 )</f>
        <v>2.0672</v>
      </c>
      <c r="BL252" s="152" t="n">
        <f aca="false">IF(VACnom&gt;Vbat, (C_MOSFET_S_QGD_H_BU+C_MOSFET_S_QGS_H_BU)*10^-9/Table7[[#This Row],[Ion (A) C]], (C_MOSFET_S_QGD_L_BO+C_MOSFET_S_QGS_L_BO)*10^-9/Table7[[#This Row],[Ion (A) C]])/10^-9</f>
        <v>2.78590157321501</v>
      </c>
      <c r="BM252" s="152" t="n">
        <f aca="false">IF(VACnom&gt;Vbat, (C_MOSFET_S_QGD_H_BU+C_MOSFET_S_QGS_H_BU)*10^-9/Table7[[#This Row],[Ioff (A) C]], (C_MOSFET_S_QGD_L_BO+C_MOSFET_S_QGS_L_BO)*10^-9/Table7[[#This Row],[Ioff (A) C]])/10^-9</f>
        <v>3.14434984520124</v>
      </c>
      <c r="BN252" s="152" t="n">
        <f aca="false">0.5*VACnom*Table7[[#This Row],[Ivalley (A) C]]*Table7[[#This Row],[ton (ns) C]]*10^-9*Fsw*10^3+0.5*VACnom*Table7[[#This Row],[Ipeak (A) C]]*Table7[[#This Row],[toff (ns) C]]*10^-9*Fsw*10^3/10^-3</f>
        <v>38.6063078118915</v>
      </c>
      <c r="BO252" s="152" t="n">
        <f aca="false">IF(VACnom&gt;Vbat, 0.5*VACnom*C_MOSFET_S_QOSS_H_BU*10^-9*Fsw*10^3,0.5*VACnom*C_MOSFET_S_QOSS_L_BO*10^-9*Fsw*10^3)/10^-3</f>
        <v>43.2</v>
      </c>
      <c r="BP252" s="152" t="e">
        <f aca="false">IF(VACnom&gt;Vbat, VACnom*C_MOSFET_S_QG_H_BU*10^-9*Fsw*10^3,VACnom*C_MOSFET_S_QG_H_BO*10^-9*Fsw*10^3)/10^-3</f>
        <v>#REF!</v>
      </c>
      <c r="BQ252" s="152" t="n">
        <f aca="false">IF(VACnom&gt;Vbat, VACnom*C_MOSFET_S_QRR_L_BU*10^-9*Fsw*10^3, VACnom*C_MOSFET_S_QRR_H_BO*10^-9*Fsw*10^3)/10^-3</f>
        <v>79.2</v>
      </c>
      <c r="BR252" s="152" t="n">
        <f aca="false">IF(VACnom&gt;Vbat, C_MOSFET_S_VSD_L_BU*Table7[[#This Row],[Ivalley (A) C]]*Fsw*10^3*40*10^-9+C_MOSFET_S_VSD_L_BU*Table7[[#This Row],[Ipeak (A) C]]*Fsw*10^3*30*10^-9, C_MOSFET_S_VSD_H_BO*Table7[[#This Row],[Ivalley (A) C]]*Fsw*10^3*40*10^-9+C_MOSFET_S_VSD_H_BO*Table7[[#This Row],[Ipeak (A) C]]*Fsw*10^3*30*10^-9)/10^-3</f>
        <v>112.667428571429</v>
      </c>
      <c r="BS252" s="152" t="e">
        <f aca="false">IF(VACnom&gt;Vbat, VACnom*C_MOSFET_S_QG_L_BU*10^-9*Fsw*10^3, VACnom*C_MOSFET_S_QG_L_BO*10^-9*Fsw*10^3)/10^-3</f>
        <v>#REF!</v>
      </c>
      <c r="BT252" s="152" t="n">
        <f aca="false">IF(VACnom&lt;Vbat, Table7[[#This Row],[Duty Cycle]]*Table7[[#This Row],[I_L RMS]]^2*C_MOSFET_S_RDSON_H_BU*10^-3, (1-Table7[[#This Row],[Duty Cycle]])*Table7[[#This Row],[I_L RMS]]^2*C_MOSFET_S_RDSON_H_BO*10^-3)/10^-3</f>
        <v>27.5807264528668</v>
      </c>
      <c r="BU252" s="152" t="e">
        <f aca="false">IF(VACnom&gt;Vbat, Table7[[#This Row],[PIV (mW) C]]+Table7[[#This Row],[PQoss (mW) C]]+Table7[[#This Row],[Pgate_top (mW) C]], Table7[[#This Row],[PRR (mW) C]]+Table7[[#This Row],[Pdead (mW) C]]+Table7[[#This Row],[Pgate_top (mW) C]])</f>
        <v>#REF!</v>
      </c>
      <c r="BV252" s="152" t="e">
        <f aca="false">Table7[[#This Row],[Pcon_top (mW) C]]+Table7[[#This Row],[Psw_top (mW) C]]</f>
        <v>#REF!</v>
      </c>
      <c r="BW252" s="152" t="e">
        <f aca="false">IF(VACnom&gt;Vbat, (1-Table7[[#This Row],[Duty Cycle]])*Table7[[#This Row],[I_L RMS]]^2*C_MOSFET_S_RDSON_L_BU*10^-3, Table7[[#This Row],[Duty Cycle]]*Table7[[#This Row],[I_L RMS]]^2*C_MOSFET_S_RDSON_L_BO*10^-3)/10^-3</f>
        <v>#REF!</v>
      </c>
      <c r="BX252" s="152" t="e">
        <f aca="false">IF(VACnom&gt;Vbat, Table7[[#This Row],[PRR (mW) C]]+Table7[[#This Row],[Pdead (mW) C]]+Table7[[#This Row],[Pgate_bottom (mW) C]], Table7[[#This Row],[PIV (mW) C]]+Table7[[#This Row],[PQoss (mW) C]]+Table7[[#This Row],[Pgate_bottom (mW) C]])</f>
        <v>#REF!</v>
      </c>
      <c r="BY252" s="152" t="e">
        <f aca="false">Table7[[#This Row],[Pcon_bottom (mW) C]]+Table7[[#This Row],[Psw_bottom (mV) C]]</f>
        <v>#REF!</v>
      </c>
      <c r="BZ252" s="152" t="e">
        <f aca="false">Table7[[#This Row],[Pbottom (mW) C]]+Table7[[#This Row],[Ptop (mW) C]]</f>
        <v>#REF!</v>
      </c>
      <c r="CA252" s="156"/>
      <c r="CB252" s="151" t="n">
        <f aca="false">(RAC_SNS*10^-3*(Table7[[#This Row],[IOUT (A)]]*Vbat/VACnom)^2/10^-3)</f>
        <v>508.032</v>
      </c>
      <c r="CC252" s="151" t="n">
        <f aca="false">(RBAT_SNS*10^-3*Table7[[#This Row],[IOUT (A)]]^2)/10^-3</f>
        <v>460.8</v>
      </c>
      <c r="CD252" s="151" t="n">
        <f aca="false">IF(VACnom&gt;Vbat,(L_DRC*10^-3*(Table7[[#This Row],[IOUT (A)]])^2/10^-3),(L_DRC*10^-3*(Table7[[#This Row],[IOUT (A)]]*Vbat/VACnom)^2/10^-3))</f>
        <v>1219.2768</v>
      </c>
      <c r="CE252" s="157"/>
      <c r="CF252" s="152" t="n">
        <f aca="false">(Table7[[#This Row],[R_AC (mW)]]+Table7[[#This Row],[R_SR (mW)]]+Table7[[#This Row],[Inductor Loss (mW)]])/10^3</f>
        <v>2.1881088</v>
      </c>
      <c r="CG252" s="152" t="e">
        <f aca="false">Table7[[#This Row],[Total TI (mW)]]/10^3</f>
        <v>#REF!</v>
      </c>
      <c r="CH252" s="152" t="e">
        <f aca="false">Table7[[#This Row],[Total Sense Loss]]+Table7[[#This Row],[Total MOSFET Loss]]</f>
        <v>#REF!</v>
      </c>
      <c r="CI252" s="158" t="e">
        <f aca="false">IF(Table7[[#This Row],[POUT (W)]]=0,0,(Table7[[#This Row],[POUT (W)]])/(Table7[[#This Row],[POUT (W)]]+Table7[[#This Row],[Total Power Loss (W)]]))*100</f>
        <v>#REF!</v>
      </c>
      <c r="CJ252" s="159"/>
      <c r="CK252" s="152" t="n">
        <f aca="false">(Table7[[#This Row],[R_AC (mW)]]+Table7[[#This Row],[R_SR (mW)]]+Table7[[#This Row],[Inductor Loss (mW)]])/10^3</f>
        <v>2.1881088</v>
      </c>
      <c r="CL252" s="152" t="e">
        <f aca="false">Table7[[#This Row],[Total (mW) C]]/10^3</f>
        <v>#REF!</v>
      </c>
      <c r="CM252" s="152" t="e">
        <f aca="false">Table7[[#This Row],[Total Sense Loss C]]+Table7[[#This Row],[Total MOSFET Loss C]]</f>
        <v>#REF!</v>
      </c>
      <c r="CN252" s="158" t="e">
        <f aca="false">IF(Table7[[#This Row],[POUT (W)]]=0,0,(Table7[[#This Row],[POUT (W)]])/(Table7[[#This Row],[POUT (W)]]+Table7[[#This Row],[Total Power Loss (W) C]]))*100</f>
        <v>#REF!</v>
      </c>
      <c r="CO252" s="159"/>
      <c r="CP252" s="158" t="n">
        <f aca="false">IF(MOSFET_S=Custom_MOSFET,Table7[[#This Row],[Total Sense Loss C]],Table7[[#This Row],[Total Sense Loss]])</f>
        <v>2.1881088</v>
      </c>
      <c r="CQ252" s="158" t="e">
        <f aca="false">IF(MOSFET_S=Custom_MOSFET,Table7[[#This Row],[Total MOSFET Loss C]],Table7[[#This Row],[Total MOSFET Loss]])</f>
        <v>#REF!</v>
      </c>
      <c r="CR252" s="158" t="e">
        <f aca="false">IF(MOSFET_S=Custom_MOSFET,Table7[[#This Row],[Efficiency C]],Table7[[#This Row],[Efficiency]])</f>
        <v>#REF!</v>
      </c>
      <c r="CS252" s="159"/>
      <c r="CT252" s="158" t="n">
        <f aca="false">IF(MOSFET_S=Compare_MOSFET, Table7[[#This Row],[Total Sense Loss C]], -100)</f>
        <v>-100</v>
      </c>
      <c r="CU252" s="158" t="n">
        <f aca="false">IF(MOSFET_S=Compare_MOSFET, Table7[[#This Row],[Total MOSFET Loss C]], -100)</f>
        <v>-100</v>
      </c>
      <c r="CV252" s="158" t="n">
        <f aca="false">IF(MOSFET_S=Compare_MOSFET, Table7[[#This Row],[Efficiency C]], -100)</f>
        <v>-100</v>
      </c>
      <c r="CW252" s="159"/>
      <c r="CX252" s="158" t="e">
        <f aca="false">IF(Save_Sel=CLR_Save,  Table7[[#This Row],[Total Sense Loss P1]], Table7[[#This Row],[Total Sense Loss P1 Saved]])</f>
        <v>#VALUE!</v>
      </c>
      <c r="CY252" s="158" t="e">
        <f aca="false">IF(Save_Sel=CLR_Save,  Table7[[#This Row],[Total MOSFET Loss P1]], Table7[[#This Row],[Total MOSFET Loss P1 Saved]] )</f>
        <v>#VALUE!</v>
      </c>
      <c r="CZ252" s="158" t="e">
        <f aca="false">IF(Save_Sel=CLR_Save, Table7[[#This Row],[Efficiency P1]], Table7[[#This Row],[Efficiency P1 Saved]])</f>
        <v>#VALUE!</v>
      </c>
      <c r="DA252" s="159"/>
      <c r="DB252" s="158" t="e">
        <f aca="false">IF(Save_Sel=CLR_Save,  Table7[[#This Row],[Total Sense Loss P2]], Table7[[#This Row],[Total Sense Loss P2 Saved]])</f>
        <v>#VALUE!</v>
      </c>
      <c r="DC252" s="158" t="e">
        <f aca="false">IF(Save_Sel=CLR_Save,  Table7[[#This Row],[Total MOSFET Loss P2]], Table7[[#This Row],[Total MOSFET Loss P2 Saved]] )</f>
        <v>#VALUE!</v>
      </c>
      <c r="DD252" s="158" t="e">
        <f aca="false">IF(Save_Sel=CLR_Save, Table7[[#This Row],[Efficiency P2]], Table7[[#This Row],[Efficiency P2 Saved]])</f>
        <v>#VALUE!</v>
      </c>
      <c r="DE252" s="159"/>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row>
    <row r="253" customFormat="false" ht="16.4" hidden="false" customHeight="false" outlineLevel="0" collapsed="false">
      <c r="A253" s="174"/>
      <c r="B253" s="174"/>
      <c r="C253" s="174"/>
      <c r="D253" s="174"/>
      <c r="E253" s="174"/>
      <c r="F253" s="174"/>
      <c r="G253" s="174"/>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150" t="n">
        <f aca="false">AF252+1</f>
        <v>97</v>
      </c>
      <c r="AG253" s="150" t="n">
        <f aca="false">$AG$156+AF253*($AG$256-$AG$156)/$AF$256</f>
        <v>9.7</v>
      </c>
      <c r="AH253" s="151" t="n">
        <f aca="false">AG253*VACnom</f>
        <v>116.4</v>
      </c>
      <c r="AI253" s="152" t="n">
        <f aca="false">IF(VACnom&lt;Vbat, (Vbat-VACnom)/Vbat, Vbat/VACnom)</f>
        <v>0.0476190476190476</v>
      </c>
      <c r="AJ253" s="152" t="n">
        <f aca="false">IF(VACnom&lt;Vbat, AG253/(1-AI253), AG253*AI253)</f>
        <v>10.185</v>
      </c>
      <c r="AK253" s="152" t="n">
        <f aca="false">Ipkpk_VACnom</f>
        <v>0.285714285714285</v>
      </c>
      <c r="AL253" s="152" t="n">
        <f aca="false">SQRT(AJ253^2+AK253^2/12)</f>
        <v>10.1853339523596</v>
      </c>
      <c r="AM253" s="153"/>
      <c r="AN253" s="152" t="n">
        <f aca="false">MAX(0,Table7[[#This Row],[I_L]]-0.5*Table7[[#This Row],[I_L pkpk]])</f>
        <v>10.0421428571429</v>
      </c>
      <c r="AO253" s="152" t="n">
        <f aca="false">Table7[[#This Row],[I_L]]+0.5*Table7[[#This Row],[I_L pkpk]]</f>
        <v>10.3278571428571</v>
      </c>
      <c r="AP253" s="152" t="e">
        <f aca="false">IF(VACnom&gt;Vbat, (VGS_S-(TI_MOSFET_S_VTH_H_BU+Table7[[#This Row],[I_L]]/TI_MOSFET_S_gFS_H_BU))/3.4, (VGS_S-(TI_MOSFET_S_VTH_L_BO+Table7[[#This Row],[I_L]]/TI_MOSFET_S_gFS_L_BO))/3.4 )</f>
        <v>#REF!</v>
      </c>
      <c r="AQ253" s="152" t="e">
        <f aca="false">IF(VACnom&gt;Vbat, ((TI_MOSFET_S_VTH_H_BU+Table7[[#This Row],[I_L]]/TI_MOSFET_S_gFS_H_BU))/1, ((TI_MOSFET_S_VTH_L_BO+Table7[[#This Row],[I_L]]/TI_MOSFET_S_gFS_L_BO))/1 )</f>
        <v>#REF!</v>
      </c>
      <c r="AR253" s="152" t="e">
        <f aca="false">IF(VACnom&gt;Vbat, (TI_MOSFET_S_QGD_H_BU+TI_MOSFET_S_QGS_H_BU)*10^-9/Table7[[#This Row],[Ion (A)]], (TI_MOSFET_S_QGD_L_BO+TI_MOSFET_S_QGS_L_BO)*10^-9/Table7[[#This Row],[Ion (A)]])/10^-9</f>
        <v>#REF!</v>
      </c>
      <c r="AS253" s="152" t="e">
        <f aca="false">IF(VACnom&gt;Vbat, (TI_MOSFET_S_QGD_H_BU+TI_MOSFET_S_QGS_H_BU)*10^-9/Table7[[#This Row],[Ioff (A)]], (TI_MOSFET_S_QGD_L_BO+TI_MOSFET_S_QGS_L_BO)*10^-9/Table7[[#This Row],[Ioff (A)]])/10^-9</f>
        <v>#REF!</v>
      </c>
      <c r="AT253" s="152" t="e">
        <f aca="false">0.5*VACnom*Table7[[#This Row],[Ivalley (A)]]*Table7[[#This Row],[ton (ns)]]*10^-9*Fsw*10^3+0.5*VACnom*Table7[[#This Row],[Ipeak (A)]]*Table7[[#This Row],[toff (ns)]]*10^-9*Fsw*10^3/10^-3</f>
        <v>#REF!</v>
      </c>
      <c r="AU253" s="152" t="e">
        <f aca="false">IF(VACnom&gt;Vbat, 0.5*VACnom*TI_MOSFET_S_QOSS_H_BU*10^-9*Fsw*10^3,0.5*VACnom*TI_MOSFET_S_QOSS_L_BO*10^-9*Fsw*10^3)/10^-3</f>
        <v>#REF!</v>
      </c>
      <c r="AV253" s="152" t="e">
        <f aca="false">IF(VACnom&gt;Vbat, VACnom*TI_MOSFET_S_QG_H_BU*10^-9*Fsw*10^3,VACnom*TI_MOSFET_S_QG_H_BO*10^-9*Fsw*10^3)/10^-3</f>
        <v>#REF!</v>
      </c>
      <c r="AW253" s="152" t="e">
        <f aca="false">IF(VACnom&gt;Vbat, VACnom*TI_MOSFET_S_QRR_L_BU*10^-9*Fsw*10^3, VACnom*TI_MOSFET_S_QRR_H_BO*10^-9*Fsw*10^3)/10^-3</f>
        <v>#REF!</v>
      </c>
      <c r="AX253" s="152" t="e">
        <f aca="false">IF(VACnom&gt;Vbat, TI_MOSFET_S_VSD_L_BU*Table7[[#This Row],[Ivalley (A)]]*Fsw*10^3*40*10^-9+TI_MOSFET_S_VSD_L_BU*Table7[[#This Row],[Ipeak (A)]]*Fsw*10^3*30*10^-9, TI_MOSFET_S_VSD_H_BO*Table7[[#This Row],[Ivalley (A)]]*Fsw*10^3*40*10^-9+TI_MOSFET_S_VSD_H_BO*Table7[[#This Row],[Ipeak (A)]]*Fsw*10^3*30*10^-9)/10^-3</f>
        <v>#REF!</v>
      </c>
      <c r="AY253" s="152" t="e">
        <f aca="false">IF(VACnom&gt;Vbat, VACnom*TI_MOSFET_S_QG_L_BU*10^-9*Fsw*10^3, VACnom*TI_MOSFET_S_QG_L_BO*10^-9*Fsw*10^3)/10^-3</f>
        <v>#REF!</v>
      </c>
      <c r="AZ253" s="152" t="e">
        <f aca="false">IF(VACnom&lt;Vbat, Table7[[#This Row],[Duty Cycle]]*Table7[[#This Row],[I_L RMS]]^2*TI_MOSFET_S_RDSON_H_BU*10^-3, (1-Table7[[#This Row],[Duty Cycle]])*Table7[[#This Row],[I_L RMS]]^2*TI_MOSFET_S_RDSON_H_BO*10^-3)/10^-3</f>
        <v>#REF!</v>
      </c>
      <c r="BA253" s="152" t="e">
        <f aca="false">IF(VACnom&gt;Vbat, Table7[[#This Row],[PIV (mW)]]+Table7[[#This Row],[Pqoss (mW)]]+Table7[[#This Row],[Pgate_top (mW)]], Table7[[#This Row],[PRR (mW)]]+Table7[[#This Row],[Pdead (mW)]]+Table7[[#This Row],[Pgate_top (mW)]])</f>
        <v>#REF!</v>
      </c>
      <c r="BB253" s="152" t="e">
        <f aca="false">Table7[[#This Row],[Pcon_top (mW)]]+Table7[[#This Row],[Psw_top (mW)]]</f>
        <v>#REF!</v>
      </c>
      <c r="BC253" s="152" t="e">
        <f aca="false">IF(VACnom&gt;Vbat, (1-Table7[[#This Row],[Duty Cycle]])*Table7[[#This Row],[I_L RMS]]^2*TI_MOSFET_S_RDSON_L_BU*10^-3, Table7[[#This Row],[Duty Cycle]]*Table7[[#This Row],[I_L RMS]]^2*TI_MOSFET_S_RDSON_L_BO*10^-3)/10^-3</f>
        <v>#REF!</v>
      </c>
      <c r="BD253" s="152" t="e">
        <f aca="false">IF(VACnom&gt;Vbat, Table7[[#This Row],[PRR (mW)]]+Table7[[#This Row],[Pdead (mW)]]+Table7[[#This Row],[Pgate_bottom (mW)]], Table7[[#This Row],[PIV (mW)]]+Table7[[#This Row],[Pqoss (mW)]]+Table7[[#This Row],[Pgate_bottom (mW)]])</f>
        <v>#REF!</v>
      </c>
      <c r="BE253" s="154" t="e">
        <f aca="false">Table7[[#This Row],[Pcon_bottom (mW)]]+Table7[[#This Row],[Psw_bottom (mW)]]</f>
        <v>#REF!</v>
      </c>
      <c r="BF253" s="152" t="e">
        <f aca="false">Table7[[#This Row],[Pbottom (mW)]]+Table7[[#This Row],[Ptop (mW)]]</f>
        <v>#REF!</v>
      </c>
      <c r="BG253" s="155"/>
      <c r="BH253" s="152" t="n">
        <f aca="false">MAX(0,Table7[[#This Row],[I_L]]-0.5*Table7[[#This Row],[I_L pkpk]])</f>
        <v>10.0421428571429</v>
      </c>
      <c r="BI253" s="152" t="n">
        <f aca="false">Table7[[#This Row],[I_L]]+0.5*Table7[[#This Row],[I_L pkpk]]</f>
        <v>10.3278571428571</v>
      </c>
      <c r="BJ253" s="152" t="n">
        <f aca="false">IF(VACnom&gt;Vbat, (VGS_S-(C_MOSFET_S_VTH_H_BU+Table7[[#This Row],[I_L]]/C_MOSFET_S_gFS_H_BU))/3.4, (VGS_S-(C_MOSFET_S_VTH_L_BO+Table7[[#This Row],[I_L]]/C_MOSFET_S_gFS_L_BO))/3.4 )</f>
        <v>2.33297058823529</v>
      </c>
      <c r="BK253" s="152" t="n">
        <f aca="false">IF(VACnom&gt;Vbat, ((C_MOSFET_S_VTH_H_BU+Table7[[#This Row],[I_L]]/C_MOSFET_S_gFS_H_BU))/1, ((C_MOSFET_S_VTH_L_BO+Table7[[#This Row],[I_L]]/C_MOSFET_S_gFS_L_BO))/1 )</f>
        <v>2.0679</v>
      </c>
      <c r="BL253" s="152" t="n">
        <f aca="false">IF(VACnom&gt;Vbat, (C_MOSFET_S_QGD_H_BU+C_MOSFET_S_QGS_H_BU)*10^-9/Table7[[#This Row],[Ion (A) C]], (C_MOSFET_S_QGD_L_BO+C_MOSFET_S_QGS_L_BO)*10^-9/Table7[[#This Row],[Ion (A) C]])/10^-9</f>
        <v>2.78614742628056</v>
      </c>
      <c r="BM253" s="152" t="n">
        <f aca="false">IF(VACnom&gt;Vbat, (C_MOSFET_S_QGD_H_BU+C_MOSFET_S_QGS_H_BU)*10^-9/Table7[[#This Row],[Ioff (A) C]], (C_MOSFET_S_QGD_L_BO+C_MOSFET_S_QGS_L_BO)*10^-9/Table7[[#This Row],[Ioff (A) C]])/10^-9</f>
        <v>3.14328545867789</v>
      </c>
      <c r="BN253" s="152" t="n">
        <f aca="false">0.5*VACnom*Table7[[#This Row],[Ivalley (A) C]]*Table7[[#This Row],[ton (ns) C]]*10^-9*Fsw*10^3+0.5*VACnom*Table7[[#This Row],[Ipeak (A) C]]*Table7[[#This Row],[toff (ns) C]]*10^-9*Fsw*10^3/10^-3</f>
        <v>38.9896584803054</v>
      </c>
      <c r="BO253" s="152" t="n">
        <f aca="false">IF(VACnom&gt;Vbat, 0.5*VACnom*C_MOSFET_S_QOSS_H_BU*10^-9*Fsw*10^3,0.5*VACnom*C_MOSFET_S_QOSS_L_BO*10^-9*Fsw*10^3)/10^-3</f>
        <v>43.2</v>
      </c>
      <c r="BP253" s="152" t="e">
        <f aca="false">IF(VACnom&gt;Vbat, VACnom*C_MOSFET_S_QG_H_BU*10^-9*Fsw*10^3,VACnom*C_MOSFET_S_QG_H_BO*10^-9*Fsw*10^3)/10^-3</f>
        <v>#REF!</v>
      </c>
      <c r="BQ253" s="152" t="n">
        <f aca="false">IF(VACnom&gt;Vbat, VACnom*C_MOSFET_S_QRR_L_BU*10^-9*Fsw*10^3, VACnom*C_MOSFET_S_QRR_H_BO*10^-9*Fsw*10^3)/10^-3</f>
        <v>79.2</v>
      </c>
      <c r="BR253" s="152" t="n">
        <f aca="false">IF(VACnom&gt;Vbat, C_MOSFET_S_VSD_L_BU*Table7[[#This Row],[Ivalley (A) C]]*Fsw*10^3*40*10^-9+C_MOSFET_S_VSD_L_BU*Table7[[#This Row],[Ipeak (A) C]]*Fsw*10^3*30*10^-9, C_MOSFET_S_VSD_H_BO*Table7[[#This Row],[Ivalley (A) C]]*Fsw*10^3*40*10^-9+C_MOSFET_S_VSD_H_BO*Table7[[#This Row],[Ipeak (A) C]]*Fsw*10^3*30*10^-9)/10^-3</f>
        <v>113.843428571429</v>
      </c>
      <c r="BS253" s="152" t="e">
        <f aca="false">IF(VACnom&gt;Vbat, VACnom*C_MOSFET_S_QG_L_BU*10^-9*Fsw*10^3, VACnom*C_MOSFET_S_QG_L_BO*10^-9*Fsw*10^3)/10^-3</f>
        <v>#REF!</v>
      </c>
      <c r="BT253" s="152" t="n">
        <f aca="false">IF(VACnom&lt;Vbat, Table7[[#This Row],[Duty Cycle]]*Table7[[#This Row],[I_L RMS]]^2*C_MOSFET_S_RDSON_H_BU*10^-3, (1-Table7[[#This Row],[Duty Cycle]])*Table7[[#This Row],[I_L RMS]]^2*C_MOSFET_S_RDSON_H_BO*10^-3)/10^-3</f>
        <v>28.1582789528668</v>
      </c>
      <c r="BU253" s="152" t="e">
        <f aca="false">IF(VACnom&gt;Vbat, Table7[[#This Row],[PIV (mW) C]]+Table7[[#This Row],[PQoss (mW) C]]+Table7[[#This Row],[Pgate_top (mW) C]], Table7[[#This Row],[PRR (mW) C]]+Table7[[#This Row],[Pdead (mW) C]]+Table7[[#This Row],[Pgate_top (mW) C]])</f>
        <v>#REF!</v>
      </c>
      <c r="BV253" s="152" t="e">
        <f aca="false">Table7[[#This Row],[Pcon_top (mW) C]]+Table7[[#This Row],[Psw_top (mW) C]]</f>
        <v>#REF!</v>
      </c>
      <c r="BW253" s="152" t="e">
        <f aca="false">IF(VACnom&gt;Vbat, (1-Table7[[#This Row],[Duty Cycle]])*Table7[[#This Row],[I_L RMS]]^2*C_MOSFET_S_RDSON_L_BU*10^-3, Table7[[#This Row],[Duty Cycle]]*Table7[[#This Row],[I_L RMS]]^2*C_MOSFET_S_RDSON_L_BO*10^-3)/10^-3</f>
        <v>#REF!</v>
      </c>
      <c r="BX253" s="152" t="e">
        <f aca="false">IF(VACnom&gt;Vbat, Table7[[#This Row],[PRR (mW) C]]+Table7[[#This Row],[Pdead (mW) C]]+Table7[[#This Row],[Pgate_bottom (mW) C]], Table7[[#This Row],[PIV (mW) C]]+Table7[[#This Row],[PQoss (mW) C]]+Table7[[#This Row],[Pgate_bottom (mW) C]])</f>
        <v>#REF!</v>
      </c>
      <c r="BY253" s="152" t="e">
        <f aca="false">Table7[[#This Row],[Pcon_bottom (mW) C]]+Table7[[#This Row],[Psw_bottom (mV) C]]</f>
        <v>#REF!</v>
      </c>
      <c r="BZ253" s="152" t="e">
        <f aca="false">Table7[[#This Row],[Pbottom (mW) C]]+Table7[[#This Row],[Ptop (mW) C]]</f>
        <v>#REF!</v>
      </c>
      <c r="CA253" s="156"/>
      <c r="CB253" s="151" t="n">
        <f aca="false">(RAC_SNS*10^-3*(Table7[[#This Row],[IOUT (A)]]*Vbat/VACnom)^2/10^-3)</f>
        <v>518.671125</v>
      </c>
      <c r="CC253" s="151" t="n">
        <f aca="false">(RBAT_SNS*10^-3*Table7[[#This Row],[IOUT (A)]]^2)/10^-3</f>
        <v>470.45</v>
      </c>
      <c r="CD253" s="151" t="n">
        <f aca="false">IF(VACnom&gt;Vbat,(L_DRC*10^-3*(Table7[[#This Row],[IOUT (A)]])^2/10^-3),(L_DRC*10^-3*(Table7[[#This Row],[IOUT (A)]]*Vbat/VACnom)^2/10^-3))</f>
        <v>1244.8107</v>
      </c>
      <c r="CE253" s="157"/>
      <c r="CF253" s="152" t="n">
        <f aca="false">(Table7[[#This Row],[R_AC (mW)]]+Table7[[#This Row],[R_SR (mW)]]+Table7[[#This Row],[Inductor Loss (mW)]])/10^3</f>
        <v>2.233931825</v>
      </c>
      <c r="CG253" s="152" t="e">
        <f aca="false">Table7[[#This Row],[Total TI (mW)]]/10^3</f>
        <v>#REF!</v>
      </c>
      <c r="CH253" s="152" t="e">
        <f aca="false">Table7[[#This Row],[Total Sense Loss]]+Table7[[#This Row],[Total MOSFET Loss]]</f>
        <v>#REF!</v>
      </c>
      <c r="CI253" s="158" t="e">
        <f aca="false">IF(Table7[[#This Row],[POUT (W)]]=0,0,(Table7[[#This Row],[POUT (W)]])/(Table7[[#This Row],[POUT (W)]]+Table7[[#This Row],[Total Power Loss (W)]]))*100</f>
        <v>#REF!</v>
      </c>
      <c r="CJ253" s="159"/>
      <c r="CK253" s="152" t="n">
        <f aca="false">(Table7[[#This Row],[R_AC (mW)]]+Table7[[#This Row],[R_SR (mW)]]+Table7[[#This Row],[Inductor Loss (mW)]])/10^3</f>
        <v>2.233931825</v>
      </c>
      <c r="CL253" s="152" t="e">
        <f aca="false">Table7[[#This Row],[Total (mW) C]]/10^3</f>
        <v>#REF!</v>
      </c>
      <c r="CM253" s="152" t="e">
        <f aca="false">Table7[[#This Row],[Total Sense Loss C]]+Table7[[#This Row],[Total MOSFET Loss C]]</f>
        <v>#REF!</v>
      </c>
      <c r="CN253" s="158" t="e">
        <f aca="false">IF(Table7[[#This Row],[POUT (W)]]=0,0,(Table7[[#This Row],[POUT (W)]])/(Table7[[#This Row],[POUT (W)]]+Table7[[#This Row],[Total Power Loss (W) C]]))*100</f>
        <v>#REF!</v>
      </c>
      <c r="CO253" s="159"/>
      <c r="CP253" s="158" t="n">
        <f aca="false">IF(MOSFET_S=Custom_MOSFET,Table7[[#This Row],[Total Sense Loss C]],Table7[[#This Row],[Total Sense Loss]])</f>
        <v>2.233931825</v>
      </c>
      <c r="CQ253" s="158" t="e">
        <f aca="false">IF(MOSFET_S=Custom_MOSFET,Table7[[#This Row],[Total MOSFET Loss C]],Table7[[#This Row],[Total MOSFET Loss]])</f>
        <v>#REF!</v>
      </c>
      <c r="CR253" s="158" t="e">
        <f aca="false">IF(MOSFET_S=Custom_MOSFET,Table7[[#This Row],[Efficiency C]],Table7[[#This Row],[Efficiency]])</f>
        <v>#REF!</v>
      </c>
      <c r="CS253" s="159"/>
      <c r="CT253" s="158" t="n">
        <f aca="false">IF(MOSFET_S=Compare_MOSFET, Table7[[#This Row],[Total Sense Loss C]], -100)</f>
        <v>-100</v>
      </c>
      <c r="CU253" s="158" t="n">
        <f aca="false">IF(MOSFET_S=Compare_MOSFET, Table7[[#This Row],[Total MOSFET Loss C]], -100)</f>
        <v>-100</v>
      </c>
      <c r="CV253" s="158" t="n">
        <f aca="false">IF(MOSFET_S=Compare_MOSFET, Table7[[#This Row],[Efficiency C]], -100)</f>
        <v>-100</v>
      </c>
      <c r="CW253" s="159"/>
      <c r="CX253" s="158" t="e">
        <f aca="false">IF(Save_Sel=CLR_Save,  Table7[[#This Row],[Total Sense Loss P1]], Table7[[#This Row],[Total Sense Loss P1 Saved]])</f>
        <v>#VALUE!</v>
      </c>
      <c r="CY253" s="158" t="e">
        <f aca="false">IF(Save_Sel=CLR_Save,  Table7[[#This Row],[Total MOSFET Loss P1]], Table7[[#This Row],[Total MOSFET Loss P1 Saved]] )</f>
        <v>#VALUE!</v>
      </c>
      <c r="CZ253" s="158" t="e">
        <f aca="false">IF(Save_Sel=CLR_Save, Table7[[#This Row],[Efficiency P1]], Table7[[#This Row],[Efficiency P1 Saved]])</f>
        <v>#VALUE!</v>
      </c>
      <c r="DA253" s="159"/>
      <c r="DB253" s="158" t="e">
        <f aca="false">IF(Save_Sel=CLR_Save,  Table7[[#This Row],[Total Sense Loss P2]], Table7[[#This Row],[Total Sense Loss P2 Saved]])</f>
        <v>#VALUE!</v>
      </c>
      <c r="DC253" s="158" t="e">
        <f aca="false">IF(Save_Sel=CLR_Save,  Table7[[#This Row],[Total MOSFET Loss P2]], Table7[[#This Row],[Total MOSFET Loss P2 Saved]] )</f>
        <v>#VALUE!</v>
      </c>
      <c r="DD253" s="158" t="e">
        <f aca="false">IF(Save_Sel=CLR_Save, Table7[[#This Row],[Efficiency P2]], Table7[[#This Row],[Efficiency P2 Saved]])</f>
        <v>#VALUE!</v>
      </c>
      <c r="DE253" s="159"/>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row>
    <row r="254" customFormat="false" ht="16.4" hidden="false" customHeight="false" outlineLevel="0" collapsed="false">
      <c r="A254" s="174"/>
      <c r="B254" s="174"/>
      <c r="C254" s="174"/>
      <c r="D254" s="174"/>
      <c r="E254" s="174"/>
      <c r="F254" s="174"/>
      <c r="G254" s="174"/>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150" t="n">
        <f aca="false">AF253+1</f>
        <v>98</v>
      </c>
      <c r="AG254" s="150" t="n">
        <f aca="false">$AG$156+AF254*($AG$256-$AG$156)/$AF$256</f>
        <v>9.8</v>
      </c>
      <c r="AH254" s="151" t="n">
        <f aca="false">AG254*VACnom</f>
        <v>117.6</v>
      </c>
      <c r="AI254" s="152" t="n">
        <f aca="false">IF(VACnom&lt;Vbat, (Vbat-VACnom)/Vbat, Vbat/VACnom)</f>
        <v>0.0476190476190476</v>
      </c>
      <c r="AJ254" s="152" t="n">
        <f aca="false">IF(VACnom&lt;Vbat, AG254/(1-AI254), AG254*AI254)</f>
        <v>10.29</v>
      </c>
      <c r="AK254" s="152" t="n">
        <f aca="false">Ipkpk_VACnom</f>
        <v>0.285714285714285</v>
      </c>
      <c r="AL254" s="152" t="n">
        <f aca="false">SQRT(AJ254^2+AK254^2/12)</f>
        <v>10.2903305447924</v>
      </c>
      <c r="AM254" s="153"/>
      <c r="AN254" s="152" t="n">
        <f aca="false">MAX(0,Table7[[#This Row],[I_L]]-0.5*Table7[[#This Row],[I_L pkpk]])</f>
        <v>10.1471428571429</v>
      </c>
      <c r="AO254" s="152" t="n">
        <f aca="false">Table7[[#This Row],[I_L]]+0.5*Table7[[#This Row],[I_L pkpk]]</f>
        <v>10.4328571428571</v>
      </c>
      <c r="AP254" s="152" t="e">
        <f aca="false">IF(VACnom&gt;Vbat, (VGS_S-(TI_MOSFET_S_VTH_H_BU+Table7[[#This Row],[I_L]]/TI_MOSFET_S_gFS_H_BU))/3.4, (VGS_S-(TI_MOSFET_S_VTH_L_BO+Table7[[#This Row],[I_L]]/TI_MOSFET_S_gFS_L_BO))/3.4 )</f>
        <v>#REF!</v>
      </c>
      <c r="AQ254" s="152" t="e">
        <f aca="false">IF(VACnom&gt;Vbat, ((TI_MOSFET_S_VTH_H_BU+Table7[[#This Row],[I_L]]/TI_MOSFET_S_gFS_H_BU))/1, ((TI_MOSFET_S_VTH_L_BO+Table7[[#This Row],[I_L]]/TI_MOSFET_S_gFS_L_BO))/1 )</f>
        <v>#REF!</v>
      </c>
      <c r="AR254" s="152" t="e">
        <f aca="false">IF(VACnom&gt;Vbat, (TI_MOSFET_S_QGD_H_BU+TI_MOSFET_S_QGS_H_BU)*10^-9/Table7[[#This Row],[Ion (A)]], (TI_MOSFET_S_QGD_L_BO+TI_MOSFET_S_QGS_L_BO)*10^-9/Table7[[#This Row],[Ion (A)]])/10^-9</f>
        <v>#REF!</v>
      </c>
      <c r="AS254" s="152" t="e">
        <f aca="false">IF(VACnom&gt;Vbat, (TI_MOSFET_S_QGD_H_BU+TI_MOSFET_S_QGS_H_BU)*10^-9/Table7[[#This Row],[Ioff (A)]], (TI_MOSFET_S_QGD_L_BO+TI_MOSFET_S_QGS_L_BO)*10^-9/Table7[[#This Row],[Ioff (A)]])/10^-9</f>
        <v>#REF!</v>
      </c>
      <c r="AT254" s="152" t="e">
        <f aca="false">0.5*VACnom*Table7[[#This Row],[Ivalley (A)]]*Table7[[#This Row],[ton (ns)]]*10^-9*Fsw*10^3+0.5*VACnom*Table7[[#This Row],[Ipeak (A)]]*Table7[[#This Row],[toff (ns)]]*10^-9*Fsw*10^3/10^-3</f>
        <v>#REF!</v>
      </c>
      <c r="AU254" s="152" t="e">
        <f aca="false">IF(VACnom&gt;Vbat, 0.5*VACnom*TI_MOSFET_S_QOSS_H_BU*10^-9*Fsw*10^3,0.5*VACnom*TI_MOSFET_S_QOSS_L_BO*10^-9*Fsw*10^3)/10^-3</f>
        <v>#REF!</v>
      </c>
      <c r="AV254" s="152" t="e">
        <f aca="false">IF(VACnom&gt;Vbat, VACnom*TI_MOSFET_S_QG_H_BU*10^-9*Fsw*10^3,VACnom*TI_MOSFET_S_QG_H_BO*10^-9*Fsw*10^3)/10^-3</f>
        <v>#REF!</v>
      </c>
      <c r="AW254" s="152" t="e">
        <f aca="false">IF(VACnom&gt;Vbat, VACnom*TI_MOSFET_S_QRR_L_BU*10^-9*Fsw*10^3, VACnom*TI_MOSFET_S_QRR_H_BO*10^-9*Fsw*10^3)/10^-3</f>
        <v>#REF!</v>
      </c>
      <c r="AX254" s="152" t="e">
        <f aca="false">IF(VACnom&gt;Vbat, TI_MOSFET_S_VSD_L_BU*Table7[[#This Row],[Ivalley (A)]]*Fsw*10^3*40*10^-9+TI_MOSFET_S_VSD_L_BU*Table7[[#This Row],[Ipeak (A)]]*Fsw*10^3*30*10^-9, TI_MOSFET_S_VSD_H_BO*Table7[[#This Row],[Ivalley (A)]]*Fsw*10^3*40*10^-9+TI_MOSFET_S_VSD_H_BO*Table7[[#This Row],[Ipeak (A)]]*Fsw*10^3*30*10^-9)/10^-3</f>
        <v>#REF!</v>
      </c>
      <c r="AY254" s="152" t="e">
        <f aca="false">IF(VACnom&gt;Vbat, VACnom*TI_MOSFET_S_QG_L_BU*10^-9*Fsw*10^3, VACnom*TI_MOSFET_S_QG_L_BO*10^-9*Fsw*10^3)/10^-3</f>
        <v>#REF!</v>
      </c>
      <c r="AZ254" s="152" t="e">
        <f aca="false">IF(VACnom&lt;Vbat, Table7[[#This Row],[Duty Cycle]]*Table7[[#This Row],[I_L RMS]]^2*TI_MOSFET_S_RDSON_H_BU*10^-3, (1-Table7[[#This Row],[Duty Cycle]])*Table7[[#This Row],[I_L RMS]]^2*TI_MOSFET_S_RDSON_H_BO*10^-3)/10^-3</f>
        <v>#REF!</v>
      </c>
      <c r="BA254" s="152" t="e">
        <f aca="false">IF(VACnom&gt;Vbat, Table7[[#This Row],[PIV (mW)]]+Table7[[#This Row],[Pqoss (mW)]]+Table7[[#This Row],[Pgate_top (mW)]], Table7[[#This Row],[PRR (mW)]]+Table7[[#This Row],[Pdead (mW)]]+Table7[[#This Row],[Pgate_top (mW)]])</f>
        <v>#REF!</v>
      </c>
      <c r="BB254" s="152" t="e">
        <f aca="false">Table7[[#This Row],[Pcon_top (mW)]]+Table7[[#This Row],[Psw_top (mW)]]</f>
        <v>#REF!</v>
      </c>
      <c r="BC254" s="152" t="e">
        <f aca="false">IF(VACnom&gt;Vbat, (1-Table7[[#This Row],[Duty Cycle]])*Table7[[#This Row],[I_L RMS]]^2*TI_MOSFET_S_RDSON_L_BU*10^-3, Table7[[#This Row],[Duty Cycle]]*Table7[[#This Row],[I_L RMS]]^2*TI_MOSFET_S_RDSON_L_BO*10^-3)/10^-3</f>
        <v>#REF!</v>
      </c>
      <c r="BD254" s="152" t="e">
        <f aca="false">IF(VACnom&gt;Vbat, Table7[[#This Row],[PRR (mW)]]+Table7[[#This Row],[Pdead (mW)]]+Table7[[#This Row],[Pgate_bottom (mW)]], Table7[[#This Row],[PIV (mW)]]+Table7[[#This Row],[Pqoss (mW)]]+Table7[[#This Row],[Pgate_bottom (mW)]])</f>
        <v>#REF!</v>
      </c>
      <c r="BE254" s="154" t="e">
        <f aca="false">Table7[[#This Row],[Pcon_bottom (mW)]]+Table7[[#This Row],[Psw_bottom (mW)]]</f>
        <v>#REF!</v>
      </c>
      <c r="BF254" s="152" t="e">
        <f aca="false">Table7[[#This Row],[Pbottom (mW)]]+Table7[[#This Row],[Ptop (mW)]]</f>
        <v>#REF!</v>
      </c>
      <c r="BG254" s="155"/>
      <c r="BH254" s="152" t="n">
        <f aca="false">MAX(0,Table7[[#This Row],[I_L]]-0.5*Table7[[#This Row],[I_L pkpk]])</f>
        <v>10.1471428571429</v>
      </c>
      <c r="BI254" s="152" t="n">
        <f aca="false">Table7[[#This Row],[I_L]]+0.5*Table7[[#This Row],[I_L pkpk]]</f>
        <v>10.4328571428571</v>
      </c>
      <c r="BJ254" s="152" t="n">
        <f aca="false">IF(VACnom&gt;Vbat, (VGS_S-(C_MOSFET_S_VTH_H_BU+Table7[[#This Row],[I_L]]/C_MOSFET_S_gFS_H_BU))/3.4, (VGS_S-(C_MOSFET_S_VTH_L_BO+Table7[[#This Row],[I_L]]/C_MOSFET_S_gFS_L_BO))/3.4 )</f>
        <v>2.33276470588235</v>
      </c>
      <c r="BK254" s="152" t="n">
        <f aca="false">IF(VACnom&gt;Vbat, ((C_MOSFET_S_VTH_H_BU+Table7[[#This Row],[I_L]]/C_MOSFET_S_gFS_H_BU))/1, ((C_MOSFET_S_VTH_L_BO+Table7[[#This Row],[I_L]]/C_MOSFET_S_gFS_L_BO))/1 )</f>
        <v>2.0686</v>
      </c>
      <c r="BL254" s="152" t="n">
        <f aca="false">IF(VACnom&gt;Vbat, (C_MOSFET_S_QGD_H_BU+C_MOSFET_S_QGS_H_BU)*10^-9/Table7[[#This Row],[Ion (A) C]], (C_MOSFET_S_QGD_L_BO+C_MOSFET_S_QGS_L_BO)*10^-9/Table7[[#This Row],[Ion (A) C]])/10^-9</f>
        <v>2.78639332274252</v>
      </c>
      <c r="BM254" s="152" t="n">
        <f aca="false">IF(VACnom&gt;Vbat, (C_MOSFET_S_QGD_H_BU+C_MOSFET_S_QGS_H_BU)*10^-9/Table7[[#This Row],[Ioff (A) C]], (C_MOSFET_S_QGD_L_BO+C_MOSFET_S_QGS_L_BO)*10^-9/Table7[[#This Row],[Ioff (A) C]])/10^-9</f>
        <v>3.14222179251668</v>
      </c>
      <c r="BN254" s="152" t="n">
        <f aca="false">0.5*VACnom*Table7[[#This Row],[Ivalley (A) C]]*Table7[[#This Row],[ton (ns) C]]*10^-9*Fsw*10^3+0.5*VACnom*Table7[[#This Row],[Ipeak (A) C]]*Table7[[#This Row],[toff (ns) C]]*10^-9*Fsw*10^3/10^-3</f>
        <v>39.3727500043213</v>
      </c>
      <c r="BO254" s="152" t="n">
        <f aca="false">IF(VACnom&gt;Vbat, 0.5*VACnom*C_MOSFET_S_QOSS_H_BU*10^-9*Fsw*10^3,0.5*VACnom*C_MOSFET_S_QOSS_L_BO*10^-9*Fsw*10^3)/10^-3</f>
        <v>43.2</v>
      </c>
      <c r="BP254" s="152" t="e">
        <f aca="false">IF(VACnom&gt;Vbat, VACnom*C_MOSFET_S_QG_H_BU*10^-9*Fsw*10^3,VACnom*C_MOSFET_S_QG_H_BO*10^-9*Fsw*10^3)/10^-3</f>
        <v>#REF!</v>
      </c>
      <c r="BQ254" s="152" t="n">
        <f aca="false">IF(VACnom&gt;Vbat, VACnom*C_MOSFET_S_QRR_L_BU*10^-9*Fsw*10^3, VACnom*C_MOSFET_S_QRR_H_BO*10^-9*Fsw*10^3)/10^-3</f>
        <v>79.2</v>
      </c>
      <c r="BR254" s="152" t="n">
        <f aca="false">IF(VACnom&gt;Vbat, C_MOSFET_S_VSD_L_BU*Table7[[#This Row],[Ivalley (A) C]]*Fsw*10^3*40*10^-9+C_MOSFET_S_VSD_L_BU*Table7[[#This Row],[Ipeak (A) C]]*Fsw*10^3*30*10^-9, C_MOSFET_S_VSD_H_BO*Table7[[#This Row],[Ivalley (A) C]]*Fsw*10^3*40*10^-9+C_MOSFET_S_VSD_H_BO*Table7[[#This Row],[Ipeak (A) C]]*Fsw*10^3*30*10^-9)/10^-3</f>
        <v>115.019428571429</v>
      </c>
      <c r="BS254" s="152" t="e">
        <f aca="false">IF(VACnom&gt;Vbat, VACnom*C_MOSFET_S_QG_L_BU*10^-9*Fsw*10^3, VACnom*C_MOSFET_S_QG_L_BO*10^-9*Fsw*10^3)/10^-3</f>
        <v>#REF!</v>
      </c>
      <c r="BT254" s="152" t="n">
        <f aca="false">IF(VACnom&lt;Vbat, Table7[[#This Row],[Duty Cycle]]*Table7[[#This Row],[I_L RMS]]^2*C_MOSFET_S_RDSON_H_BU*10^-3, (1-Table7[[#This Row],[Duty Cycle]])*Table7[[#This Row],[I_L RMS]]^2*C_MOSFET_S_RDSON_H_BO*10^-3)/10^-3</f>
        <v>28.7418164528669</v>
      </c>
      <c r="BU254" s="152" t="e">
        <f aca="false">IF(VACnom&gt;Vbat, Table7[[#This Row],[PIV (mW) C]]+Table7[[#This Row],[PQoss (mW) C]]+Table7[[#This Row],[Pgate_top (mW) C]], Table7[[#This Row],[PRR (mW) C]]+Table7[[#This Row],[Pdead (mW) C]]+Table7[[#This Row],[Pgate_top (mW) C]])</f>
        <v>#REF!</v>
      </c>
      <c r="BV254" s="152" t="e">
        <f aca="false">Table7[[#This Row],[Pcon_top (mW) C]]+Table7[[#This Row],[Psw_top (mW) C]]</f>
        <v>#REF!</v>
      </c>
      <c r="BW254" s="152" t="e">
        <f aca="false">IF(VACnom&gt;Vbat, (1-Table7[[#This Row],[Duty Cycle]])*Table7[[#This Row],[I_L RMS]]^2*C_MOSFET_S_RDSON_L_BU*10^-3, Table7[[#This Row],[Duty Cycle]]*Table7[[#This Row],[I_L RMS]]^2*C_MOSFET_S_RDSON_L_BO*10^-3)/10^-3</f>
        <v>#REF!</v>
      </c>
      <c r="BX254" s="152" t="e">
        <f aca="false">IF(VACnom&gt;Vbat, Table7[[#This Row],[PRR (mW) C]]+Table7[[#This Row],[Pdead (mW) C]]+Table7[[#This Row],[Pgate_bottom (mW) C]], Table7[[#This Row],[PIV (mW) C]]+Table7[[#This Row],[PQoss (mW) C]]+Table7[[#This Row],[Pgate_bottom (mW) C]])</f>
        <v>#REF!</v>
      </c>
      <c r="BY254" s="152" t="e">
        <f aca="false">Table7[[#This Row],[Pcon_bottom (mW) C]]+Table7[[#This Row],[Psw_bottom (mV) C]]</f>
        <v>#REF!</v>
      </c>
      <c r="BZ254" s="152" t="e">
        <f aca="false">Table7[[#This Row],[Pbottom (mW) C]]+Table7[[#This Row],[Ptop (mW) C]]</f>
        <v>#REF!</v>
      </c>
      <c r="CA254" s="156"/>
      <c r="CB254" s="151" t="n">
        <f aca="false">(RAC_SNS*10^-3*(Table7[[#This Row],[IOUT (A)]]*Vbat/VACnom)^2/10^-3)</f>
        <v>529.4205</v>
      </c>
      <c r="CC254" s="151" t="n">
        <f aca="false">(RBAT_SNS*10^-3*Table7[[#This Row],[IOUT (A)]]^2)/10^-3</f>
        <v>480.2</v>
      </c>
      <c r="CD254" s="151" t="n">
        <f aca="false">IF(VACnom&gt;Vbat,(L_DRC*10^-3*(Table7[[#This Row],[IOUT (A)]])^2/10^-3),(L_DRC*10^-3*(Table7[[#This Row],[IOUT (A)]]*Vbat/VACnom)^2/10^-3))</f>
        <v>1270.6092</v>
      </c>
      <c r="CE254" s="157"/>
      <c r="CF254" s="152" t="n">
        <f aca="false">(Table7[[#This Row],[R_AC (mW)]]+Table7[[#This Row],[R_SR (mW)]]+Table7[[#This Row],[Inductor Loss (mW)]])/10^3</f>
        <v>2.2802297</v>
      </c>
      <c r="CG254" s="152" t="e">
        <f aca="false">Table7[[#This Row],[Total TI (mW)]]/10^3</f>
        <v>#REF!</v>
      </c>
      <c r="CH254" s="152" t="e">
        <f aca="false">Table7[[#This Row],[Total Sense Loss]]+Table7[[#This Row],[Total MOSFET Loss]]</f>
        <v>#REF!</v>
      </c>
      <c r="CI254" s="158" t="e">
        <f aca="false">IF(Table7[[#This Row],[POUT (W)]]=0,0,(Table7[[#This Row],[POUT (W)]])/(Table7[[#This Row],[POUT (W)]]+Table7[[#This Row],[Total Power Loss (W)]]))*100</f>
        <v>#REF!</v>
      </c>
      <c r="CJ254" s="159"/>
      <c r="CK254" s="152" t="n">
        <f aca="false">(Table7[[#This Row],[R_AC (mW)]]+Table7[[#This Row],[R_SR (mW)]]+Table7[[#This Row],[Inductor Loss (mW)]])/10^3</f>
        <v>2.2802297</v>
      </c>
      <c r="CL254" s="152" t="e">
        <f aca="false">Table7[[#This Row],[Total (mW) C]]/10^3</f>
        <v>#REF!</v>
      </c>
      <c r="CM254" s="152" t="e">
        <f aca="false">Table7[[#This Row],[Total Sense Loss C]]+Table7[[#This Row],[Total MOSFET Loss C]]</f>
        <v>#REF!</v>
      </c>
      <c r="CN254" s="158" t="e">
        <f aca="false">IF(Table7[[#This Row],[POUT (W)]]=0,0,(Table7[[#This Row],[POUT (W)]])/(Table7[[#This Row],[POUT (W)]]+Table7[[#This Row],[Total Power Loss (W) C]]))*100</f>
        <v>#REF!</v>
      </c>
      <c r="CO254" s="159"/>
      <c r="CP254" s="158" t="n">
        <f aca="false">IF(MOSFET_S=Custom_MOSFET,Table7[[#This Row],[Total Sense Loss C]],Table7[[#This Row],[Total Sense Loss]])</f>
        <v>2.2802297</v>
      </c>
      <c r="CQ254" s="158" t="e">
        <f aca="false">IF(MOSFET_S=Custom_MOSFET,Table7[[#This Row],[Total MOSFET Loss C]],Table7[[#This Row],[Total MOSFET Loss]])</f>
        <v>#REF!</v>
      </c>
      <c r="CR254" s="158" t="e">
        <f aca="false">IF(MOSFET_S=Custom_MOSFET,Table7[[#This Row],[Efficiency C]],Table7[[#This Row],[Efficiency]])</f>
        <v>#REF!</v>
      </c>
      <c r="CS254" s="159"/>
      <c r="CT254" s="158" t="n">
        <f aca="false">IF(MOSFET_S=Compare_MOSFET, Table7[[#This Row],[Total Sense Loss C]], -100)</f>
        <v>-100</v>
      </c>
      <c r="CU254" s="158" t="n">
        <f aca="false">IF(MOSFET_S=Compare_MOSFET, Table7[[#This Row],[Total MOSFET Loss C]], -100)</f>
        <v>-100</v>
      </c>
      <c r="CV254" s="158" t="n">
        <f aca="false">IF(MOSFET_S=Compare_MOSFET, Table7[[#This Row],[Efficiency C]], -100)</f>
        <v>-100</v>
      </c>
      <c r="CW254" s="159"/>
      <c r="CX254" s="158" t="e">
        <f aca="false">IF(Save_Sel=CLR_Save,  Table7[[#This Row],[Total Sense Loss P1]], Table7[[#This Row],[Total Sense Loss P1 Saved]])</f>
        <v>#VALUE!</v>
      </c>
      <c r="CY254" s="158" t="e">
        <f aca="false">IF(Save_Sel=CLR_Save,  Table7[[#This Row],[Total MOSFET Loss P1]], Table7[[#This Row],[Total MOSFET Loss P1 Saved]] )</f>
        <v>#VALUE!</v>
      </c>
      <c r="CZ254" s="158" t="e">
        <f aca="false">IF(Save_Sel=CLR_Save, Table7[[#This Row],[Efficiency P1]], Table7[[#This Row],[Efficiency P1 Saved]])</f>
        <v>#VALUE!</v>
      </c>
      <c r="DA254" s="159"/>
      <c r="DB254" s="158" t="e">
        <f aca="false">IF(Save_Sel=CLR_Save,  Table7[[#This Row],[Total Sense Loss P2]], Table7[[#This Row],[Total Sense Loss P2 Saved]])</f>
        <v>#VALUE!</v>
      </c>
      <c r="DC254" s="158" t="e">
        <f aca="false">IF(Save_Sel=CLR_Save,  Table7[[#This Row],[Total MOSFET Loss P2]], Table7[[#This Row],[Total MOSFET Loss P2 Saved]] )</f>
        <v>#VALUE!</v>
      </c>
      <c r="DD254" s="158" t="e">
        <f aca="false">IF(Save_Sel=CLR_Save, Table7[[#This Row],[Efficiency P2]], Table7[[#This Row],[Efficiency P2 Saved]])</f>
        <v>#VALUE!</v>
      </c>
      <c r="DE254" s="159"/>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row>
    <row r="255" customFormat="false" ht="16.4" hidden="false" customHeight="false" outlineLevel="0" collapsed="false">
      <c r="A255" s="174"/>
      <c r="B255" s="174"/>
      <c r="C255" s="174"/>
      <c r="D255" s="174"/>
      <c r="E255" s="174"/>
      <c r="F255" s="174"/>
      <c r="G255" s="174"/>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150" t="n">
        <f aca="false">AF254+1</f>
        <v>99</v>
      </c>
      <c r="AG255" s="150" t="n">
        <f aca="false">$AG$156+AF255*($AG$256-$AG$156)/$AF$256</f>
        <v>9.9</v>
      </c>
      <c r="AH255" s="151" t="n">
        <f aca="false">AG255*VACnom</f>
        <v>118.8</v>
      </c>
      <c r="AI255" s="152" t="n">
        <f aca="false">IF(VACnom&lt;Vbat, (Vbat-VACnom)/Vbat, Vbat/VACnom)</f>
        <v>0.0476190476190476</v>
      </c>
      <c r="AJ255" s="152" t="n">
        <f aca="false">IF(VACnom&lt;Vbat, AG255/(1-AI255), AG255*AI255)</f>
        <v>10.395</v>
      </c>
      <c r="AK255" s="152" t="n">
        <f aca="false">Ipkpk_VACnom</f>
        <v>0.285714285714285</v>
      </c>
      <c r="AL255" s="152" t="n">
        <f aca="false">SQRT(AJ255^2+AK255^2/12)</f>
        <v>10.3953272060618</v>
      </c>
      <c r="AM255" s="153"/>
      <c r="AN255" s="152" t="n">
        <f aca="false">MAX(0,Table7[[#This Row],[I_L]]-0.5*Table7[[#This Row],[I_L pkpk]])</f>
        <v>10.2521428571429</v>
      </c>
      <c r="AO255" s="152" t="n">
        <f aca="false">Table7[[#This Row],[I_L]]+0.5*Table7[[#This Row],[I_L pkpk]]</f>
        <v>10.5378571428571</v>
      </c>
      <c r="AP255" s="152" t="e">
        <f aca="false">IF(VACnom&gt;Vbat, (VGS_S-(TI_MOSFET_S_VTH_H_BU+Table7[[#This Row],[I_L]]/TI_MOSFET_S_gFS_H_BU))/3.4, (VGS_S-(TI_MOSFET_S_VTH_L_BO+Table7[[#This Row],[I_L]]/TI_MOSFET_S_gFS_L_BO))/3.4 )</f>
        <v>#REF!</v>
      </c>
      <c r="AQ255" s="152" t="e">
        <f aca="false">IF(VACnom&gt;Vbat, ((TI_MOSFET_S_VTH_H_BU+Table7[[#This Row],[I_L]]/TI_MOSFET_S_gFS_H_BU))/1, ((TI_MOSFET_S_VTH_L_BO+Table7[[#This Row],[I_L]]/TI_MOSFET_S_gFS_L_BO))/1 )</f>
        <v>#REF!</v>
      </c>
      <c r="AR255" s="152" t="e">
        <f aca="false">IF(VACnom&gt;Vbat, (TI_MOSFET_S_QGD_H_BU+TI_MOSFET_S_QGS_H_BU)*10^-9/Table7[[#This Row],[Ion (A)]], (TI_MOSFET_S_QGD_L_BO+TI_MOSFET_S_QGS_L_BO)*10^-9/Table7[[#This Row],[Ion (A)]])/10^-9</f>
        <v>#REF!</v>
      </c>
      <c r="AS255" s="152" t="e">
        <f aca="false">IF(VACnom&gt;Vbat, (TI_MOSFET_S_QGD_H_BU+TI_MOSFET_S_QGS_H_BU)*10^-9/Table7[[#This Row],[Ioff (A)]], (TI_MOSFET_S_QGD_L_BO+TI_MOSFET_S_QGS_L_BO)*10^-9/Table7[[#This Row],[Ioff (A)]])/10^-9</f>
        <v>#REF!</v>
      </c>
      <c r="AT255" s="152" t="e">
        <f aca="false">0.5*VACnom*Table7[[#This Row],[Ivalley (A)]]*Table7[[#This Row],[ton (ns)]]*10^-9*Fsw*10^3+0.5*VACnom*Table7[[#This Row],[Ipeak (A)]]*Table7[[#This Row],[toff (ns)]]*10^-9*Fsw*10^3/10^-3</f>
        <v>#REF!</v>
      </c>
      <c r="AU255" s="152" t="e">
        <f aca="false">IF(VACnom&gt;Vbat, 0.5*VACnom*TI_MOSFET_S_QOSS_H_BU*10^-9*Fsw*10^3,0.5*VACnom*TI_MOSFET_S_QOSS_L_BO*10^-9*Fsw*10^3)/10^-3</f>
        <v>#REF!</v>
      </c>
      <c r="AV255" s="152" t="e">
        <f aca="false">IF(VACnom&gt;Vbat, VACnom*TI_MOSFET_S_QG_H_BU*10^-9*Fsw*10^3,VACnom*TI_MOSFET_S_QG_H_BO*10^-9*Fsw*10^3)/10^-3</f>
        <v>#REF!</v>
      </c>
      <c r="AW255" s="152" t="e">
        <f aca="false">IF(VACnom&gt;Vbat, VACnom*TI_MOSFET_S_QRR_L_BU*10^-9*Fsw*10^3, VACnom*TI_MOSFET_S_QRR_H_BO*10^-9*Fsw*10^3)/10^-3</f>
        <v>#REF!</v>
      </c>
      <c r="AX255" s="152" t="e">
        <f aca="false">IF(VACnom&gt;Vbat, TI_MOSFET_S_VSD_L_BU*Table7[[#This Row],[Ivalley (A)]]*Fsw*10^3*40*10^-9+TI_MOSFET_S_VSD_L_BU*Table7[[#This Row],[Ipeak (A)]]*Fsw*10^3*30*10^-9, TI_MOSFET_S_VSD_H_BO*Table7[[#This Row],[Ivalley (A)]]*Fsw*10^3*40*10^-9+TI_MOSFET_S_VSD_H_BO*Table7[[#This Row],[Ipeak (A)]]*Fsw*10^3*30*10^-9)/10^-3</f>
        <v>#REF!</v>
      </c>
      <c r="AY255" s="152" t="e">
        <f aca="false">IF(VACnom&gt;Vbat, VACnom*TI_MOSFET_S_QG_L_BU*10^-9*Fsw*10^3, VACnom*TI_MOSFET_S_QG_L_BO*10^-9*Fsw*10^3)/10^-3</f>
        <v>#REF!</v>
      </c>
      <c r="AZ255" s="152" t="e">
        <f aca="false">IF(VACnom&lt;Vbat, Table7[[#This Row],[Duty Cycle]]*Table7[[#This Row],[I_L RMS]]^2*TI_MOSFET_S_RDSON_H_BU*10^-3, (1-Table7[[#This Row],[Duty Cycle]])*Table7[[#This Row],[I_L RMS]]^2*TI_MOSFET_S_RDSON_H_BO*10^-3)/10^-3</f>
        <v>#REF!</v>
      </c>
      <c r="BA255" s="152" t="e">
        <f aca="false">IF(VACnom&gt;Vbat, Table7[[#This Row],[PIV (mW)]]+Table7[[#This Row],[Pqoss (mW)]]+Table7[[#This Row],[Pgate_top (mW)]], Table7[[#This Row],[PRR (mW)]]+Table7[[#This Row],[Pdead (mW)]]+Table7[[#This Row],[Pgate_top (mW)]])</f>
        <v>#REF!</v>
      </c>
      <c r="BB255" s="152" t="e">
        <f aca="false">Table7[[#This Row],[Pcon_top (mW)]]+Table7[[#This Row],[Psw_top (mW)]]</f>
        <v>#REF!</v>
      </c>
      <c r="BC255" s="152" t="e">
        <f aca="false">IF(VACnom&gt;Vbat, (1-Table7[[#This Row],[Duty Cycle]])*Table7[[#This Row],[I_L RMS]]^2*TI_MOSFET_S_RDSON_L_BU*10^-3, Table7[[#This Row],[Duty Cycle]]*Table7[[#This Row],[I_L RMS]]^2*TI_MOSFET_S_RDSON_L_BO*10^-3)/10^-3</f>
        <v>#REF!</v>
      </c>
      <c r="BD255" s="152" t="e">
        <f aca="false">IF(VACnom&gt;Vbat, Table7[[#This Row],[PRR (mW)]]+Table7[[#This Row],[Pdead (mW)]]+Table7[[#This Row],[Pgate_bottom (mW)]], Table7[[#This Row],[PIV (mW)]]+Table7[[#This Row],[Pqoss (mW)]]+Table7[[#This Row],[Pgate_bottom (mW)]])</f>
        <v>#REF!</v>
      </c>
      <c r="BE255" s="154" t="e">
        <f aca="false">Table7[[#This Row],[Pcon_bottom (mW)]]+Table7[[#This Row],[Psw_bottom (mW)]]</f>
        <v>#REF!</v>
      </c>
      <c r="BF255" s="152" t="e">
        <f aca="false">Table7[[#This Row],[Pbottom (mW)]]+Table7[[#This Row],[Ptop (mW)]]</f>
        <v>#REF!</v>
      </c>
      <c r="BG255" s="155"/>
      <c r="BH255" s="152" t="n">
        <f aca="false">MAX(0,Table7[[#This Row],[I_L]]-0.5*Table7[[#This Row],[I_L pkpk]])</f>
        <v>10.2521428571429</v>
      </c>
      <c r="BI255" s="152" t="n">
        <f aca="false">Table7[[#This Row],[I_L]]+0.5*Table7[[#This Row],[I_L pkpk]]</f>
        <v>10.5378571428571</v>
      </c>
      <c r="BJ255" s="152" t="n">
        <f aca="false">IF(VACnom&gt;Vbat, (VGS_S-(C_MOSFET_S_VTH_H_BU+Table7[[#This Row],[I_L]]/C_MOSFET_S_gFS_H_BU))/3.4, (VGS_S-(C_MOSFET_S_VTH_L_BO+Table7[[#This Row],[I_L]]/C_MOSFET_S_gFS_L_BO))/3.4 )</f>
        <v>2.33255882352941</v>
      </c>
      <c r="BK255" s="152" t="n">
        <f aca="false">IF(VACnom&gt;Vbat, ((C_MOSFET_S_VTH_H_BU+Table7[[#This Row],[I_L]]/C_MOSFET_S_gFS_H_BU))/1, ((C_MOSFET_S_VTH_L_BO+Table7[[#This Row],[I_L]]/C_MOSFET_S_gFS_L_BO))/1 )</f>
        <v>2.0693</v>
      </c>
      <c r="BL255" s="152" t="n">
        <f aca="false">IF(VACnom&gt;Vbat, (C_MOSFET_S_QGD_H_BU+C_MOSFET_S_QGS_H_BU)*10^-9/Table7[[#This Row],[Ion (A) C]], (C_MOSFET_S_QGD_L_BO+C_MOSFET_S_QGS_L_BO)*10^-9/Table7[[#This Row],[Ion (A) C]])/10^-9</f>
        <v>2.78663926261238</v>
      </c>
      <c r="BM255" s="152" t="n">
        <f aca="false">IF(VACnom&gt;Vbat, (C_MOSFET_S_QGD_H_BU+C_MOSFET_S_QGS_H_BU)*10^-9/Table7[[#This Row],[Ioff (A) C]], (C_MOSFET_S_QGD_L_BO+C_MOSFET_S_QGS_L_BO)*10^-9/Table7[[#This Row],[Ioff (A) C]])/10^-9</f>
        <v>3.14115884598657</v>
      </c>
      <c r="BN255" s="152" t="n">
        <f aca="false">0.5*VACnom*Table7[[#This Row],[Ivalley (A) C]]*Table7[[#This Row],[ton (ns) C]]*10^-9*Fsw*10^3+0.5*VACnom*Table7[[#This Row],[Ipeak (A) C]]*Table7[[#This Row],[toff (ns) C]]*10^-9*Fsw*10^3/10^-3</f>
        <v>39.7555826470081</v>
      </c>
      <c r="BO255" s="152" t="n">
        <f aca="false">IF(VACnom&gt;Vbat, 0.5*VACnom*C_MOSFET_S_QOSS_H_BU*10^-9*Fsw*10^3,0.5*VACnom*C_MOSFET_S_QOSS_L_BO*10^-9*Fsw*10^3)/10^-3</f>
        <v>43.2</v>
      </c>
      <c r="BP255" s="152" t="e">
        <f aca="false">IF(VACnom&gt;Vbat, VACnom*C_MOSFET_S_QG_H_BU*10^-9*Fsw*10^3,VACnom*C_MOSFET_S_QG_H_BO*10^-9*Fsw*10^3)/10^-3</f>
        <v>#REF!</v>
      </c>
      <c r="BQ255" s="152" t="n">
        <f aca="false">IF(VACnom&gt;Vbat, VACnom*C_MOSFET_S_QRR_L_BU*10^-9*Fsw*10^3, VACnom*C_MOSFET_S_QRR_H_BO*10^-9*Fsw*10^3)/10^-3</f>
        <v>79.2</v>
      </c>
      <c r="BR255" s="152" t="n">
        <f aca="false">IF(VACnom&gt;Vbat, C_MOSFET_S_VSD_L_BU*Table7[[#This Row],[Ivalley (A) C]]*Fsw*10^3*40*10^-9+C_MOSFET_S_VSD_L_BU*Table7[[#This Row],[Ipeak (A) C]]*Fsw*10^3*30*10^-9, C_MOSFET_S_VSD_H_BO*Table7[[#This Row],[Ivalley (A) C]]*Fsw*10^3*40*10^-9+C_MOSFET_S_VSD_H_BO*Table7[[#This Row],[Ipeak (A) C]]*Fsw*10^3*30*10^-9)/10^-3</f>
        <v>116.195428571429</v>
      </c>
      <c r="BS255" s="152" t="e">
        <f aca="false">IF(VACnom&gt;Vbat, VACnom*C_MOSFET_S_QG_L_BU*10^-9*Fsw*10^3, VACnom*C_MOSFET_S_QG_L_BO*10^-9*Fsw*10^3)/10^-3</f>
        <v>#REF!</v>
      </c>
      <c r="BT255" s="152" t="n">
        <f aca="false">IF(VACnom&lt;Vbat, Table7[[#This Row],[Duty Cycle]]*Table7[[#This Row],[I_L RMS]]^2*C_MOSFET_S_RDSON_H_BU*10^-3, (1-Table7[[#This Row],[Duty Cycle]])*Table7[[#This Row],[I_L RMS]]^2*C_MOSFET_S_RDSON_H_BO*10^-3)/10^-3</f>
        <v>29.3313389528668</v>
      </c>
      <c r="BU255" s="152" t="e">
        <f aca="false">IF(VACnom&gt;Vbat, Table7[[#This Row],[PIV (mW) C]]+Table7[[#This Row],[PQoss (mW) C]]+Table7[[#This Row],[Pgate_top (mW) C]], Table7[[#This Row],[PRR (mW) C]]+Table7[[#This Row],[Pdead (mW) C]]+Table7[[#This Row],[Pgate_top (mW) C]])</f>
        <v>#REF!</v>
      </c>
      <c r="BV255" s="152" t="e">
        <f aca="false">Table7[[#This Row],[Pcon_top (mW) C]]+Table7[[#This Row],[Psw_top (mW) C]]</f>
        <v>#REF!</v>
      </c>
      <c r="BW255" s="152" t="e">
        <f aca="false">IF(VACnom&gt;Vbat, (1-Table7[[#This Row],[Duty Cycle]])*Table7[[#This Row],[I_L RMS]]^2*C_MOSFET_S_RDSON_L_BU*10^-3, Table7[[#This Row],[Duty Cycle]]*Table7[[#This Row],[I_L RMS]]^2*C_MOSFET_S_RDSON_L_BO*10^-3)/10^-3</f>
        <v>#REF!</v>
      </c>
      <c r="BX255" s="152" t="e">
        <f aca="false">IF(VACnom&gt;Vbat, Table7[[#This Row],[PRR (mW) C]]+Table7[[#This Row],[Pdead (mW) C]]+Table7[[#This Row],[Pgate_bottom (mW) C]], Table7[[#This Row],[PIV (mW) C]]+Table7[[#This Row],[PQoss (mW) C]]+Table7[[#This Row],[Pgate_bottom (mW) C]])</f>
        <v>#REF!</v>
      </c>
      <c r="BY255" s="152" t="e">
        <f aca="false">Table7[[#This Row],[Pcon_bottom (mW) C]]+Table7[[#This Row],[Psw_bottom (mV) C]]</f>
        <v>#REF!</v>
      </c>
      <c r="BZ255" s="152" t="e">
        <f aca="false">Table7[[#This Row],[Pbottom (mW) C]]+Table7[[#This Row],[Ptop (mW) C]]</f>
        <v>#REF!</v>
      </c>
      <c r="CA255" s="156"/>
      <c r="CB255" s="151" t="n">
        <f aca="false">(RAC_SNS*10^-3*(Table7[[#This Row],[IOUT (A)]]*Vbat/VACnom)^2/10^-3)</f>
        <v>540.280125</v>
      </c>
      <c r="CC255" s="151" t="n">
        <f aca="false">(RBAT_SNS*10^-3*Table7[[#This Row],[IOUT (A)]]^2)/10^-3</f>
        <v>490.05</v>
      </c>
      <c r="CD255" s="151" t="n">
        <f aca="false">IF(VACnom&gt;Vbat,(L_DRC*10^-3*(Table7[[#This Row],[IOUT (A)]])^2/10^-3),(L_DRC*10^-3*(Table7[[#This Row],[IOUT (A)]]*Vbat/VACnom)^2/10^-3))</f>
        <v>1296.6723</v>
      </c>
      <c r="CE255" s="157"/>
      <c r="CF255" s="152" t="n">
        <f aca="false">(Table7[[#This Row],[R_AC (mW)]]+Table7[[#This Row],[R_SR (mW)]]+Table7[[#This Row],[Inductor Loss (mW)]])/10^3</f>
        <v>2.327002425</v>
      </c>
      <c r="CG255" s="152" t="e">
        <f aca="false">Table7[[#This Row],[Total TI (mW)]]/10^3</f>
        <v>#REF!</v>
      </c>
      <c r="CH255" s="152" t="e">
        <f aca="false">Table7[[#This Row],[Total Sense Loss]]+Table7[[#This Row],[Total MOSFET Loss]]</f>
        <v>#REF!</v>
      </c>
      <c r="CI255" s="158" t="e">
        <f aca="false">IF(Table7[[#This Row],[POUT (W)]]=0,0,(Table7[[#This Row],[POUT (W)]])/(Table7[[#This Row],[POUT (W)]]+Table7[[#This Row],[Total Power Loss (W)]]))*100</f>
        <v>#REF!</v>
      </c>
      <c r="CJ255" s="159"/>
      <c r="CK255" s="152" t="n">
        <f aca="false">(Table7[[#This Row],[R_AC (mW)]]+Table7[[#This Row],[R_SR (mW)]]+Table7[[#This Row],[Inductor Loss (mW)]])/10^3</f>
        <v>2.327002425</v>
      </c>
      <c r="CL255" s="152" t="e">
        <f aca="false">Table7[[#This Row],[Total (mW) C]]/10^3</f>
        <v>#REF!</v>
      </c>
      <c r="CM255" s="152" t="e">
        <f aca="false">Table7[[#This Row],[Total Sense Loss C]]+Table7[[#This Row],[Total MOSFET Loss C]]</f>
        <v>#REF!</v>
      </c>
      <c r="CN255" s="158" t="e">
        <f aca="false">IF(Table7[[#This Row],[POUT (W)]]=0,0,(Table7[[#This Row],[POUT (W)]])/(Table7[[#This Row],[POUT (W)]]+Table7[[#This Row],[Total Power Loss (W) C]]))*100</f>
        <v>#REF!</v>
      </c>
      <c r="CO255" s="159"/>
      <c r="CP255" s="158" t="n">
        <f aca="false">IF(MOSFET_S=Custom_MOSFET,Table7[[#This Row],[Total Sense Loss C]],Table7[[#This Row],[Total Sense Loss]])</f>
        <v>2.327002425</v>
      </c>
      <c r="CQ255" s="158" t="e">
        <f aca="false">IF(MOSFET_S=Custom_MOSFET,Table7[[#This Row],[Total MOSFET Loss C]],Table7[[#This Row],[Total MOSFET Loss]])</f>
        <v>#REF!</v>
      </c>
      <c r="CR255" s="158" t="e">
        <f aca="false">IF(MOSFET_S=Custom_MOSFET,Table7[[#This Row],[Efficiency C]],Table7[[#This Row],[Efficiency]])</f>
        <v>#REF!</v>
      </c>
      <c r="CS255" s="159"/>
      <c r="CT255" s="158" t="n">
        <f aca="false">IF(MOSFET_S=Compare_MOSFET, Table7[[#This Row],[Total Sense Loss C]], -100)</f>
        <v>-100</v>
      </c>
      <c r="CU255" s="158" t="n">
        <f aca="false">IF(MOSFET_S=Compare_MOSFET, Table7[[#This Row],[Total MOSFET Loss C]], -100)</f>
        <v>-100</v>
      </c>
      <c r="CV255" s="158" t="n">
        <f aca="false">IF(MOSFET_S=Compare_MOSFET, Table7[[#This Row],[Efficiency C]], -100)</f>
        <v>-100</v>
      </c>
      <c r="CW255" s="159"/>
      <c r="CX255" s="158" t="e">
        <f aca="false">IF(Save_Sel=CLR_Save,  Table7[[#This Row],[Total Sense Loss P1]], Table7[[#This Row],[Total Sense Loss P1 Saved]])</f>
        <v>#VALUE!</v>
      </c>
      <c r="CY255" s="158" t="e">
        <f aca="false">IF(Save_Sel=CLR_Save,  Table7[[#This Row],[Total MOSFET Loss P1]], Table7[[#This Row],[Total MOSFET Loss P1 Saved]] )</f>
        <v>#VALUE!</v>
      </c>
      <c r="CZ255" s="158" t="e">
        <f aca="false">IF(Save_Sel=CLR_Save, Table7[[#This Row],[Efficiency P1]], Table7[[#This Row],[Efficiency P1 Saved]])</f>
        <v>#VALUE!</v>
      </c>
      <c r="DA255" s="159"/>
      <c r="DB255" s="158" t="e">
        <f aca="false">IF(Save_Sel=CLR_Save,  Table7[[#This Row],[Total Sense Loss P2]], Table7[[#This Row],[Total Sense Loss P2 Saved]])</f>
        <v>#VALUE!</v>
      </c>
      <c r="DC255" s="158" t="e">
        <f aca="false">IF(Save_Sel=CLR_Save,  Table7[[#This Row],[Total MOSFET Loss P2]], Table7[[#This Row],[Total MOSFET Loss P2 Saved]] )</f>
        <v>#VALUE!</v>
      </c>
      <c r="DD255" s="158" t="e">
        <f aca="false">IF(Save_Sel=CLR_Save, Table7[[#This Row],[Efficiency P2]], Table7[[#This Row],[Efficiency P2 Saved]])</f>
        <v>#VALUE!</v>
      </c>
      <c r="DE255" s="159"/>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row>
    <row r="256" customFormat="false" ht="16.4" hidden="false" customHeight="false" outlineLevel="0" collapsed="false">
      <c r="A256" s="174"/>
      <c r="B256" s="174"/>
      <c r="C256" s="174"/>
      <c r="D256" s="174"/>
      <c r="E256" s="174"/>
      <c r="F256" s="174"/>
      <c r="G256" s="174"/>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150" t="n">
        <f aca="false">AF255+1</f>
        <v>100</v>
      </c>
      <c r="AG256" s="150" t="n">
        <f aca="false">Ioutmax</f>
        <v>10</v>
      </c>
      <c r="AH256" s="151" t="n">
        <f aca="false">AG256*VACnom</f>
        <v>120</v>
      </c>
      <c r="AI256" s="152" t="n">
        <f aca="false">IF(VACnom&lt;Vbat, (Vbat-VACnom)/Vbat, Vbat/VACnom)</f>
        <v>0.0476190476190476</v>
      </c>
      <c r="AJ256" s="152" t="n">
        <f aca="false">IF(VACnom&lt;Vbat, AG256/(1-AI256), AG256*AI256)</f>
        <v>10.5</v>
      </c>
      <c r="AK256" s="152" t="n">
        <f aca="false">Ipkpk_VACnom</f>
        <v>0.285714285714285</v>
      </c>
      <c r="AL256" s="152" t="n">
        <f aca="false">SQRT(AJ256^2+AK256^2/12)</f>
        <v>10.5003239341026</v>
      </c>
      <c r="AM256" s="153"/>
      <c r="AN256" s="152" t="n">
        <f aca="false">MAX(0,Table7[[#This Row],[I_L]]-0.5*Table7[[#This Row],[I_L pkpk]])</f>
        <v>10.3571428571429</v>
      </c>
      <c r="AO256" s="152" t="n">
        <f aca="false">Table7[[#This Row],[I_L]]+0.5*Table7[[#This Row],[I_L pkpk]]</f>
        <v>10.6428571428571</v>
      </c>
      <c r="AP256" s="152" t="e">
        <f aca="false">IF(VACnom&gt;Vbat, (VGS_S-(TI_MOSFET_S_VTH_H_BU+Table7[[#This Row],[I_L]]/TI_MOSFET_S_gFS_H_BU))/3.4, (VGS_S-(TI_MOSFET_S_VTH_L_BO+Table7[[#This Row],[I_L]]/TI_MOSFET_S_gFS_L_BO))/3.4 )</f>
        <v>#REF!</v>
      </c>
      <c r="AQ256" s="152" t="e">
        <f aca="false">IF(VACnom&gt;Vbat, ((TI_MOSFET_S_VTH_H_BU+Table7[[#This Row],[I_L]]/TI_MOSFET_S_gFS_H_BU))/1, ((TI_MOSFET_S_VTH_L_BO+Table7[[#This Row],[I_L]]/TI_MOSFET_S_gFS_L_BO))/1 )</f>
        <v>#REF!</v>
      </c>
      <c r="AR256" s="152" t="e">
        <f aca="false">IF(VACnom&gt;Vbat, (TI_MOSFET_S_QGD_H_BU+TI_MOSFET_S_QGS_H_BU)*10^-9/Table7[[#This Row],[Ion (A)]], (TI_MOSFET_S_QGD_L_BO+TI_MOSFET_S_QGS_L_BO)*10^-9/Table7[[#This Row],[Ion (A)]])/10^-9</f>
        <v>#REF!</v>
      </c>
      <c r="AS256" s="152" t="e">
        <f aca="false">IF(VACnom&gt;Vbat, (TI_MOSFET_S_QGD_H_BU+TI_MOSFET_S_QGS_H_BU)*10^-9/Table7[[#This Row],[Ioff (A)]], (TI_MOSFET_S_QGD_L_BO+TI_MOSFET_S_QGS_L_BO)*10^-9/Table7[[#This Row],[Ioff (A)]])/10^-9</f>
        <v>#REF!</v>
      </c>
      <c r="AT256" s="152" t="e">
        <f aca="false">0.5*VACnom*Table7[[#This Row],[Ivalley (A)]]*Table7[[#This Row],[ton (ns)]]*10^-9*Fsw*10^3+0.5*VACnom*Table7[[#This Row],[Ipeak (A)]]*Table7[[#This Row],[toff (ns)]]*10^-9*Fsw*10^3/10^-3</f>
        <v>#REF!</v>
      </c>
      <c r="AU256" s="152" t="e">
        <f aca="false">IF(VACnom&gt;Vbat, 0.5*VACnom*TI_MOSFET_S_QOSS_H_BU*10^-9*Fsw*10^3,0.5*VACnom*TI_MOSFET_S_QOSS_L_BO*10^-9*Fsw*10^3)/10^-3</f>
        <v>#REF!</v>
      </c>
      <c r="AV256" s="152" t="e">
        <f aca="false">IF(VACnom&gt;Vbat, VACnom*TI_MOSFET_S_QG_H_BU*10^-9*Fsw*10^3,VACnom*TI_MOSFET_S_QG_H_BO*10^-9*Fsw*10^3)/10^-3</f>
        <v>#REF!</v>
      </c>
      <c r="AW256" s="152" t="e">
        <f aca="false">IF(VACnom&gt;Vbat, VACnom*TI_MOSFET_S_QRR_L_BU*10^-9*Fsw*10^3, VACnom*TI_MOSFET_S_QRR_H_BO*10^-9*Fsw*10^3)/10^-3</f>
        <v>#REF!</v>
      </c>
      <c r="AX256" s="152" t="e">
        <f aca="false">IF(VACnom&gt;Vbat, TI_MOSFET_S_VSD_L_BU*Table7[[#This Row],[Ivalley (A)]]*Fsw*10^3*40*10^-9+TI_MOSFET_S_VSD_L_BU*Table7[[#This Row],[Ipeak (A)]]*Fsw*10^3*30*10^-9, TI_MOSFET_S_VSD_H_BO*Table7[[#This Row],[Ivalley (A)]]*Fsw*10^3*40*10^-9+TI_MOSFET_S_VSD_H_BO*Table7[[#This Row],[Ipeak (A)]]*Fsw*10^3*30*10^-9)/10^-3</f>
        <v>#REF!</v>
      </c>
      <c r="AY256" s="152" t="e">
        <f aca="false">IF(VACnom&gt;Vbat, VACnom*TI_MOSFET_S_QG_L_BU*10^-9*Fsw*10^3, VACnom*TI_MOSFET_S_QG_L_BO*10^-9*Fsw*10^3)/10^-3</f>
        <v>#REF!</v>
      </c>
      <c r="AZ256" s="152" t="e">
        <f aca="false">IF(VACnom&lt;Vbat, Table7[[#This Row],[Duty Cycle]]*Table7[[#This Row],[I_L RMS]]^2*TI_MOSFET_S_RDSON_H_BU*10^-3, (1-Table7[[#This Row],[Duty Cycle]])*Table7[[#This Row],[I_L RMS]]^2*TI_MOSFET_S_RDSON_H_BO*10^-3)/10^-3</f>
        <v>#REF!</v>
      </c>
      <c r="BA256" s="152" t="e">
        <f aca="false">IF(VACnom&gt;Vbat, Table7[[#This Row],[PIV (mW)]]+Table7[[#This Row],[Pqoss (mW)]]+Table7[[#This Row],[Pgate_top (mW)]], Table7[[#This Row],[PRR (mW)]]+Table7[[#This Row],[Pdead (mW)]]+Table7[[#This Row],[Pgate_top (mW)]])</f>
        <v>#REF!</v>
      </c>
      <c r="BB256" s="152" t="e">
        <f aca="false">Table7[[#This Row],[Pcon_top (mW)]]+Table7[[#This Row],[Psw_top (mW)]]</f>
        <v>#REF!</v>
      </c>
      <c r="BC256" s="152" t="e">
        <f aca="false">IF(VACnom&gt;Vbat, (1-Table7[[#This Row],[Duty Cycle]])*Table7[[#This Row],[I_L RMS]]^2*TI_MOSFET_S_RDSON_L_BU*10^-3, Table7[[#This Row],[Duty Cycle]]*Table7[[#This Row],[I_L RMS]]^2*TI_MOSFET_S_RDSON_L_BO*10^-3)/10^-3</f>
        <v>#REF!</v>
      </c>
      <c r="BD256" s="152" t="e">
        <f aca="false">IF(VACnom&gt;Vbat, Table7[[#This Row],[PRR (mW)]]+Table7[[#This Row],[Pdead (mW)]]+Table7[[#This Row],[Pgate_bottom (mW)]], Table7[[#This Row],[PIV (mW)]]+Table7[[#This Row],[Pqoss (mW)]]+Table7[[#This Row],[Pgate_bottom (mW)]])</f>
        <v>#REF!</v>
      </c>
      <c r="BE256" s="175" t="e">
        <f aca="false">Table7[[#This Row],[Pcon_bottom (mW)]]+Table7[[#This Row],[Psw_bottom (mW)]]</f>
        <v>#REF!</v>
      </c>
      <c r="BF256" s="152" t="e">
        <f aca="false">Table7[[#This Row],[Pbottom (mW)]]+Table7[[#This Row],[Ptop (mW)]]</f>
        <v>#REF!</v>
      </c>
      <c r="BG256" s="155"/>
      <c r="BH256" s="152" t="n">
        <f aca="false">MAX(0,Table7[[#This Row],[I_L]]-0.5*Table7[[#This Row],[I_L pkpk]])</f>
        <v>10.3571428571429</v>
      </c>
      <c r="BI256" s="152" t="n">
        <f aca="false">Table7[[#This Row],[I_L]]+0.5*Table7[[#This Row],[I_L pkpk]]</f>
        <v>10.6428571428571</v>
      </c>
      <c r="BJ256" s="152" t="n">
        <f aca="false">IF(VACnom&gt;Vbat, (VGS_S-(C_MOSFET_S_VTH_H_BU+Table7[[#This Row],[I_L]]/C_MOSFET_S_gFS_H_BU))/3.4, (VGS_S-(C_MOSFET_S_VTH_L_BO+Table7[[#This Row],[I_L]]/C_MOSFET_S_gFS_L_BO))/3.4 )</f>
        <v>2.33235294117647</v>
      </c>
      <c r="BK256" s="152" t="n">
        <f aca="false">IF(VACnom&gt;Vbat, ((C_MOSFET_S_VTH_H_BU+Table7[[#This Row],[I_L]]/C_MOSFET_S_gFS_H_BU))/1, ((C_MOSFET_S_VTH_L_BO+Table7[[#This Row],[I_L]]/C_MOSFET_S_gFS_L_BO))/1 )</f>
        <v>2.07</v>
      </c>
      <c r="BL256" s="152" t="n">
        <f aca="false">IF(VACnom&gt;Vbat, (C_MOSFET_S_QGD_H_BU+C_MOSFET_S_QGS_H_BU)*10^-9/Table7[[#This Row],[Ion (A) C]], (C_MOSFET_S_QGD_L_BO+C_MOSFET_S_QGS_L_BO)*10^-9/Table7[[#This Row],[Ion (A) C]])/10^-9</f>
        <v>2.78688524590164</v>
      </c>
      <c r="BM256" s="152" t="n">
        <f aca="false">IF(VACnom&gt;Vbat, (C_MOSFET_S_QGD_H_BU+C_MOSFET_S_QGS_H_BU)*10^-9/Table7[[#This Row],[Ioff (A) C]], (C_MOSFET_S_QGD_L_BO+C_MOSFET_S_QGS_L_BO)*10^-9/Table7[[#This Row],[Ioff (A) C]])/10^-9</f>
        <v>3.14009661835749</v>
      </c>
      <c r="BN256" s="152" t="n">
        <f aca="false">0.5*VACnom*Table7[[#This Row],[Ivalley (A) C]]*Table7[[#This Row],[ton (ns) C]]*10^-9*Fsw*10^3+0.5*VACnom*Table7[[#This Row],[Ipeak (A) C]]*Table7[[#This Row],[toff (ns) C]]*10^-9*Fsw*10^3/10^-3</f>
        <v>40.138156671079</v>
      </c>
      <c r="BO256" s="152" t="n">
        <f aca="false">IF(VACnom&gt;Vbat, 0.5*VACnom*C_MOSFET_S_QOSS_H_BU*10^-9*Fsw*10^3,0.5*VACnom*C_MOSFET_S_QOSS_L_BO*10^-9*Fsw*10^3)/10^-3</f>
        <v>43.2</v>
      </c>
      <c r="BP256" s="152" t="e">
        <f aca="false">IF(VACnom&gt;Vbat, VACnom*C_MOSFET_S_QG_H_BU*10^-9*Fsw*10^3,VACnom*C_MOSFET_S_QG_H_BO*10^-9*Fsw*10^3)/10^-3</f>
        <v>#REF!</v>
      </c>
      <c r="BQ256" s="152" t="n">
        <f aca="false">IF(VACnom&gt;Vbat, VACnom*C_MOSFET_S_QRR_L_BU*10^-9*Fsw*10^3, VACnom*C_MOSFET_S_QRR_H_BO*10^-9*Fsw*10^3)/10^-3</f>
        <v>79.2</v>
      </c>
      <c r="BR256" s="152" t="n">
        <f aca="false">IF(VACnom&gt;Vbat, C_MOSFET_S_VSD_L_BU*Table7[[#This Row],[Ivalley (A) C]]*Fsw*10^3*40*10^-9+C_MOSFET_S_VSD_L_BU*Table7[[#This Row],[Ipeak (A) C]]*Fsw*10^3*30*10^-9, C_MOSFET_S_VSD_H_BO*Table7[[#This Row],[Ivalley (A) C]]*Fsw*10^3*40*10^-9+C_MOSFET_S_VSD_H_BO*Table7[[#This Row],[Ipeak (A) C]]*Fsw*10^3*30*10^-9)/10^-3</f>
        <v>117.371428571429</v>
      </c>
      <c r="BS256" s="152" t="e">
        <f aca="false">IF(VACnom&gt;Vbat, VACnom*C_MOSFET_S_QG_L_BU*10^-9*Fsw*10^3, VACnom*C_MOSFET_S_QG_L_BO*10^-9*Fsw*10^3)/10^-3</f>
        <v>#REF!</v>
      </c>
      <c r="BT256" s="152" t="n">
        <f aca="false">IF(VACnom&lt;Vbat, Table7[[#This Row],[Duty Cycle]]*Table7[[#This Row],[I_L RMS]]^2*C_MOSFET_S_RDSON_H_BU*10^-3, (1-Table7[[#This Row],[Duty Cycle]])*Table7[[#This Row],[I_L RMS]]^2*C_MOSFET_S_RDSON_H_BO*10^-3)/10^-3</f>
        <v>29.9268464528668</v>
      </c>
      <c r="BU256" s="152" t="e">
        <f aca="false">IF(VACnom&gt;Vbat, Table7[[#This Row],[PIV (mW) C]]+Table7[[#This Row],[PQoss (mW) C]]+Table7[[#This Row],[Pgate_top (mW) C]], Table7[[#This Row],[PRR (mW) C]]+Table7[[#This Row],[Pdead (mW) C]]+Table7[[#This Row],[Pgate_top (mW) C]])</f>
        <v>#REF!</v>
      </c>
      <c r="BV256" s="152" t="e">
        <f aca="false">Table7[[#This Row],[Pcon_top (mW) C]]+Table7[[#This Row],[Psw_top (mW) C]]</f>
        <v>#REF!</v>
      </c>
      <c r="BW256" s="152" t="e">
        <f aca="false">IF(VACnom&gt;Vbat, (1-Table7[[#This Row],[Duty Cycle]])*Table7[[#This Row],[I_L RMS]]^2*C_MOSFET_S_RDSON_L_BU*10^-3, Table7[[#This Row],[Duty Cycle]]*Table7[[#This Row],[I_L RMS]]^2*C_MOSFET_S_RDSON_L_BO*10^-3)/10^-3</f>
        <v>#REF!</v>
      </c>
      <c r="BX256" s="152" t="e">
        <f aca="false">IF(VACnom&gt;Vbat, Table7[[#This Row],[PRR (mW) C]]+Table7[[#This Row],[Pdead (mW) C]]+Table7[[#This Row],[Pgate_bottom (mW) C]], Table7[[#This Row],[PIV (mW) C]]+Table7[[#This Row],[PQoss (mW) C]]+Table7[[#This Row],[Pgate_bottom (mW) C]])</f>
        <v>#REF!</v>
      </c>
      <c r="BY256" s="152" t="e">
        <f aca="false">Table7[[#This Row],[Pcon_bottom (mW) C]]+Table7[[#This Row],[Psw_bottom (mV) C]]</f>
        <v>#REF!</v>
      </c>
      <c r="BZ256" s="152" t="e">
        <f aca="false">Table7[[#This Row],[Pbottom (mW) C]]+Table7[[#This Row],[Ptop (mW) C]]</f>
        <v>#REF!</v>
      </c>
      <c r="CA256" s="156"/>
      <c r="CB256" s="151" t="n">
        <f aca="false">(RAC_SNS*10^-3*(Table7[[#This Row],[IOUT (A)]]*Vbat/VACnom)^2/10^-3)</f>
        <v>551.25</v>
      </c>
      <c r="CC256" s="151" t="n">
        <f aca="false">(RBAT_SNS*10^-3*Table7[[#This Row],[IOUT (A)]]^2)/10^-3</f>
        <v>500</v>
      </c>
      <c r="CD256" s="151" t="n">
        <f aca="false">IF(VACnom&gt;Vbat,(L_DRC*10^-3*(Table7[[#This Row],[IOUT (A)]])^2/10^-3),(L_DRC*10^-3*(Table7[[#This Row],[IOUT (A)]]*Vbat/VACnom)^2/10^-3))</f>
        <v>1323</v>
      </c>
      <c r="CE256" s="157"/>
      <c r="CF256" s="152" t="n">
        <f aca="false">(Table7[[#This Row],[R_AC (mW)]]+Table7[[#This Row],[R_SR (mW)]]+Table7[[#This Row],[Inductor Loss (mW)]])/10^3</f>
        <v>2.37425</v>
      </c>
      <c r="CG256" s="152" t="e">
        <f aca="false">Table7[[#This Row],[Total TI (mW)]]/10^3</f>
        <v>#REF!</v>
      </c>
      <c r="CH256" s="152" t="e">
        <f aca="false">Table7[[#This Row],[Total Sense Loss]]+Table7[[#This Row],[Total MOSFET Loss]]</f>
        <v>#REF!</v>
      </c>
      <c r="CI256" s="158" t="e">
        <f aca="false">IF(Table7[[#This Row],[POUT (W)]]=0,0,(Table7[[#This Row],[POUT (W)]])/(Table7[[#This Row],[POUT (W)]]+Table7[[#This Row],[Total Power Loss (W)]]))*100</f>
        <v>#REF!</v>
      </c>
      <c r="CJ256" s="159"/>
      <c r="CK256" s="152" t="n">
        <f aca="false">(Table7[[#This Row],[R_AC (mW)]]+Table7[[#This Row],[R_SR (mW)]]+Table7[[#This Row],[Inductor Loss (mW)]])/10^3</f>
        <v>2.37425</v>
      </c>
      <c r="CL256" s="152" t="e">
        <f aca="false">Table7[[#This Row],[Total (mW) C]]/10^3</f>
        <v>#REF!</v>
      </c>
      <c r="CM256" s="152" t="e">
        <f aca="false">Table7[[#This Row],[Total Sense Loss C]]+Table7[[#This Row],[Total MOSFET Loss C]]</f>
        <v>#REF!</v>
      </c>
      <c r="CN256" s="158" t="e">
        <f aca="false">IF(Table7[[#This Row],[POUT (W)]]=0,0,(Table7[[#This Row],[POUT (W)]])/(Table7[[#This Row],[POUT (W)]]+Table7[[#This Row],[Total Power Loss (W) C]]))*100</f>
        <v>#REF!</v>
      </c>
      <c r="CO256" s="159"/>
      <c r="CP256" s="158" t="n">
        <f aca="false">IF(MOSFET_S=Custom_MOSFET,Table7[[#This Row],[Total Sense Loss C]],Table7[[#This Row],[Total Sense Loss]])</f>
        <v>2.37425</v>
      </c>
      <c r="CQ256" s="158" t="e">
        <f aca="false">IF(MOSFET_S=Custom_MOSFET,Table7[[#This Row],[Total MOSFET Loss C]],Table7[[#This Row],[Total MOSFET Loss]])</f>
        <v>#REF!</v>
      </c>
      <c r="CR256" s="158" t="e">
        <f aca="false">IF(MOSFET_S=Custom_MOSFET,Table7[[#This Row],[Efficiency C]],Table7[[#This Row],[Efficiency]])</f>
        <v>#REF!</v>
      </c>
      <c r="CS256" s="159"/>
      <c r="CT256" s="158" t="n">
        <f aca="false">IF(MOSFET_S=Compare_MOSFET, Table7[[#This Row],[Total Sense Loss C]], -100)</f>
        <v>-100</v>
      </c>
      <c r="CU256" s="158" t="n">
        <f aca="false">IF(MOSFET_S=Compare_MOSFET, Table7[[#This Row],[Total MOSFET Loss C]], -100)</f>
        <v>-100</v>
      </c>
      <c r="CV256" s="158" t="n">
        <f aca="false">IF(MOSFET_S=Compare_MOSFET, Table7[[#This Row],[Efficiency C]], -100)</f>
        <v>-100</v>
      </c>
      <c r="CW256" s="159"/>
      <c r="CX256" s="158" t="e">
        <f aca="false">IF(Save_Sel=CLR_Save,  Table7[[#This Row],[Total Sense Loss P1]], Table7[[#This Row],[Total Sense Loss P1 Saved]])</f>
        <v>#VALUE!</v>
      </c>
      <c r="CY256" s="158" t="e">
        <f aca="false">IF(Save_Sel=CLR_Save,  Table7[[#This Row],[Total MOSFET Loss P1]], Table7[[#This Row],[Total MOSFET Loss P1 Saved]] )</f>
        <v>#VALUE!</v>
      </c>
      <c r="CZ256" s="158" t="e">
        <f aca="false">IF(Save_Sel=CLR_Save, Table7[[#This Row],[Efficiency P1]], Table7[[#This Row],[Efficiency P1 Saved]])</f>
        <v>#VALUE!</v>
      </c>
      <c r="DA256" s="159"/>
      <c r="DB256" s="158" t="e">
        <f aca="false">IF(Save_Sel=CLR_Save,  Table7[[#This Row],[Total Sense Loss P2]], Table7[[#This Row],[Total Sense Loss P2 Saved]])</f>
        <v>#VALUE!</v>
      </c>
      <c r="DC256" s="158" t="e">
        <f aca="false">IF(Save_Sel=CLR_Save,  Table7[[#This Row],[Total MOSFET Loss P2]], Table7[[#This Row],[Total MOSFET Loss P2 Saved]] )</f>
        <v>#VALUE!</v>
      </c>
      <c r="DD256" s="158" t="e">
        <f aca="false">IF(Save_Sel=CLR_Save, Table7[[#This Row],[Efficiency P2]], Table7[[#This Row],[Efficiency P2 Saved]])</f>
        <v>#VALUE!</v>
      </c>
      <c r="DE256" s="159"/>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row>
    <row r="257" customFormat="false" ht="1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row>
    <row r="258" customFormat="false" ht="1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row>
    <row r="259" customFormat="false" ht="1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row>
    <row r="260" customFormat="false" ht="1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row>
    <row r="261" customFormat="false" ht="1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row>
    <row r="262" customFormat="false" ht="1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row>
    <row r="263" customFormat="false" ht="1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row>
    <row r="264" customFormat="false" ht="1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row>
    <row r="265" customFormat="false" ht="1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row>
    <row r="266" customFormat="false" ht="1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row>
    <row r="267" customFormat="false" ht="1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row>
    <row r="268" customFormat="false" ht="1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row>
    <row r="269" customFormat="false" ht="1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row>
    <row r="270" customFormat="false" ht="1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row>
    <row r="271" customFormat="false" ht="1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row>
    <row r="272" customFormat="false" ht="1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row>
    <row r="273" customFormat="false" ht="1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row>
    <row r="274" customFormat="false" ht="1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row>
    <row r="275" customFormat="false" ht="1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row>
    <row r="276" customFormat="false" ht="1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row>
    <row r="277" customFormat="false" ht="1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row>
    <row r="278" customFormat="false" ht="1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row>
    <row r="279" customFormat="false" ht="1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row>
    <row r="280" customFormat="false" ht="1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row>
    <row r="281" customFormat="false" ht="1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row>
    <row r="282" customFormat="false" ht="1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row>
    <row r="283" customFormat="false" ht="1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row>
    <row r="284" customFormat="false" ht="1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row>
    <row r="285" customFormat="false" ht="1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row>
    <row r="286" customFormat="false" ht="1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row>
    <row r="287" customFormat="false" ht="1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row>
    <row r="288" customFormat="false" ht="1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row>
    <row r="289" customFormat="false" ht="1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row>
    <row r="290" customFormat="false" ht="1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row>
    <row r="291" customFormat="false" ht="1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row>
    <row r="292" customFormat="false" ht="1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row>
    <row r="293" customFormat="false" ht="1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row>
    <row r="294" customFormat="false" ht="1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row>
    <row r="295" customFormat="false" ht="1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row>
    <row r="296" customFormat="false" ht="1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row>
    <row r="297" customFormat="false" ht="1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row>
    <row r="298" customFormat="false" ht="1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row>
    <row r="299" customFormat="false" ht="1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row>
    <row r="300" customFormat="false" ht="1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row>
    <row r="301" customFormat="false" ht="1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row>
    <row r="302" customFormat="false" ht="1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row>
    <row r="303" customFormat="false" ht="1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row>
    <row r="304" customFormat="false" ht="1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row>
    <row r="305" customFormat="false" ht="1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row>
    <row r="306" customFormat="false" ht="1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row>
    <row r="307" customFormat="false" ht="1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row>
    <row r="308" customFormat="false" ht="1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row>
    <row r="309" customFormat="false" ht="1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row>
    <row r="310" customFormat="false" ht="1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row>
    <row r="311" customFormat="false" ht="1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row>
    <row r="312" customFormat="false" ht="1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row>
    <row r="313" customFormat="false" ht="1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row>
    <row r="314" customFormat="false" ht="1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row>
    <row r="315" customFormat="false" ht="1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row>
    <row r="316" customFormat="false" ht="1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row>
    <row r="317" customFormat="false" ht="1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row>
    <row r="318" customFormat="false" ht="1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row>
    <row r="319" customFormat="false" ht="1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row>
    <row r="320" customFormat="false" ht="1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row>
    <row r="321" customFormat="false" ht="1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row>
    <row r="322" customFormat="false" ht="1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row>
    <row r="323" customFormat="false" ht="1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row>
    <row r="324" customFormat="false" ht="1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row>
    <row r="325" customFormat="false" ht="1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row>
    <row r="326" customFormat="false" ht="1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row>
    <row r="327" customFormat="false" ht="1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row>
    <row r="328" customFormat="false" ht="1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row>
    <row r="329" customFormat="false" ht="1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row>
    <row r="330" customFormat="false" ht="1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row>
    <row r="331" customFormat="false" ht="1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row>
    <row r="332" customFormat="false" ht="1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row>
    <row r="333" customFormat="false" ht="1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row>
    <row r="334" customFormat="false" ht="1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row>
    <row r="335" customFormat="false" ht="1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row>
    <row r="336" customFormat="false" ht="1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row>
    <row r="337" customFormat="false" ht="1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row>
    <row r="338" customFormat="false" ht="1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row>
    <row r="339" customFormat="false" ht="1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row>
    <row r="340" customFormat="false" ht="1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row>
    <row r="341" customFormat="false" ht="1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row>
    <row r="342" customFormat="false" ht="1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row>
    <row r="343" customFormat="false" ht="1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row>
    <row r="344" customFormat="false" ht="1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row>
    <row r="345" customFormat="false" ht="1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row>
    <row r="346" customFormat="false" ht="1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row>
    <row r="347" customFormat="false" ht="1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row>
    <row r="348" customFormat="false" ht="1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row>
    <row r="349" customFormat="false" ht="1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row>
    <row r="350" customFormat="false" ht="1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row>
    <row r="351" customFormat="false" ht="1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row>
    <row r="352" customFormat="false" ht="1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row>
    <row r="353" customFormat="false" ht="1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row>
    <row r="354" customFormat="false" ht="1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row>
    <row r="355" customFormat="false" ht="1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row>
    <row r="356" customFormat="false" ht="1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row>
    <row r="357" customFormat="false" ht="1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row>
    <row r="358" customFormat="false" ht="1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row>
    <row r="359" customFormat="false" ht="1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row>
    <row r="360" customFormat="false" ht="1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row>
    <row r="361" customFormat="false" ht="1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row>
    <row r="362" customFormat="false" ht="1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row>
    <row r="363" customFormat="false" ht="1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row>
    <row r="364" customFormat="false" ht="1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row>
    <row r="365" customFormat="false" ht="1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row>
    <row r="366" customFormat="false" ht="1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c r="FB366" s="7"/>
      <c r="FC366" s="7"/>
      <c r="FD366" s="7"/>
      <c r="FE366" s="7"/>
      <c r="FF366" s="7"/>
      <c r="FG366" s="7"/>
      <c r="FH366" s="7"/>
      <c r="FI366" s="7"/>
    </row>
    <row r="367" customFormat="false" ht="1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row>
    <row r="368" customFormat="false" ht="1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row>
    <row r="369" customFormat="false" ht="1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row>
    <row r="370" customFormat="false" ht="1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row>
    <row r="371" customFormat="false" ht="1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row>
    <row r="372" customFormat="false" ht="1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c r="FB372" s="7"/>
      <c r="FC372" s="7"/>
      <c r="FD372" s="7"/>
      <c r="FE372" s="7"/>
      <c r="FF372" s="7"/>
      <c r="FG372" s="7"/>
      <c r="FH372" s="7"/>
      <c r="FI372" s="7"/>
    </row>
    <row r="373" customFormat="false" ht="1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c r="FB373" s="7"/>
      <c r="FC373" s="7"/>
      <c r="FD373" s="7"/>
      <c r="FE373" s="7"/>
      <c r="FF373" s="7"/>
      <c r="FG373" s="7"/>
      <c r="FH373" s="7"/>
      <c r="FI373" s="7"/>
    </row>
    <row r="374" customFormat="false" ht="1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row>
    <row r="375" customFormat="false" ht="1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row>
    <row r="376" customFormat="false" ht="1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c r="FB376" s="7"/>
      <c r="FC376" s="7"/>
      <c r="FD376" s="7"/>
      <c r="FE376" s="7"/>
      <c r="FF376" s="7"/>
      <c r="FG376" s="7"/>
      <c r="FH376" s="7"/>
      <c r="FI376" s="7"/>
    </row>
    <row r="377" customFormat="false" ht="1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row>
    <row r="378" customFormat="false" ht="1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row>
    <row r="379" customFormat="false" ht="1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row>
    <row r="380" customFormat="false" ht="1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c r="FB380" s="7"/>
      <c r="FC380" s="7"/>
      <c r="FD380" s="7"/>
      <c r="FE380" s="7"/>
      <c r="FF380" s="7"/>
      <c r="FG380" s="7"/>
      <c r="FH380" s="7"/>
      <c r="FI380" s="7"/>
    </row>
    <row r="381" customFormat="false" ht="1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row>
    <row r="382" customFormat="false" ht="1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c r="FB382" s="7"/>
      <c r="FC382" s="7"/>
      <c r="FD382" s="7"/>
      <c r="FE382" s="7"/>
      <c r="FF382" s="7"/>
      <c r="FG382" s="7"/>
      <c r="FH382" s="7"/>
      <c r="FI382" s="7"/>
    </row>
    <row r="383" customFormat="false" ht="1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c r="FB383" s="7"/>
      <c r="FC383" s="7"/>
      <c r="FD383" s="7"/>
      <c r="FE383" s="7"/>
      <c r="FF383" s="7"/>
      <c r="FG383" s="7"/>
      <c r="FH383" s="7"/>
      <c r="FI383" s="7"/>
    </row>
    <row r="384" customFormat="false" ht="1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row>
    <row r="385" customFormat="false" ht="1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row>
    <row r="386" customFormat="false" ht="1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row>
    <row r="387" customFormat="false" ht="1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row>
    <row r="388" customFormat="false" ht="1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row>
    <row r="389" customFormat="false" ht="1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row>
    <row r="390" customFormat="false" ht="1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c r="FB390" s="7"/>
      <c r="FC390" s="7"/>
      <c r="FD390" s="7"/>
      <c r="FE390" s="7"/>
      <c r="FF390" s="7"/>
      <c r="FG390" s="7"/>
      <c r="FH390" s="7"/>
      <c r="FI390" s="7"/>
    </row>
    <row r="391" customFormat="false" ht="1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c r="FB391" s="7"/>
      <c r="FC391" s="7"/>
      <c r="FD391" s="7"/>
      <c r="FE391" s="7"/>
      <c r="FF391" s="7"/>
      <c r="FG391" s="7"/>
      <c r="FH391" s="7"/>
      <c r="FI391" s="7"/>
    </row>
    <row r="392" customFormat="false" ht="1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c r="FB392" s="7"/>
      <c r="FC392" s="7"/>
      <c r="FD392" s="7"/>
      <c r="FE392" s="7"/>
      <c r="FF392" s="7"/>
      <c r="FG392" s="7"/>
      <c r="FH392" s="7"/>
      <c r="FI392" s="7"/>
    </row>
    <row r="393" customFormat="false" ht="1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row>
    <row r="394" customFormat="false" ht="1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c r="FB394" s="7"/>
      <c r="FC394" s="7"/>
      <c r="FD394" s="7"/>
      <c r="FE394" s="7"/>
      <c r="FF394" s="7"/>
      <c r="FG394" s="7"/>
      <c r="FH394" s="7"/>
      <c r="FI394" s="7"/>
    </row>
    <row r="395" customFormat="false" ht="1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c r="FB395" s="7"/>
      <c r="FC395" s="7"/>
      <c r="FD395" s="7"/>
      <c r="FE395" s="7"/>
      <c r="FF395" s="7"/>
      <c r="FG395" s="7"/>
      <c r="FH395" s="7"/>
      <c r="FI395" s="7"/>
    </row>
    <row r="396" customFormat="false" ht="1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row>
    <row r="397" customFormat="false" ht="1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c r="FB397" s="7"/>
      <c r="FC397" s="7"/>
      <c r="FD397" s="7"/>
      <c r="FE397" s="7"/>
      <c r="FF397" s="7"/>
      <c r="FG397" s="7"/>
      <c r="FH397" s="7"/>
      <c r="FI397" s="7"/>
    </row>
    <row r="398" customFormat="false" ht="1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row>
    <row r="399" customFormat="false" ht="1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c r="FB399" s="7"/>
      <c r="FC399" s="7"/>
      <c r="FD399" s="7"/>
      <c r="FE399" s="7"/>
      <c r="FF399" s="7"/>
      <c r="FG399" s="7"/>
      <c r="FH399" s="7"/>
      <c r="FI399" s="7"/>
    </row>
    <row r="400" customFormat="false" ht="1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row>
    <row r="401" customFormat="false" ht="1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c r="FB401" s="7"/>
      <c r="FC401" s="7"/>
      <c r="FD401" s="7"/>
      <c r="FE401" s="7"/>
      <c r="FF401" s="7"/>
      <c r="FG401" s="7"/>
      <c r="FH401" s="7"/>
      <c r="FI401" s="7"/>
    </row>
    <row r="402" customFormat="false" ht="1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row>
    <row r="403" customFormat="false" ht="1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c r="FB403" s="7"/>
      <c r="FC403" s="7"/>
      <c r="FD403" s="7"/>
      <c r="FE403" s="7"/>
      <c r="FF403" s="7"/>
      <c r="FG403" s="7"/>
      <c r="FH403" s="7"/>
      <c r="FI403" s="7"/>
    </row>
    <row r="404" customFormat="false" ht="1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c r="FB404" s="7"/>
      <c r="FC404" s="7"/>
      <c r="FD404" s="7"/>
      <c r="FE404" s="7"/>
      <c r="FF404" s="7"/>
      <c r="FG404" s="7"/>
      <c r="FH404" s="7"/>
      <c r="FI404" s="7"/>
    </row>
    <row r="405" customFormat="false" ht="1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c r="FD405" s="7"/>
      <c r="FE405" s="7"/>
      <c r="FF405" s="7"/>
      <c r="FG405" s="7"/>
      <c r="FH405" s="7"/>
      <c r="FI405" s="7"/>
    </row>
    <row r="406" customFormat="false" ht="1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row>
    <row r="407" customFormat="false" ht="1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row>
    <row r="408" customFormat="false" ht="1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c r="FF408" s="7"/>
      <c r="FG408" s="7"/>
      <c r="FH408" s="7"/>
      <c r="FI408" s="7"/>
    </row>
    <row r="409" customFormat="false" ht="1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row>
    <row r="410" customFormat="false" ht="1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c r="FB410" s="7"/>
      <c r="FC410" s="7"/>
      <c r="FD410" s="7"/>
      <c r="FE410" s="7"/>
      <c r="FF410" s="7"/>
      <c r="FG410" s="7"/>
      <c r="FH410" s="7"/>
      <c r="FI410" s="7"/>
    </row>
    <row r="411" customFormat="false" ht="1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row>
    <row r="412" customFormat="false" ht="1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c r="FB412" s="7"/>
      <c r="FC412" s="7"/>
      <c r="FD412" s="7"/>
      <c r="FE412" s="7"/>
      <c r="FF412" s="7"/>
      <c r="FG412" s="7"/>
      <c r="FH412" s="7"/>
      <c r="FI412" s="7"/>
    </row>
    <row r="413" customFormat="false" ht="1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c r="FB413" s="7"/>
      <c r="FC413" s="7"/>
      <c r="FD413" s="7"/>
      <c r="FE413" s="7"/>
      <c r="FF413" s="7"/>
      <c r="FG413" s="7"/>
      <c r="FH413" s="7"/>
      <c r="FI413" s="7"/>
    </row>
    <row r="414" customFormat="false" ht="1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c r="FB414" s="7"/>
      <c r="FC414" s="7"/>
      <c r="FD414" s="7"/>
      <c r="FE414" s="7"/>
      <c r="FF414" s="7"/>
      <c r="FG414" s="7"/>
      <c r="FH414" s="7"/>
      <c r="FI414" s="7"/>
    </row>
    <row r="415" customFormat="false" ht="1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c r="FB415" s="7"/>
      <c r="FC415" s="7"/>
      <c r="FD415" s="7"/>
      <c r="FE415" s="7"/>
      <c r="FF415" s="7"/>
      <c r="FG415" s="7"/>
      <c r="FH415" s="7"/>
      <c r="FI415" s="7"/>
    </row>
    <row r="416" customFormat="false" ht="1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c r="FB416" s="7"/>
      <c r="FC416" s="7"/>
      <c r="FD416" s="7"/>
      <c r="FE416" s="7"/>
      <c r="FF416" s="7"/>
      <c r="FG416" s="7"/>
      <c r="FH416" s="7"/>
      <c r="FI416" s="7"/>
    </row>
    <row r="417" customFormat="false" ht="1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c r="FB417" s="7"/>
      <c r="FC417" s="7"/>
      <c r="FD417" s="7"/>
      <c r="FE417" s="7"/>
      <c r="FF417" s="7"/>
      <c r="FG417" s="7"/>
      <c r="FH417" s="7"/>
      <c r="FI417" s="7"/>
    </row>
    <row r="418" customFormat="false" ht="1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c r="FB418" s="7"/>
      <c r="FC418" s="7"/>
      <c r="FD418" s="7"/>
      <c r="FE418" s="7"/>
      <c r="FF418" s="7"/>
      <c r="FG418" s="7"/>
      <c r="FH418" s="7"/>
      <c r="FI418" s="7"/>
    </row>
    <row r="419" customFormat="false" ht="1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c r="FB419" s="7"/>
      <c r="FC419" s="7"/>
      <c r="FD419" s="7"/>
      <c r="FE419" s="7"/>
      <c r="FF419" s="7"/>
      <c r="FG419" s="7"/>
      <c r="FH419" s="7"/>
      <c r="FI419" s="7"/>
    </row>
    <row r="420" customFormat="false" ht="1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row>
    <row r="421" customFormat="false" ht="1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row>
    <row r="422" customFormat="false" ht="1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row>
    <row r="423" customFormat="false" ht="1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row>
    <row r="424" customFormat="false" ht="1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c r="FB424" s="7"/>
      <c r="FC424" s="7"/>
      <c r="FD424" s="7"/>
      <c r="FE424" s="7"/>
      <c r="FF424" s="7"/>
      <c r="FG424" s="7"/>
      <c r="FH424" s="7"/>
      <c r="FI424" s="7"/>
    </row>
    <row r="425" customFormat="false" ht="1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row>
    <row r="426" customFormat="false" ht="1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c r="FB426" s="7"/>
      <c r="FC426" s="7"/>
      <c r="FD426" s="7"/>
      <c r="FE426" s="7"/>
      <c r="FF426" s="7"/>
      <c r="FG426" s="7"/>
      <c r="FH426" s="7"/>
      <c r="FI426" s="7"/>
    </row>
    <row r="427" customFormat="false" ht="1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c r="FB427" s="7"/>
      <c r="FC427" s="7"/>
      <c r="FD427" s="7"/>
      <c r="FE427" s="7"/>
      <c r="FF427" s="7"/>
      <c r="FG427" s="7"/>
      <c r="FH427" s="7"/>
      <c r="FI427" s="7"/>
    </row>
    <row r="428" customFormat="false" ht="1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c r="FB428" s="7"/>
      <c r="FC428" s="7"/>
      <c r="FD428" s="7"/>
      <c r="FE428" s="7"/>
      <c r="FF428" s="7"/>
      <c r="FG428" s="7"/>
      <c r="FH428" s="7"/>
      <c r="FI428" s="7"/>
    </row>
    <row r="429" customFormat="false" ht="1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row>
    <row r="430" customFormat="false" ht="1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c r="FB430" s="7"/>
      <c r="FC430" s="7"/>
      <c r="FD430" s="7"/>
      <c r="FE430" s="7"/>
      <c r="FF430" s="7"/>
      <c r="FG430" s="7"/>
      <c r="FH430" s="7"/>
      <c r="FI430" s="7"/>
    </row>
    <row r="431" customFormat="false" ht="1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row>
    <row r="432" customFormat="false" ht="1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c r="FB432" s="7"/>
      <c r="FC432" s="7"/>
      <c r="FD432" s="7"/>
      <c r="FE432" s="7"/>
      <c r="FF432" s="7"/>
      <c r="FG432" s="7"/>
      <c r="FH432" s="7"/>
      <c r="FI432" s="7"/>
    </row>
    <row r="433" customFormat="false" ht="1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row>
    <row r="434" customFormat="false" ht="1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c r="FB434" s="7"/>
      <c r="FC434" s="7"/>
      <c r="FD434" s="7"/>
      <c r="FE434" s="7"/>
      <c r="FF434" s="7"/>
      <c r="FG434" s="7"/>
      <c r="FH434" s="7"/>
      <c r="FI434" s="7"/>
    </row>
    <row r="435" customFormat="false" ht="1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c r="FB435" s="7"/>
      <c r="FC435" s="7"/>
      <c r="FD435" s="7"/>
      <c r="FE435" s="7"/>
      <c r="FF435" s="7"/>
      <c r="FG435" s="7"/>
      <c r="FH435" s="7"/>
      <c r="FI435" s="7"/>
    </row>
    <row r="436" customFormat="false" ht="1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row>
    <row r="437" customFormat="false" ht="1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c r="FB437" s="7"/>
      <c r="FC437" s="7"/>
      <c r="FD437" s="7"/>
      <c r="FE437" s="7"/>
      <c r="FF437" s="7"/>
      <c r="FG437" s="7"/>
      <c r="FH437" s="7"/>
      <c r="FI437" s="7"/>
    </row>
    <row r="438" customFormat="false" ht="1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row>
    <row r="439" customFormat="false" ht="1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c r="FB439" s="7"/>
      <c r="FC439" s="7"/>
      <c r="FD439" s="7"/>
      <c r="FE439" s="7"/>
      <c r="FF439" s="7"/>
      <c r="FG439" s="7"/>
      <c r="FH439" s="7"/>
      <c r="FI439" s="7"/>
    </row>
    <row r="440" customFormat="false" ht="1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c r="FB440" s="7"/>
      <c r="FC440" s="7"/>
      <c r="FD440" s="7"/>
      <c r="FE440" s="7"/>
      <c r="FF440" s="7"/>
      <c r="FG440" s="7"/>
      <c r="FH440" s="7"/>
      <c r="FI440" s="7"/>
    </row>
    <row r="441" customFormat="false" ht="1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row>
    <row r="442" customFormat="false" ht="1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c r="FB442" s="7"/>
      <c r="FC442" s="7"/>
      <c r="FD442" s="7"/>
      <c r="FE442" s="7"/>
      <c r="FF442" s="7"/>
      <c r="FG442" s="7"/>
      <c r="FH442" s="7"/>
      <c r="FI442" s="7"/>
    </row>
    <row r="443" customFormat="false" ht="1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c r="FB443" s="7"/>
      <c r="FC443" s="7"/>
      <c r="FD443" s="7"/>
      <c r="FE443" s="7"/>
      <c r="FF443" s="7"/>
      <c r="FG443" s="7"/>
      <c r="FH443" s="7"/>
      <c r="FI443" s="7"/>
    </row>
    <row r="444" customFormat="false" ht="1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row>
    <row r="445" customFormat="false" ht="1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row>
    <row r="446" customFormat="false" ht="1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row>
    <row r="447" customFormat="false" ht="1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c r="FB447" s="7"/>
      <c r="FC447" s="7"/>
      <c r="FD447" s="7"/>
      <c r="FE447" s="7"/>
      <c r="FF447" s="7"/>
      <c r="FG447" s="7"/>
      <c r="FH447" s="7"/>
      <c r="FI447" s="7"/>
    </row>
    <row r="448" customFormat="false" ht="1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c r="FB448" s="7"/>
      <c r="FC448" s="7"/>
      <c r="FD448" s="7"/>
      <c r="FE448" s="7"/>
      <c r="FF448" s="7"/>
      <c r="FG448" s="7"/>
      <c r="FH448" s="7"/>
      <c r="FI448" s="7"/>
    </row>
    <row r="449" customFormat="false" ht="1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c r="FB449" s="7"/>
      <c r="FC449" s="7"/>
      <c r="FD449" s="7"/>
      <c r="FE449" s="7"/>
      <c r="FF449" s="7"/>
      <c r="FG449" s="7"/>
      <c r="FH449" s="7"/>
      <c r="FI449" s="7"/>
    </row>
    <row r="450" customFormat="false" ht="1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c r="FB450" s="7"/>
      <c r="FC450" s="7"/>
      <c r="FD450" s="7"/>
      <c r="FE450" s="7"/>
      <c r="FF450" s="7"/>
      <c r="FG450" s="7"/>
      <c r="FH450" s="7"/>
      <c r="FI450" s="7"/>
    </row>
    <row r="451" customFormat="false" ht="1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c r="FB451" s="7"/>
      <c r="FC451" s="7"/>
      <c r="FD451" s="7"/>
      <c r="FE451" s="7"/>
      <c r="FF451" s="7"/>
      <c r="FG451" s="7"/>
      <c r="FH451" s="7"/>
      <c r="FI451" s="7"/>
    </row>
    <row r="452" customFormat="false" ht="1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c r="FB452" s="7"/>
      <c r="FC452" s="7"/>
      <c r="FD452" s="7"/>
      <c r="FE452" s="7"/>
      <c r="FF452" s="7"/>
      <c r="FG452" s="7"/>
      <c r="FH452" s="7"/>
      <c r="FI452" s="7"/>
    </row>
    <row r="453" customFormat="false" ht="1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row>
    <row r="454" customFormat="false" ht="1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row>
    <row r="455" customFormat="false" ht="1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row>
    <row r="456" customFormat="false" ht="1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c r="FB456" s="7"/>
      <c r="FC456" s="7"/>
      <c r="FD456" s="7"/>
      <c r="FE456" s="7"/>
      <c r="FF456" s="7"/>
      <c r="FG456" s="7"/>
      <c r="FH456" s="7"/>
      <c r="FI456" s="7"/>
    </row>
    <row r="457" customFormat="false" ht="1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row>
    <row r="458" customFormat="false" ht="1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c r="FB458" s="7"/>
      <c r="FC458" s="7"/>
      <c r="FD458" s="7"/>
      <c r="FE458" s="7"/>
      <c r="FF458" s="7"/>
      <c r="FG458" s="7"/>
      <c r="FH458" s="7"/>
      <c r="FI458" s="7"/>
    </row>
    <row r="459" customFormat="false" ht="1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c r="FB459" s="7"/>
      <c r="FC459" s="7"/>
      <c r="FD459" s="7"/>
      <c r="FE459" s="7"/>
      <c r="FF459" s="7"/>
      <c r="FG459" s="7"/>
      <c r="FH459" s="7"/>
      <c r="FI459" s="7"/>
    </row>
    <row r="460" customFormat="false" ht="1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c r="FB460" s="7"/>
      <c r="FC460" s="7"/>
      <c r="FD460" s="7"/>
      <c r="FE460" s="7"/>
      <c r="FF460" s="7"/>
      <c r="FG460" s="7"/>
      <c r="FH460" s="7"/>
      <c r="FI460" s="7"/>
    </row>
    <row r="461" customFormat="false" ht="1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c r="FB461" s="7"/>
      <c r="FC461" s="7"/>
      <c r="FD461" s="7"/>
      <c r="FE461" s="7"/>
      <c r="FF461" s="7"/>
      <c r="FG461" s="7"/>
      <c r="FH461" s="7"/>
      <c r="FI461" s="7"/>
    </row>
    <row r="462" customFormat="false" ht="1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c r="FB462" s="7"/>
      <c r="FC462" s="7"/>
      <c r="FD462" s="7"/>
      <c r="FE462" s="7"/>
      <c r="FF462" s="7"/>
      <c r="FG462" s="7"/>
      <c r="FH462" s="7"/>
      <c r="FI462" s="7"/>
    </row>
    <row r="463" customFormat="false" ht="1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c r="FB463" s="7"/>
      <c r="FC463" s="7"/>
      <c r="FD463" s="7"/>
      <c r="FE463" s="7"/>
      <c r="FF463" s="7"/>
      <c r="FG463" s="7"/>
      <c r="FH463" s="7"/>
      <c r="FI463" s="7"/>
    </row>
    <row r="464" customFormat="false" ht="1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c r="FB464" s="7"/>
      <c r="FC464" s="7"/>
      <c r="FD464" s="7"/>
      <c r="FE464" s="7"/>
      <c r="FF464" s="7"/>
      <c r="FG464" s="7"/>
      <c r="FH464" s="7"/>
      <c r="FI464" s="7"/>
    </row>
    <row r="465" customFormat="false" ht="1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c r="FB465" s="7"/>
      <c r="FC465" s="7"/>
      <c r="FD465" s="7"/>
      <c r="FE465" s="7"/>
      <c r="FF465" s="7"/>
      <c r="FG465" s="7"/>
      <c r="FH465" s="7"/>
      <c r="FI465" s="7"/>
    </row>
    <row r="466" customFormat="false" ht="1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c r="FB466" s="7"/>
      <c r="FC466" s="7"/>
      <c r="FD466" s="7"/>
      <c r="FE466" s="7"/>
      <c r="FF466" s="7"/>
      <c r="FG466" s="7"/>
      <c r="FH466" s="7"/>
      <c r="FI466" s="7"/>
    </row>
    <row r="467" customFormat="false" ht="1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c r="FB467" s="7"/>
      <c r="FC467" s="7"/>
      <c r="FD467" s="7"/>
      <c r="FE467" s="7"/>
      <c r="FF467" s="7"/>
      <c r="FG467" s="7"/>
      <c r="FH467" s="7"/>
      <c r="FI467" s="7"/>
    </row>
    <row r="468" customFormat="false" ht="1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c r="FB468" s="7"/>
      <c r="FC468" s="7"/>
      <c r="FD468" s="7"/>
      <c r="FE468" s="7"/>
      <c r="FF468" s="7"/>
      <c r="FG468" s="7"/>
      <c r="FH468" s="7"/>
      <c r="FI468" s="7"/>
    </row>
    <row r="469" customFormat="false" ht="1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c r="FB469" s="7"/>
      <c r="FC469" s="7"/>
      <c r="FD469" s="7"/>
      <c r="FE469" s="7"/>
      <c r="FF469" s="7"/>
      <c r="FG469" s="7"/>
      <c r="FH469" s="7"/>
      <c r="FI469" s="7"/>
    </row>
    <row r="470" customFormat="false" ht="1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c r="FB470" s="7"/>
      <c r="FC470" s="7"/>
      <c r="FD470" s="7"/>
      <c r="FE470" s="7"/>
      <c r="FF470" s="7"/>
      <c r="FG470" s="7"/>
      <c r="FH470" s="7"/>
      <c r="FI470" s="7"/>
    </row>
    <row r="471" customFormat="false" ht="1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c r="FB471" s="7"/>
      <c r="FC471" s="7"/>
      <c r="FD471" s="7"/>
      <c r="FE471" s="7"/>
      <c r="FF471" s="7"/>
      <c r="FG471" s="7"/>
      <c r="FH471" s="7"/>
      <c r="FI471" s="7"/>
    </row>
    <row r="472" customFormat="false" ht="1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c r="FB472" s="7"/>
      <c r="FC472" s="7"/>
      <c r="FD472" s="7"/>
      <c r="FE472" s="7"/>
      <c r="FF472" s="7"/>
      <c r="FG472" s="7"/>
      <c r="FH472" s="7"/>
      <c r="FI472" s="7"/>
    </row>
    <row r="473" customFormat="false" ht="1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c r="FB473" s="7"/>
      <c r="FC473" s="7"/>
      <c r="FD473" s="7"/>
      <c r="FE473" s="7"/>
      <c r="FF473" s="7"/>
      <c r="FG473" s="7"/>
      <c r="FH473" s="7"/>
      <c r="FI473" s="7"/>
    </row>
    <row r="474" customFormat="false" ht="1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c r="FB474" s="7"/>
      <c r="FC474" s="7"/>
      <c r="FD474" s="7"/>
      <c r="FE474" s="7"/>
      <c r="FF474" s="7"/>
      <c r="FG474" s="7"/>
      <c r="FH474" s="7"/>
      <c r="FI474" s="7"/>
    </row>
    <row r="475" customFormat="false" ht="1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c r="FB475" s="7"/>
      <c r="FC475" s="7"/>
      <c r="FD475" s="7"/>
      <c r="FE475" s="7"/>
      <c r="FF475" s="7"/>
      <c r="FG475" s="7"/>
      <c r="FH475" s="7"/>
      <c r="FI475" s="7"/>
    </row>
    <row r="476" customFormat="false" ht="1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c r="FB476" s="7"/>
      <c r="FC476" s="7"/>
      <c r="FD476" s="7"/>
      <c r="FE476" s="7"/>
      <c r="FF476" s="7"/>
      <c r="FG476" s="7"/>
      <c r="FH476" s="7"/>
      <c r="FI476" s="7"/>
    </row>
    <row r="477" customFormat="false" ht="1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c r="FB477" s="7"/>
      <c r="FC477" s="7"/>
      <c r="FD477" s="7"/>
      <c r="FE477" s="7"/>
      <c r="FF477" s="7"/>
      <c r="FG477" s="7"/>
      <c r="FH477" s="7"/>
      <c r="FI477" s="7"/>
    </row>
    <row r="478" customFormat="false" ht="1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c r="FB478" s="7"/>
      <c r="FC478" s="7"/>
      <c r="FD478" s="7"/>
      <c r="FE478" s="7"/>
      <c r="FF478" s="7"/>
      <c r="FG478" s="7"/>
      <c r="FH478" s="7"/>
      <c r="FI478" s="7"/>
    </row>
    <row r="479" customFormat="false" ht="1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c r="FB479" s="7"/>
      <c r="FC479" s="7"/>
      <c r="FD479" s="7"/>
      <c r="FE479" s="7"/>
      <c r="FF479" s="7"/>
      <c r="FG479" s="7"/>
      <c r="FH479" s="7"/>
      <c r="FI479" s="7"/>
    </row>
    <row r="480" customFormat="false" ht="1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c r="FB480" s="7"/>
      <c r="FC480" s="7"/>
      <c r="FD480" s="7"/>
      <c r="FE480" s="7"/>
      <c r="FF480" s="7"/>
      <c r="FG480" s="7"/>
      <c r="FH480" s="7"/>
      <c r="FI480" s="7"/>
    </row>
    <row r="481" customFormat="false" ht="1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c r="FB481" s="7"/>
      <c r="FC481" s="7"/>
      <c r="FD481" s="7"/>
      <c r="FE481" s="7"/>
      <c r="FF481" s="7"/>
      <c r="FG481" s="7"/>
      <c r="FH481" s="7"/>
      <c r="FI481" s="7"/>
    </row>
    <row r="482" customFormat="false" ht="1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c r="FB482" s="7"/>
      <c r="FC482" s="7"/>
      <c r="FD482" s="7"/>
      <c r="FE482" s="7"/>
      <c r="FF482" s="7"/>
      <c r="FG482" s="7"/>
      <c r="FH482" s="7"/>
      <c r="FI482" s="7"/>
    </row>
    <row r="483" customFormat="false" ht="1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c r="FB483" s="7"/>
      <c r="FC483" s="7"/>
      <c r="FD483" s="7"/>
      <c r="FE483" s="7"/>
      <c r="FF483" s="7"/>
      <c r="FG483" s="7"/>
      <c r="FH483" s="7"/>
      <c r="FI483" s="7"/>
    </row>
    <row r="484" customFormat="false" ht="1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c r="FB484" s="7"/>
      <c r="FC484" s="7"/>
      <c r="FD484" s="7"/>
      <c r="FE484" s="7"/>
      <c r="FF484" s="7"/>
      <c r="FG484" s="7"/>
      <c r="FH484" s="7"/>
      <c r="FI484" s="7"/>
    </row>
    <row r="485" customFormat="false" ht="1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c r="FB485" s="7"/>
      <c r="FC485" s="7"/>
      <c r="FD485" s="7"/>
      <c r="FE485" s="7"/>
      <c r="FF485" s="7"/>
      <c r="FG485" s="7"/>
      <c r="FH485" s="7"/>
      <c r="FI485" s="7"/>
    </row>
    <row r="486" customFormat="false" ht="1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c r="FB486" s="7"/>
      <c r="FC486" s="7"/>
      <c r="FD486" s="7"/>
      <c r="FE486" s="7"/>
      <c r="FF486" s="7"/>
      <c r="FG486" s="7"/>
      <c r="FH486" s="7"/>
      <c r="FI486" s="7"/>
    </row>
    <row r="487" customFormat="false" ht="1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c r="FB487" s="7"/>
      <c r="FC487" s="7"/>
      <c r="FD487" s="7"/>
      <c r="FE487" s="7"/>
      <c r="FF487" s="7"/>
      <c r="FG487" s="7"/>
      <c r="FH487" s="7"/>
      <c r="FI487" s="7"/>
    </row>
    <row r="488" customFormat="false" ht="1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c r="FB488" s="7"/>
      <c r="FC488" s="7"/>
      <c r="FD488" s="7"/>
      <c r="FE488" s="7"/>
      <c r="FF488" s="7"/>
      <c r="FG488" s="7"/>
      <c r="FH488" s="7"/>
      <c r="FI488" s="7"/>
    </row>
    <row r="489" customFormat="false" ht="1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c r="FB489" s="7"/>
      <c r="FC489" s="7"/>
      <c r="FD489" s="7"/>
      <c r="FE489" s="7"/>
      <c r="FF489" s="7"/>
      <c r="FG489" s="7"/>
      <c r="FH489" s="7"/>
      <c r="FI489" s="7"/>
    </row>
    <row r="490" customFormat="false" ht="1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c r="FB490" s="7"/>
      <c r="FC490" s="7"/>
      <c r="FD490" s="7"/>
      <c r="FE490" s="7"/>
      <c r="FF490" s="7"/>
      <c r="FG490" s="7"/>
      <c r="FH490" s="7"/>
      <c r="FI490" s="7"/>
    </row>
    <row r="491" customFormat="false" ht="1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c r="FB491" s="7"/>
      <c r="FC491" s="7"/>
      <c r="FD491" s="7"/>
      <c r="FE491" s="7"/>
      <c r="FF491" s="7"/>
      <c r="FG491" s="7"/>
      <c r="FH491" s="7"/>
      <c r="FI491" s="7"/>
    </row>
    <row r="492" customFormat="false" ht="1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c r="FB492" s="7"/>
      <c r="FC492" s="7"/>
      <c r="FD492" s="7"/>
      <c r="FE492" s="7"/>
      <c r="FF492" s="7"/>
      <c r="FG492" s="7"/>
      <c r="FH492" s="7"/>
      <c r="FI492" s="7"/>
    </row>
    <row r="493" customFormat="false" ht="1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c r="FB493" s="7"/>
      <c r="FC493" s="7"/>
      <c r="FD493" s="7"/>
      <c r="FE493" s="7"/>
      <c r="FF493" s="7"/>
      <c r="FG493" s="7"/>
      <c r="FH493" s="7"/>
      <c r="FI493" s="7"/>
    </row>
    <row r="494" customFormat="false" ht="1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c r="FB494" s="7"/>
      <c r="FC494" s="7"/>
      <c r="FD494" s="7"/>
      <c r="FE494" s="7"/>
      <c r="FF494" s="7"/>
      <c r="FG494" s="7"/>
      <c r="FH494" s="7"/>
      <c r="FI494" s="7"/>
    </row>
    <row r="495" customFormat="false" ht="1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c r="FB495" s="7"/>
      <c r="FC495" s="7"/>
      <c r="FD495" s="7"/>
      <c r="FE495" s="7"/>
      <c r="FF495" s="7"/>
      <c r="FG495" s="7"/>
      <c r="FH495" s="7"/>
      <c r="FI495" s="7"/>
    </row>
    <row r="496" customFormat="false" ht="1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c r="FB496" s="7"/>
      <c r="FC496" s="7"/>
      <c r="FD496" s="7"/>
      <c r="FE496" s="7"/>
      <c r="FF496" s="7"/>
      <c r="FG496" s="7"/>
      <c r="FH496" s="7"/>
      <c r="FI496" s="7"/>
    </row>
    <row r="497" customFormat="false" ht="1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c r="FB497" s="7"/>
      <c r="FC497" s="7"/>
      <c r="FD497" s="7"/>
      <c r="FE497" s="7"/>
      <c r="FF497" s="7"/>
      <c r="FG497" s="7"/>
      <c r="FH497" s="7"/>
      <c r="FI497" s="7"/>
    </row>
    <row r="498" customFormat="false" ht="1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c r="FB498" s="7"/>
      <c r="FC498" s="7"/>
      <c r="FD498" s="7"/>
      <c r="FE498" s="7"/>
      <c r="FF498" s="7"/>
      <c r="FG498" s="7"/>
      <c r="FH498" s="7"/>
      <c r="FI498" s="7"/>
    </row>
    <row r="499" customFormat="false" ht="1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c r="FB499" s="7"/>
      <c r="FC499" s="7"/>
      <c r="FD499" s="7"/>
      <c r="FE499" s="7"/>
      <c r="FF499" s="7"/>
      <c r="FG499" s="7"/>
      <c r="FH499" s="7"/>
      <c r="FI499" s="7"/>
    </row>
    <row r="500" customFormat="false" ht="1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c r="FB500" s="7"/>
      <c r="FC500" s="7"/>
      <c r="FD500" s="7"/>
      <c r="FE500" s="7"/>
      <c r="FF500" s="7"/>
      <c r="FG500" s="7"/>
      <c r="FH500" s="7"/>
      <c r="FI500" s="7"/>
    </row>
    <row r="501" customFormat="false" ht="1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c r="FB501" s="7"/>
      <c r="FC501" s="7"/>
      <c r="FD501" s="7"/>
      <c r="FE501" s="7"/>
      <c r="FF501" s="7"/>
      <c r="FG501" s="7"/>
      <c r="FH501" s="7"/>
      <c r="FI501" s="7"/>
    </row>
    <row r="502" customFormat="false" ht="1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c r="FB502" s="7"/>
      <c r="FC502" s="7"/>
      <c r="FD502" s="7"/>
      <c r="FE502" s="7"/>
      <c r="FF502" s="7"/>
      <c r="FG502" s="7"/>
      <c r="FH502" s="7"/>
      <c r="FI502" s="7"/>
    </row>
    <row r="503" customFormat="false" ht="1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c r="FB503" s="7"/>
      <c r="FC503" s="7"/>
      <c r="FD503" s="7"/>
      <c r="FE503" s="7"/>
      <c r="FF503" s="7"/>
      <c r="FG503" s="7"/>
      <c r="FH503" s="7"/>
      <c r="FI503" s="7"/>
    </row>
  </sheetData>
  <sheetProtection algorithmName="SHA-512" hashValue="B/2pEJZchTQYUI6NDfYZwR3UwIgRAJrBoDTLP8OyYZ3HrVzEHkNbcOt3J+TftGgUWWCMRtvEARk2ipFuIC2t+A==" saltValue="7t++9GW9xhGCzE16wZiA8g==" spinCount="100000" sheet="true" selectLockedCells="true"/>
  <mergeCells count="20">
    <mergeCell ref="A79:C79"/>
    <mergeCell ref="A112:E112"/>
    <mergeCell ref="A114:G114"/>
    <mergeCell ref="I114:P114"/>
    <mergeCell ref="A154:E154"/>
    <mergeCell ref="AF154:AL154"/>
    <mergeCell ref="AN154:BE154"/>
    <mergeCell ref="BG154:BX154"/>
    <mergeCell ref="CB154:CD154"/>
    <mergeCell ref="CF154:CI154"/>
    <mergeCell ref="CK154:CN154"/>
    <mergeCell ref="CP154:CR154"/>
    <mergeCell ref="CT154:CV154"/>
    <mergeCell ref="CX154:CZ154"/>
    <mergeCell ref="DB154:DD154"/>
    <mergeCell ref="E157:F157"/>
    <mergeCell ref="E158:F158"/>
    <mergeCell ref="E159:F159"/>
    <mergeCell ref="A161:G161"/>
    <mergeCell ref="I161:P161"/>
  </mergeCells>
  <conditionalFormatting sqref="M36:M41">
    <cfRule type="expression" priority="2" aboveAverage="0" equalAverage="0" bottom="0" percent="0" rank="0" text="" dxfId="1">
      <formula>IF($H$3=$E$3, 0,1)</formula>
    </cfRule>
  </conditionalFormatting>
  <conditionalFormatting sqref="H2:H3">
    <cfRule type="expression" priority="3" aboveAverage="0" equalAverage="0" bottom="0" percent="0" rank="0" text="" dxfId="2">
      <formula>IF($E$3=$H$3,0,1)</formula>
    </cfRule>
  </conditionalFormatting>
  <conditionalFormatting sqref="E16">
    <cfRule type="cellIs" priority="4" operator="notBetween" aboveAverage="0" equalAverage="0" bottom="0" percent="0" rank="0" text="" dxfId="3">
      <formula>$H$16</formula>
      <formula>$I$16</formula>
    </cfRule>
  </conditionalFormatting>
  <conditionalFormatting sqref="E106">
    <cfRule type="cellIs" priority="5" operator="lessThan" aboveAverage="0" equalAverage="0" bottom="0" percent="0" rank="0" text="" dxfId="4">
      <formula>$H$106</formula>
    </cfRule>
  </conditionalFormatting>
  <conditionalFormatting sqref="E100">
    <cfRule type="cellIs" priority="6" operator="lessThan" aboveAverage="0" equalAverage="0" bottom="0" percent="0" rank="0" text="" dxfId="5">
      <formula>$H$100</formula>
    </cfRule>
  </conditionalFormatting>
  <conditionalFormatting sqref="I114:P149">
    <cfRule type="expression" priority="7" aboveAverage="0" equalAverage="0" bottom="0" percent="0" rank="0" text="" dxfId="6">
      <formula>$R$117</formula>
    </cfRule>
  </conditionalFormatting>
  <conditionalFormatting sqref="E25:E26">
    <cfRule type="cellIs" priority="8" operator="notBetween" aboveAverage="0" equalAverage="0" bottom="0" percent="0" rank="0" text="" dxfId="7">
      <formula>$H$25</formula>
      <formula>$I$25</formula>
    </cfRule>
  </conditionalFormatting>
  <conditionalFormatting sqref="A162:G174">
    <cfRule type="expression" priority="9" aboveAverage="0" equalAverage="0" bottom="0" percent="0" rank="0" text="" dxfId="8">
      <formula>IF($E$157=$J$157,0,1)</formula>
    </cfRule>
  </conditionalFormatting>
  <conditionalFormatting sqref="E20">
    <cfRule type="cellIs" priority="10" operator="lessThan" aboveAverage="0" equalAverage="0" bottom="0" percent="0" rank="0" text="" dxfId="9">
      <formula>$I$20</formula>
    </cfRule>
  </conditionalFormatting>
  <conditionalFormatting sqref="E19">
    <cfRule type="cellIs" priority="11" operator="lessThan" aboveAverage="0" equalAverage="0" bottom="0" percent="0" rank="0" text="" dxfId="10">
      <formula>$I$19</formula>
    </cfRule>
  </conditionalFormatting>
  <conditionalFormatting sqref="E18">
    <cfRule type="cellIs" priority="12" operator="lessThan" aboveAverage="0" equalAverage="0" bottom="0" percent="0" rank="0" text="" dxfId="11">
      <formula>$I$18</formula>
    </cfRule>
  </conditionalFormatting>
  <conditionalFormatting sqref="E75:E76">
    <cfRule type="expression" priority="13" aboveAverage="0" equalAverage="0" bottom="0" percent="0" rank="0" text="" dxfId="12">
      <formula>$H$75</formula>
    </cfRule>
  </conditionalFormatting>
  <conditionalFormatting sqref="E74">
    <cfRule type="expression" priority="14" aboveAverage="0" equalAverage="0" bottom="0" percent="0" rank="0" text="" dxfId="13">
      <formula>$H$74</formula>
    </cfRule>
  </conditionalFormatting>
  <conditionalFormatting sqref="E77">
    <cfRule type="cellIs" priority="15" operator="notBetween" aboveAverage="0" equalAverage="0" bottom="0" percent="0" rank="0" text="" dxfId="14">
      <formula>$H$77</formula>
      <formula>$I$77</formula>
    </cfRule>
  </conditionalFormatting>
  <conditionalFormatting sqref="E70">
    <cfRule type="cellIs" priority="16" operator="greaterThan" aboveAverage="0" equalAverage="0" bottom="0" percent="0" rank="0" text="" dxfId="15">
      <formula>$H$70</formula>
    </cfRule>
  </conditionalFormatting>
  <conditionalFormatting sqref="E92">
    <cfRule type="cellIs" priority="17" operator="notBetween" aboveAverage="0" equalAverage="0" bottom="0" percent="0" rank="0" text="" dxfId="16">
      <formula>$H$92</formula>
      <formula>$I$92</formula>
    </cfRule>
  </conditionalFormatting>
  <conditionalFormatting sqref="E93">
    <cfRule type="cellIs" priority="18" operator="notEqual" aboveAverage="0" equalAverage="0" bottom="0" percent="0" rank="0" text="" dxfId="17">
      <formula>$E$88</formula>
    </cfRule>
  </conditionalFormatting>
  <conditionalFormatting sqref="E94:E96">
    <cfRule type="expression" priority="19" aboveAverage="0" equalAverage="0" bottom="0" percent="0" rank="0" text="" dxfId="18">
      <formula>$Q$94</formula>
    </cfRule>
  </conditionalFormatting>
  <conditionalFormatting sqref="E55">
    <cfRule type="cellIs" priority="20" operator="notBetween" aboveAverage="0" equalAverage="0" bottom="0" percent="0" rank="0" text="" dxfId="19">
      <formula>H55</formula>
      <formula>I55</formula>
    </cfRule>
  </conditionalFormatting>
  <conditionalFormatting sqref="E54">
    <cfRule type="cellIs" priority="21" operator="notBetween" aboveAverage="0" equalAverage="0" bottom="0" percent="0" rank="0" text="" dxfId="20">
      <formula>H54</formula>
      <formula>I54</formula>
    </cfRule>
  </conditionalFormatting>
  <conditionalFormatting sqref="E46:E48">
    <cfRule type="cellIs" priority="22" operator="notBetween" aboveAverage="0" equalAverage="0" bottom="0" percent="0" rank="0" text="" dxfId="21">
      <formula>H46</formula>
      <formula>I46</formula>
    </cfRule>
  </conditionalFormatting>
  <conditionalFormatting sqref="E45">
    <cfRule type="cellIs" priority="23" operator="notBetween" aboveAverage="0" equalAverage="0" bottom="0" percent="0" rank="0" text="" dxfId="22">
      <formula>H45</formula>
      <formula>I45</formula>
    </cfRule>
  </conditionalFormatting>
  <conditionalFormatting sqref="E43">
    <cfRule type="cellIs" priority="24" operator="notBetween" aboveAverage="0" equalAverage="0" bottom="0" percent="0" rank="0" text="" dxfId="23">
      <formula>H43</formula>
      <formula>I43</formula>
    </cfRule>
  </conditionalFormatting>
  <conditionalFormatting sqref="E67">
    <cfRule type="cellIs" priority="25" operator="notBetween" aboveAverage="0" equalAverage="0" bottom="0" percent="0" rank="0" text="" dxfId="24">
      <formula>$H$67</formula>
      <formula>$I$67</formula>
    </cfRule>
  </conditionalFormatting>
  <conditionalFormatting sqref="E66">
    <cfRule type="cellIs" priority="26" operator="notBetween" aboveAverage="0" equalAverage="0" bottom="0" percent="0" rank="0" text="" dxfId="25">
      <formula>$H$66</formula>
      <formula>$I$66</formula>
    </cfRule>
  </conditionalFormatting>
  <conditionalFormatting sqref="E26">
    <cfRule type="cellIs" priority="27" operator="lessThan" aboveAverage="0" equalAverage="0" bottom="0" percent="0" rank="0" text="" dxfId="26">
      <formula>H26</formula>
    </cfRule>
  </conditionalFormatting>
  <conditionalFormatting sqref="E29">
    <cfRule type="cellIs" priority="28" operator="notBetween" aboveAverage="0" equalAverage="0" bottom="0" percent="0" rank="0" text="" dxfId="27">
      <formula>H29</formula>
      <formula>I29</formula>
    </cfRule>
  </conditionalFormatting>
  <conditionalFormatting sqref="E24">
    <cfRule type="cellIs" priority="29" operator="lessThan" aboveAverage="0" equalAverage="0" bottom="0" percent="0" rank="0" text="" dxfId="28">
      <formula>H24</formula>
    </cfRule>
  </conditionalFormatting>
  <conditionalFormatting sqref="E15">
    <cfRule type="cellIs" priority="30" operator="notBetween" aboveAverage="0" equalAverage="0" bottom="0" percent="0" rank="0" text="" dxfId="29">
      <formula>H15</formula>
      <formula>I15</formula>
    </cfRule>
  </conditionalFormatting>
  <conditionalFormatting sqref="E13">
    <cfRule type="cellIs" priority="31" operator="notBetween" aboveAverage="0" equalAverage="0" bottom="0" percent="0" rank="0" text="" dxfId="30">
      <formula>H13</formula>
      <formula>I13</formula>
    </cfRule>
  </conditionalFormatting>
  <conditionalFormatting sqref="E8">
    <cfRule type="cellIs" priority="32" operator="notBetween" aboveAverage="0" equalAverage="0" bottom="0" percent="0" rank="0" text="" dxfId="31">
      <formula>$H$8</formula>
      <formula>$I$8</formula>
    </cfRule>
  </conditionalFormatting>
  <conditionalFormatting sqref="E101:E102">
    <cfRule type="cellIs" priority="33" operator="greaterThan" aboveAverage="0" equalAverage="0" bottom="0" percent="0" rank="0" text="" dxfId="32">
      <formula>#ref!</formula>
    </cfRule>
  </conditionalFormatting>
  <conditionalFormatting sqref="E7">
    <cfRule type="cellIs" priority="34" operator="notBetween" aboveAverage="0" equalAverage="0" bottom="0" percent="0" rank="0" text="" dxfId="33">
      <formula>$H$7</formula>
      <formula>$I$7</formula>
    </cfRule>
    <cfRule type="cellIs" priority="35" operator="notBetween" aboveAverage="0" equalAverage="0" bottom="0" percent="0" rank="0" text="" dxfId="34">
      <formula>$J$7</formula>
      <formula>$K$7</formula>
    </cfRule>
  </conditionalFormatting>
  <conditionalFormatting sqref="E9">
    <cfRule type="cellIs" priority="36" operator="notBetween" aboveAverage="0" equalAverage="0" bottom="0" percent="0" rank="0" text="" dxfId="35">
      <formula>$H$9</formula>
      <formula>$I$9</formula>
    </cfRule>
  </conditionalFormatting>
  <conditionalFormatting sqref="E6">
    <cfRule type="cellIs" priority="37" operator="notBetween" aboveAverage="0" equalAverage="0" bottom="0" percent="0" rank="0" text="" dxfId="36">
      <formula>$H$6</formula>
      <formula>$I$6</formula>
    </cfRule>
  </conditionalFormatting>
  <conditionalFormatting sqref="A161:G161">
    <cfRule type="expression" priority="38" aboveAverage="0" equalAverage="0" bottom="0" percent="0" rank="0" text="" dxfId="37">
      <formula>IF($E$157=$J$157,0,1)</formula>
    </cfRule>
  </conditionalFormatting>
  <conditionalFormatting sqref="I161:P161">
    <cfRule type="expression" priority="39" aboveAverage="0" equalAverage="0" bottom="0" percent="0" rank="0" text="" dxfId="38">
      <formula>IF($E$157=$I$157,0,1)</formula>
    </cfRule>
  </conditionalFormatting>
  <conditionalFormatting sqref="E159:F159">
    <cfRule type="expression" priority="40" aboveAverage="0" equalAverage="0" bottom="0" percent="0" rank="0" text="" dxfId="39">
      <formula>IF($K$159=$E$10, 0,1)</formula>
    </cfRule>
  </conditionalFormatting>
  <conditionalFormatting sqref="T231:T452 T504:T1048576 T1:T226">
    <cfRule type="expression" priority="41" aboveAverage="0" equalAverage="0" bottom="0" percent="0" rank="0" text="" dxfId="40">
      <formula>IF($E$3=$H$3, 0,1)</formula>
    </cfRule>
  </conditionalFormatting>
  <conditionalFormatting sqref="G152 H152:S153 Q161:S188 C189:G189 A189:A190 G111:S111 G98:G102 R114:R119 I189:S189 L190:S190 H155:S160 G104:G110 H98:S110 G5:S35 G42:S97 B190:J190 G36:L41 N36:S41">
    <cfRule type="expression" priority="42" aboveAverage="0" equalAverage="0" bottom="0" percent="0" rank="0" text="" dxfId="41">
      <formula>IF($H$3=$E$3, 0,1)</formula>
    </cfRule>
  </conditionalFormatting>
  <conditionalFormatting sqref="AF155:DE256">
    <cfRule type="expression" priority="43" aboveAverage="0" equalAverage="0" bottom="0" percent="0" rank="0" text="" dxfId="42">
      <formula>IF($H$3=$E$3, 1,0)</formula>
    </cfRule>
  </conditionalFormatting>
  <conditionalFormatting sqref="U154:AF154 BY154:CB154 AF257:DL468 U155:CD155 AF156:CD256 CE154:CF154 CO154:CP154 DE154:DL154 CE155:DL256 BF154:BG154 CJ154:CK154 CS154:CT154 CW154:CX154 DA154:DB154 U156:AE468 U132:DL153 DM132:FI468 U116:FJ131 U1:FI115 A469:FI503 AM154:AN154">
    <cfRule type="expression" priority="44" aboveAverage="0" equalAverage="0" bottom="0" percent="0" rank="0" text="" dxfId="43">
      <formula>IF($E$3=$H$3, 0,1)</formula>
    </cfRule>
  </conditionalFormatting>
  <dataValidations count="9">
    <dataValidation allowBlank="true" errorStyle="stop" operator="between" showDropDown="false" showErrorMessage="true" showInputMessage="true" sqref="E88" type="list">
      <formula1>$H$88:$I$88</formula1>
      <formula2>0</formula2>
    </dataValidation>
    <dataValidation allowBlank="true" errorStyle="stop" operator="between" showDropDown="false" showErrorMessage="true" showInputMessage="true" sqref="E76" type="list">
      <formula1>$H$76:$AM$76</formula1>
      <formula2>0</formula2>
    </dataValidation>
    <dataValidation allowBlank="true" errorStyle="stop" operator="between" showDropDown="false" showErrorMessage="true" showInputMessage="true" sqref="E80" type="list">
      <formula1>$H$80:$K$80</formula1>
      <formula2>0</formula2>
    </dataValidation>
    <dataValidation allowBlank="true" errorStyle="stop" operator="between" showDropDown="false" showErrorMessage="true" showInputMessage="true" sqref="E81" type="list">
      <formula1>$H$81:$K$81</formula1>
      <formula2>0</formula2>
    </dataValidation>
    <dataValidation allowBlank="true" errorStyle="stop" operator="between" showDropDown="false" showErrorMessage="true" showInputMessage="true" sqref="E158" type="list">
      <formula1>$I$158:$K$158</formula1>
      <formula2>0</formula2>
    </dataValidation>
    <dataValidation allowBlank="true" errorStyle="stop" operator="between" showDropDown="false" showErrorMessage="true" showInputMessage="true" sqref="E157" type="list">
      <formula1>$I$157:$K$157</formula1>
      <formula2>0</formula2>
    </dataValidation>
    <dataValidation allowBlank="true" errorStyle="stop" operator="between" showDropDown="false" showErrorMessage="true" showInputMessage="true" sqref="R116" type="list">
      <formula1>$T$116:$U$116</formula1>
      <formula2>0</formula2>
    </dataValidation>
    <dataValidation allowBlank="true" errorStyle="stop" operator="between" showDropDown="false" showErrorMessage="true" showInputMessage="true" sqref="E159" type="list">
      <formula1>$I$159:$J$159</formula1>
      <formula2>0</formula2>
    </dataValidation>
    <dataValidation allowBlank="true" errorStyle="stop" operator="between" showDropDown="false" showErrorMessage="true" showInputMessage="true" sqref="N115 N133" type="list">
      <formula1>$Y$116:$AC$116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tableParts>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B5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8.59765625" defaultRowHeight="15" zeroHeight="false" outlineLevelRow="0" outlineLevelCol="0"/>
  <cols>
    <col collapsed="false" customWidth="true" hidden="false" outlineLevel="0" max="2" min="2" style="0" width="21.71"/>
    <col collapsed="false" customWidth="true" hidden="false" outlineLevel="0" max="3" min="3" style="0" width="14.43"/>
    <col collapsed="false" customWidth="true" hidden="false" outlineLevel="0" max="4" min="4" style="0" width="11.86"/>
    <col collapsed="false" customWidth="true" hidden="false" outlineLevel="0" max="6" min="6" style="0" width="9.43"/>
    <col collapsed="false" customWidth="true" hidden="false" outlineLevel="0" max="20" min="20" style="0" width="12.86"/>
    <col collapsed="false" customWidth="true" hidden="false" outlineLevel="0" max="25" min="24" style="0" width="9.14"/>
    <col collapsed="false" customWidth="true" hidden="false" outlineLevel="0" max="29" min="29" style="0" width="14.86"/>
    <col collapsed="false" customWidth="true" hidden="false" outlineLevel="0" max="30" min="30" style="0" width="16.86"/>
    <col collapsed="false" customWidth="true" hidden="false" outlineLevel="0" max="31" min="31" style="0" width="17.57"/>
    <col collapsed="false" customWidth="true" hidden="false" outlineLevel="0" max="32" min="32" style="0" width="14.29"/>
    <col collapsed="false" customWidth="true" hidden="false" outlineLevel="0" max="33" min="33" style="0" width="15.15"/>
    <col collapsed="false" customWidth="true" hidden="false" outlineLevel="0" max="34" min="34" style="0" width="15.72"/>
    <col collapsed="false" customWidth="true" hidden="false" outlineLevel="0" max="35" min="35" style="0" width="15.57"/>
    <col collapsed="false" customWidth="true" hidden="false" outlineLevel="0" max="36" min="36" style="0" width="12.43"/>
    <col collapsed="false" customWidth="true" hidden="false" outlineLevel="0" max="37" min="37" style="0" width="11"/>
    <col collapsed="false" customWidth="true" hidden="false" outlineLevel="0" max="38" min="38" style="0" width="12"/>
    <col collapsed="false" customWidth="true" hidden="false" outlineLevel="0" max="39" min="39" style="0" width="16.14"/>
    <col collapsed="false" customWidth="true" hidden="false" outlineLevel="0" max="40" min="40" style="0" width="12.43"/>
    <col collapsed="false" customWidth="true" hidden="false" outlineLevel="0" max="41" min="41" style="0" width="17.71"/>
    <col collapsed="false" customWidth="true" hidden="false" outlineLevel="0" max="43" min="43" style="0" width="14.86"/>
    <col collapsed="false" customWidth="true" hidden="false" outlineLevel="0" max="44" min="44" style="0" width="17.29"/>
    <col collapsed="false" customWidth="true" hidden="false" outlineLevel="0" max="45" min="45" style="0" width="18"/>
    <col collapsed="false" customWidth="true" hidden="false" outlineLevel="0" max="46" min="46" style="0" width="14.14"/>
    <col collapsed="false" customWidth="true" hidden="false" outlineLevel="0" max="47" min="47" style="0" width="15"/>
    <col collapsed="false" customWidth="true" hidden="false" outlineLevel="0" max="48" min="48" style="0" width="21.29"/>
    <col collapsed="false" customWidth="true" hidden="false" outlineLevel="0" max="49" min="49" style="0" width="13"/>
    <col collapsed="false" customWidth="true" hidden="false" outlineLevel="0" max="50" min="50" style="0" width="11"/>
    <col collapsed="false" customWidth="true" hidden="false" outlineLevel="0" max="51" min="51" style="0" width="20.57"/>
  </cols>
  <sheetData>
    <row r="1" customFormat="false" ht="47.25" hidden="false" customHeight="true" outlineLevel="0" collapsed="false">
      <c r="A1" s="2"/>
      <c r="B1" s="3"/>
      <c r="C1" s="3"/>
      <c r="D1" s="3"/>
      <c r="E1" s="3"/>
      <c r="F1" s="3"/>
      <c r="G1" s="4" t="s">
        <v>261</v>
      </c>
      <c r="H1" s="3"/>
      <c r="I1" s="3"/>
      <c r="J1" s="3"/>
      <c r="K1" s="3"/>
      <c r="L1" s="3"/>
      <c r="M1" s="3"/>
      <c r="N1" s="3"/>
      <c r="O1" s="3"/>
      <c r="P1" s="3"/>
      <c r="Q1" s="3"/>
      <c r="R1" s="3"/>
      <c r="S1" s="3"/>
      <c r="T1" s="3"/>
      <c r="U1" s="3"/>
      <c r="V1" s="3"/>
      <c r="W1" s="3"/>
      <c r="X1" s="3"/>
      <c r="Y1" s="5"/>
      <c r="Z1" s="6"/>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row>
    <row r="2" customFormat="false" ht="15" hidden="false" customHeight="false" outlineLevel="0" collapsed="false">
      <c r="A2" s="6"/>
      <c r="B2" s="6"/>
      <c r="C2" s="6"/>
      <c r="D2" s="6"/>
      <c r="E2" s="6"/>
      <c r="F2" s="6"/>
      <c r="G2" s="6"/>
      <c r="H2" s="6"/>
      <c r="I2" s="6"/>
      <c r="J2" s="6"/>
      <c r="K2" s="6"/>
      <c r="L2" s="6"/>
      <c r="M2" s="6"/>
      <c r="N2" s="6"/>
      <c r="O2" s="6"/>
      <c r="P2" s="6"/>
      <c r="Q2" s="6"/>
      <c r="R2" s="6"/>
      <c r="S2" s="6"/>
      <c r="T2" s="6"/>
      <c r="U2" s="6"/>
      <c r="V2" s="6"/>
      <c r="W2" s="6"/>
      <c r="X2" s="6"/>
      <c r="Y2" s="6"/>
      <c r="Z2" s="6"/>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row>
    <row r="3" customFormat="false" ht="15" hidden="false" customHeight="false" outlineLevel="0" collapsed="false">
      <c r="A3" s="6"/>
      <c r="B3" s="6"/>
      <c r="C3" s="6"/>
      <c r="D3" s="6"/>
      <c r="E3" s="9"/>
      <c r="F3" s="10" t="s">
        <v>2</v>
      </c>
      <c r="G3" s="6"/>
      <c r="H3" s="6"/>
      <c r="I3" s="6"/>
      <c r="J3" s="6"/>
      <c r="K3" s="6"/>
      <c r="L3" s="6"/>
      <c r="M3" s="6"/>
      <c r="N3" s="6"/>
      <c r="O3" s="6"/>
      <c r="P3" s="6"/>
      <c r="Q3" s="6"/>
      <c r="R3" s="6"/>
      <c r="S3" s="6"/>
      <c r="T3" s="6"/>
      <c r="U3" s="6"/>
      <c r="V3" s="6"/>
      <c r="W3" s="6"/>
      <c r="X3" s="6"/>
      <c r="Y3" s="6"/>
      <c r="Z3" s="6"/>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row>
    <row r="4" customFormat="false" ht="15" hidden="false" customHeight="false" outlineLevel="0" collapsed="false">
      <c r="A4" s="6"/>
      <c r="B4" s="6"/>
      <c r="C4" s="6"/>
      <c r="D4" s="6"/>
      <c r="E4" s="6"/>
      <c r="F4" s="6"/>
      <c r="G4" s="6"/>
      <c r="H4" s="6"/>
      <c r="I4" s="6"/>
      <c r="J4" s="6"/>
      <c r="K4" s="6"/>
      <c r="L4" s="6"/>
      <c r="M4" s="6"/>
      <c r="N4" s="6"/>
      <c r="O4" s="6"/>
      <c r="P4" s="6"/>
      <c r="Q4" s="6"/>
      <c r="R4" s="6"/>
      <c r="S4" s="6"/>
      <c r="T4" s="6"/>
      <c r="U4" s="6"/>
      <c r="V4" s="6"/>
      <c r="W4" s="6"/>
      <c r="X4" s="6"/>
      <c r="Y4" s="6"/>
      <c r="Z4" s="6"/>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row>
    <row r="5" customFormat="false" ht="15" hidden="false" customHeight="false" outlineLevel="0" collapsed="false">
      <c r="A5" s="176" t="s">
        <v>262</v>
      </c>
      <c r="B5" s="176"/>
      <c r="C5" s="176"/>
      <c r="D5" s="13"/>
      <c r="E5" s="13"/>
      <c r="F5" s="177"/>
      <c r="G5" s="178"/>
      <c r="H5" s="13"/>
      <c r="I5" s="13"/>
      <c r="J5" s="16"/>
      <c r="K5" s="16"/>
      <c r="L5" s="16"/>
      <c r="M5" s="16"/>
      <c r="N5" s="16"/>
      <c r="O5" s="16"/>
      <c r="P5" s="16"/>
      <c r="Q5" s="16"/>
      <c r="R5" s="16"/>
      <c r="S5" s="16"/>
      <c r="T5" s="16"/>
      <c r="U5" s="16"/>
      <c r="V5" s="16"/>
      <c r="W5" s="16"/>
      <c r="X5" s="16"/>
      <c r="Y5" s="17"/>
      <c r="Z5" s="6"/>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row>
    <row r="6" customFormat="false" ht="16.4" hidden="false" customHeight="false" outlineLevel="0" collapsed="false">
      <c r="A6" s="18"/>
      <c r="B6" s="13"/>
      <c r="C6" s="13"/>
      <c r="D6" s="19" t="s">
        <v>263</v>
      </c>
      <c r="E6" s="75" t="n">
        <v>-10</v>
      </c>
      <c r="F6" s="179" t="s">
        <v>264</v>
      </c>
      <c r="G6" s="22"/>
      <c r="H6" s="27" t="n">
        <v>-10</v>
      </c>
      <c r="I6" s="27" t="n">
        <v>-5</v>
      </c>
      <c r="J6" s="24" t="n">
        <v>0</v>
      </c>
      <c r="K6" s="24" t="n">
        <v>5</v>
      </c>
      <c r="L6" s="24" t="n">
        <v>0.7715</v>
      </c>
      <c r="M6" s="24" t="n">
        <v>0.7532</v>
      </c>
      <c r="N6" s="24" t="n">
        <v>0.7325</v>
      </c>
      <c r="O6" s="24" t="n">
        <v>0.711</v>
      </c>
      <c r="P6" s="24"/>
      <c r="Q6" s="24" t="n">
        <f aca="false">IF(T1_S=T1_N10_TEMP,T1_N10_PERCENT,IF(T1_S=T1_N_TEMP,T1_N5_PERCENT,IF(T1_S=T1_0_TEMP,T1_0_PERCENT,IF(T1_S=T1_5_TEMP,T1_5_PERCENT,"ERROR"))))</f>
        <v>0.7715</v>
      </c>
      <c r="R6" s="24"/>
      <c r="S6" s="24"/>
      <c r="T6" s="180"/>
      <c r="U6" s="181" t="s">
        <v>265</v>
      </c>
      <c r="V6" s="181" t="s">
        <v>266</v>
      </c>
      <c r="W6" s="181" t="s">
        <v>267</v>
      </c>
      <c r="X6" s="182" t="s">
        <v>268</v>
      </c>
      <c r="Y6" s="25"/>
      <c r="Z6" s="6"/>
      <c r="AA6" s="7"/>
      <c r="AB6" s="7"/>
      <c r="AC6" s="183" t="s">
        <v>269</v>
      </c>
      <c r="AD6" s="183" t="s">
        <v>270</v>
      </c>
      <c r="AE6" s="183" t="s">
        <v>271</v>
      </c>
      <c r="AF6" s="183" t="s">
        <v>272</v>
      </c>
      <c r="AG6" s="183" t="s">
        <v>273</v>
      </c>
      <c r="AH6" s="183" t="s">
        <v>274</v>
      </c>
      <c r="AI6" s="183" t="s">
        <v>275</v>
      </c>
      <c r="AJ6" s="184" t="s">
        <v>276</v>
      </c>
      <c r="AK6" s="184" t="s">
        <v>277</v>
      </c>
      <c r="AL6" s="184" t="s">
        <v>278</v>
      </c>
      <c r="AM6" s="184" t="s">
        <v>279</v>
      </c>
      <c r="AN6" s="184" t="s">
        <v>280</v>
      </c>
      <c r="AO6" s="184" t="s">
        <v>281</v>
      </c>
      <c r="AP6" s="184" t="s">
        <v>282</v>
      </c>
      <c r="AQ6" s="183" t="s">
        <v>283</v>
      </c>
      <c r="AR6" s="183" t="s">
        <v>284</v>
      </c>
      <c r="AS6" s="183" t="s">
        <v>285</v>
      </c>
      <c r="AT6" s="183" t="s">
        <v>286</v>
      </c>
      <c r="AU6" s="183" t="s">
        <v>287</v>
      </c>
      <c r="AV6" s="183" t="s">
        <v>288</v>
      </c>
      <c r="AW6" s="183" t="s">
        <v>289</v>
      </c>
      <c r="AX6" s="7"/>
      <c r="AY6" s="185" t="s">
        <v>289</v>
      </c>
      <c r="AZ6" s="185" t="s">
        <v>265</v>
      </c>
      <c r="BA6" s="185" t="s">
        <v>266</v>
      </c>
      <c r="BB6" s="185" t="s">
        <v>267</v>
      </c>
      <c r="BC6" s="7"/>
      <c r="BD6" s="185" t="s">
        <v>290</v>
      </c>
      <c r="BE6" s="185" t="s">
        <v>291</v>
      </c>
      <c r="BF6" s="185" t="s">
        <v>292</v>
      </c>
      <c r="BG6" s="185" t="s">
        <v>293</v>
      </c>
      <c r="BH6" s="185" t="s">
        <v>294</v>
      </c>
      <c r="BI6" s="185" t="s">
        <v>295</v>
      </c>
      <c r="BJ6" s="185" t="s">
        <v>296</v>
      </c>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row>
    <row r="7" customFormat="false" ht="16.4" hidden="false" customHeight="false" outlineLevel="0" collapsed="false">
      <c r="A7" s="26"/>
      <c r="B7" s="27"/>
      <c r="C7" s="27"/>
      <c r="D7" s="28" t="s">
        <v>297</v>
      </c>
      <c r="E7" s="56" t="n">
        <v>10</v>
      </c>
      <c r="F7" s="186" t="s">
        <v>264</v>
      </c>
      <c r="G7" s="22"/>
      <c r="H7" s="27" t="n">
        <v>5</v>
      </c>
      <c r="I7" s="27" t="n">
        <v>10</v>
      </c>
      <c r="J7" s="24" t="n">
        <v>15</v>
      </c>
      <c r="K7" s="24" t="n">
        <v>20</v>
      </c>
      <c r="L7" s="24" t="n">
        <v>0.711</v>
      </c>
      <c r="M7" s="24" t="n">
        <v>0.684</v>
      </c>
      <c r="N7" s="24" t="n">
        <v>0.655</v>
      </c>
      <c r="O7" s="24" t="n">
        <v>0.624</v>
      </c>
      <c r="P7" s="24"/>
      <c r="Q7" s="24"/>
      <c r="R7" s="24"/>
      <c r="S7" s="24"/>
      <c r="T7" s="180" t="s">
        <v>298</v>
      </c>
      <c r="U7" s="187" t="n">
        <f aca="false">Table10[[#This Row],[MIN Temp]]</f>
        <v>-10</v>
      </c>
      <c r="V7" s="187" t="n">
        <f aca="false">Table10[[#This Row],[TYP Temp]]</f>
        <v>-10</v>
      </c>
      <c r="W7" s="187" t="n">
        <f aca="false">Table10[[#This Row],[MAX Temp]]</f>
        <v>-10</v>
      </c>
      <c r="X7" s="181" t="s">
        <v>299</v>
      </c>
      <c r="Y7" s="25"/>
      <c r="Z7" s="6"/>
      <c r="AA7" s="7"/>
      <c r="AB7" s="7"/>
      <c r="AC7" s="80" t="n">
        <f aca="false">Table13[[#This Row],[Min]]</f>
        <v>77.037</v>
      </c>
      <c r="AD7" s="80" t="n">
        <f aca="false">INDEX(Table9[Vmin (%)], (MATCH(Table10[[#This Row],[Target (MIN)]], Table9[Vmin (%)],1)))</f>
        <v>77.022450472008</v>
      </c>
      <c r="AE7" s="80" t="n">
        <f aca="false">INDEX(Table9[Vmin (%)], (MATCH(Table10[[#This Row],[Target (MIN)]], Table9[Vmin (%)],1)+1))</f>
        <v>77.3527646598103</v>
      </c>
      <c r="AF7" s="80" t="n">
        <f aca="false">ABS(Table10[[#This Row],[Target (MIN)]]-Table10[[#This Row],[1st VLOOK MIN]])</f>
        <v>0.0145495279919743</v>
      </c>
      <c r="AG7" s="80" t="n">
        <f aca="false">ABS(Table10[[#This Row],[Target (MIN)]]-Table10[[#This Row],[2nd VLOOK MIN]])</f>
        <v>0.31576465981027</v>
      </c>
      <c r="AH7" s="80" t="n">
        <f aca="false">IF(Table10[[#This Row],[1st Diff]]&lt;Table10[[#This Row],[2nd Diff]],Table10[[#This Row],[1st VLOOK MIN]],Table10[[#This Row],[2nd VLOOK MIN]])</f>
        <v>77.022450472008</v>
      </c>
      <c r="AI7" s="80" t="n">
        <f aca="false">INDEX(Table9[Temperature], (MATCH(Table10[[#This Row],[Closest VLOOK MIN]], Table9[Vmin (%)],1)))</f>
        <v>-10</v>
      </c>
      <c r="AJ7" s="80" t="n">
        <f aca="false">Table13[[#This Row],[Typ]]</f>
        <v>77.15</v>
      </c>
      <c r="AK7" s="80" t="n">
        <f aca="false">INDEX(Table9[Vnom (%)], (MATCH(Table10[[#This Row],[Target (Typ)]], Table9[Vnom (%)],1)))</f>
        <v>76.8916987472579</v>
      </c>
      <c r="AL7" s="80" t="n">
        <f aca="false">INDEX(Table9[Vnom (%)], (MATCH(Table10[[#This Row],[Target (Typ)]], Table9[Vnom (%)],1)+1))</f>
        <v>77.2343927659339</v>
      </c>
      <c r="AM7" s="80" t="n">
        <f aca="false">ABS(Table10[[#This Row],[Target (Typ)]]-Table10[[#This Row],[1st VLOOK TYP]])</f>
        <v>0.258301252742086</v>
      </c>
      <c r="AN7" s="80" t="n">
        <f aca="false">ABS(Table10[[#This Row],[Target (Typ)]]-Table10[[#This Row],[2nd VLOOK TYP]])</f>
        <v>0.084392765933913</v>
      </c>
      <c r="AO7" s="80" t="n">
        <f aca="false">IF(Table10[[#This Row],[1st Diff Typ]]&lt;Table10[[#This Row],[2nd Diff TYP]],Table10[[#This Row],[1st VLOOK TYP]],Table10[[#This Row],[2nd VLOOK TYP]])</f>
        <v>77.2343927659339</v>
      </c>
      <c r="AP7" s="80" t="n">
        <f aca="false">INDEX(Table9[Temperature], (MATCH(Table10[[#This Row],[Closest VLOOK TYP]], Table9[Vnom (%)],1)))</f>
        <v>-10</v>
      </c>
      <c r="AQ7" s="80" t="n">
        <f aca="false">Table13[[#This Row],[Max]]</f>
        <v>77.278</v>
      </c>
      <c r="AR7" s="80" t="n">
        <f aca="false">INDEX(Table9[Vmax (%)], (MATCH(Table10[[#This Row],[Target (MAX)]], Table9[Vmax (%)],1)))</f>
        <v>77.0998412202795</v>
      </c>
      <c r="AS7" s="80" t="n">
        <f aca="false">INDEX(Table9[Vmax (%)], (MATCH(Table10[[#This Row],[Target (Typ)]], Table9[Vmax (%)],1)+1))</f>
        <v>77.4398890483601</v>
      </c>
      <c r="AT7" s="80" t="n">
        <f aca="false">ABS(Table10[[#This Row],[Target (MAX)]]-Table10[[#This Row],[1st VLOOK MAX]])</f>
        <v>0.178158779720462</v>
      </c>
      <c r="AU7" s="80" t="n">
        <f aca="false">ABS(Table10[[#This Row],[Target (MAX)]]-Table10[[#This Row],[2nd VLOOK MAX]])</f>
        <v>0.161889048360067</v>
      </c>
      <c r="AV7" s="80" t="n">
        <f aca="false">IF(Table10[[#This Row],[1st Diff MAX]]&lt;Table10[[#This Row],[2nd Diff MAX]],Table10[[#This Row],[1st VLOOK MAX]],Table10[[#This Row],[2nd VLOOK MAX]])</f>
        <v>77.4398890483601</v>
      </c>
      <c r="AW7" s="80" t="n">
        <f aca="false">INDEX(Table9[Temperature], (MATCH(Table10[[#This Row],[Closest VLOOK MAX]], Table9[Vmax (%)],1)))</f>
        <v>-10</v>
      </c>
      <c r="AX7" s="7"/>
      <c r="AY7" s="188" t="s">
        <v>300</v>
      </c>
      <c r="AZ7" s="188" t="n">
        <f aca="false">IF(T1_S=T1_N10_TEMP,BE$7, IF(T1_S=T1_N_TEMP,BE$8, IF(T1_S=T1_0_TEMP,BE$9, IF(T1_S=BE$10,T1_5_PERCENT, "ERROR"))))</f>
        <v>77.037</v>
      </c>
      <c r="BA7" s="188" t="n">
        <f aca="false">IF(T1_S=T1_N10_TEMP,BF$7, IF(T1_S=T1_N_TEMP,BF$8, IF(T1_S=T1_0_TEMP,BF$9, IF(T1_S=BF$10,T1_5_PERCENT, "ERROR"))))</f>
        <v>77.15</v>
      </c>
      <c r="BB7" s="188" t="n">
        <f aca="false">IF(T1_S=T1_N10_TEMP,BG$7, IF(T1_S=T1_N_TEMP,BG$8, IF(T1_S=T1_0_TEMP,BG$9, IF(T1_S=BG$10,T1_5_PERCENT, "ERROR"))))</f>
        <v>77.278</v>
      </c>
      <c r="BC7" s="7"/>
      <c r="BD7" s="188" t="n">
        <v>-10</v>
      </c>
      <c r="BE7" s="188" t="n">
        <v>77.037</v>
      </c>
      <c r="BF7" s="188" t="n">
        <v>77.15</v>
      </c>
      <c r="BG7" s="188" t="n">
        <v>77.278</v>
      </c>
      <c r="BH7" s="188" t="n">
        <v>75.955</v>
      </c>
      <c r="BI7" s="188" t="n">
        <v>76.1</v>
      </c>
      <c r="BJ7" s="188" t="n">
        <v>76.196</v>
      </c>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row>
    <row r="8" customFormat="false" ht="16.4" hidden="false" customHeight="false" outlineLevel="0" collapsed="false">
      <c r="A8" s="26"/>
      <c r="B8" s="27"/>
      <c r="C8" s="27"/>
      <c r="D8" s="28" t="s">
        <v>301</v>
      </c>
      <c r="E8" s="56" t="n">
        <v>50</v>
      </c>
      <c r="F8" s="186" t="s">
        <v>264</v>
      </c>
      <c r="G8" s="22"/>
      <c r="H8" s="27" t="n">
        <v>40</v>
      </c>
      <c r="I8" s="27" t="n">
        <v>45</v>
      </c>
      <c r="J8" s="24" t="n">
        <v>50</v>
      </c>
      <c r="K8" s="24" t="n">
        <v>55</v>
      </c>
      <c r="L8" s="24" t="n">
        <v>0.484</v>
      </c>
      <c r="M8" s="24" t="n">
        <v>0.448</v>
      </c>
      <c r="N8" s="24" t="n">
        <v>0.412</v>
      </c>
      <c r="O8" s="24" t="n">
        <v>0.377</v>
      </c>
      <c r="P8" s="24"/>
      <c r="Q8" s="24"/>
      <c r="R8" s="24"/>
      <c r="S8" s="24"/>
      <c r="T8" s="180" t="s">
        <v>302</v>
      </c>
      <c r="U8" s="187" t="n">
        <f aca="false">Table10[[#This Row],[MIN Temp]]</f>
        <v>-7</v>
      </c>
      <c r="V8" s="187" t="n">
        <f aca="false">Table10[[#This Row],[TYP Temp]]</f>
        <v>-7</v>
      </c>
      <c r="W8" s="187" t="n">
        <f aca="false">Table10[[#This Row],[MAX Temp]]</f>
        <v>-6</v>
      </c>
      <c r="X8" s="181" t="s">
        <v>299</v>
      </c>
      <c r="Y8" s="25"/>
      <c r="Z8" s="6"/>
      <c r="AA8" s="7"/>
      <c r="AB8" s="7"/>
      <c r="AC8" s="80" t="n">
        <f aca="false">Table13[[#This Row],[Min]]</f>
        <v>75.955</v>
      </c>
      <c r="AD8" s="80" t="n">
        <f aca="false">INDEX(Table9[Vmin (%)], (MATCH(Table10[[#This Row],[Target (MIN)]], Table9[Vmin (%)],1)))</f>
        <v>75.5797250829141</v>
      </c>
      <c r="AE8" s="80" t="n">
        <f aca="false">INDEX(Table9[Vmin (%)], (MATCH(Table10[[#This Row],[Target (MIN)]], Table9[Vmin (%)],1)+1))</f>
        <v>75.9561214384912</v>
      </c>
      <c r="AF8" s="80" t="n">
        <f aca="false">ABS(Table10[[#This Row],[Target (MIN)]]-Table10[[#This Row],[1st VLOOK MIN]])</f>
        <v>0.375274917085875</v>
      </c>
      <c r="AG8" s="80" t="n">
        <f aca="false">ABS(Table10[[#This Row],[Target (MIN)]]-Table10[[#This Row],[2nd VLOOK MIN]])</f>
        <v>0.00112143849119661</v>
      </c>
      <c r="AH8" s="80" t="n">
        <f aca="false">IF(Table10[[#This Row],[1st Diff]]&lt;Table10[[#This Row],[2nd Diff]],Table10[[#This Row],[1st VLOOK MIN]],Table10[[#This Row],[2nd VLOOK MIN]])</f>
        <v>75.9561214384912</v>
      </c>
      <c r="AI8" s="80" t="n">
        <f aca="false">INDEX(Table9[Temperature], (MATCH(Table10[[#This Row],[Closest VLOOK MIN]], Table9[Vmin (%)],1)))</f>
        <v>-7</v>
      </c>
      <c r="AJ8" s="80" t="n">
        <f aca="false">Table13[[#This Row],[Typ]]</f>
        <v>76.1</v>
      </c>
      <c r="AK8" s="80" t="n">
        <f aca="false">INDEX(Table9[Vnom (%)], (MATCH(Table10[[#This Row],[Target (Typ)]], Table9[Vnom (%)],1)))</f>
        <v>75.8034280239414</v>
      </c>
      <c r="AL8" s="80" t="n">
        <f aca="false">INDEX(Table9[Vnom (%)], (MATCH(Table10[[#This Row],[Target (Typ)]], Table9[Vnom (%)],1)+1))</f>
        <v>76.176140299089</v>
      </c>
      <c r="AM8" s="80" t="n">
        <f aca="false">ABS(Table10[[#This Row],[Target (Typ)]]-Table10[[#This Row],[1st VLOOK TYP]])</f>
        <v>0.296571976058644</v>
      </c>
      <c r="AN8" s="80" t="n">
        <f aca="false">ABS(Table10[[#This Row],[Target (Typ)]]-Table10[[#This Row],[2nd VLOOK TYP]])</f>
        <v>0.0761402990889764</v>
      </c>
      <c r="AO8" s="80" t="n">
        <f aca="false">IF(Table10[[#This Row],[1st Diff Typ]]&lt;Table10[[#This Row],[2nd Diff TYP]],Table10[[#This Row],[1st VLOOK TYP]],Table10[[#This Row],[2nd VLOOK TYP]])</f>
        <v>76.176140299089</v>
      </c>
      <c r="AP8" s="80" t="n">
        <f aca="false">INDEX(Table9[Temperature], (MATCH(Table10[[#This Row],[Closest VLOOK TYP]], Table9[Vnom (%)],1)))</f>
        <v>-7</v>
      </c>
      <c r="AQ8" s="80" t="n">
        <f aca="false">Table13[[#This Row],[Max]]</f>
        <v>76.196</v>
      </c>
      <c r="AR8" s="80" t="n">
        <f aca="false">INDEX(Table9[Vmax (%)], (MATCH(Table10[[#This Row],[Target (MAX)]], Table9[Vmax (%)],1)))</f>
        <v>76.0216321231007</v>
      </c>
      <c r="AS8" s="80" t="n">
        <f aca="false">INDEX(Table9[Vmax (%)], (MATCH(Table10[[#This Row],[Target (Typ)]], Table9[Vmax (%)],1)+1))</f>
        <v>76.3904669940945</v>
      </c>
      <c r="AT8" s="80" t="n">
        <f aca="false">ABS(Table10[[#This Row],[Target (MAX)]]-Table10[[#This Row],[1st VLOOK MAX]])</f>
        <v>0.174367876899254</v>
      </c>
      <c r="AU8" s="80" t="n">
        <f aca="false">ABS(Table10[[#This Row],[Target (MAX)]]-Table10[[#This Row],[2nd VLOOK MAX]])</f>
        <v>0.194466994094483</v>
      </c>
      <c r="AV8" s="80" t="n">
        <f aca="false">IF(Table10[[#This Row],[1st Diff MAX]]&lt;Table10[[#This Row],[2nd Diff MAX]],Table10[[#This Row],[1st VLOOK MAX]],Table10[[#This Row],[2nd VLOOK MAX]])</f>
        <v>76.0216321231007</v>
      </c>
      <c r="AW8" s="80" t="n">
        <f aca="false">INDEX(Table9[Temperature], (MATCH(Table10[[#This Row],[Closest VLOOK MAX]], Table9[Vmax (%)],1)))</f>
        <v>-6</v>
      </c>
      <c r="AX8" s="7"/>
      <c r="AY8" s="189" t="s">
        <v>303</v>
      </c>
      <c r="AZ8" s="189" t="n">
        <f aca="false">IF(T1_S=T1_N10_TEMP,BH$7, IF(T1_S=T1_N_TEMP,BH$8, IF(T1_S=T1_0_TEMP,BH$9, IF(T1_S=BH$10,T1_5_PERCENT, "ERROR"))))</f>
        <v>75.955</v>
      </c>
      <c r="BA8" s="189" t="n">
        <f aca="false">IF(T1_S=T1_N10_TEMP,BI$7, IF(T1_S=T1_N_TEMP,BI$8, IF(T1_S=T1_0_TEMP,BI$9, IF(T1_S=BI$10,T1_5_PERCENT, "ERROR"))))</f>
        <v>76.1</v>
      </c>
      <c r="BB8" s="189" t="n">
        <f aca="false">IF(T1_S=T1_N10_TEMP,BJ$7, IF(T1_S=T1_N_TEMP,BJ$8, IF(T1_S=T1_0_TEMP,BJ$9, IF(T1_S=BJ$10,T1_5_PERCENT, "ERROR"))))</f>
        <v>76.196</v>
      </c>
      <c r="BC8" s="7"/>
      <c r="BD8" s="189" t="n">
        <v>-5</v>
      </c>
      <c r="BE8" s="189" t="n">
        <v>74.82</v>
      </c>
      <c r="BF8" s="189" t="n">
        <v>75.32</v>
      </c>
      <c r="BG8" s="189" t="n">
        <v>75.82</v>
      </c>
      <c r="BH8" s="189" t="n">
        <v>73.57</v>
      </c>
      <c r="BI8" s="189" t="n">
        <v>74.07</v>
      </c>
      <c r="BJ8" s="189" t="n">
        <v>74.57</v>
      </c>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row>
    <row r="9" customFormat="false" ht="16.4" hidden="false" customHeight="false" outlineLevel="0" collapsed="false">
      <c r="A9" s="26"/>
      <c r="B9" s="27"/>
      <c r="C9" s="27"/>
      <c r="D9" s="28" t="s">
        <v>304</v>
      </c>
      <c r="E9" s="56" t="n">
        <v>60</v>
      </c>
      <c r="F9" s="186" t="s">
        <v>264</v>
      </c>
      <c r="G9" s="22"/>
      <c r="H9" s="27" t="n">
        <v>50</v>
      </c>
      <c r="I9" s="27" t="n">
        <v>55</v>
      </c>
      <c r="J9" s="24" t="n">
        <v>60</v>
      </c>
      <c r="K9" s="24" t="n">
        <v>65</v>
      </c>
      <c r="L9" s="24" t="n">
        <v>0.412</v>
      </c>
      <c r="M9" s="24" t="n">
        <v>0.377</v>
      </c>
      <c r="N9" s="24" t="n">
        <v>0.34375</v>
      </c>
      <c r="O9" s="24" t="n">
        <v>0.3125</v>
      </c>
      <c r="P9" s="24"/>
      <c r="Q9" s="24" t="n">
        <f aca="false">IF(T5_S=T5_50_TEMP,T5_50_PERCENT, IF(T5_S=T5_55_TEMP,T5_55_PERCENT, IF(T5_S=T5_60_TEMP,T5_60_PERCENT,IF(T5_S=T5_65_TEMP,T5_65_PERCENT, "ERROR"))))</f>
        <v>0.34375</v>
      </c>
      <c r="R9" s="24"/>
      <c r="S9" s="24"/>
      <c r="T9" s="180" t="s">
        <v>305</v>
      </c>
      <c r="U9" s="187" t="n">
        <f aca="false">Table10[[#This Row],[MIN Temp]]</f>
        <v>10</v>
      </c>
      <c r="V9" s="187" t="n">
        <f aca="false">Table10[[#This Row],[TYP Temp]]</f>
        <v>10</v>
      </c>
      <c r="W9" s="187" t="n">
        <f aca="false">Table10[[#This Row],[MAX Temp]]</f>
        <v>10</v>
      </c>
      <c r="X9" s="181" t="s">
        <v>299</v>
      </c>
      <c r="Y9" s="25"/>
      <c r="Z9" s="6"/>
      <c r="AA9" s="7"/>
      <c r="AB9" s="7"/>
      <c r="AC9" s="80" t="n">
        <f aca="false">Table13[[#This Row],[Min]]</f>
        <v>68.152</v>
      </c>
      <c r="AD9" s="80" t="n">
        <f aca="false">INDEX(Table9[Vmin (%)], (MATCH(Table10[[#This Row],[Target (MIN)]], Table9[Vmin (%)],1)))</f>
        <v>68.1043708070211</v>
      </c>
      <c r="AE9" s="80" t="n">
        <f aca="false">INDEX(Table9[Vmin (%)], (MATCH(Table10[[#This Row],[Target (MIN)]], Table9[Vmin (%)],1)+1))</f>
        <v>68.646989531871</v>
      </c>
      <c r="AF9" s="80" t="n">
        <f aca="false">ABS(Table10[[#This Row],[Target (MIN)]]-Table10[[#This Row],[1st VLOOK MIN]])</f>
        <v>0.0476291929789454</v>
      </c>
      <c r="AG9" s="80" t="n">
        <f aca="false">ABS(Table10[[#This Row],[Target (MIN)]]-Table10[[#This Row],[2nd VLOOK MIN]])</f>
        <v>0.494989531870999</v>
      </c>
      <c r="AH9" s="80" t="n">
        <f aca="false">IF(Table10[[#This Row],[1st Diff]]&lt;Table10[[#This Row],[2nd Diff]],Table10[[#This Row],[1st VLOOK MIN]],Table10[[#This Row],[2nd VLOOK MIN]])</f>
        <v>68.1043708070211</v>
      </c>
      <c r="AI9" s="80" t="n">
        <f aca="false">INDEX(Table9[Temperature], (MATCH(Table10[[#This Row],[Closest VLOOK MIN]], Table9[Vmin (%)],1)))</f>
        <v>10</v>
      </c>
      <c r="AJ9" s="80" t="n">
        <f aca="false">Table13[[#This Row],[Typ]]</f>
        <v>68.25</v>
      </c>
      <c r="AK9" s="80" t="n">
        <f aca="false">INDEX(Table9[Vnom (%)], (MATCH(Table10[[#This Row],[Target (Typ)]], Table9[Vnom (%)],1)))</f>
        <v>67.7928616070506</v>
      </c>
      <c r="AL9" s="80" t="n">
        <f aca="false">INDEX(Table9[Vnom (%)], (MATCH(Table10[[#This Row],[Target (Typ)]], Table9[Vnom (%)],1)+1))</f>
        <v>68.3567645583594</v>
      </c>
      <c r="AM9" s="80" t="n">
        <f aca="false">ABS(Table10[[#This Row],[Target (Typ)]]-Table10[[#This Row],[1st VLOOK TYP]])</f>
        <v>0.457138392949403</v>
      </c>
      <c r="AN9" s="80" t="n">
        <f aca="false">ABS(Table10[[#This Row],[Target (Typ)]]-Table10[[#This Row],[2nd VLOOK TYP]])</f>
        <v>0.106764558359401</v>
      </c>
      <c r="AO9" s="80" t="n">
        <f aca="false">IF(Table10[[#This Row],[1st Diff Typ]]&lt;Table10[[#This Row],[2nd Diff TYP]],Table10[[#This Row],[1st VLOOK TYP]],Table10[[#This Row],[2nd VLOOK TYP]])</f>
        <v>68.3567645583594</v>
      </c>
      <c r="AP9" s="80" t="n">
        <f aca="false">INDEX(Table9[Temperature], (MATCH(Table10[[#This Row],[Closest VLOOK TYP]], Table9[Vnom (%)],1)))</f>
        <v>10</v>
      </c>
      <c r="AQ9" s="80" t="n">
        <f aca="false">Table13[[#This Row],[Max]]</f>
        <v>68.35</v>
      </c>
      <c r="AR9" s="80" t="n">
        <f aca="false">INDEX(Table9[Vmax (%)], (MATCH(Table10[[#This Row],[Target (MAX)]], Table9[Vmax (%)],1)))</f>
        <v>68.0383433714184</v>
      </c>
      <c r="AS9" s="80" t="n">
        <f aca="false">INDEX(Table9[Vmax (%)], (MATCH(Table10[[#This Row],[Target (Typ)]], Table9[Vmax (%)],1)+1))</f>
        <v>68.6034073332881</v>
      </c>
      <c r="AT9" s="80" t="n">
        <f aca="false">ABS(Table10[[#This Row],[Target (MAX)]]-Table10[[#This Row],[1st VLOOK MAX]])</f>
        <v>0.311656628581574</v>
      </c>
      <c r="AU9" s="80" t="n">
        <f aca="false">ABS(Table10[[#This Row],[Target (MAX)]]-Table10[[#This Row],[2nd VLOOK MAX]])</f>
        <v>0.253407333288124</v>
      </c>
      <c r="AV9" s="80" t="n">
        <f aca="false">IF(Table10[[#This Row],[1st Diff MAX]]&lt;Table10[[#This Row],[2nd Diff MAX]],Table10[[#This Row],[1st VLOOK MAX]],Table10[[#This Row],[2nd VLOOK MAX]])</f>
        <v>68.6034073332881</v>
      </c>
      <c r="AW9" s="80" t="n">
        <f aca="false">INDEX(Table9[Temperature], (MATCH(Table10[[#This Row],[Closest VLOOK MAX]], Table9[Vmax (%)],1)))</f>
        <v>10</v>
      </c>
      <c r="AX9" s="7"/>
      <c r="AY9" s="188" t="s">
        <v>306</v>
      </c>
      <c r="AZ9" s="188" t="n">
        <f aca="false">IF(T2_S=T2_5_TEMP,BE$10, IF(T2_S=T2_10_TEMP,BE$11, IF(T2_S=T2_15_TEMP,BE$12, IF(T2_S=T2_20_TEMP,BE$13, "ERROR"))) )</f>
        <v>68.152</v>
      </c>
      <c r="BA9" s="188" t="n">
        <f aca="false">IF(T2_S=T2_5_TEMP,BF$10, IF(T2_S=T2_10_TEMP,BF$11, IF(T2_S=T2_15_TEMP,BF$12, IF(T2_S=T2_20_TEMP,BF$13, "ERROR"))) )</f>
        <v>68.25</v>
      </c>
      <c r="BB9" s="188" t="n">
        <f aca="false">IF(T2_S=T2_5_TEMP,BG$10, IF(T2_S=T2_10_TEMP,BG$11, IF(T2_S=T2_15_TEMP,BG$12, IF(T2_S=T2_20_TEMP,BG$13, "ERROR"))) )</f>
        <v>68.35</v>
      </c>
      <c r="BC9" s="7"/>
      <c r="BD9" s="188" t="n">
        <f aca="false">V38</f>
        <v>0</v>
      </c>
      <c r="BE9" s="188" t="n">
        <v>73.302</v>
      </c>
      <c r="BF9" s="188" t="n">
        <v>73.25</v>
      </c>
      <c r="BG9" s="188" t="n">
        <v>73.543</v>
      </c>
      <c r="BH9" s="188" t="n">
        <v>72.096</v>
      </c>
      <c r="BI9" s="188" t="n">
        <v>72</v>
      </c>
      <c r="BJ9" s="188" t="n">
        <v>72.294</v>
      </c>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row>
    <row r="10" customFormat="false" ht="16.4" hidden="false" customHeight="false" outlineLevel="0" collapsed="false">
      <c r="A10" s="26"/>
      <c r="B10" s="27"/>
      <c r="C10" s="27"/>
      <c r="D10" s="28" t="s">
        <v>307</v>
      </c>
      <c r="E10" s="27" t="n">
        <f aca="false">IF(T1_S=T1_N10_TEMP,F140,IF(T1_S=T1_N_TEMP,F135, IF(T1_S=T1_0_TEMP,F130,IF(T1_S=T1_5_TEMP,F125, "ERROR"))))</f>
        <v>42.47</v>
      </c>
      <c r="F10" s="68" t="s">
        <v>18</v>
      </c>
      <c r="G10" s="45" t="str">
        <f aca="false">_xlfn.CONCAT(FIXED(E10,2), " ",F10)</f>
        <v>42.47 kΩ</v>
      </c>
      <c r="H10" s="27"/>
      <c r="I10" s="27"/>
      <c r="J10" s="24"/>
      <c r="K10" s="24"/>
      <c r="L10" s="24"/>
      <c r="M10" s="24"/>
      <c r="N10" s="24"/>
      <c r="O10" s="24"/>
      <c r="P10" s="24"/>
      <c r="Q10" s="24"/>
      <c r="R10" s="24"/>
      <c r="S10" s="24"/>
      <c r="T10" s="180" t="s">
        <v>308</v>
      </c>
      <c r="U10" s="187" t="n">
        <f aca="false">Table10[[#This Row],[MIN Temp]]</f>
        <v>12</v>
      </c>
      <c r="V10" s="187" t="n">
        <f aca="false">Table10[[#This Row],[TYP Temp]]</f>
        <v>12</v>
      </c>
      <c r="W10" s="187" t="n">
        <f aca="false">Table10[[#This Row],[MAX Temp]]</f>
        <v>13</v>
      </c>
      <c r="X10" s="181" t="s">
        <v>299</v>
      </c>
      <c r="Y10" s="25"/>
      <c r="Z10" s="6"/>
      <c r="AA10" s="7"/>
      <c r="AB10" s="7"/>
      <c r="AC10" s="80" t="n">
        <f aca="false">Table13[[#This Row],[Min]]</f>
        <v>66.983</v>
      </c>
      <c r="AD10" s="80" t="n">
        <f aca="false">INDEX(Table9[Vmin (%)], (MATCH(Table10[[#This Row],[Target (MIN)]], Table9[Vmin (%)],1)))</f>
        <v>66.9679929596234</v>
      </c>
      <c r="AE10" s="80" t="n">
        <f aca="false">INDEX(Table9[Vmin (%)], (MATCH(Table10[[#This Row],[Target (MIN)]], Table9[Vmin (%)],1)+1))</f>
        <v>67.5418845900757</v>
      </c>
      <c r="AF10" s="80" t="n">
        <f aca="false">ABS(Table10[[#This Row],[Target (MIN)]]-Table10[[#This Row],[1st VLOOK MIN]])</f>
        <v>0.0150070403765881</v>
      </c>
      <c r="AG10" s="80" t="n">
        <f aca="false">ABS(Table10[[#This Row],[Target (MIN)]]-Table10[[#This Row],[2nd VLOOK MIN]])</f>
        <v>0.558884590075707</v>
      </c>
      <c r="AH10" s="80" t="n">
        <f aca="false">IF(Table10[[#This Row],[1st Diff]]&lt;Table10[[#This Row],[2nd Diff]],Table10[[#This Row],[1st VLOOK MIN]],Table10[[#This Row],[2nd VLOOK MIN]])</f>
        <v>66.9679929596234</v>
      </c>
      <c r="AI10" s="80" t="n">
        <f aca="false">INDEX(Table9[Temperature], (MATCH(Table10[[#This Row],[Closest VLOOK MIN]], Table9[Vmin (%)],1)))</f>
        <v>12</v>
      </c>
      <c r="AJ10" s="80" t="n">
        <f aca="false">Table13[[#This Row],[Typ]]</f>
        <v>66.95</v>
      </c>
      <c r="AK10" s="80" t="n">
        <f aca="false">INDEX(Table9[Vnom (%)], (MATCH(Table10[[#This Row],[Target (Typ)]], Table9[Vnom (%)],1)))</f>
        <v>66.6372250218772</v>
      </c>
      <c r="AL10" s="80" t="n">
        <f aca="false">INDEX(Table9[Vnom (%)], (MATCH(Table10[[#This Row],[Target (Typ)]], Table9[Vnom (%)],1)+1))</f>
        <v>67.2248267629267</v>
      </c>
      <c r="AM10" s="80" t="n">
        <f aca="false">ABS(Table10[[#This Row],[Target (Typ)]]-Table10[[#This Row],[1st VLOOK TYP]])</f>
        <v>0.312774978122775</v>
      </c>
      <c r="AN10" s="80" t="n">
        <f aca="false">ABS(Table10[[#This Row],[Target (Typ)]]-Table10[[#This Row],[2nd VLOOK TYP]])</f>
        <v>0.274826762926651</v>
      </c>
      <c r="AO10" s="80" t="n">
        <f aca="false">IF(Table10[[#This Row],[1st Diff Typ]]&lt;Table10[[#This Row],[2nd Diff TYP]],Table10[[#This Row],[1st VLOOK TYP]],Table10[[#This Row],[2nd VLOOK TYP]])</f>
        <v>67.2248267629267</v>
      </c>
      <c r="AP10" s="80" t="n">
        <f aca="false">INDEX(Table9[Temperature], (MATCH(Table10[[#This Row],[Closest VLOOK TYP]], Table9[Vnom (%)],1)))</f>
        <v>12</v>
      </c>
      <c r="AQ10" s="80" t="n">
        <f aca="false">Table13[[#This Row],[Max]]</f>
        <v>67.144</v>
      </c>
      <c r="AR10" s="80" t="n">
        <f aca="false">INDEX(Table9[Vmax (%)], (MATCH(Table10[[#This Row],[Target (MAX)]], Table9[Vmax (%)],1)))</f>
        <v>66.8850777504519</v>
      </c>
      <c r="AS10" s="80" t="n">
        <f aca="false">INDEX(Table9[Vmax (%)], (MATCH(Table10[[#This Row],[Target (Typ)]], Table9[Vmax (%)],1)+1))</f>
        <v>67.4676419804545</v>
      </c>
      <c r="AT10" s="80" t="n">
        <f aca="false">ABS(Table10[[#This Row],[Target (MAX)]]-Table10[[#This Row],[1st VLOOK MAX]])</f>
        <v>0.258922249548121</v>
      </c>
      <c r="AU10" s="80" t="n">
        <f aca="false">ABS(Table10[[#This Row],[Target (MAX)]]-Table10[[#This Row],[2nd VLOOK MAX]])</f>
        <v>0.323641980454454</v>
      </c>
      <c r="AV10" s="80" t="n">
        <f aca="false">IF(Table10[[#This Row],[1st Diff MAX]]&lt;Table10[[#This Row],[2nd Diff MAX]],Table10[[#This Row],[1st VLOOK MAX]],Table10[[#This Row],[2nd VLOOK MAX]])</f>
        <v>66.8850777504519</v>
      </c>
      <c r="AW10" s="80" t="n">
        <f aca="false">INDEX(Table9[Temperature], (MATCH(Table10[[#This Row],[Closest VLOOK MAX]], Table9[Vmax (%)],1)))</f>
        <v>13</v>
      </c>
      <c r="AX10" s="7"/>
      <c r="AY10" s="189" t="s">
        <v>309</v>
      </c>
      <c r="AZ10" s="189" t="n">
        <f aca="false">IF(T2_S=T2_5_TEMP,BH$10, IF(T2_S=T2_10_TEMP,BH$11, IF(T2_S=T2_15_TEMP,BH$12, IF(T2_S=T2_20_TEMP,BH$13, "ERROR"))) )</f>
        <v>66.983</v>
      </c>
      <c r="BA10" s="189" t="n">
        <f aca="false">IF(T2_S=T2_5_TEMP,BI$10, IF(T2_S=T2_10_TEMP,BI$11, IF(T2_S=T2_15_TEMP,BI$12, IF(T2_S=T2_20_TEMP,BI$13, "ERROR"))) )</f>
        <v>66.95</v>
      </c>
      <c r="BB10" s="189" t="n">
        <f aca="false">IF(T2_S=T2_5_TEMP,BJ$10, IF(T2_S=T2_10_TEMP,BJ$11, IF(T2_S=T2_15_TEMP,BJ$12, IF(T2_S=T2_20_TEMP,BJ$13, "ERROR"))) )</f>
        <v>67.144</v>
      </c>
      <c r="BC10" s="7"/>
      <c r="BD10" s="189" t="n">
        <v>5</v>
      </c>
      <c r="BE10" s="189" t="n">
        <v>70.798</v>
      </c>
      <c r="BF10" s="189" t="n">
        <v>70.88</v>
      </c>
      <c r="BG10" s="189" t="n">
        <v>70.996</v>
      </c>
      <c r="BH10" s="189" t="n">
        <v>69.833</v>
      </c>
      <c r="BI10" s="189" t="n">
        <v>69.8</v>
      </c>
      <c r="BJ10" s="189" t="n">
        <v>70.037</v>
      </c>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row>
    <row r="11" customFormat="false" ht="16.4" hidden="false" customHeight="false" outlineLevel="0" collapsed="false">
      <c r="A11" s="26"/>
      <c r="B11" s="27"/>
      <c r="C11" s="27"/>
      <c r="D11" s="28" t="s">
        <v>310</v>
      </c>
      <c r="E11" s="27" t="n">
        <f aca="false">IF(T5_S=T5_50_TEMP,$F$80, IF(T5_S=T5_55_TEMP,$F$75, IF(T5_S=T5_60_TEMP,$F$70,IF(T5_S=T5_65_TEMP,$F$65, "ERROR"))))</f>
        <v>3.02</v>
      </c>
      <c r="F11" s="68" t="s">
        <v>18</v>
      </c>
      <c r="G11" s="45" t="str">
        <f aca="false">_xlfn.CONCAT(FIXED(E11,2), " ",F11)</f>
        <v>3.02 kΩ</v>
      </c>
      <c r="H11" s="27"/>
      <c r="I11" s="27"/>
      <c r="J11" s="24"/>
      <c r="K11" s="24"/>
      <c r="L11" s="24"/>
      <c r="M11" s="24"/>
      <c r="N11" s="24"/>
      <c r="O11" s="24"/>
      <c r="P11" s="24"/>
      <c r="Q11" s="24"/>
      <c r="R11" s="24"/>
      <c r="S11" s="24"/>
      <c r="T11" s="180" t="s">
        <v>311</v>
      </c>
      <c r="U11" s="187" t="n">
        <f aca="false">Table10[[#This Row],[MIN Temp]]</f>
        <v>48</v>
      </c>
      <c r="V11" s="187" t="n">
        <f aca="false">Table10[[#This Row],[TYP Temp]]</f>
        <v>48</v>
      </c>
      <c r="W11" s="187" t="n">
        <f aca="false">Table10[[#This Row],[MAX Temp]]</f>
        <v>49</v>
      </c>
      <c r="X11" s="181" t="s">
        <v>299</v>
      </c>
      <c r="Y11" s="25"/>
      <c r="Z11" s="6"/>
      <c r="AA11" s="7"/>
      <c r="AB11" s="7"/>
      <c r="AC11" s="80" t="n">
        <f aca="false">Table13[[#This Row],[Min]]</f>
        <v>42.338</v>
      </c>
      <c r="AD11" s="80" t="n">
        <f aca="false">INDEX(Table9[Vmin (%)], (MATCH(Table10[[#This Row],[Target (MIN)]], Table9[Vmin (%)],1)))</f>
        <v>42.1498324207607</v>
      </c>
      <c r="AE11" s="80" t="n">
        <f aca="false">INDEX(Table9[Vmin (%)], (MATCH(Table10[[#This Row],[Target (MIN)]], Table9[Vmin (%)],1)+1))</f>
        <v>42.8614563253172</v>
      </c>
      <c r="AF11" s="80" t="n">
        <f aca="false">ABS(Table10[[#This Row],[Target (MIN)]]-Table10[[#This Row],[1st VLOOK MIN]])</f>
        <v>0.188167579239341</v>
      </c>
      <c r="AG11" s="80" t="n">
        <f aca="false">ABS(Table10[[#This Row],[Target (MIN)]]-Table10[[#This Row],[2nd VLOOK MIN]])</f>
        <v>0.523456325317213</v>
      </c>
      <c r="AH11" s="80" t="n">
        <f aca="false">IF(Table10[[#This Row],[1st Diff]]&lt;Table10[[#This Row],[2nd Diff]],Table10[[#This Row],[1st VLOOK MIN]],Table10[[#This Row],[2nd VLOOK MIN]])</f>
        <v>42.1498324207607</v>
      </c>
      <c r="AI11" s="80" t="n">
        <f aca="false">INDEX(Table9[Temperature], (MATCH(Table10[[#This Row],[Closest VLOOK MIN]], Table9[Vmin (%)],1)))</f>
        <v>48</v>
      </c>
      <c r="AJ11" s="80" t="n">
        <f aca="false">Table13[[#This Row],[Typ]]</f>
        <v>42.5</v>
      </c>
      <c r="AK11" s="80" t="n">
        <f aca="false">INDEX(Table9[Vnom (%)], (MATCH(Table10[[#This Row],[Target (Typ)]], Table9[Vnom (%)],1)))</f>
        <v>41.8619954676255</v>
      </c>
      <c r="AL11" s="80" t="n">
        <f aca="false">INDEX(Table9[Vnom (%)], (MATCH(Table10[[#This Row],[Target (Typ)]], Table9[Vnom (%)],1)+1))</f>
        <v>42.5649723044992</v>
      </c>
      <c r="AM11" s="80" t="n">
        <f aca="false">ABS(Table10[[#This Row],[Target (Typ)]]-Table10[[#This Row],[1st VLOOK TYP]])</f>
        <v>0.638004532374495</v>
      </c>
      <c r="AN11" s="80" t="n">
        <f aca="false">ABS(Table10[[#This Row],[Target (Typ)]]-Table10[[#This Row],[2nd VLOOK TYP]])</f>
        <v>0.0649723044992072</v>
      </c>
      <c r="AO11" s="80" t="n">
        <f aca="false">IF(Table10[[#This Row],[1st Diff Typ]]&lt;Table10[[#This Row],[2nd Diff TYP]],Table10[[#This Row],[1st VLOOK TYP]],Table10[[#This Row],[2nd VLOOK TYP]])</f>
        <v>42.5649723044992</v>
      </c>
      <c r="AP11" s="80" t="n">
        <f aca="false">INDEX(Table9[Temperature], (MATCH(Table10[[#This Row],[Closest VLOOK TYP]], Table9[Vnom (%)],1)))</f>
        <v>48</v>
      </c>
      <c r="AQ11" s="80" t="n">
        <f aca="false">Table13[[#This Row],[Max]]</f>
        <v>42.622</v>
      </c>
      <c r="AR11" s="80" t="n">
        <f aca="false">INDEX(Table9[Vmax (%)], (MATCH(Table10[[#This Row],[Target (MAX)]], Table9[Vmax (%)],1)))</f>
        <v>42.2828386563746</v>
      </c>
      <c r="AS11" s="80" t="n">
        <f aca="false">INDEX(Table9[Vmax (%)], (MATCH(Table10[[#This Row],[Target (Typ)]], Table9[Vmax (%)],1)+1))</f>
        <v>42.9781800862009</v>
      </c>
      <c r="AT11" s="80" t="n">
        <f aca="false">ABS(Table10[[#This Row],[Target (MAX)]]-Table10[[#This Row],[1st VLOOK MAX]])</f>
        <v>0.339161343625392</v>
      </c>
      <c r="AU11" s="80" t="n">
        <f aca="false">ABS(Table10[[#This Row],[Target (MAX)]]-Table10[[#This Row],[2nd VLOOK MAX]])</f>
        <v>0.356180086200872</v>
      </c>
      <c r="AV11" s="80" t="n">
        <f aca="false">IF(Table10[[#This Row],[1st Diff MAX]]&lt;Table10[[#This Row],[2nd Diff MAX]],Table10[[#This Row],[1st VLOOK MAX]],Table10[[#This Row],[2nd VLOOK MAX]])</f>
        <v>42.2828386563746</v>
      </c>
      <c r="AW11" s="80" t="n">
        <f aca="false">INDEX(Table9[Temperature], (MATCH(Table10[[#This Row],[Closest VLOOK MAX]], Table9[Vmax (%)],1)))</f>
        <v>49</v>
      </c>
      <c r="AX11" s="7"/>
      <c r="AY11" s="188" t="s">
        <v>312</v>
      </c>
      <c r="AZ11" s="189" t="n">
        <f aca="false">IF(T3_S=T3_40_TEMP,BE$14, IF(T3_S=T3_45_TEMP,BE$15, IF(T3_S=T3_50_TEMP,BE$16, IF(T3_55_TEMP,BE$17, "ERROR"))))</f>
        <v>42.338</v>
      </c>
      <c r="BA11" s="189" t="n">
        <f aca="false">IF(T3_S=T3_40_TEMP,BF$14, IF(T3_S=T3_45_TEMP,BF$15, IF(T3_S=T3_50_TEMP,BF$16, IF(T3_55_TEMP,BF$17, "ERROR"))))</f>
        <v>42.5</v>
      </c>
      <c r="BB11" s="189" t="n">
        <f aca="false">IF(T3_S=T3_40_TEMP,BG$14, IF(T3_S=T3_45_TEMP,BG$15, IF(T3_S=T3_50_TEMP,BG$16, IF(T3_55_TEMP,BG$17, "ERROR"))))</f>
        <v>42.622</v>
      </c>
      <c r="BC11" s="7"/>
      <c r="BD11" s="188" t="n">
        <v>10</v>
      </c>
      <c r="BE11" s="188" t="n">
        <v>68.152</v>
      </c>
      <c r="BF11" s="188" t="n">
        <v>68.25</v>
      </c>
      <c r="BG11" s="188" t="n">
        <v>68.35</v>
      </c>
      <c r="BH11" s="188" t="n">
        <v>66.983</v>
      </c>
      <c r="BI11" s="188" t="n">
        <v>66.95</v>
      </c>
      <c r="BJ11" s="188" t="n">
        <v>67.144</v>
      </c>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row>
    <row r="12" customFormat="false" ht="16.4" hidden="false" customHeight="false" outlineLevel="0" collapsed="false">
      <c r="A12" s="26"/>
      <c r="B12" s="27"/>
      <c r="C12" s="27"/>
      <c r="D12" s="41" t="s">
        <v>313</v>
      </c>
      <c r="E12" s="42" t="n">
        <f aca="false">(1/$Q$6-1)/(1/(RT2_Ideal_TH*10^3)+1/(RTHCOLD_TH*10^3))/10^3</f>
        <v>5.24389005276926</v>
      </c>
      <c r="F12" s="57" t="s">
        <v>18</v>
      </c>
      <c r="G12" s="45" t="str">
        <f aca="false">_xlfn.CONCAT(FIXED(E12,2), " ",F12)</f>
        <v>5.24 kΩ</v>
      </c>
      <c r="H12" s="27"/>
      <c r="I12" s="27"/>
      <c r="J12" s="24"/>
      <c r="K12" s="24"/>
      <c r="L12" s="24"/>
      <c r="M12" s="24"/>
      <c r="N12" s="24"/>
      <c r="O12" s="24"/>
      <c r="P12" s="24"/>
      <c r="Q12" s="24"/>
      <c r="R12" s="24"/>
      <c r="S12" s="24"/>
      <c r="T12" s="180" t="s">
        <v>314</v>
      </c>
      <c r="U12" s="187" t="n">
        <f aca="false">Table10[[#This Row],[MIN Temp]]</f>
        <v>49</v>
      </c>
      <c r="V12" s="187" t="n">
        <f aca="false">Table10[[#This Row],[TYP Temp]]</f>
        <v>50</v>
      </c>
      <c r="W12" s="187" t="n">
        <f aca="false">Table10[[#This Row],[MAX Temp]]</f>
        <v>50</v>
      </c>
      <c r="X12" s="181" t="s">
        <v>299</v>
      </c>
      <c r="Y12" s="25"/>
      <c r="Z12" s="6"/>
      <c r="AA12" s="7"/>
      <c r="AB12" s="7"/>
      <c r="AC12" s="80" t="n">
        <f aca="false">Table13[[#This Row],[Min]]</f>
        <v>41.175</v>
      </c>
      <c r="AD12" s="80" t="n">
        <f aca="false">INDEX(Table9[Vmin (%)], (MATCH(Table10[[#This Row],[Target (MIN)]], Table9[Vmin (%)],1)))</f>
        <v>40.7309305272105</v>
      </c>
      <c r="AE12" s="80" t="n">
        <f aca="false">INDEX(Table9[Vmin (%)], (MATCH(Table10[[#This Row],[Target (MIN)]], Table9[Vmin (%)],1)+1))</f>
        <v>41.439224695246</v>
      </c>
      <c r="AF12" s="80" t="n">
        <f aca="false">ABS(Table10[[#This Row],[Target (MIN)]]-Table10[[#This Row],[1st VLOOK MIN]])</f>
        <v>0.444069472789479</v>
      </c>
      <c r="AG12" s="80" t="n">
        <f aca="false">ABS(Table10[[#This Row],[Target (MIN)]]-Table10[[#This Row],[2nd VLOOK MIN]])</f>
        <v>0.264224695246007</v>
      </c>
      <c r="AH12" s="80" t="n">
        <f aca="false">IF(Table10[[#This Row],[1st Diff]]&lt;Table10[[#This Row],[2nd Diff]],Table10[[#This Row],[1st VLOOK MIN]],Table10[[#This Row],[2nd VLOOK MIN]])</f>
        <v>41.439224695246</v>
      </c>
      <c r="AI12" s="80" t="n">
        <f aca="false">INDEX(Table9[Temperature], (MATCH(Table10[[#This Row],[Closest VLOOK MIN]], Table9[Vmin (%)],1)))</f>
        <v>49</v>
      </c>
      <c r="AJ12" s="80" t="n">
        <f aca="false">Table13[[#This Row],[Typ]]</f>
        <v>41.2</v>
      </c>
      <c r="AK12" s="80" t="n">
        <f aca="false">INDEX(Table9[Vnom (%)], (MATCH(Table10[[#This Row],[Target (Typ)]], Table9[Vnom (%)],1)))</f>
        <v>41.161167165531</v>
      </c>
      <c r="AL12" s="80" t="n">
        <f aca="false">INDEX(Table9[Vnom (%)], (MATCH(Table10[[#This Row],[Target (Typ)]], Table9[Vnom (%)],1)+1))</f>
        <v>41.8619954676255</v>
      </c>
      <c r="AM12" s="80" t="n">
        <f aca="false">ABS(Table10[[#This Row],[Target (Typ)]]-Table10[[#This Row],[1st VLOOK TYP]])</f>
        <v>0.0388328344690549</v>
      </c>
      <c r="AN12" s="80" t="n">
        <f aca="false">ABS(Table10[[#This Row],[Target (Typ)]]-Table10[[#This Row],[2nd VLOOK TYP]])</f>
        <v>0.661995467625502</v>
      </c>
      <c r="AO12" s="80" t="n">
        <f aca="false">IF(Table10[[#This Row],[1st Diff Typ]]&lt;Table10[[#This Row],[2nd Diff TYP]],Table10[[#This Row],[1st VLOOK TYP]],Table10[[#This Row],[2nd VLOOK TYP]])</f>
        <v>41.161167165531</v>
      </c>
      <c r="AP12" s="80" t="n">
        <f aca="false">INDEX(Table9[Temperature], (MATCH(Table10[[#This Row],[Closest VLOOK TYP]], Table9[Vnom (%)],1)))</f>
        <v>50</v>
      </c>
      <c r="AQ12" s="80" t="n">
        <f aca="false">Table13[[#This Row],[Max]]</f>
        <v>41.416</v>
      </c>
      <c r="AR12" s="80" t="n">
        <f aca="false">INDEX(Table9[Vmax (%)], (MATCH(Table10[[#This Row],[Target (MAX)]], Table9[Vmax (%)],1)))</f>
        <v>40.8942472829927</v>
      </c>
      <c r="AS12" s="80" t="n">
        <f aca="false">INDEX(Table9[Vmax (%)], (MATCH(Table10[[#This Row],[Target (Typ)]], Table9[Vmax (%)],1)+1))</f>
        <v>41.5894880927137</v>
      </c>
      <c r="AT12" s="80" t="n">
        <f aca="false">ABS(Table10[[#This Row],[Target (MAX)]]-Table10[[#This Row],[1st VLOOK MAX]])</f>
        <v>0.521752717007288</v>
      </c>
      <c r="AU12" s="80" t="n">
        <f aca="false">ABS(Table10[[#This Row],[Target (MAX)]]-Table10[[#This Row],[2nd VLOOK MAX]])</f>
        <v>0.173488092713711</v>
      </c>
      <c r="AV12" s="80" t="n">
        <f aca="false">IF(Table10[[#This Row],[1st Diff MAX]]&lt;Table10[[#This Row],[2nd Diff MAX]],Table10[[#This Row],[1st VLOOK MAX]],Table10[[#This Row],[2nd VLOOK MAX]])</f>
        <v>41.5894880927137</v>
      </c>
      <c r="AW12" s="80" t="n">
        <f aca="false">INDEX(Table9[Temperature], (MATCH(Table10[[#This Row],[Closest VLOOK MAX]], Table9[Vmax (%)],1)))</f>
        <v>50</v>
      </c>
      <c r="AX12" s="7"/>
      <c r="AY12" s="189" t="s">
        <v>315</v>
      </c>
      <c r="AZ12" s="189" t="n">
        <f aca="false">IF(T3_S=T3_40_TEMP,BH$14, IF(T3_S=T3_45_TEMP,BH$15, IF(T3_S=T3_50_TEMP,BH$16, IF(T3_55_TEMP,BH$17, "ERROR"))))</f>
        <v>41.175</v>
      </c>
      <c r="BA12" s="189" t="n">
        <f aca="false">IF(T3_S=T3_40_TEMP,BI$14, IF(T3_S=T3_45_TEMP,BI$15, IF(T3_S=T3_50_TEMP,BI$16, IF(T3_55_TEMP,BI$17, "ERROR"))))</f>
        <v>41.2</v>
      </c>
      <c r="BB12" s="189" t="n">
        <f aca="false">IF(T3_S=T3_40_TEMP,BJ$14, IF(T3_S=T3_45_TEMP,BJ$15, IF(T3_S=T3_50_TEMP,BJ$16, IF(T3_55_TEMP,BJ$17, "ERROR"))))</f>
        <v>41.416</v>
      </c>
      <c r="BC12" s="7"/>
      <c r="BD12" s="189" t="n">
        <v>15</v>
      </c>
      <c r="BE12" s="189" t="n">
        <v>65.301</v>
      </c>
      <c r="BF12" s="189" t="n">
        <v>65.35</v>
      </c>
      <c r="BG12" s="189" t="n">
        <v>65.462</v>
      </c>
      <c r="BH12" s="189" t="n">
        <v>64.096</v>
      </c>
      <c r="BI12" s="189" t="n">
        <v>64.2</v>
      </c>
      <c r="BJ12" s="189" t="n">
        <v>64.256</v>
      </c>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row>
    <row r="13" customFormat="false" ht="16.4" hidden="false" customHeight="false" outlineLevel="0" collapsed="false">
      <c r="A13" s="33"/>
      <c r="B13" s="34"/>
      <c r="C13" s="34"/>
      <c r="D13" s="50" t="s">
        <v>316</v>
      </c>
      <c r="E13" s="63" t="n">
        <f aca="false">(RTHCOLD_TH*10^3*RTHHOT_TH*10^3*(1/$Q$6-1/$Q$9))/(RTHHOT_TH*10^3*(1/$Q$9-1)-RTHCOLD_TH*10^3*(1/$Q$6-1))/10^3</f>
        <v>30.3635469466652</v>
      </c>
      <c r="F13" s="82" t="s">
        <v>18</v>
      </c>
      <c r="G13" s="45" t="str">
        <f aca="false">_xlfn.CONCAT(FIXED(E13,2), " ",F13)</f>
        <v>30.36 kΩ</v>
      </c>
      <c r="H13" s="27"/>
      <c r="I13" s="27"/>
      <c r="J13" s="24"/>
      <c r="K13" s="24"/>
      <c r="L13" s="24"/>
      <c r="M13" s="24"/>
      <c r="N13" s="24"/>
      <c r="O13" s="24"/>
      <c r="P13" s="24"/>
      <c r="Q13" s="24"/>
      <c r="R13" s="24"/>
      <c r="S13" s="24"/>
      <c r="T13" s="180" t="s">
        <v>317</v>
      </c>
      <c r="U13" s="187" t="n">
        <f aca="false">Table10[[#This Row],[MIN Temp]]</f>
        <v>58</v>
      </c>
      <c r="V13" s="187" t="n">
        <f aca="false">Table10[[#This Row],[TYP Temp]]</f>
        <v>58</v>
      </c>
      <c r="W13" s="187" t="n">
        <f aca="false">Table10[[#This Row],[MAX Temp]]</f>
        <v>59</v>
      </c>
      <c r="X13" s="181" t="s">
        <v>299</v>
      </c>
      <c r="Y13" s="25"/>
      <c r="Z13" s="6"/>
      <c r="AA13" s="7"/>
      <c r="AB13" s="7"/>
      <c r="AC13" s="80" t="n">
        <f aca="false">Table13[[#This Row],[Min]]</f>
        <v>35.394</v>
      </c>
      <c r="AD13" s="80" t="n">
        <f aca="false">INDEX(Table9[Vmin (%)], (MATCH(Table10[[#This Row],[Target (MIN)]], Table9[Vmin (%)],1)))</f>
        <v>35.249373441002</v>
      </c>
      <c r="AE13" s="80" t="n">
        <f aca="false">INDEX(Table9[Vmin (%)], (MATCH(Table10[[#This Row],[Target (MIN)]], Table9[Vmin (%)],1)+1))</f>
        <v>35.9112724114109</v>
      </c>
      <c r="AF13" s="80" t="n">
        <f aca="false">ABS(Table10[[#This Row],[Target (MIN)]]-Table10[[#This Row],[1st VLOOK MIN]])</f>
        <v>0.144626558998048</v>
      </c>
      <c r="AG13" s="80" t="n">
        <f aca="false">ABS(Table10[[#This Row],[Target (MIN)]]-Table10[[#This Row],[2nd VLOOK MIN]])</f>
        <v>0.517272411410893</v>
      </c>
      <c r="AH13" s="80" t="n">
        <f aca="false">IF(Table10[[#This Row],[1st Diff]]&lt;Table10[[#This Row],[2nd Diff]],Table10[[#This Row],[1st VLOOK MIN]],Table10[[#This Row],[2nd VLOOK MIN]])</f>
        <v>35.249373441002</v>
      </c>
      <c r="AI13" s="80" t="n">
        <f aca="false">INDEX(Table9[Temperature], (MATCH(Table10[[#This Row],[Closest VLOOK MIN]], Table9[Vmin (%)],1)))</f>
        <v>58</v>
      </c>
      <c r="AJ13" s="80" t="n">
        <f aca="false">Table13[[#This Row],[Typ]]</f>
        <v>35.5</v>
      </c>
      <c r="AK13" s="80" t="n">
        <f aca="false">INDEX(Table9[Vnom (%)], (MATCH(Table10[[#This Row],[Target (Typ)]], Table9[Vnom (%)],1)))</f>
        <v>35.0761797173227</v>
      </c>
      <c r="AL13" s="80" t="n">
        <f aca="false">INDEX(Table9[Vnom (%)], (MATCH(Table10[[#This Row],[Target (Typ)]], Table9[Vnom (%)],1)+1))</f>
        <v>35.7241893132247</v>
      </c>
      <c r="AM13" s="80" t="n">
        <f aca="false">ABS(Table10[[#This Row],[Target (Typ)]]-Table10[[#This Row],[1st VLOOK TYP]])</f>
        <v>0.423820282677283</v>
      </c>
      <c r="AN13" s="80" t="n">
        <f aca="false">ABS(Table10[[#This Row],[Target (Typ)]]-Table10[[#This Row],[2nd VLOOK TYP]])</f>
        <v>0.224189313224692</v>
      </c>
      <c r="AO13" s="80" t="n">
        <f aca="false">IF(Table10[[#This Row],[1st Diff Typ]]&lt;Table10[[#This Row],[2nd Diff TYP]],Table10[[#This Row],[1st VLOOK TYP]],Table10[[#This Row],[2nd VLOOK TYP]])</f>
        <v>35.7241893132247</v>
      </c>
      <c r="AP13" s="80" t="n">
        <f aca="false">INDEX(Table9[Temperature], (MATCH(Table10[[#This Row],[Closest VLOOK TYP]], Table9[Vnom (%)],1)))</f>
        <v>58</v>
      </c>
      <c r="AQ13" s="80" t="n">
        <f aca="false">Table13[[#This Row],[Max]]</f>
        <v>35.636</v>
      </c>
      <c r="AR13" s="80" t="n">
        <f aca="false">INDEX(Table9[Vmax (%)], (MATCH(Table10[[#This Row],[Target (MAX)]], Table9[Vmax (%)],1)))</f>
        <v>35.5481629575589</v>
      </c>
      <c r="AS13" s="80" t="n">
        <f aca="false">INDEX(Table9[Vmax (%)], (MATCH(Table10[[#This Row],[Target (Typ)]], Table9[Vmax (%)],1)+1))</f>
        <v>35.5481629575589</v>
      </c>
      <c r="AT13" s="80" t="n">
        <f aca="false">ABS(Table10[[#This Row],[Target (MAX)]]-Table10[[#This Row],[1st VLOOK MAX]])</f>
        <v>0.0878370424410662</v>
      </c>
      <c r="AU13" s="80" t="n">
        <f aca="false">ABS(Table10[[#This Row],[Target (MAX)]]-Table10[[#This Row],[2nd VLOOK MAX]])</f>
        <v>0.0878370424410662</v>
      </c>
      <c r="AV13" s="80" t="n">
        <f aca="false">IF(Table10[[#This Row],[1st Diff MAX]]&lt;Table10[[#This Row],[2nd Diff MAX]],Table10[[#This Row],[1st VLOOK MAX]],Table10[[#This Row],[2nd VLOOK MAX]])</f>
        <v>35.5481629575589</v>
      </c>
      <c r="AW13" s="80" t="n">
        <f aca="false">INDEX(Table9[Temperature], (MATCH(Table10[[#This Row],[Closest VLOOK MAX]], Table9[Vmax (%)],1)))</f>
        <v>59</v>
      </c>
      <c r="AX13" s="7"/>
      <c r="AY13" s="188" t="s">
        <v>318</v>
      </c>
      <c r="AZ13" s="189" t="n">
        <f aca="false">IF(T5_S=T5_50_TEMP,BE$16, IF(T5_S=T5_55_TEMP,BE$17,IF(T5_S=T5_60_TEMP,BE$18,IF(T5_S=T5_65_TEMP,BE$19, "ERROR"))))</f>
        <v>35.394</v>
      </c>
      <c r="BA13" s="189" t="n">
        <f aca="false">IF(T5_S=T5_50_TEMP,BF$16, IF(T5_S=T5_55_TEMP,BF$17,IF(T5_S=T5_60_TEMP,BF$18,IF(T5_S=T5_65_TEMP,BF$19, "ERROR"))))</f>
        <v>35.5</v>
      </c>
      <c r="BB13" s="189" t="n">
        <f aca="false">IF(T5_S=T5_50_TEMP,BG$16, IF(T5_S=T5_55_TEMP,BG$17,IF(T5_S=T5_60_TEMP,BG$18,IF(T5_S=T5_65_TEMP,BG$19, "ERROR"))))</f>
        <v>35.636</v>
      </c>
      <c r="BC13" s="7"/>
      <c r="BD13" s="188" t="n">
        <v>20</v>
      </c>
      <c r="BE13" s="188" t="n">
        <v>62.173</v>
      </c>
      <c r="BF13" s="188" t="n">
        <v>62.25</v>
      </c>
      <c r="BG13" s="188" t="n">
        <v>62.371</v>
      </c>
      <c r="BH13" s="188" t="n">
        <v>60.967</v>
      </c>
      <c r="BI13" s="188" t="n">
        <v>61.1</v>
      </c>
      <c r="BJ13" s="188" t="n">
        <v>61.171</v>
      </c>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row>
    <row r="14" customFormat="false" ht="16.4" hidden="false" customHeight="false" outlineLevel="0" collapsed="false">
      <c r="A14" s="190"/>
      <c r="B14" s="191"/>
      <c r="C14" s="191"/>
      <c r="D14" s="191"/>
      <c r="E14" s="191"/>
      <c r="F14" s="191"/>
      <c r="G14" s="24"/>
      <c r="H14" s="24"/>
      <c r="I14" s="24"/>
      <c r="J14" s="24"/>
      <c r="K14" s="24"/>
      <c r="L14" s="24"/>
      <c r="M14" s="24"/>
      <c r="N14" s="24"/>
      <c r="O14" s="24"/>
      <c r="P14" s="24"/>
      <c r="Q14" s="24"/>
      <c r="R14" s="24"/>
      <c r="S14" s="24"/>
      <c r="T14" s="180" t="s">
        <v>319</v>
      </c>
      <c r="U14" s="187" t="n">
        <f aca="false">Table10[[#This Row],[MIN Temp]]</f>
        <v>59</v>
      </c>
      <c r="V14" s="187" t="n">
        <f aca="false">Table10[[#This Row],[TYP Temp]]</f>
        <v>60</v>
      </c>
      <c r="W14" s="187" t="n">
        <f aca="false">Table10[[#This Row],[MAX Temp]]</f>
        <v>61</v>
      </c>
      <c r="X14" s="181" t="s">
        <v>299</v>
      </c>
      <c r="Y14" s="25"/>
      <c r="Z14" s="6"/>
      <c r="AA14" s="7"/>
      <c r="AB14" s="7"/>
      <c r="AC14" s="80" t="n">
        <f aca="false">Table13[[#This Row],[Min]]</f>
        <v>34.306</v>
      </c>
      <c r="AD14" s="80" t="n">
        <f aca="false">INDEX(Table9[Vmin (%)], (MATCH(Table10[[#This Row],[Target (MIN)]], Table9[Vmin (%)],1)))</f>
        <v>33.9541049945155</v>
      </c>
      <c r="AE14" s="80" t="n">
        <f aca="false">INDEX(Table9[Vmin (%)], (MATCH(Table10[[#This Row],[Target (MIN)]], Table9[Vmin (%)],1)+1))</f>
        <v>34.5965132239636</v>
      </c>
      <c r="AF14" s="80" t="n">
        <f aca="false">ABS(Table10[[#This Row],[Target (MIN)]]-Table10[[#This Row],[1st VLOOK MIN]])</f>
        <v>0.351895005484501</v>
      </c>
      <c r="AG14" s="80" t="n">
        <f aca="false">ABS(Table10[[#This Row],[Target (MIN)]]-Table10[[#This Row],[2nd VLOOK MIN]])</f>
        <v>0.290513223963643</v>
      </c>
      <c r="AH14" s="80" t="n">
        <f aca="false">IF(Table10[[#This Row],[1st Diff]]&lt;Table10[[#This Row],[2nd Diff]],Table10[[#This Row],[1st VLOOK MIN]],Table10[[#This Row],[2nd VLOOK MIN]])</f>
        <v>34.5965132239636</v>
      </c>
      <c r="AI14" s="80" t="n">
        <f aca="false">INDEX(Table9[Temperature], (MATCH(Table10[[#This Row],[Closest VLOOK MIN]], Table9[Vmin (%)],1)))</f>
        <v>59</v>
      </c>
      <c r="AJ14" s="80" t="n">
        <f aca="false">Table13[[#This Row],[Typ]]</f>
        <v>34.375</v>
      </c>
      <c r="AK14" s="80" t="n">
        <f aca="false">INDEX(Table9[Vnom (%)], (MATCH(Table10[[#This Row],[Target (Typ)]], Table9[Vnom (%)],1)))</f>
        <v>33.7908828244458</v>
      </c>
      <c r="AL14" s="80" t="n">
        <f aca="false">INDEX(Table9[Vnom (%)], (MATCH(Table10[[#This Row],[Target (Typ)]], Table9[Vnom (%)],1)+1))</f>
        <v>34.4314401611448</v>
      </c>
      <c r="AM14" s="80" t="n">
        <f aca="false">ABS(Table10[[#This Row],[Target (Typ)]]-Table10[[#This Row],[1st VLOOK TYP]])</f>
        <v>0.584117175554184</v>
      </c>
      <c r="AN14" s="80" t="n">
        <f aca="false">ABS(Table10[[#This Row],[Target (Typ)]]-Table10[[#This Row],[2nd VLOOK TYP]])</f>
        <v>0.0564401611448133</v>
      </c>
      <c r="AO14" s="80" t="n">
        <f aca="false">IF(Table10[[#This Row],[1st Diff Typ]]&lt;Table10[[#This Row],[2nd Diff TYP]],Table10[[#This Row],[1st VLOOK TYP]],Table10[[#This Row],[2nd VLOOK TYP]])</f>
        <v>34.4314401611448</v>
      </c>
      <c r="AP14" s="80" t="n">
        <f aca="false">INDEX(Table9[Temperature], (MATCH(Table10[[#This Row],[Closest VLOOK TYP]], Table9[Vnom (%)],1)))</f>
        <v>60</v>
      </c>
      <c r="AQ14" s="80" t="n">
        <f aca="false">Table13[[#This Row],[Max]]</f>
        <v>34.547</v>
      </c>
      <c r="AR14" s="80" t="n">
        <f aca="false">INDEX(Table9[Vmax (%)], (MATCH(Table10[[#This Row],[Target (MAX)]], Table9[Vmax (%)],1)))</f>
        <v>34.2716612547152</v>
      </c>
      <c r="AS14" s="80" t="n">
        <f aca="false">INDEX(Table9[Vmax (%)], (MATCH(Table10[[#This Row],[Target (Typ)]], Table9[Vmax (%)],1)+1))</f>
        <v>34.9079578433616</v>
      </c>
      <c r="AT14" s="80" t="n">
        <f aca="false">ABS(Table10[[#This Row],[Target (MAX)]]-Table10[[#This Row],[1st VLOOK MAX]])</f>
        <v>0.275338745284849</v>
      </c>
      <c r="AU14" s="80" t="n">
        <f aca="false">ABS(Table10[[#This Row],[Target (MAX)]]-Table10[[#This Row],[2nd VLOOK MAX]])</f>
        <v>0.360957843361625</v>
      </c>
      <c r="AV14" s="80" t="n">
        <f aca="false">IF(Table10[[#This Row],[1st Diff MAX]]&lt;Table10[[#This Row],[2nd Diff MAX]],Table10[[#This Row],[1st VLOOK MAX]],Table10[[#This Row],[2nd VLOOK MAX]])</f>
        <v>34.2716612547152</v>
      </c>
      <c r="AW14" s="80" t="n">
        <f aca="false">INDEX(Table9[Temperature], (MATCH(Table10[[#This Row],[Closest VLOOK MAX]], Table9[Vmax (%)],1)))</f>
        <v>61</v>
      </c>
      <c r="AX14" s="7"/>
      <c r="AY14" s="189" t="s">
        <v>320</v>
      </c>
      <c r="AZ14" s="189" t="n">
        <f aca="false">IF(T5_S=T5_50_TEMP,BH$16, IF(T5_S=T5_55_TEMP,BH$17,IF(T5_S=T5_60_TEMP,BH$18,IF(T5_S=T5_65_TEMP,BH$19, "ERROR"))))</f>
        <v>34.306</v>
      </c>
      <c r="BA14" s="189" t="n">
        <f aca="false">IF(T5_S=T5_50_TEMP,BI$16, IF(T5_S=T5_55_TEMP,BI$17,IF(T5_S=T5_60_TEMP,BI$18,IF(T5_S=T5_65_TEMP,BI$19, "ERROR"))))</f>
        <v>34.375</v>
      </c>
      <c r="BB14" s="189" t="n">
        <f aca="false">IF(T5_S=T5_50_TEMP,BJ$16, IF(T5_S=T5_55_TEMP,BJ$17,IF(T5_S=T5_60_TEMP,BJ$18,IF(T5_S=T5_65_TEMP,BJ$19, "ERROR"))))</f>
        <v>34.547</v>
      </c>
      <c r="BC14" s="7"/>
      <c r="BD14" s="189" t="n">
        <v>40</v>
      </c>
      <c r="BE14" s="189" t="n">
        <v>49.634</v>
      </c>
      <c r="BF14" s="189" t="n">
        <v>49.7</v>
      </c>
      <c r="BG14" s="189" t="n">
        <v>49.838</v>
      </c>
      <c r="BH14" s="189" t="n">
        <v>48.391</v>
      </c>
      <c r="BI14" s="189" t="n">
        <v>48.4</v>
      </c>
      <c r="BJ14" s="189" t="n">
        <v>48.632</v>
      </c>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row>
    <row r="15" customFormat="false" ht="16.4" hidden="false" customHeight="false" outlineLevel="0" collapsed="false">
      <c r="A15" s="192" t="s">
        <v>321</v>
      </c>
      <c r="B15" s="192"/>
      <c r="C15" s="192"/>
      <c r="D15" s="191"/>
      <c r="E15" s="193" t="s">
        <v>265</v>
      </c>
      <c r="F15" s="194" t="s">
        <v>266</v>
      </c>
      <c r="G15" s="195" t="s">
        <v>267</v>
      </c>
      <c r="H15" s="24"/>
      <c r="I15" s="24"/>
      <c r="J15" s="24"/>
      <c r="K15" s="24"/>
      <c r="L15" s="24"/>
      <c r="M15" s="24"/>
      <c r="N15" s="24"/>
      <c r="O15" s="24"/>
      <c r="P15" s="24"/>
      <c r="Q15" s="24"/>
      <c r="R15" s="24"/>
      <c r="S15" s="24"/>
      <c r="T15" s="24"/>
      <c r="U15" s="24"/>
      <c r="V15" s="24"/>
      <c r="W15" s="24"/>
      <c r="X15" s="24"/>
      <c r="Y15" s="25"/>
      <c r="Z15" s="6"/>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189" t="n">
        <v>45</v>
      </c>
      <c r="BE15" s="189" t="n">
        <v>45.868</v>
      </c>
      <c r="BF15" s="189" t="n">
        <v>46.05</v>
      </c>
      <c r="BG15" s="189" t="n">
        <v>46.109</v>
      </c>
      <c r="BH15" s="189" t="n">
        <v>44.663</v>
      </c>
      <c r="BI15" s="189" t="n">
        <v>44.75</v>
      </c>
      <c r="BJ15" s="189" t="n">
        <v>44.904</v>
      </c>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row>
    <row r="16" customFormat="false" ht="16.4" hidden="false" customHeight="false" outlineLevel="0" collapsed="false">
      <c r="A16" s="196"/>
      <c r="B16" s="197"/>
      <c r="C16" s="197"/>
      <c r="D16" s="53" t="s">
        <v>322</v>
      </c>
      <c r="E16" s="198" t="n">
        <f aca="false">F16*0.999</f>
        <v>5.22775815566813</v>
      </c>
      <c r="F16" s="199" t="n">
        <f aca="false">IF($L$16&lt;$M$16,$J$16,$K$16)</f>
        <v>5.23299114681495</v>
      </c>
      <c r="G16" s="200" t="n">
        <f aca="false">F16*1.001</f>
        <v>5.23822413796176</v>
      </c>
      <c r="H16" s="76" t="s">
        <v>18</v>
      </c>
      <c r="I16" s="24"/>
      <c r="J16" s="24" t="n">
        <f aca="false">INDEX(stdres_0p1pct[Resistance], (MATCH($E$12*10^3, stdres_0p1pct[Resistance],1)))/10^3</f>
        <v>5.23299114681495</v>
      </c>
      <c r="K16" s="24" t="n">
        <f aca="false">INDEX(stdres_0p1pct[Resistance], (MATCH($E$12*10^3, stdres_0p1pct[Resistance],1)+1))/10^3</f>
        <v>5.2961262986468</v>
      </c>
      <c r="L16" s="24" t="n">
        <f aca="false">ABS($E$12-$J$16)</f>
        <v>0.0108989059543161</v>
      </c>
      <c r="M16" s="24" t="n">
        <f aca="false">ABS($E$12-$K$16)</f>
        <v>0.0522362458775403</v>
      </c>
      <c r="N16" s="24"/>
      <c r="O16" s="24"/>
      <c r="P16" s="24"/>
      <c r="Q16" s="24"/>
      <c r="R16" s="24"/>
      <c r="S16" s="24"/>
      <c r="T16" s="24"/>
      <c r="U16" s="24"/>
      <c r="V16" s="24"/>
      <c r="W16" s="24"/>
      <c r="X16" s="24"/>
      <c r="Y16" s="25"/>
      <c r="Z16" s="6"/>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189" t="n">
        <v>50</v>
      </c>
      <c r="BE16" s="189" t="n">
        <v>42.338</v>
      </c>
      <c r="BF16" s="189" t="n">
        <v>42.5</v>
      </c>
      <c r="BG16" s="189" t="n">
        <v>42.622</v>
      </c>
      <c r="BH16" s="189" t="n">
        <v>41.175</v>
      </c>
      <c r="BI16" s="189" t="n">
        <v>41.2</v>
      </c>
      <c r="BJ16" s="189" t="n">
        <v>41.416</v>
      </c>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row>
    <row r="17" customFormat="false" ht="16.4" hidden="false" customHeight="false" outlineLevel="0" collapsed="false">
      <c r="A17" s="201"/>
      <c r="B17" s="202"/>
      <c r="C17" s="202"/>
      <c r="D17" s="50" t="s">
        <v>323</v>
      </c>
      <c r="E17" s="203" t="n">
        <f aca="false">F17*0.999</f>
        <v>30.4747736237676</v>
      </c>
      <c r="F17" s="204" t="n">
        <f aca="false">IF($L$17&lt;$M$17,$J$17,$K$17)</f>
        <v>30.5052789026703</v>
      </c>
      <c r="G17" s="205" t="n">
        <f aca="false">F17*1.001</f>
        <v>30.5357841815729</v>
      </c>
      <c r="H17" s="173" t="s">
        <v>18</v>
      </c>
      <c r="I17" s="24"/>
      <c r="J17" s="24" t="n">
        <f aca="false">INDEX(stdres_0p1pct[Resistance], (MATCH($E$13*10^3, stdres_0p1pct[Resistance],1)))/10^3</f>
        <v>30.1416252987739</v>
      </c>
      <c r="K17" s="24" t="n">
        <f aca="false">INDEX(stdres_0p1pct[Resistance], (MATCH($E$13*10^3, stdres_0p1pct[Resistance],1)+1))/10^3</f>
        <v>30.5052789026703</v>
      </c>
      <c r="L17" s="24" t="n">
        <f aca="false">ABS($E$13-$J$17)</f>
        <v>0.221921647891325</v>
      </c>
      <c r="M17" s="24" t="n">
        <f aca="false">ABS($E$13-$K$17)</f>
        <v>0.141731956005025</v>
      </c>
      <c r="N17" s="24"/>
      <c r="O17" s="24"/>
      <c r="P17" s="24"/>
      <c r="Q17" s="24"/>
      <c r="R17" s="24"/>
      <c r="S17" s="24"/>
      <c r="T17" s="24"/>
      <c r="U17" s="24"/>
      <c r="V17" s="24"/>
      <c r="W17" s="24"/>
      <c r="X17" s="24"/>
      <c r="Y17" s="25"/>
      <c r="Z17" s="6"/>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189" t="n">
        <v>55</v>
      </c>
      <c r="BE17" s="189" t="n">
        <v>38.857</v>
      </c>
      <c r="BF17" s="189" t="n">
        <v>39</v>
      </c>
      <c r="BG17" s="189" t="n">
        <v>39.135</v>
      </c>
      <c r="BH17" s="189" t="n">
        <v>37.651</v>
      </c>
      <c r="BI17" s="189" t="n">
        <v>37.7</v>
      </c>
      <c r="BJ17" s="189" t="n">
        <v>37.892</v>
      </c>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row>
    <row r="18" customFormat="false" ht="16.4" hidden="false" customHeight="false" outlineLevel="0" collapsed="false">
      <c r="A18" s="190"/>
      <c r="B18" s="191"/>
      <c r="C18" s="191"/>
      <c r="D18" s="191"/>
      <c r="E18" s="191"/>
      <c r="F18" s="191"/>
      <c r="G18" s="24"/>
      <c r="H18" s="24"/>
      <c r="I18" s="24"/>
      <c r="J18" s="24"/>
      <c r="K18" s="24"/>
      <c r="L18" s="24"/>
      <c r="M18" s="24"/>
      <c r="N18" s="24"/>
      <c r="O18" s="24"/>
      <c r="P18" s="24"/>
      <c r="Q18" s="24"/>
      <c r="R18" s="24"/>
      <c r="S18" s="24"/>
      <c r="T18" s="24"/>
      <c r="U18" s="24"/>
      <c r="V18" s="24"/>
      <c r="W18" s="24"/>
      <c r="X18" s="24"/>
      <c r="Y18" s="25"/>
      <c r="Z18" s="6"/>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189" t="n">
        <v>60</v>
      </c>
      <c r="BE18" s="189" t="n">
        <v>35.394</v>
      </c>
      <c r="BF18" s="189" t="n">
        <v>35.5</v>
      </c>
      <c r="BG18" s="189" t="n">
        <v>35.636</v>
      </c>
      <c r="BH18" s="189" t="n">
        <v>34.306</v>
      </c>
      <c r="BI18" s="189" t="n">
        <v>34.375</v>
      </c>
      <c r="BJ18" s="189" t="n">
        <v>34.547</v>
      </c>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row>
    <row r="19" customFormat="false" ht="16.4" hidden="false" customHeight="false" outlineLevel="0" collapsed="false">
      <c r="A19" s="69" t="s">
        <v>324</v>
      </c>
      <c r="B19" s="206"/>
      <c r="C19" s="206"/>
      <c r="D19" s="207" t="s">
        <v>325</v>
      </c>
      <c r="E19" s="208" t="s">
        <v>265</v>
      </c>
      <c r="F19" s="209" t="s">
        <v>266</v>
      </c>
      <c r="G19" s="210" t="s">
        <v>267</v>
      </c>
      <c r="H19" s="131"/>
      <c r="I19" s="24"/>
      <c r="J19" s="24"/>
      <c r="K19" s="24"/>
      <c r="L19" s="24"/>
      <c r="M19" s="24"/>
      <c r="N19" s="24"/>
      <c r="O19" s="24"/>
      <c r="P19" s="24"/>
      <c r="Q19" s="24"/>
      <c r="R19" s="24"/>
      <c r="S19" s="24"/>
      <c r="T19" s="24"/>
      <c r="U19" s="24"/>
      <c r="V19" s="24"/>
      <c r="W19" s="24"/>
      <c r="X19" s="24"/>
      <c r="Y19" s="25"/>
      <c r="Z19" s="6"/>
      <c r="AA19" s="7"/>
      <c r="AB19" s="7"/>
      <c r="AC19" s="183" t="s">
        <v>326</v>
      </c>
      <c r="AD19" s="211" t="s">
        <v>327</v>
      </c>
      <c r="AE19" s="211" t="s">
        <v>328</v>
      </c>
      <c r="AF19" s="211" t="s">
        <v>329</v>
      </c>
      <c r="AG19" s="183" t="s">
        <v>330</v>
      </c>
      <c r="AH19" s="183" t="s">
        <v>331</v>
      </c>
      <c r="AI19" s="183" t="s">
        <v>332</v>
      </c>
      <c r="AJ19" s="211" t="s">
        <v>333</v>
      </c>
      <c r="AK19" s="211" t="s">
        <v>334</v>
      </c>
      <c r="AL19" s="211" t="s">
        <v>335</v>
      </c>
      <c r="AM19" s="183" t="s">
        <v>336</v>
      </c>
      <c r="AN19" s="183" t="s">
        <v>337</v>
      </c>
      <c r="AO19" s="183" t="s">
        <v>338</v>
      </c>
      <c r="AP19" s="7"/>
      <c r="AQ19" s="7"/>
      <c r="AR19" s="7"/>
      <c r="AS19" s="7"/>
      <c r="AT19" s="7"/>
      <c r="AU19" s="7"/>
      <c r="AV19" s="7"/>
      <c r="AW19" s="7"/>
      <c r="AX19" s="7"/>
      <c r="AY19" s="7"/>
      <c r="AZ19" s="7"/>
      <c r="BA19" s="7"/>
      <c r="BB19" s="7"/>
      <c r="BC19" s="7"/>
      <c r="BD19" s="189" t="n">
        <v>65</v>
      </c>
      <c r="BE19" s="189" t="n">
        <v>32.377</v>
      </c>
      <c r="BF19" s="189" t="n">
        <v>32.5</v>
      </c>
      <c r="BG19" s="189" t="n">
        <v>32.618</v>
      </c>
      <c r="BH19" s="189" t="n">
        <v>31.209</v>
      </c>
      <c r="BI19" s="189" t="n">
        <v>31.25</v>
      </c>
      <c r="BJ19" s="189" t="n">
        <v>31.406</v>
      </c>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row>
    <row r="20" customFormat="false" ht="16.4" hidden="true" customHeight="false" outlineLevel="0" collapsed="false">
      <c r="A20" s="166" t="n">
        <v>110</v>
      </c>
      <c r="B20" s="197"/>
      <c r="C20" s="212" t="str">
        <f aca="false">_xlfn.CONCAT("RTH at ",A20, " °C")</f>
        <v>RTH at 110 °C</v>
      </c>
      <c r="D20" s="213" t="n">
        <v>3.5</v>
      </c>
      <c r="E20" s="214" t="n">
        <v>0</v>
      </c>
      <c r="F20" s="215" t="n">
        <v>0</v>
      </c>
      <c r="G20" s="216" t="n">
        <v>0</v>
      </c>
      <c r="H20" s="76" t="s">
        <v>18</v>
      </c>
      <c r="I20" s="24"/>
      <c r="J20" s="24" t="n">
        <v>0.7851</v>
      </c>
      <c r="K20" s="24" t="n">
        <v>0.7576</v>
      </c>
      <c r="L20" s="24" t="n">
        <v>0.7308</v>
      </c>
      <c r="M20" s="24"/>
      <c r="N20" s="24"/>
      <c r="O20" s="24"/>
      <c r="P20" s="24"/>
      <c r="Q20" s="24"/>
      <c r="R20" s="24"/>
      <c r="S20" s="24"/>
      <c r="T20" s="24"/>
      <c r="U20" s="24"/>
      <c r="V20" s="24"/>
      <c r="W20" s="24"/>
      <c r="X20" s="24"/>
      <c r="Y20" s="25"/>
      <c r="Z20" s="6"/>
      <c r="AA20" s="7"/>
      <c r="AB20" s="7"/>
      <c r="AC20" s="80" t="n">
        <f aca="false">A20</f>
        <v>110</v>
      </c>
      <c r="AD20" s="80" t="n">
        <f aca="false">E20</f>
        <v>0</v>
      </c>
      <c r="AE20" s="80" t="n">
        <f aca="false">F20</f>
        <v>0</v>
      </c>
      <c r="AF20" s="80" t="n">
        <f aca="false">G20</f>
        <v>0</v>
      </c>
      <c r="AG20" s="80" t="n">
        <f aca="false">Table9[[#This Row],[RTH(min) (kΩ)]]*RT2_TH_MIN/(RT2_TH_MIN+Table9[[#This Row],[RTH(min) (kΩ)]])</f>
        <v>0</v>
      </c>
      <c r="AH20" s="80" t="n">
        <f aca="false">Table9[[#This Row],[RTH(nom) (kΩ)]]*RT2_TH_S/(RT2_TH_S+Table9[[#This Row],[RTH(nom) (kΩ)]])</f>
        <v>0</v>
      </c>
      <c r="AI20" s="80" t="n">
        <f aca="false">Table9[[#This Row],[RTH(max) (kΩ)]]*RT2_TH_S_MAX/(RT2_TH_S_MAX+Table9[[#This Row],[RTH(max) (kΩ)]])</f>
        <v>0</v>
      </c>
      <c r="AJ20" s="80" t="n">
        <f aca="false">Table9[[#This Row],[RLower(min) (kΩ)]]/(Table9[[#This Row],[RLower(min) (kΩ)]]+RT1_TH_S_MAX)*100</f>
        <v>0</v>
      </c>
      <c r="AK20" s="80" t="n">
        <f aca="false">Table9[[#This Row],[RLower(nom) (kΩ)]]/(Table9[[#This Row],[RLower(nom) (kΩ)]]+RT1_TH_S)*100</f>
        <v>0</v>
      </c>
      <c r="AL20" s="80" t="n">
        <f aca="false">Table9[[#This Row],[RLower(max) (kΩ)]]/(Table9[[#This Row],[RLower(max) (kΩ)]]+RT1_TH_S_MIN)*100</f>
        <v>0</v>
      </c>
      <c r="AM20" s="80" t="n">
        <f aca="false">IF(Table9[[#This Row],[Vmin (%)]]&lt;$BA$14, 0, IF(Table9[[#This Row],[Vmin (%)]]&lt;$BA$12, 4, IF(Table9[[#This Row],[Vmin (%)]]&lt;$BA$9, 3, IF(Table9[[#This Row],[Vmin (%)]]&lt;$BA$7, 2, 0))))</f>
        <v>0</v>
      </c>
      <c r="AN20" s="80" t="n">
        <f aca="false">IF(Table9[[#This Row],[Vmin (%)]]&lt;$BA$13, 0, IF(Table9[[#This Row],[Vmin (%)]]&lt;$BA$11, 4, IF(Table9[[#This Row],[Vmin (%)]]&lt;$BA$10, 3, IF(Table9[[#This Row],[Vmin (%)]]&lt;$BA$8, 2, 0))))</f>
        <v>0</v>
      </c>
      <c r="AO20" s="217" t="str">
        <f aca="false">IF(Table9[[#This Row],[Vmin (%)]]&lt;$BA$14, "Hot", IF(Table9[[#This Row],[Vmin (%)]]&lt;$BA$12, "Warm", IF(Table9[[#This Row],[Vmin (%)]]&lt;$BA$9, "Normal", IF(Table9[[#This Row],[Vmin (%)]]&lt;$BA$7, "Cool", "Cold"))))</f>
        <v>Hot</v>
      </c>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row>
    <row r="21" customFormat="false" ht="16.4" hidden="true" customHeight="false" outlineLevel="0" collapsed="false">
      <c r="A21" s="218" t="n">
        <f aca="false">A20-1</f>
        <v>109</v>
      </c>
      <c r="B21" s="191"/>
      <c r="C21" s="219" t="str">
        <f aca="false">_xlfn.CONCAT("RTH at ",A21, " °C")</f>
        <v>RTH at 109 °C</v>
      </c>
      <c r="D21" s="220" t="n">
        <f aca="false">$D$20-(ROW(D21)-ROW($D$20))*($D$20-$D$105)/(ROW($D$105)-ROW($D$20))</f>
        <v>3.47058823529412</v>
      </c>
      <c r="E21" s="221" t="n">
        <v>0</v>
      </c>
      <c r="F21" s="222" t="n">
        <v>0</v>
      </c>
      <c r="G21" s="223" t="n">
        <v>0</v>
      </c>
      <c r="H21" s="57" t="s">
        <v>18</v>
      </c>
      <c r="I21" s="24"/>
      <c r="J21" s="24" t="n">
        <v>0.8044</v>
      </c>
      <c r="K21" s="24" t="n">
        <v>0.7763</v>
      </c>
      <c r="L21" s="24" t="n">
        <v>0.7491</v>
      </c>
      <c r="M21" s="24"/>
      <c r="N21" s="24"/>
      <c r="O21" s="24"/>
      <c r="P21" s="24"/>
      <c r="Q21" s="24"/>
      <c r="R21" s="24"/>
      <c r="S21" s="24"/>
      <c r="T21" s="24"/>
      <c r="U21" s="24"/>
      <c r="V21" s="24"/>
      <c r="W21" s="24"/>
      <c r="X21" s="24"/>
      <c r="Y21" s="25"/>
      <c r="Z21" s="6"/>
      <c r="AA21" s="7"/>
      <c r="AB21" s="7"/>
      <c r="AC21" s="80" t="n">
        <f aca="false">A21</f>
        <v>109</v>
      </c>
      <c r="AD21" s="80" t="n">
        <f aca="false">E21</f>
        <v>0</v>
      </c>
      <c r="AE21" s="80" t="n">
        <f aca="false">F21</f>
        <v>0</v>
      </c>
      <c r="AF21" s="80" t="n">
        <f aca="false">G21</f>
        <v>0</v>
      </c>
      <c r="AG21" s="80" t="n">
        <f aca="false">Table9[[#This Row],[RTH(min) (kΩ)]]*RT2_TH_MIN/(RT2_TH_MIN+Table9[[#This Row],[RTH(min) (kΩ)]])</f>
        <v>0</v>
      </c>
      <c r="AH21" s="80" t="n">
        <f aca="false">Table9[[#This Row],[RTH(nom) (kΩ)]]*RT2_TH_S/(RT2_TH_S+Table9[[#This Row],[RTH(nom) (kΩ)]])</f>
        <v>0</v>
      </c>
      <c r="AI21" s="80" t="n">
        <f aca="false">Table9[[#This Row],[RTH(max) (kΩ)]]*RT2_TH_S_MAX/(RT2_TH_S_MAX+Table9[[#This Row],[RTH(max) (kΩ)]])</f>
        <v>0</v>
      </c>
      <c r="AJ21" s="80" t="n">
        <f aca="false">Table9[[#This Row],[RLower(min) (kΩ)]]/(Table9[[#This Row],[RLower(min) (kΩ)]]+RT1_TH_S_MAX)*100</f>
        <v>0</v>
      </c>
      <c r="AK21" s="80" t="n">
        <f aca="false">Table9[[#This Row],[RLower(nom) (kΩ)]]/(Table9[[#This Row],[RLower(nom) (kΩ)]]+RT1_TH_S)*100</f>
        <v>0</v>
      </c>
      <c r="AL21" s="80" t="n">
        <f aca="false">Table9[[#This Row],[RLower(max) (kΩ)]]/(Table9[[#This Row],[RLower(max) (kΩ)]]+RT1_TH_S_MIN)*100</f>
        <v>0</v>
      </c>
      <c r="AM21" s="80" t="n">
        <f aca="false">IF(Table9[[#This Row],[Vmin (%)]]&lt;$BA$14, 0, IF(Table9[[#This Row],[Vmin (%)]]&lt;$BA$12, 4, IF(Table9[[#This Row],[Vmin (%)]]&lt;$BA$9, 3, IF(Table9[[#This Row],[Vmin (%)]]&lt;$BA$7, 2, 0))))</f>
        <v>0</v>
      </c>
      <c r="AN21" s="80" t="n">
        <f aca="false">IF(Table9[[#This Row],[Vmin (%)]]&lt;$BA$13, 0, IF(Table9[[#This Row],[Vmin (%)]]&lt;$BA$11, 4, IF(Table9[[#This Row],[Vmin (%)]]&lt;$BA$10, 3, IF(Table9[[#This Row],[Vmin (%)]]&lt;$BA$8, 2, 0))))</f>
        <v>0</v>
      </c>
      <c r="AO21" s="217" t="str">
        <f aca="false">IF(Table9[[#This Row],[Vmin (%)]]&lt;$BA$14, "Hot", IF(Table9[[#This Row],[Vmin (%)]]&lt;$BA$12, "Warm", IF(Table9[[#This Row],[Vmin (%)]]&lt;$BA$9, "Normal", IF(Table9[[#This Row],[Vmin (%)]]&lt;$BA$7, "Cool", "Cold"))))</f>
        <v>Hot</v>
      </c>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row>
    <row r="22" customFormat="false" ht="16.4" hidden="true" customHeight="false" outlineLevel="0" collapsed="false">
      <c r="A22" s="218" t="n">
        <f aca="false">A21-1</f>
        <v>108</v>
      </c>
      <c r="B22" s="191"/>
      <c r="C22" s="219" t="str">
        <f aca="false">_xlfn.CONCAT("RTH at ",A22, " °C")</f>
        <v>RTH at 108 °C</v>
      </c>
      <c r="D22" s="220" t="n">
        <f aca="false">$D$20-(ROW(D22)-ROW($D$20))*($D$20-$D$105)/(ROW($D$105)-ROW($D$20))</f>
        <v>3.44117647058824</v>
      </c>
      <c r="E22" s="221" t="n">
        <v>0</v>
      </c>
      <c r="F22" s="222" t="n">
        <v>0</v>
      </c>
      <c r="G22" s="223" t="n">
        <v>0</v>
      </c>
      <c r="H22" s="57" t="s">
        <v>18</v>
      </c>
      <c r="I22" s="24"/>
      <c r="J22" s="24" t="n">
        <v>0.8242</v>
      </c>
      <c r="K22" s="24" t="n">
        <v>0.7956</v>
      </c>
      <c r="L22" s="24" t="n">
        <v>0.7679</v>
      </c>
      <c r="M22" s="24"/>
      <c r="N22" s="24"/>
      <c r="O22" s="24"/>
      <c r="P22" s="24"/>
      <c r="Q22" s="24"/>
      <c r="R22" s="24"/>
      <c r="S22" s="24"/>
      <c r="T22" s="24"/>
      <c r="U22" s="24"/>
      <c r="V22" s="24"/>
      <c r="W22" s="24"/>
      <c r="X22" s="24"/>
      <c r="Y22" s="25"/>
      <c r="Z22" s="6"/>
      <c r="AA22" s="7"/>
      <c r="AB22" s="7"/>
      <c r="AC22" s="80" t="n">
        <f aca="false">A22</f>
        <v>108</v>
      </c>
      <c r="AD22" s="80" t="n">
        <f aca="false">E22</f>
        <v>0</v>
      </c>
      <c r="AE22" s="80" t="n">
        <f aca="false">F22</f>
        <v>0</v>
      </c>
      <c r="AF22" s="80" t="n">
        <f aca="false">G22</f>
        <v>0</v>
      </c>
      <c r="AG22" s="80" t="n">
        <f aca="false">Table9[[#This Row],[RTH(min) (kΩ)]]*RT2_TH_MIN/(RT2_TH_MIN+Table9[[#This Row],[RTH(min) (kΩ)]])</f>
        <v>0</v>
      </c>
      <c r="AH22" s="80" t="n">
        <f aca="false">Table9[[#This Row],[RTH(nom) (kΩ)]]*RT2_TH_S/(RT2_TH_S+Table9[[#This Row],[RTH(nom) (kΩ)]])</f>
        <v>0</v>
      </c>
      <c r="AI22" s="80" t="n">
        <f aca="false">Table9[[#This Row],[RTH(max) (kΩ)]]*RT2_TH_S_MAX/(RT2_TH_S_MAX+Table9[[#This Row],[RTH(max) (kΩ)]])</f>
        <v>0</v>
      </c>
      <c r="AJ22" s="80" t="n">
        <f aca="false">Table9[[#This Row],[RLower(min) (kΩ)]]/(Table9[[#This Row],[RLower(min) (kΩ)]]+RT1_TH_S_MAX)*100</f>
        <v>0</v>
      </c>
      <c r="AK22" s="80" t="n">
        <f aca="false">Table9[[#This Row],[RLower(nom) (kΩ)]]/(Table9[[#This Row],[RLower(nom) (kΩ)]]+RT1_TH_S)*100</f>
        <v>0</v>
      </c>
      <c r="AL22" s="80" t="n">
        <f aca="false">Table9[[#This Row],[RLower(max) (kΩ)]]/(Table9[[#This Row],[RLower(max) (kΩ)]]+RT1_TH_S_MIN)*100</f>
        <v>0</v>
      </c>
      <c r="AM22" s="80" t="n">
        <f aca="false">IF(Table9[[#This Row],[Vmin (%)]]&lt;$BA$14, 0, IF(Table9[[#This Row],[Vmin (%)]]&lt;$BA$12, 4, IF(Table9[[#This Row],[Vmin (%)]]&lt;$BA$9, 3, IF(Table9[[#This Row],[Vmin (%)]]&lt;$BA$7, 2, 0))))</f>
        <v>0</v>
      </c>
      <c r="AN22" s="80" t="n">
        <f aca="false">IF(Table9[[#This Row],[Vmin (%)]]&lt;$BA$13, 0, IF(Table9[[#This Row],[Vmin (%)]]&lt;$BA$11, 4, IF(Table9[[#This Row],[Vmin (%)]]&lt;$BA$10, 3, IF(Table9[[#This Row],[Vmin (%)]]&lt;$BA$8, 2, 0))))</f>
        <v>0</v>
      </c>
      <c r="AO22" s="217" t="str">
        <f aca="false">IF(Table9[[#This Row],[Vmin (%)]]&lt;$BA$14, "Hot", IF(Table9[[#This Row],[Vmin (%)]]&lt;$BA$12, "Warm", IF(Table9[[#This Row],[Vmin (%)]]&lt;$BA$9, "Normal", IF(Table9[[#This Row],[Vmin (%)]]&lt;$BA$7, "Cool", "Cold"))))</f>
        <v>Hot</v>
      </c>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row>
    <row r="23" customFormat="false" ht="16.4" hidden="true" customHeight="false" outlineLevel="0" collapsed="false">
      <c r="A23" s="218" t="n">
        <f aca="false">A22-1</f>
        <v>107</v>
      </c>
      <c r="B23" s="191"/>
      <c r="C23" s="219" t="str">
        <f aca="false">_xlfn.CONCAT("RTH at ",A23, " °C")</f>
        <v>RTH at 107 °C</v>
      </c>
      <c r="D23" s="220" t="n">
        <f aca="false">$D$20-(ROW(D23)-ROW($D$20))*($D$20-$D$105)/(ROW($D$105)-ROW($D$20))</f>
        <v>3.41176470588235</v>
      </c>
      <c r="E23" s="221" t="n">
        <v>0</v>
      </c>
      <c r="F23" s="222" t="n">
        <v>0</v>
      </c>
      <c r="G23" s="223" t="n">
        <v>0</v>
      </c>
      <c r="H23" s="57" t="s">
        <v>18</v>
      </c>
      <c r="I23" s="24"/>
      <c r="J23" s="24" t="n">
        <v>0.8446</v>
      </c>
      <c r="K23" s="24" t="n">
        <v>0.8155</v>
      </c>
      <c r="L23" s="24" t="n">
        <v>0.7873</v>
      </c>
      <c r="M23" s="24"/>
      <c r="N23" s="24"/>
      <c r="O23" s="24"/>
      <c r="P23" s="24"/>
      <c r="Q23" s="24"/>
      <c r="R23" s="24"/>
      <c r="S23" s="24"/>
      <c r="T23" s="24"/>
      <c r="U23" s="24"/>
      <c r="V23" s="24"/>
      <c r="W23" s="24"/>
      <c r="X23" s="24"/>
      <c r="Y23" s="25"/>
      <c r="Z23" s="6"/>
      <c r="AA23" s="7"/>
      <c r="AB23" s="7"/>
      <c r="AC23" s="80" t="n">
        <f aca="false">A23</f>
        <v>107</v>
      </c>
      <c r="AD23" s="80" t="n">
        <f aca="false">E23</f>
        <v>0</v>
      </c>
      <c r="AE23" s="80" t="n">
        <f aca="false">F23</f>
        <v>0</v>
      </c>
      <c r="AF23" s="80" t="n">
        <f aca="false">G23</f>
        <v>0</v>
      </c>
      <c r="AG23" s="80" t="n">
        <f aca="false">Table9[[#This Row],[RTH(min) (kΩ)]]*RT2_TH_MIN/(RT2_TH_MIN+Table9[[#This Row],[RTH(min) (kΩ)]])</f>
        <v>0</v>
      </c>
      <c r="AH23" s="80" t="n">
        <f aca="false">Table9[[#This Row],[RTH(nom) (kΩ)]]*RT2_TH_S/(RT2_TH_S+Table9[[#This Row],[RTH(nom) (kΩ)]])</f>
        <v>0</v>
      </c>
      <c r="AI23" s="80" t="n">
        <f aca="false">Table9[[#This Row],[RTH(max) (kΩ)]]*RT2_TH_S_MAX/(RT2_TH_S_MAX+Table9[[#This Row],[RTH(max) (kΩ)]])</f>
        <v>0</v>
      </c>
      <c r="AJ23" s="80" t="n">
        <f aca="false">Table9[[#This Row],[RLower(min) (kΩ)]]/(Table9[[#This Row],[RLower(min) (kΩ)]]+RT1_TH_S_MAX)*100</f>
        <v>0</v>
      </c>
      <c r="AK23" s="80" t="n">
        <f aca="false">Table9[[#This Row],[RLower(nom) (kΩ)]]/(Table9[[#This Row],[RLower(nom) (kΩ)]]+RT1_TH_S)*100</f>
        <v>0</v>
      </c>
      <c r="AL23" s="80" t="n">
        <f aca="false">Table9[[#This Row],[RLower(max) (kΩ)]]/(Table9[[#This Row],[RLower(max) (kΩ)]]+RT1_TH_S_MIN)*100</f>
        <v>0</v>
      </c>
      <c r="AM23" s="80" t="n">
        <f aca="false">IF(Table9[[#This Row],[Vmin (%)]]&lt;$BA$14, 0, IF(Table9[[#This Row],[Vmin (%)]]&lt;$BA$12, 4, IF(Table9[[#This Row],[Vmin (%)]]&lt;$BA$9, 3, IF(Table9[[#This Row],[Vmin (%)]]&lt;$BA$7, 2, 0))))</f>
        <v>0</v>
      </c>
      <c r="AN23" s="80" t="n">
        <f aca="false">IF(Table9[[#This Row],[Vmin (%)]]&lt;$BA$13, 0, IF(Table9[[#This Row],[Vmin (%)]]&lt;$BA$11, 4, IF(Table9[[#This Row],[Vmin (%)]]&lt;$BA$10, 3, IF(Table9[[#This Row],[Vmin (%)]]&lt;$BA$8, 2, 0))))</f>
        <v>0</v>
      </c>
      <c r="AO23" s="217" t="str">
        <f aca="false">IF(Table9[[#This Row],[Vmin (%)]]&lt;$BA$14, "Hot", IF(Table9[[#This Row],[Vmin (%)]]&lt;$BA$12, "Warm", IF(Table9[[#This Row],[Vmin (%)]]&lt;$BA$9, "Normal", IF(Table9[[#This Row],[Vmin (%)]]&lt;$BA$7, "Cool", "Cold"))))</f>
        <v>Hot</v>
      </c>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row>
    <row r="24" customFormat="false" ht="16.4" hidden="true" customHeight="false" outlineLevel="0" collapsed="false">
      <c r="A24" s="218" t="n">
        <f aca="false">A23-1</f>
        <v>106</v>
      </c>
      <c r="B24" s="191"/>
      <c r="C24" s="219" t="str">
        <f aca="false">_xlfn.CONCAT("RTH at ",A24, " °C")</f>
        <v>RTH at 106 °C</v>
      </c>
      <c r="D24" s="220" t="n">
        <f aca="false">$D$20-(ROW(D24)-ROW($D$20))*($D$20-$D$105)/(ROW($D$105)-ROW($D$20))</f>
        <v>3.38235294117647</v>
      </c>
      <c r="E24" s="221" t="n">
        <v>0</v>
      </c>
      <c r="F24" s="222" t="n">
        <v>0</v>
      </c>
      <c r="G24" s="223" t="n">
        <v>0</v>
      </c>
      <c r="H24" s="57" t="s">
        <v>18</v>
      </c>
      <c r="I24" s="24"/>
      <c r="J24" s="24" t="n">
        <v>0.8656</v>
      </c>
      <c r="K24" s="24" t="n">
        <v>0.836</v>
      </c>
      <c r="L24" s="24" t="n">
        <v>0.8073</v>
      </c>
      <c r="M24" s="24"/>
      <c r="N24" s="24"/>
      <c r="O24" s="24"/>
      <c r="P24" s="24"/>
      <c r="Q24" s="24"/>
      <c r="R24" s="24"/>
      <c r="S24" s="24"/>
      <c r="T24" s="24"/>
      <c r="U24" s="24"/>
      <c r="V24" s="24"/>
      <c r="W24" s="24"/>
      <c r="X24" s="24"/>
      <c r="Y24" s="25"/>
      <c r="Z24" s="6"/>
      <c r="AA24" s="7"/>
      <c r="AB24" s="7"/>
      <c r="AC24" s="80" t="n">
        <f aca="false">A24</f>
        <v>106</v>
      </c>
      <c r="AD24" s="80" t="n">
        <f aca="false">E24</f>
        <v>0</v>
      </c>
      <c r="AE24" s="80" t="n">
        <f aca="false">F24</f>
        <v>0</v>
      </c>
      <c r="AF24" s="80" t="n">
        <f aca="false">G24</f>
        <v>0</v>
      </c>
      <c r="AG24" s="80" t="n">
        <f aca="false">Table9[[#This Row],[RTH(min) (kΩ)]]*RT2_TH_MIN/(RT2_TH_MIN+Table9[[#This Row],[RTH(min) (kΩ)]])</f>
        <v>0</v>
      </c>
      <c r="AH24" s="80" t="n">
        <f aca="false">Table9[[#This Row],[RTH(nom) (kΩ)]]*RT2_TH_S/(RT2_TH_S+Table9[[#This Row],[RTH(nom) (kΩ)]])</f>
        <v>0</v>
      </c>
      <c r="AI24" s="80" t="n">
        <f aca="false">Table9[[#This Row],[RTH(max) (kΩ)]]*RT2_TH_S_MAX/(RT2_TH_S_MAX+Table9[[#This Row],[RTH(max) (kΩ)]])</f>
        <v>0</v>
      </c>
      <c r="AJ24" s="80" t="n">
        <f aca="false">Table9[[#This Row],[RLower(min) (kΩ)]]/(Table9[[#This Row],[RLower(min) (kΩ)]]+RT1_TH_S_MAX)*100</f>
        <v>0</v>
      </c>
      <c r="AK24" s="80" t="n">
        <f aca="false">Table9[[#This Row],[RLower(nom) (kΩ)]]/(Table9[[#This Row],[RLower(nom) (kΩ)]]+RT1_TH_S)*100</f>
        <v>0</v>
      </c>
      <c r="AL24" s="80" t="n">
        <f aca="false">Table9[[#This Row],[RLower(max) (kΩ)]]/(Table9[[#This Row],[RLower(max) (kΩ)]]+RT1_TH_S_MIN)*100</f>
        <v>0</v>
      </c>
      <c r="AM24" s="80" t="n">
        <f aca="false">IF(Table9[[#This Row],[Vmin (%)]]&lt;$BA$14, 0, IF(Table9[[#This Row],[Vmin (%)]]&lt;$BA$12, 4, IF(Table9[[#This Row],[Vmin (%)]]&lt;$BA$9, 3, IF(Table9[[#This Row],[Vmin (%)]]&lt;$BA$7, 2, 0))))</f>
        <v>0</v>
      </c>
      <c r="AN24" s="80" t="n">
        <f aca="false">IF(Table9[[#This Row],[Vmin (%)]]&lt;$BA$13, 0, IF(Table9[[#This Row],[Vmin (%)]]&lt;$BA$11, 4, IF(Table9[[#This Row],[Vmin (%)]]&lt;$BA$10, 3, IF(Table9[[#This Row],[Vmin (%)]]&lt;$BA$8, 2, 0))))</f>
        <v>0</v>
      </c>
      <c r="AO24" s="217" t="str">
        <f aca="false">IF(Table9[[#This Row],[Vmin (%)]]&lt;$BA$14, "Hot", IF(Table9[[#This Row],[Vmin (%)]]&lt;$BA$12, "Warm", IF(Table9[[#This Row],[Vmin (%)]]&lt;$BA$9, "Normal", IF(Table9[[#This Row],[Vmin (%)]]&lt;$BA$7, "Cool", "Cold"))))</f>
        <v>Hot</v>
      </c>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row>
    <row r="25" customFormat="false" ht="16.4" hidden="true" customHeight="false" outlineLevel="0" collapsed="false">
      <c r="A25" s="218" t="n">
        <f aca="false">A24-1</f>
        <v>105</v>
      </c>
      <c r="B25" s="191"/>
      <c r="C25" s="219" t="str">
        <f aca="false">_xlfn.CONCAT("RTH at ",A25, " °C")</f>
        <v>RTH at 105 °C</v>
      </c>
      <c r="D25" s="220" t="n">
        <f aca="false">$D$20-(ROW(D25)-ROW($D$20))*($D$20-$D$105)/(ROW($D$105)-ROW($D$20))</f>
        <v>3.35294117647059</v>
      </c>
      <c r="E25" s="221" t="n">
        <v>0</v>
      </c>
      <c r="F25" s="222" t="n">
        <v>0</v>
      </c>
      <c r="G25" s="223" t="n">
        <v>0</v>
      </c>
      <c r="H25" s="57" t="s">
        <v>18</v>
      </c>
      <c r="I25" s="24"/>
      <c r="J25" s="24" t="n">
        <v>0.8873</v>
      </c>
      <c r="K25" s="24" t="n">
        <v>0.8572</v>
      </c>
      <c r="L25" s="24" t="n">
        <v>0.8279</v>
      </c>
      <c r="M25" s="24"/>
      <c r="N25" s="24"/>
      <c r="O25" s="24"/>
      <c r="P25" s="24"/>
      <c r="Q25" s="24"/>
      <c r="R25" s="24"/>
      <c r="S25" s="24"/>
      <c r="T25" s="24"/>
      <c r="U25" s="24"/>
      <c r="V25" s="24"/>
      <c r="W25" s="24"/>
      <c r="X25" s="24"/>
      <c r="Y25" s="25"/>
      <c r="Z25" s="6"/>
      <c r="AA25" s="7"/>
      <c r="AB25" s="7"/>
      <c r="AC25" s="80" t="n">
        <f aca="false">A25</f>
        <v>105</v>
      </c>
      <c r="AD25" s="80" t="n">
        <f aca="false">E25</f>
        <v>0</v>
      </c>
      <c r="AE25" s="80" t="n">
        <f aca="false">F25</f>
        <v>0</v>
      </c>
      <c r="AF25" s="80" t="n">
        <f aca="false">G25</f>
        <v>0</v>
      </c>
      <c r="AG25" s="80" t="n">
        <f aca="false">Table9[[#This Row],[RTH(min) (kΩ)]]*RT2_TH_MIN/(RT2_TH_MIN+Table9[[#This Row],[RTH(min) (kΩ)]])</f>
        <v>0</v>
      </c>
      <c r="AH25" s="80" t="n">
        <f aca="false">Table9[[#This Row],[RTH(nom) (kΩ)]]*RT2_TH_S/(RT2_TH_S+Table9[[#This Row],[RTH(nom) (kΩ)]])</f>
        <v>0</v>
      </c>
      <c r="AI25" s="80" t="n">
        <f aca="false">Table9[[#This Row],[RTH(max) (kΩ)]]*RT2_TH_S_MAX/(RT2_TH_S_MAX+Table9[[#This Row],[RTH(max) (kΩ)]])</f>
        <v>0</v>
      </c>
      <c r="AJ25" s="80" t="n">
        <f aca="false">Table9[[#This Row],[RLower(min) (kΩ)]]/(Table9[[#This Row],[RLower(min) (kΩ)]]+RT1_TH_S_MAX)*100</f>
        <v>0</v>
      </c>
      <c r="AK25" s="80" t="n">
        <f aca="false">Table9[[#This Row],[RLower(nom) (kΩ)]]/(Table9[[#This Row],[RLower(nom) (kΩ)]]+RT1_TH_S)*100</f>
        <v>0</v>
      </c>
      <c r="AL25" s="80" t="n">
        <f aca="false">Table9[[#This Row],[RLower(max) (kΩ)]]/(Table9[[#This Row],[RLower(max) (kΩ)]]+RT1_TH_S_MIN)*100</f>
        <v>0</v>
      </c>
      <c r="AM25" s="80" t="n">
        <f aca="false">IF(Table9[[#This Row],[Vmin (%)]]&lt;$BA$14, 0, IF(Table9[[#This Row],[Vmin (%)]]&lt;$BA$12, 4, IF(Table9[[#This Row],[Vmin (%)]]&lt;$BA$9, 3, IF(Table9[[#This Row],[Vmin (%)]]&lt;$BA$7, 2, 0))))</f>
        <v>0</v>
      </c>
      <c r="AN25" s="80" t="n">
        <f aca="false">IF(Table9[[#This Row],[Vmin (%)]]&lt;$BA$13, 0, IF(Table9[[#This Row],[Vmin (%)]]&lt;$BA$11, 4, IF(Table9[[#This Row],[Vmin (%)]]&lt;$BA$10, 3, IF(Table9[[#This Row],[Vmin (%)]]&lt;$BA$8, 2, 0))))</f>
        <v>0</v>
      </c>
      <c r="AO25" s="217" t="str">
        <f aca="false">IF(Table9[[#This Row],[Vmin (%)]]&lt;$BA$14, "Hot", IF(Table9[[#This Row],[Vmin (%)]]&lt;$BA$12, "Warm", IF(Table9[[#This Row],[Vmin (%)]]&lt;$BA$9, "Normal", IF(Table9[[#This Row],[Vmin (%)]]&lt;$BA$7, "Cool", "Cold"))))</f>
        <v>Hot</v>
      </c>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row>
    <row r="26" customFormat="false" ht="16.4" hidden="true" customHeight="false" outlineLevel="0" collapsed="false">
      <c r="A26" s="218" t="n">
        <f aca="false">A25-1</f>
        <v>104</v>
      </c>
      <c r="B26" s="191"/>
      <c r="C26" s="219" t="str">
        <f aca="false">_xlfn.CONCAT("RTH at ",A26, " °C")</f>
        <v>RTH at 104 °C</v>
      </c>
      <c r="D26" s="220" t="n">
        <f aca="false">$D$20-(ROW(D26)-ROW($D$20))*($D$20-$D$105)/(ROW($D$105)-ROW($D$20))</f>
        <v>3.32352941176471</v>
      </c>
      <c r="E26" s="221" t="n">
        <v>0</v>
      </c>
      <c r="F26" s="222" t="n">
        <v>0</v>
      </c>
      <c r="G26" s="223" t="n">
        <v>0</v>
      </c>
      <c r="H26" s="57" t="s">
        <v>18</v>
      </c>
      <c r="I26" s="24"/>
      <c r="J26" s="24" t="n">
        <v>0.9096</v>
      </c>
      <c r="K26" s="24" t="n">
        <v>0.8789</v>
      </c>
      <c r="L26" s="24" t="n">
        <v>0.8492</v>
      </c>
      <c r="M26" s="24"/>
      <c r="N26" s="24"/>
      <c r="O26" s="24"/>
      <c r="P26" s="24"/>
      <c r="Q26" s="24"/>
      <c r="R26" s="24"/>
      <c r="S26" s="24"/>
      <c r="T26" s="24"/>
      <c r="U26" s="24"/>
      <c r="V26" s="24"/>
      <c r="W26" s="24"/>
      <c r="X26" s="24"/>
      <c r="Y26" s="25"/>
      <c r="Z26" s="6"/>
      <c r="AA26" s="7"/>
      <c r="AB26" s="7"/>
      <c r="AC26" s="80" t="n">
        <f aca="false">A26</f>
        <v>104</v>
      </c>
      <c r="AD26" s="80" t="n">
        <f aca="false">E26</f>
        <v>0</v>
      </c>
      <c r="AE26" s="80" t="n">
        <f aca="false">F26</f>
        <v>0</v>
      </c>
      <c r="AF26" s="80" t="n">
        <f aca="false">G26</f>
        <v>0</v>
      </c>
      <c r="AG26" s="80" t="n">
        <f aca="false">Table9[[#This Row],[RTH(min) (kΩ)]]*RT2_TH_MIN/(RT2_TH_MIN+Table9[[#This Row],[RTH(min) (kΩ)]])</f>
        <v>0</v>
      </c>
      <c r="AH26" s="80" t="n">
        <f aca="false">Table9[[#This Row],[RTH(nom) (kΩ)]]*RT2_TH_S/(RT2_TH_S+Table9[[#This Row],[RTH(nom) (kΩ)]])</f>
        <v>0</v>
      </c>
      <c r="AI26" s="80" t="n">
        <f aca="false">Table9[[#This Row],[RTH(max) (kΩ)]]*RT2_TH_S_MAX/(RT2_TH_S_MAX+Table9[[#This Row],[RTH(max) (kΩ)]])</f>
        <v>0</v>
      </c>
      <c r="AJ26" s="80" t="n">
        <f aca="false">Table9[[#This Row],[RLower(min) (kΩ)]]/(Table9[[#This Row],[RLower(min) (kΩ)]]+RT1_TH_S_MAX)*100</f>
        <v>0</v>
      </c>
      <c r="AK26" s="80" t="n">
        <f aca="false">Table9[[#This Row],[RLower(nom) (kΩ)]]/(Table9[[#This Row],[RLower(nom) (kΩ)]]+RT1_TH_S)*100</f>
        <v>0</v>
      </c>
      <c r="AL26" s="80" t="n">
        <f aca="false">Table9[[#This Row],[RLower(max) (kΩ)]]/(Table9[[#This Row],[RLower(max) (kΩ)]]+RT1_TH_S_MIN)*100</f>
        <v>0</v>
      </c>
      <c r="AM26" s="80" t="n">
        <f aca="false">IF(Table9[[#This Row],[Vmin (%)]]&lt;$BA$14, 0, IF(Table9[[#This Row],[Vmin (%)]]&lt;$BA$12, 4, IF(Table9[[#This Row],[Vmin (%)]]&lt;$BA$9, 3, IF(Table9[[#This Row],[Vmin (%)]]&lt;$BA$7, 2, 0))))</f>
        <v>0</v>
      </c>
      <c r="AN26" s="80" t="n">
        <f aca="false">IF(Table9[[#This Row],[Vmin (%)]]&lt;$BA$13, 0, IF(Table9[[#This Row],[Vmin (%)]]&lt;$BA$11, 4, IF(Table9[[#This Row],[Vmin (%)]]&lt;$BA$10, 3, IF(Table9[[#This Row],[Vmin (%)]]&lt;$BA$8, 2, 0))))</f>
        <v>0</v>
      </c>
      <c r="AO26" s="217" t="str">
        <f aca="false">IF(Table9[[#This Row],[Vmin (%)]]&lt;$BA$14, "Hot", IF(Table9[[#This Row],[Vmin (%)]]&lt;$BA$12, "Warm", IF(Table9[[#This Row],[Vmin (%)]]&lt;$BA$9, "Normal", IF(Table9[[#This Row],[Vmin (%)]]&lt;$BA$7, "Cool", "Cold"))))</f>
        <v>Hot</v>
      </c>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row>
    <row r="27" customFormat="false" ht="16.4" hidden="true" customHeight="false" outlineLevel="0" collapsed="false">
      <c r="A27" s="218" t="n">
        <f aca="false">A26-1</f>
        <v>103</v>
      </c>
      <c r="B27" s="191"/>
      <c r="C27" s="219" t="str">
        <f aca="false">_xlfn.CONCAT("RTH at ",A27, " °C")</f>
        <v>RTH at 103 °C</v>
      </c>
      <c r="D27" s="220" t="n">
        <f aca="false">$D$20-(ROW(D27)-ROW($D$20))*($D$20-$D$105)/(ROW($D$105)-ROW($D$20))</f>
        <v>3.29411764705882</v>
      </c>
      <c r="E27" s="221" t="n">
        <v>0</v>
      </c>
      <c r="F27" s="222" t="n">
        <v>0</v>
      </c>
      <c r="G27" s="223" t="n">
        <v>0</v>
      </c>
      <c r="H27" s="57" t="s">
        <v>18</v>
      </c>
      <c r="I27" s="24"/>
      <c r="J27" s="24" t="n">
        <v>0.9326</v>
      </c>
      <c r="K27" s="24" t="n">
        <v>0.9014</v>
      </c>
      <c r="L27" s="24" t="n">
        <v>0.8711</v>
      </c>
      <c r="M27" s="24"/>
      <c r="N27" s="24"/>
      <c r="O27" s="24"/>
      <c r="P27" s="24"/>
      <c r="Q27" s="24"/>
      <c r="R27" s="24"/>
      <c r="S27" s="24"/>
      <c r="T27" s="24"/>
      <c r="U27" s="24"/>
      <c r="V27" s="24"/>
      <c r="W27" s="24"/>
      <c r="X27" s="24"/>
      <c r="Y27" s="25"/>
      <c r="Z27" s="6"/>
      <c r="AA27" s="7"/>
      <c r="AB27" s="7"/>
      <c r="AC27" s="80" t="n">
        <f aca="false">A27</f>
        <v>103</v>
      </c>
      <c r="AD27" s="80" t="n">
        <f aca="false">E27</f>
        <v>0</v>
      </c>
      <c r="AE27" s="80" t="n">
        <f aca="false">F27</f>
        <v>0</v>
      </c>
      <c r="AF27" s="80" t="n">
        <f aca="false">G27</f>
        <v>0</v>
      </c>
      <c r="AG27" s="80" t="n">
        <f aca="false">Table9[[#This Row],[RTH(min) (kΩ)]]*RT2_TH_MIN/(RT2_TH_MIN+Table9[[#This Row],[RTH(min) (kΩ)]])</f>
        <v>0</v>
      </c>
      <c r="AH27" s="80" t="n">
        <f aca="false">Table9[[#This Row],[RTH(nom) (kΩ)]]*RT2_TH_S/(RT2_TH_S+Table9[[#This Row],[RTH(nom) (kΩ)]])</f>
        <v>0</v>
      </c>
      <c r="AI27" s="80" t="n">
        <f aca="false">Table9[[#This Row],[RTH(max) (kΩ)]]*RT2_TH_S_MAX/(RT2_TH_S_MAX+Table9[[#This Row],[RTH(max) (kΩ)]])</f>
        <v>0</v>
      </c>
      <c r="AJ27" s="80" t="n">
        <f aca="false">Table9[[#This Row],[RLower(min) (kΩ)]]/(Table9[[#This Row],[RLower(min) (kΩ)]]+RT1_TH_S_MAX)*100</f>
        <v>0</v>
      </c>
      <c r="AK27" s="80" t="n">
        <f aca="false">Table9[[#This Row],[RLower(nom) (kΩ)]]/(Table9[[#This Row],[RLower(nom) (kΩ)]]+RT1_TH_S)*100</f>
        <v>0</v>
      </c>
      <c r="AL27" s="80" t="n">
        <f aca="false">Table9[[#This Row],[RLower(max) (kΩ)]]/(Table9[[#This Row],[RLower(max) (kΩ)]]+RT1_TH_S_MIN)*100</f>
        <v>0</v>
      </c>
      <c r="AM27" s="80" t="n">
        <f aca="false">IF(Table9[[#This Row],[Vmin (%)]]&lt;$BA$14, 0, IF(Table9[[#This Row],[Vmin (%)]]&lt;$BA$12, 4, IF(Table9[[#This Row],[Vmin (%)]]&lt;$BA$9, 3, IF(Table9[[#This Row],[Vmin (%)]]&lt;$BA$7, 2, 0))))</f>
        <v>0</v>
      </c>
      <c r="AN27" s="80" t="n">
        <f aca="false">IF(Table9[[#This Row],[Vmin (%)]]&lt;$BA$13, 0, IF(Table9[[#This Row],[Vmin (%)]]&lt;$BA$11, 4, IF(Table9[[#This Row],[Vmin (%)]]&lt;$BA$10, 3, IF(Table9[[#This Row],[Vmin (%)]]&lt;$BA$8, 2, 0))))</f>
        <v>0</v>
      </c>
      <c r="AO27" s="217" t="str">
        <f aca="false">IF(Table9[[#This Row],[Vmin (%)]]&lt;$BA$14, "Hot", IF(Table9[[#This Row],[Vmin (%)]]&lt;$BA$12, "Warm", IF(Table9[[#This Row],[Vmin (%)]]&lt;$BA$9, "Normal", IF(Table9[[#This Row],[Vmin (%)]]&lt;$BA$7, "Cool", "Cold"))))</f>
        <v>Hot</v>
      </c>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row>
    <row r="28" customFormat="false" ht="16.4" hidden="true" customHeight="false" outlineLevel="0" collapsed="false">
      <c r="A28" s="218" t="n">
        <f aca="false">A27-1</f>
        <v>102</v>
      </c>
      <c r="B28" s="191"/>
      <c r="C28" s="219" t="str">
        <f aca="false">_xlfn.CONCAT("RTH at ",A28, " °C")</f>
        <v>RTH at 102 °C</v>
      </c>
      <c r="D28" s="220" t="n">
        <f aca="false">$D$20-(ROW(D28)-ROW($D$20))*($D$20-$D$105)/(ROW($D$105)-ROW($D$20))</f>
        <v>3.26470588235294</v>
      </c>
      <c r="E28" s="221" t="n">
        <v>0</v>
      </c>
      <c r="F28" s="222" t="n">
        <v>0</v>
      </c>
      <c r="G28" s="223" t="n">
        <v>0</v>
      </c>
      <c r="H28" s="57" t="s">
        <v>18</v>
      </c>
      <c r="I28" s="24"/>
      <c r="J28" s="24" t="n">
        <v>0.9563</v>
      </c>
      <c r="K28" s="24" t="n">
        <v>0.9246</v>
      </c>
      <c r="L28" s="24" t="n">
        <v>0.8937</v>
      </c>
      <c r="M28" s="24"/>
      <c r="N28" s="24"/>
      <c r="O28" s="24"/>
      <c r="P28" s="24"/>
      <c r="Q28" s="24"/>
      <c r="R28" s="24"/>
      <c r="S28" s="24"/>
      <c r="T28" s="24"/>
      <c r="U28" s="24"/>
      <c r="V28" s="24"/>
      <c r="W28" s="24"/>
      <c r="X28" s="24"/>
      <c r="Y28" s="25"/>
      <c r="Z28" s="6"/>
      <c r="AA28" s="7"/>
      <c r="AB28" s="7"/>
      <c r="AC28" s="80" t="n">
        <f aca="false">A28</f>
        <v>102</v>
      </c>
      <c r="AD28" s="80" t="n">
        <f aca="false">E28</f>
        <v>0</v>
      </c>
      <c r="AE28" s="80" t="n">
        <f aca="false">F28</f>
        <v>0</v>
      </c>
      <c r="AF28" s="80" t="n">
        <f aca="false">G28</f>
        <v>0</v>
      </c>
      <c r="AG28" s="80" t="n">
        <f aca="false">Table9[[#This Row],[RTH(min) (kΩ)]]*RT2_TH_MIN/(RT2_TH_MIN+Table9[[#This Row],[RTH(min) (kΩ)]])</f>
        <v>0</v>
      </c>
      <c r="AH28" s="80" t="n">
        <f aca="false">Table9[[#This Row],[RTH(nom) (kΩ)]]*RT2_TH_S/(RT2_TH_S+Table9[[#This Row],[RTH(nom) (kΩ)]])</f>
        <v>0</v>
      </c>
      <c r="AI28" s="80" t="n">
        <f aca="false">Table9[[#This Row],[RTH(max) (kΩ)]]*RT2_TH_S_MAX/(RT2_TH_S_MAX+Table9[[#This Row],[RTH(max) (kΩ)]])</f>
        <v>0</v>
      </c>
      <c r="AJ28" s="80" t="n">
        <f aca="false">Table9[[#This Row],[RLower(min) (kΩ)]]/(Table9[[#This Row],[RLower(min) (kΩ)]]+RT1_TH_S_MAX)*100</f>
        <v>0</v>
      </c>
      <c r="AK28" s="80" t="n">
        <f aca="false">Table9[[#This Row],[RLower(nom) (kΩ)]]/(Table9[[#This Row],[RLower(nom) (kΩ)]]+RT1_TH_S)*100</f>
        <v>0</v>
      </c>
      <c r="AL28" s="80" t="n">
        <f aca="false">Table9[[#This Row],[RLower(max) (kΩ)]]/(Table9[[#This Row],[RLower(max) (kΩ)]]+RT1_TH_S_MIN)*100</f>
        <v>0</v>
      </c>
      <c r="AM28" s="80" t="n">
        <f aca="false">IF(Table9[[#This Row],[Vmin (%)]]&lt;$BA$14, 0, IF(Table9[[#This Row],[Vmin (%)]]&lt;$BA$12, 4, IF(Table9[[#This Row],[Vmin (%)]]&lt;$BA$9, 3, IF(Table9[[#This Row],[Vmin (%)]]&lt;$BA$7, 2, 0))))</f>
        <v>0</v>
      </c>
      <c r="AN28" s="80" t="n">
        <f aca="false">IF(Table9[[#This Row],[Vmin (%)]]&lt;$BA$13, 0, IF(Table9[[#This Row],[Vmin (%)]]&lt;$BA$11, 4, IF(Table9[[#This Row],[Vmin (%)]]&lt;$BA$10, 3, IF(Table9[[#This Row],[Vmin (%)]]&lt;$BA$8, 2, 0))))</f>
        <v>0</v>
      </c>
      <c r="AO28" s="217" t="str">
        <f aca="false">IF(Table9[[#This Row],[Vmin (%)]]&lt;$BA$14, "Hot", IF(Table9[[#This Row],[Vmin (%)]]&lt;$BA$12, "Warm", IF(Table9[[#This Row],[Vmin (%)]]&lt;$BA$9, "Normal", IF(Table9[[#This Row],[Vmin (%)]]&lt;$BA$7, "Cool", "Cold"))))</f>
        <v>Hot</v>
      </c>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row>
    <row r="29" customFormat="false" ht="16.4" hidden="true" customHeight="false" outlineLevel="0" collapsed="false">
      <c r="A29" s="218" t="n">
        <f aca="false">A28-1</f>
        <v>101</v>
      </c>
      <c r="B29" s="191"/>
      <c r="C29" s="219" t="str">
        <f aca="false">_xlfn.CONCAT("RTH at ",A29, " °C")</f>
        <v>RTH at 101 °C</v>
      </c>
      <c r="D29" s="220" t="n">
        <f aca="false">$D$20-(ROW(D29)-ROW($D$20))*($D$20-$D$105)/(ROW($D$105)-ROW($D$20))</f>
        <v>3.23529411764706</v>
      </c>
      <c r="E29" s="221" t="n">
        <v>0</v>
      </c>
      <c r="F29" s="222" t="n">
        <v>0</v>
      </c>
      <c r="G29" s="223" t="n">
        <v>0</v>
      </c>
      <c r="H29" s="57" t="s">
        <v>18</v>
      </c>
      <c r="I29" s="24"/>
      <c r="J29" s="24" t="n">
        <v>0.9808</v>
      </c>
      <c r="K29" s="24" t="n">
        <v>0.9484</v>
      </c>
      <c r="L29" s="24" t="n">
        <v>0.917</v>
      </c>
      <c r="M29" s="24"/>
      <c r="N29" s="24"/>
      <c r="O29" s="24"/>
      <c r="P29" s="24"/>
      <c r="Q29" s="24"/>
      <c r="R29" s="24"/>
      <c r="S29" s="24"/>
      <c r="T29" s="24"/>
      <c r="U29" s="24"/>
      <c r="V29" s="24"/>
      <c r="W29" s="24"/>
      <c r="X29" s="24"/>
      <c r="Y29" s="25"/>
      <c r="Z29" s="6"/>
      <c r="AA29" s="7"/>
      <c r="AB29" s="7"/>
      <c r="AC29" s="80" t="n">
        <f aca="false">A29</f>
        <v>101</v>
      </c>
      <c r="AD29" s="80" t="n">
        <f aca="false">E29</f>
        <v>0</v>
      </c>
      <c r="AE29" s="80" t="n">
        <f aca="false">F29</f>
        <v>0</v>
      </c>
      <c r="AF29" s="80" t="n">
        <f aca="false">G29</f>
        <v>0</v>
      </c>
      <c r="AG29" s="80" t="n">
        <f aca="false">Table9[[#This Row],[RTH(min) (kΩ)]]*RT2_TH_MIN/(RT2_TH_MIN+Table9[[#This Row],[RTH(min) (kΩ)]])</f>
        <v>0</v>
      </c>
      <c r="AH29" s="80" t="n">
        <f aca="false">Table9[[#This Row],[RTH(nom) (kΩ)]]*RT2_TH_S/(RT2_TH_S+Table9[[#This Row],[RTH(nom) (kΩ)]])</f>
        <v>0</v>
      </c>
      <c r="AI29" s="80" t="n">
        <f aca="false">Table9[[#This Row],[RTH(max) (kΩ)]]*RT2_TH_S_MAX/(RT2_TH_S_MAX+Table9[[#This Row],[RTH(max) (kΩ)]])</f>
        <v>0</v>
      </c>
      <c r="AJ29" s="80" t="n">
        <f aca="false">Table9[[#This Row],[RLower(min) (kΩ)]]/(Table9[[#This Row],[RLower(min) (kΩ)]]+RT1_TH_S_MAX)*100</f>
        <v>0</v>
      </c>
      <c r="AK29" s="80" t="n">
        <f aca="false">Table9[[#This Row],[RLower(nom) (kΩ)]]/(Table9[[#This Row],[RLower(nom) (kΩ)]]+RT1_TH_S)*100</f>
        <v>0</v>
      </c>
      <c r="AL29" s="80" t="n">
        <f aca="false">Table9[[#This Row],[RLower(max) (kΩ)]]/(Table9[[#This Row],[RLower(max) (kΩ)]]+RT1_TH_S_MIN)*100</f>
        <v>0</v>
      </c>
      <c r="AM29" s="80" t="n">
        <f aca="false">IF(Table9[[#This Row],[Vmin (%)]]&lt;$BA$14, 0, IF(Table9[[#This Row],[Vmin (%)]]&lt;$BA$12, 4, IF(Table9[[#This Row],[Vmin (%)]]&lt;$BA$9, 3, IF(Table9[[#This Row],[Vmin (%)]]&lt;$BA$7, 2, 0))))</f>
        <v>0</v>
      </c>
      <c r="AN29" s="80" t="n">
        <f aca="false">IF(Table9[[#This Row],[Vmin (%)]]&lt;$BA$13, 0, IF(Table9[[#This Row],[Vmin (%)]]&lt;$BA$11, 4, IF(Table9[[#This Row],[Vmin (%)]]&lt;$BA$10, 3, IF(Table9[[#This Row],[Vmin (%)]]&lt;$BA$8, 2, 0))))</f>
        <v>0</v>
      </c>
      <c r="AO29" s="217" t="str">
        <f aca="false">IF(Table9[[#This Row],[Vmin (%)]]&lt;$BA$14, "Hot", IF(Table9[[#This Row],[Vmin (%)]]&lt;$BA$12, "Warm", IF(Table9[[#This Row],[Vmin (%)]]&lt;$BA$9, "Normal", IF(Table9[[#This Row],[Vmin (%)]]&lt;$BA$7, "Cool", "Cold"))))</f>
        <v>Hot</v>
      </c>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row>
    <row r="30" customFormat="false" ht="16.4" hidden="true" customHeight="false" outlineLevel="0" collapsed="false">
      <c r="A30" s="218" t="n">
        <f aca="false">A29-1</f>
        <v>100</v>
      </c>
      <c r="B30" s="191"/>
      <c r="C30" s="219" t="str">
        <f aca="false">_xlfn.CONCAT("RTH at ",A30, " °C")</f>
        <v>RTH at 100 °C</v>
      </c>
      <c r="D30" s="220" t="n">
        <f aca="false">$D$20-(ROW(D30)-ROW($D$20))*($D$20-$D$105)/(ROW($D$105)-ROW($D$20))</f>
        <v>3.20588235294118</v>
      </c>
      <c r="E30" s="221" t="n">
        <v>0</v>
      </c>
      <c r="F30" s="222" t="n">
        <v>0</v>
      </c>
      <c r="G30" s="223" t="n">
        <v>0</v>
      </c>
      <c r="H30" s="57" t="s">
        <v>18</v>
      </c>
      <c r="I30" s="24"/>
      <c r="J30" s="24" t="n">
        <v>1.006</v>
      </c>
      <c r="K30" s="24" t="n">
        <v>0.9731</v>
      </c>
      <c r="L30" s="24" t="n">
        <v>0.9411</v>
      </c>
      <c r="M30" s="24"/>
      <c r="N30" s="24"/>
      <c r="O30" s="24"/>
      <c r="P30" s="24"/>
      <c r="Q30" s="24"/>
      <c r="R30" s="24"/>
      <c r="S30" s="24"/>
      <c r="T30" s="24"/>
      <c r="U30" s="24"/>
      <c r="V30" s="24"/>
      <c r="W30" s="24"/>
      <c r="X30" s="24"/>
      <c r="Y30" s="25"/>
      <c r="Z30" s="6"/>
      <c r="AA30" s="7"/>
      <c r="AB30" s="7"/>
      <c r="AC30" s="80" t="n">
        <f aca="false">A30</f>
        <v>100</v>
      </c>
      <c r="AD30" s="80" t="n">
        <f aca="false">E30</f>
        <v>0</v>
      </c>
      <c r="AE30" s="80" t="n">
        <f aca="false">F30</f>
        <v>0</v>
      </c>
      <c r="AF30" s="80" t="n">
        <f aca="false">G30</f>
        <v>0</v>
      </c>
      <c r="AG30" s="80" t="n">
        <f aca="false">Table9[[#This Row],[RTH(min) (kΩ)]]*RT2_TH_MIN/(RT2_TH_MIN+Table9[[#This Row],[RTH(min) (kΩ)]])</f>
        <v>0</v>
      </c>
      <c r="AH30" s="80" t="n">
        <f aca="false">Table9[[#This Row],[RTH(nom) (kΩ)]]*RT2_TH_S/(RT2_TH_S+Table9[[#This Row],[RTH(nom) (kΩ)]])</f>
        <v>0</v>
      </c>
      <c r="AI30" s="80" t="n">
        <f aca="false">Table9[[#This Row],[RTH(max) (kΩ)]]*RT2_TH_S_MAX/(RT2_TH_S_MAX+Table9[[#This Row],[RTH(max) (kΩ)]])</f>
        <v>0</v>
      </c>
      <c r="AJ30" s="80" t="n">
        <f aca="false">Table9[[#This Row],[RLower(min) (kΩ)]]/(Table9[[#This Row],[RLower(min) (kΩ)]]+RT1_TH_S_MAX)*100</f>
        <v>0</v>
      </c>
      <c r="AK30" s="80" t="n">
        <f aca="false">Table9[[#This Row],[RLower(nom) (kΩ)]]/(Table9[[#This Row],[RLower(nom) (kΩ)]]+RT1_TH_S)*100</f>
        <v>0</v>
      </c>
      <c r="AL30" s="80" t="n">
        <f aca="false">Table9[[#This Row],[RLower(max) (kΩ)]]/(Table9[[#This Row],[RLower(max) (kΩ)]]+RT1_TH_S_MIN)*100</f>
        <v>0</v>
      </c>
      <c r="AM30" s="80" t="n">
        <f aca="false">IF(Table9[[#This Row],[Vmin (%)]]&lt;$BA$14, 0, IF(Table9[[#This Row],[Vmin (%)]]&lt;$BA$12, 4, IF(Table9[[#This Row],[Vmin (%)]]&lt;$BA$9, 3, IF(Table9[[#This Row],[Vmin (%)]]&lt;$BA$7, 2, 0))))</f>
        <v>0</v>
      </c>
      <c r="AN30" s="80" t="n">
        <f aca="false">IF(Table9[[#This Row],[Vmin (%)]]&lt;$BA$13, 0, IF(Table9[[#This Row],[Vmin (%)]]&lt;$BA$11, 4, IF(Table9[[#This Row],[Vmin (%)]]&lt;$BA$10, 3, IF(Table9[[#This Row],[Vmin (%)]]&lt;$BA$8, 2, 0))))</f>
        <v>0</v>
      </c>
      <c r="AO30" s="217" t="str">
        <f aca="false">IF(Table9[[#This Row],[Vmin (%)]]&lt;$BA$14, "Hot", IF(Table9[[#This Row],[Vmin (%)]]&lt;$BA$12, "Warm", IF(Table9[[#This Row],[Vmin (%)]]&lt;$BA$9, "Normal", IF(Table9[[#This Row],[Vmin (%)]]&lt;$BA$7, "Cool", "Cold"))))</f>
        <v>Hot</v>
      </c>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row>
    <row r="31" customFormat="false" ht="16.4" hidden="true" customHeight="false" outlineLevel="0" collapsed="false">
      <c r="A31" s="218" t="n">
        <f aca="false">A30-1</f>
        <v>99</v>
      </c>
      <c r="B31" s="191"/>
      <c r="C31" s="219" t="str">
        <f aca="false">_xlfn.CONCAT("RTH at ",A31, " °C")</f>
        <v>RTH at 99 °C</v>
      </c>
      <c r="D31" s="220" t="n">
        <f aca="false">$D$20-(ROW(D31)-ROW($D$20))*($D$20-$D$105)/(ROW($D$105)-ROW($D$20))</f>
        <v>3.17647058823529</v>
      </c>
      <c r="E31" s="221" t="n">
        <v>0</v>
      </c>
      <c r="F31" s="222" t="n">
        <v>0</v>
      </c>
      <c r="G31" s="223" t="n">
        <v>0</v>
      </c>
      <c r="H31" s="57" t="s">
        <v>18</v>
      </c>
      <c r="I31" s="24"/>
      <c r="J31" s="24" t="n">
        <v>1.032</v>
      </c>
      <c r="K31" s="24" t="n">
        <v>0.9984</v>
      </c>
      <c r="L31" s="24" t="n">
        <v>0.9658</v>
      </c>
      <c r="M31" s="24"/>
      <c r="N31" s="24"/>
      <c r="O31" s="24"/>
      <c r="P31" s="24"/>
      <c r="Q31" s="24"/>
      <c r="R31" s="24"/>
      <c r="S31" s="24"/>
      <c r="T31" s="24"/>
      <c r="U31" s="24"/>
      <c r="V31" s="24"/>
      <c r="W31" s="24"/>
      <c r="X31" s="24"/>
      <c r="Y31" s="25"/>
      <c r="Z31" s="6"/>
      <c r="AA31" s="7"/>
      <c r="AB31" s="7"/>
      <c r="AC31" s="80" t="n">
        <f aca="false">A31</f>
        <v>99</v>
      </c>
      <c r="AD31" s="80" t="n">
        <f aca="false">E31</f>
        <v>0</v>
      </c>
      <c r="AE31" s="80" t="n">
        <f aca="false">F31</f>
        <v>0</v>
      </c>
      <c r="AF31" s="80" t="n">
        <f aca="false">G31</f>
        <v>0</v>
      </c>
      <c r="AG31" s="80" t="n">
        <f aca="false">Table9[[#This Row],[RTH(min) (kΩ)]]*RT2_TH_MIN/(RT2_TH_MIN+Table9[[#This Row],[RTH(min) (kΩ)]])</f>
        <v>0</v>
      </c>
      <c r="AH31" s="80" t="n">
        <f aca="false">Table9[[#This Row],[RTH(nom) (kΩ)]]*RT2_TH_S/(RT2_TH_S+Table9[[#This Row],[RTH(nom) (kΩ)]])</f>
        <v>0</v>
      </c>
      <c r="AI31" s="80" t="n">
        <f aca="false">Table9[[#This Row],[RTH(max) (kΩ)]]*RT2_TH_S_MAX/(RT2_TH_S_MAX+Table9[[#This Row],[RTH(max) (kΩ)]])</f>
        <v>0</v>
      </c>
      <c r="AJ31" s="80" t="n">
        <f aca="false">Table9[[#This Row],[RLower(min) (kΩ)]]/(Table9[[#This Row],[RLower(min) (kΩ)]]+RT1_TH_S_MAX)*100</f>
        <v>0</v>
      </c>
      <c r="AK31" s="80" t="n">
        <f aca="false">Table9[[#This Row],[RLower(nom) (kΩ)]]/(Table9[[#This Row],[RLower(nom) (kΩ)]]+RT1_TH_S)*100</f>
        <v>0</v>
      </c>
      <c r="AL31" s="80" t="n">
        <f aca="false">Table9[[#This Row],[RLower(max) (kΩ)]]/(Table9[[#This Row],[RLower(max) (kΩ)]]+RT1_TH_S_MIN)*100</f>
        <v>0</v>
      </c>
      <c r="AM31" s="80" t="n">
        <f aca="false">IF(Table9[[#This Row],[Vmin (%)]]&lt;$BA$14, 0, IF(Table9[[#This Row],[Vmin (%)]]&lt;$BA$12, 4, IF(Table9[[#This Row],[Vmin (%)]]&lt;$BA$9, 3, IF(Table9[[#This Row],[Vmin (%)]]&lt;$BA$7, 2, 0))))</f>
        <v>0</v>
      </c>
      <c r="AN31" s="80" t="n">
        <f aca="false">IF(Table9[[#This Row],[Vmin (%)]]&lt;$BA$13, 0, IF(Table9[[#This Row],[Vmin (%)]]&lt;$BA$11, 4, IF(Table9[[#This Row],[Vmin (%)]]&lt;$BA$10, 3, IF(Table9[[#This Row],[Vmin (%)]]&lt;$BA$8, 2, 0))))</f>
        <v>0</v>
      </c>
      <c r="AO31" s="217" t="str">
        <f aca="false">IF(Table9[[#This Row],[Vmin (%)]]&lt;$BA$14, "Hot", IF(Table9[[#This Row],[Vmin (%)]]&lt;$BA$12, "Warm", IF(Table9[[#This Row],[Vmin (%)]]&lt;$BA$9, "Normal", IF(Table9[[#This Row],[Vmin (%)]]&lt;$BA$7, "Cool", "Cold"))))</f>
        <v>Hot</v>
      </c>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row>
    <row r="32" customFormat="false" ht="16.4" hidden="true" customHeight="false" outlineLevel="0" collapsed="false">
      <c r="A32" s="218" t="n">
        <f aca="false">A31-1</f>
        <v>98</v>
      </c>
      <c r="B32" s="191"/>
      <c r="C32" s="219" t="str">
        <f aca="false">_xlfn.CONCAT("RTH at ",A32, " °C")</f>
        <v>RTH at 98 °C</v>
      </c>
      <c r="D32" s="220" t="n">
        <f aca="false">$D$20-(ROW(D32)-ROW($D$20))*($D$20-$D$105)/(ROW($D$105)-ROW($D$20))</f>
        <v>3.14705882352941</v>
      </c>
      <c r="E32" s="221" t="n">
        <v>0</v>
      </c>
      <c r="F32" s="222" t="n">
        <v>0</v>
      </c>
      <c r="G32" s="223" t="n">
        <v>0</v>
      </c>
      <c r="H32" s="57" t="s">
        <v>18</v>
      </c>
      <c r="I32" s="24"/>
      <c r="J32" s="24" t="n">
        <v>1.059</v>
      </c>
      <c r="K32" s="24" t="n">
        <v>1.024</v>
      </c>
      <c r="L32" s="24" t="n">
        <v>0.9913</v>
      </c>
      <c r="M32" s="24"/>
      <c r="N32" s="24"/>
      <c r="O32" s="24"/>
      <c r="P32" s="24"/>
      <c r="Q32" s="24"/>
      <c r="R32" s="24"/>
      <c r="S32" s="24"/>
      <c r="T32" s="24"/>
      <c r="U32" s="24"/>
      <c r="V32" s="24"/>
      <c r="W32" s="24"/>
      <c r="X32" s="24"/>
      <c r="Y32" s="25"/>
      <c r="Z32" s="6"/>
      <c r="AA32" s="7"/>
      <c r="AB32" s="7"/>
      <c r="AC32" s="80" t="n">
        <f aca="false">A32</f>
        <v>98</v>
      </c>
      <c r="AD32" s="80" t="n">
        <f aca="false">E32</f>
        <v>0</v>
      </c>
      <c r="AE32" s="80" t="n">
        <f aca="false">F32</f>
        <v>0</v>
      </c>
      <c r="AF32" s="80" t="n">
        <f aca="false">G32</f>
        <v>0</v>
      </c>
      <c r="AG32" s="80" t="n">
        <f aca="false">Table9[[#This Row],[RTH(min) (kΩ)]]*RT2_TH_MIN/(RT2_TH_MIN+Table9[[#This Row],[RTH(min) (kΩ)]])</f>
        <v>0</v>
      </c>
      <c r="AH32" s="80" t="n">
        <f aca="false">Table9[[#This Row],[RTH(nom) (kΩ)]]*RT2_TH_S/(RT2_TH_S+Table9[[#This Row],[RTH(nom) (kΩ)]])</f>
        <v>0</v>
      </c>
      <c r="AI32" s="80" t="n">
        <f aca="false">Table9[[#This Row],[RTH(max) (kΩ)]]*RT2_TH_S_MAX/(RT2_TH_S_MAX+Table9[[#This Row],[RTH(max) (kΩ)]])</f>
        <v>0</v>
      </c>
      <c r="AJ32" s="80" t="n">
        <f aca="false">Table9[[#This Row],[RLower(min) (kΩ)]]/(Table9[[#This Row],[RLower(min) (kΩ)]]+RT1_TH_S_MAX)*100</f>
        <v>0</v>
      </c>
      <c r="AK32" s="80" t="n">
        <f aca="false">Table9[[#This Row],[RLower(nom) (kΩ)]]/(Table9[[#This Row],[RLower(nom) (kΩ)]]+RT1_TH_S)*100</f>
        <v>0</v>
      </c>
      <c r="AL32" s="80" t="n">
        <f aca="false">Table9[[#This Row],[RLower(max) (kΩ)]]/(Table9[[#This Row],[RLower(max) (kΩ)]]+RT1_TH_S_MIN)*100</f>
        <v>0</v>
      </c>
      <c r="AM32" s="80" t="n">
        <f aca="false">IF(Table9[[#This Row],[Vmin (%)]]&lt;$BA$14, 0, IF(Table9[[#This Row],[Vmin (%)]]&lt;$BA$12, 4, IF(Table9[[#This Row],[Vmin (%)]]&lt;$BA$9, 3, IF(Table9[[#This Row],[Vmin (%)]]&lt;$BA$7, 2, 0))))</f>
        <v>0</v>
      </c>
      <c r="AN32" s="80" t="n">
        <f aca="false">IF(Table9[[#This Row],[Vmin (%)]]&lt;$BA$13, 0, IF(Table9[[#This Row],[Vmin (%)]]&lt;$BA$11, 4, IF(Table9[[#This Row],[Vmin (%)]]&lt;$BA$10, 3, IF(Table9[[#This Row],[Vmin (%)]]&lt;$BA$8, 2, 0))))</f>
        <v>0</v>
      </c>
      <c r="AO32" s="217" t="str">
        <f aca="false">IF(Table9[[#This Row],[Vmin (%)]]&lt;$BA$14, "Hot", IF(Table9[[#This Row],[Vmin (%)]]&lt;$BA$12, "Warm", IF(Table9[[#This Row],[Vmin (%)]]&lt;$BA$9, "Normal", IF(Table9[[#This Row],[Vmin (%)]]&lt;$BA$7, "Cool", "Cold"))))</f>
        <v>Hot</v>
      </c>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row>
    <row r="33" customFormat="false" ht="16.4" hidden="true" customHeight="false" outlineLevel="0" collapsed="false">
      <c r="A33" s="218" t="n">
        <f aca="false">A32-1</f>
        <v>97</v>
      </c>
      <c r="B33" s="191"/>
      <c r="C33" s="219" t="str">
        <f aca="false">_xlfn.CONCAT("RTH at ",A33, " °C")</f>
        <v>RTH at 97 °C</v>
      </c>
      <c r="D33" s="220" t="n">
        <f aca="false">$D$20-(ROW(D33)-ROW($D$20))*($D$20-$D$105)/(ROW($D$105)-ROW($D$20))</f>
        <v>3.11764705882353</v>
      </c>
      <c r="E33" s="221" t="n">
        <v>0</v>
      </c>
      <c r="F33" s="222" t="n">
        <v>0</v>
      </c>
      <c r="G33" s="223" t="n">
        <v>0</v>
      </c>
      <c r="H33" s="57" t="s">
        <v>18</v>
      </c>
      <c r="I33" s="24"/>
      <c r="J33" s="24" t="n">
        <v>1.086</v>
      </c>
      <c r="K33" s="24" t="n">
        <v>1.051</v>
      </c>
      <c r="L33" s="24" t="n">
        <v>1.017</v>
      </c>
      <c r="M33" s="24"/>
      <c r="N33" s="24"/>
      <c r="O33" s="24"/>
      <c r="P33" s="24"/>
      <c r="Q33" s="24"/>
      <c r="R33" s="24"/>
      <c r="S33" s="24"/>
      <c r="T33" s="24"/>
      <c r="U33" s="24"/>
      <c r="V33" s="24"/>
      <c r="W33" s="24"/>
      <c r="X33" s="24"/>
      <c r="Y33" s="25"/>
      <c r="Z33" s="6"/>
      <c r="AA33" s="7"/>
      <c r="AB33" s="7"/>
      <c r="AC33" s="80" t="n">
        <f aca="false">A33</f>
        <v>97</v>
      </c>
      <c r="AD33" s="80" t="n">
        <f aca="false">E33</f>
        <v>0</v>
      </c>
      <c r="AE33" s="80" t="n">
        <f aca="false">F33</f>
        <v>0</v>
      </c>
      <c r="AF33" s="80" t="n">
        <f aca="false">G33</f>
        <v>0</v>
      </c>
      <c r="AG33" s="80" t="n">
        <f aca="false">Table9[[#This Row],[RTH(min) (kΩ)]]*RT2_TH_MIN/(RT2_TH_MIN+Table9[[#This Row],[RTH(min) (kΩ)]])</f>
        <v>0</v>
      </c>
      <c r="AH33" s="80" t="n">
        <f aca="false">Table9[[#This Row],[RTH(nom) (kΩ)]]*RT2_TH_S/(RT2_TH_S+Table9[[#This Row],[RTH(nom) (kΩ)]])</f>
        <v>0</v>
      </c>
      <c r="AI33" s="80" t="n">
        <f aca="false">Table9[[#This Row],[RTH(max) (kΩ)]]*RT2_TH_S_MAX/(RT2_TH_S_MAX+Table9[[#This Row],[RTH(max) (kΩ)]])</f>
        <v>0</v>
      </c>
      <c r="AJ33" s="80" t="n">
        <f aca="false">Table9[[#This Row],[RLower(min) (kΩ)]]/(Table9[[#This Row],[RLower(min) (kΩ)]]+RT1_TH_S_MAX)*100</f>
        <v>0</v>
      </c>
      <c r="AK33" s="80" t="n">
        <f aca="false">Table9[[#This Row],[RLower(nom) (kΩ)]]/(Table9[[#This Row],[RLower(nom) (kΩ)]]+RT1_TH_S)*100</f>
        <v>0</v>
      </c>
      <c r="AL33" s="80" t="n">
        <f aca="false">Table9[[#This Row],[RLower(max) (kΩ)]]/(Table9[[#This Row],[RLower(max) (kΩ)]]+RT1_TH_S_MIN)*100</f>
        <v>0</v>
      </c>
      <c r="AM33" s="80" t="n">
        <f aca="false">IF(Table9[[#This Row],[Vmin (%)]]&lt;$BA$14, 0, IF(Table9[[#This Row],[Vmin (%)]]&lt;$BA$12, 4, IF(Table9[[#This Row],[Vmin (%)]]&lt;$BA$9, 3, IF(Table9[[#This Row],[Vmin (%)]]&lt;$BA$7, 2, 0))))</f>
        <v>0</v>
      </c>
      <c r="AN33" s="80" t="n">
        <f aca="false">IF(Table9[[#This Row],[Vmin (%)]]&lt;$BA$13, 0, IF(Table9[[#This Row],[Vmin (%)]]&lt;$BA$11, 4, IF(Table9[[#This Row],[Vmin (%)]]&lt;$BA$10, 3, IF(Table9[[#This Row],[Vmin (%)]]&lt;$BA$8, 2, 0))))</f>
        <v>0</v>
      </c>
      <c r="AO33" s="217" t="str">
        <f aca="false">IF(Table9[[#This Row],[Vmin (%)]]&lt;$BA$14, "Hot", IF(Table9[[#This Row],[Vmin (%)]]&lt;$BA$12, "Warm", IF(Table9[[#This Row],[Vmin (%)]]&lt;$BA$9, "Normal", IF(Table9[[#This Row],[Vmin (%)]]&lt;$BA$7, "Cool", "Cold"))))</f>
        <v>Hot</v>
      </c>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row>
    <row r="34" customFormat="false" ht="16.4" hidden="true" customHeight="false" outlineLevel="0" collapsed="false">
      <c r="A34" s="218" t="n">
        <f aca="false">A33-1</f>
        <v>96</v>
      </c>
      <c r="B34" s="191"/>
      <c r="C34" s="219" t="str">
        <f aca="false">_xlfn.CONCAT("RTH at ",A34, " °C")</f>
        <v>RTH at 96 °C</v>
      </c>
      <c r="D34" s="220" t="n">
        <f aca="false">$D$20-(ROW(D34)-ROW($D$20))*($D$20-$D$105)/(ROW($D$105)-ROW($D$20))</f>
        <v>3.08823529411765</v>
      </c>
      <c r="E34" s="221" t="n">
        <v>0</v>
      </c>
      <c r="F34" s="222" t="n">
        <v>0</v>
      </c>
      <c r="G34" s="223" t="n">
        <v>0</v>
      </c>
      <c r="H34" s="57" t="s">
        <v>18</v>
      </c>
      <c r="I34" s="24"/>
      <c r="J34" s="24" t="n">
        <v>1.115</v>
      </c>
      <c r="K34" s="24" t="n">
        <v>1.079</v>
      </c>
      <c r="L34" s="24" t="n">
        <v>1.044</v>
      </c>
      <c r="M34" s="24"/>
      <c r="N34" s="24"/>
      <c r="O34" s="24"/>
      <c r="P34" s="24"/>
      <c r="Q34" s="24"/>
      <c r="R34" s="24"/>
      <c r="S34" s="24"/>
      <c r="T34" s="24"/>
      <c r="U34" s="24"/>
      <c r="V34" s="24"/>
      <c r="W34" s="24"/>
      <c r="X34" s="24"/>
      <c r="Y34" s="25"/>
      <c r="Z34" s="6"/>
      <c r="AA34" s="7"/>
      <c r="AB34" s="7"/>
      <c r="AC34" s="80" t="n">
        <f aca="false">A34</f>
        <v>96</v>
      </c>
      <c r="AD34" s="80" t="n">
        <f aca="false">E34</f>
        <v>0</v>
      </c>
      <c r="AE34" s="80" t="n">
        <f aca="false">F34</f>
        <v>0</v>
      </c>
      <c r="AF34" s="80" t="n">
        <f aca="false">G34</f>
        <v>0</v>
      </c>
      <c r="AG34" s="80" t="n">
        <f aca="false">Table9[[#This Row],[RTH(min) (kΩ)]]*RT2_TH_MIN/(RT2_TH_MIN+Table9[[#This Row],[RTH(min) (kΩ)]])</f>
        <v>0</v>
      </c>
      <c r="AH34" s="80" t="n">
        <f aca="false">Table9[[#This Row],[RTH(nom) (kΩ)]]*RT2_TH_S/(RT2_TH_S+Table9[[#This Row],[RTH(nom) (kΩ)]])</f>
        <v>0</v>
      </c>
      <c r="AI34" s="80" t="n">
        <f aca="false">Table9[[#This Row],[RTH(max) (kΩ)]]*RT2_TH_S_MAX/(RT2_TH_S_MAX+Table9[[#This Row],[RTH(max) (kΩ)]])</f>
        <v>0</v>
      </c>
      <c r="AJ34" s="80" t="n">
        <f aca="false">Table9[[#This Row],[RLower(min) (kΩ)]]/(Table9[[#This Row],[RLower(min) (kΩ)]]+RT1_TH_S_MAX)*100</f>
        <v>0</v>
      </c>
      <c r="AK34" s="80" t="n">
        <f aca="false">Table9[[#This Row],[RLower(nom) (kΩ)]]/(Table9[[#This Row],[RLower(nom) (kΩ)]]+RT1_TH_S)*100</f>
        <v>0</v>
      </c>
      <c r="AL34" s="80" t="n">
        <f aca="false">Table9[[#This Row],[RLower(max) (kΩ)]]/(Table9[[#This Row],[RLower(max) (kΩ)]]+RT1_TH_S_MIN)*100</f>
        <v>0</v>
      </c>
      <c r="AM34" s="80" t="n">
        <f aca="false">IF(Table9[[#This Row],[Vmin (%)]]&lt;$BA$14, 0, IF(Table9[[#This Row],[Vmin (%)]]&lt;$BA$12, 4, IF(Table9[[#This Row],[Vmin (%)]]&lt;$BA$9, 3, IF(Table9[[#This Row],[Vmin (%)]]&lt;$BA$7, 2, 0))))</f>
        <v>0</v>
      </c>
      <c r="AN34" s="80" t="n">
        <f aca="false">IF(Table9[[#This Row],[Vmin (%)]]&lt;$BA$13, 0, IF(Table9[[#This Row],[Vmin (%)]]&lt;$BA$11, 4, IF(Table9[[#This Row],[Vmin (%)]]&lt;$BA$10, 3, IF(Table9[[#This Row],[Vmin (%)]]&lt;$BA$8, 2, 0))))</f>
        <v>0</v>
      </c>
      <c r="AO34" s="217" t="str">
        <f aca="false">IF(Table9[[#This Row],[Vmin (%)]]&lt;$BA$14, "Hot", IF(Table9[[#This Row],[Vmin (%)]]&lt;$BA$12, "Warm", IF(Table9[[#This Row],[Vmin (%)]]&lt;$BA$9, "Normal", IF(Table9[[#This Row],[Vmin (%)]]&lt;$BA$7, "Cool", "Cold"))))</f>
        <v>Hot</v>
      </c>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row>
    <row r="35" customFormat="false" ht="16.4" hidden="true" customHeight="false" outlineLevel="0" collapsed="false">
      <c r="A35" s="218" t="n">
        <f aca="false">A34-1</f>
        <v>95</v>
      </c>
      <c r="B35" s="191"/>
      <c r="C35" s="219" t="str">
        <f aca="false">_xlfn.CONCAT("RTH at ",A35, " °C")</f>
        <v>RTH at 95 °C</v>
      </c>
      <c r="D35" s="220" t="n">
        <f aca="false">$D$20-(ROW(D35)-ROW($D$20))*($D$20-$D$105)/(ROW($D$105)-ROW($D$20))</f>
        <v>3.05882352941176</v>
      </c>
      <c r="E35" s="221" t="n">
        <v>0</v>
      </c>
      <c r="F35" s="222" t="n">
        <v>0</v>
      </c>
      <c r="G35" s="223" t="n">
        <v>0</v>
      </c>
      <c r="H35" s="57" t="s">
        <v>18</v>
      </c>
      <c r="I35" s="24"/>
      <c r="J35" s="24" t="n">
        <v>1.144</v>
      </c>
      <c r="K35" s="24" t="n">
        <v>1.108</v>
      </c>
      <c r="L35" s="24" t="n">
        <v>1.072</v>
      </c>
      <c r="M35" s="24"/>
      <c r="N35" s="24"/>
      <c r="O35" s="24"/>
      <c r="P35" s="24"/>
      <c r="Q35" s="24"/>
      <c r="R35" s="24"/>
      <c r="S35" s="24"/>
      <c r="T35" s="24"/>
      <c r="U35" s="24"/>
      <c r="V35" s="24"/>
      <c r="W35" s="24"/>
      <c r="X35" s="24"/>
      <c r="Y35" s="25"/>
      <c r="Z35" s="6"/>
      <c r="AA35" s="7"/>
      <c r="AB35" s="7"/>
      <c r="AC35" s="80" t="n">
        <f aca="false">A35</f>
        <v>95</v>
      </c>
      <c r="AD35" s="80" t="n">
        <f aca="false">E35</f>
        <v>0</v>
      </c>
      <c r="AE35" s="80" t="n">
        <f aca="false">F35</f>
        <v>0</v>
      </c>
      <c r="AF35" s="80" t="n">
        <f aca="false">G35</f>
        <v>0</v>
      </c>
      <c r="AG35" s="80" t="n">
        <f aca="false">Table9[[#This Row],[RTH(min) (kΩ)]]*RT2_TH_MIN/(RT2_TH_MIN+Table9[[#This Row],[RTH(min) (kΩ)]])</f>
        <v>0</v>
      </c>
      <c r="AH35" s="80" t="n">
        <f aca="false">Table9[[#This Row],[RTH(nom) (kΩ)]]*RT2_TH_S/(RT2_TH_S+Table9[[#This Row],[RTH(nom) (kΩ)]])</f>
        <v>0</v>
      </c>
      <c r="AI35" s="80" t="n">
        <f aca="false">Table9[[#This Row],[RTH(max) (kΩ)]]*RT2_TH_S_MAX/(RT2_TH_S_MAX+Table9[[#This Row],[RTH(max) (kΩ)]])</f>
        <v>0</v>
      </c>
      <c r="AJ35" s="80" t="n">
        <f aca="false">Table9[[#This Row],[RLower(min) (kΩ)]]/(Table9[[#This Row],[RLower(min) (kΩ)]]+RT1_TH_S_MAX)*100</f>
        <v>0</v>
      </c>
      <c r="AK35" s="80" t="n">
        <f aca="false">Table9[[#This Row],[RLower(nom) (kΩ)]]/(Table9[[#This Row],[RLower(nom) (kΩ)]]+RT1_TH_S)*100</f>
        <v>0</v>
      </c>
      <c r="AL35" s="80" t="n">
        <f aca="false">Table9[[#This Row],[RLower(max) (kΩ)]]/(Table9[[#This Row],[RLower(max) (kΩ)]]+RT1_TH_S_MIN)*100</f>
        <v>0</v>
      </c>
      <c r="AM35" s="80" t="n">
        <f aca="false">IF(Table9[[#This Row],[Vmin (%)]]&lt;$BA$14, 0, IF(Table9[[#This Row],[Vmin (%)]]&lt;$BA$12, 4, IF(Table9[[#This Row],[Vmin (%)]]&lt;$BA$9, 3, IF(Table9[[#This Row],[Vmin (%)]]&lt;$BA$7, 2, 0))))</f>
        <v>0</v>
      </c>
      <c r="AN35" s="80" t="n">
        <f aca="false">IF(Table9[[#This Row],[Vmin (%)]]&lt;$BA$13, 0, IF(Table9[[#This Row],[Vmin (%)]]&lt;$BA$11, 4, IF(Table9[[#This Row],[Vmin (%)]]&lt;$BA$10, 3, IF(Table9[[#This Row],[Vmin (%)]]&lt;$BA$8, 2, 0))))</f>
        <v>0</v>
      </c>
      <c r="AO35" s="217" t="str">
        <f aca="false">IF(Table9[[#This Row],[Vmin (%)]]&lt;$BA$14, "Hot", IF(Table9[[#This Row],[Vmin (%)]]&lt;$BA$12, "Warm", IF(Table9[[#This Row],[Vmin (%)]]&lt;$BA$9, "Normal", IF(Table9[[#This Row],[Vmin (%)]]&lt;$BA$7, "Cool", "Cold"))))</f>
        <v>Hot</v>
      </c>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row>
    <row r="36" customFormat="false" ht="16.4" hidden="true" customHeight="false" outlineLevel="0" collapsed="false">
      <c r="A36" s="218" t="n">
        <f aca="false">A35-1</f>
        <v>94</v>
      </c>
      <c r="B36" s="191"/>
      <c r="C36" s="219" t="str">
        <f aca="false">_xlfn.CONCAT("RTH at ",A36, " °C")</f>
        <v>RTH at 94 °C</v>
      </c>
      <c r="D36" s="220" t="n">
        <f aca="false">$D$20-(ROW(D36)-ROW($D$20))*($D$20-$D$105)/(ROW($D$105)-ROW($D$20))</f>
        <v>3.02941176470588</v>
      </c>
      <c r="E36" s="221" t="n">
        <v>0</v>
      </c>
      <c r="F36" s="222" t="n">
        <v>0</v>
      </c>
      <c r="G36" s="223" t="n">
        <v>0</v>
      </c>
      <c r="H36" s="57" t="s">
        <v>18</v>
      </c>
      <c r="I36" s="24"/>
      <c r="J36" s="24" t="n">
        <v>1.174</v>
      </c>
      <c r="K36" s="24" t="n">
        <v>1.137</v>
      </c>
      <c r="L36" s="24" t="n">
        <v>1.101</v>
      </c>
      <c r="M36" s="24"/>
      <c r="N36" s="24"/>
      <c r="O36" s="24"/>
      <c r="P36" s="24"/>
      <c r="Q36" s="24"/>
      <c r="R36" s="24"/>
      <c r="S36" s="24"/>
      <c r="T36" s="24"/>
      <c r="U36" s="24"/>
      <c r="V36" s="24"/>
      <c r="W36" s="24"/>
      <c r="X36" s="24"/>
      <c r="Y36" s="25"/>
      <c r="Z36" s="6"/>
      <c r="AA36" s="7"/>
      <c r="AB36" s="7"/>
      <c r="AC36" s="80" t="n">
        <f aca="false">A36</f>
        <v>94</v>
      </c>
      <c r="AD36" s="80" t="n">
        <f aca="false">E36</f>
        <v>0</v>
      </c>
      <c r="AE36" s="80" t="n">
        <f aca="false">F36</f>
        <v>0</v>
      </c>
      <c r="AF36" s="80" t="n">
        <f aca="false">G36</f>
        <v>0</v>
      </c>
      <c r="AG36" s="80" t="n">
        <f aca="false">Table9[[#This Row],[RTH(min) (kΩ)]]*RT2_TH_MIN/(RT2_TH_MIN+Table9[[#This Row],[RTH(min) (kΩ)]])</f>
        <v>0</v>
      </c>
      <c r="AH36" s="80" t="n">
        <f aca="false">Table9[[#This Row],[RTH(nom) (kΩ)]]*RT2_TH_S/(RT2_TH_S+Table9[[#This Row],[RTH(nom) (kΩ)]])</f>
        <v>0</v>
      </c>
      <c r="AI36" s="80" t="n">
        <f aca="false">Table9[[#This Row],[RTH(max) (kΩ)]]*RT2_TH_S_MAX/(RT2_TH_S_MAX+Table9[[#This Row],[RTH(max) (kΩ)]])</f>
        <v>0</v>
      </c>
      <c r="AJ36" s="80" t="n">
        <f aca="false">Table9[[#This Row],[RLower(min) (kΩ)]]/(Table9[[#This Row],[RLower(min) (kΩ)]]+RT1_TH_S_MAX)*100</f>
        <v>0</v>
      </c>
      <c r="AK36" s="80" t="n">
        <f aca="false">Table9[[#This Row],[RLower(nom) (kΩ)]]/(Table9[[#This Row],[RLower(nom) (kΩ)]]+RT1_TH_S)*100</f>
        <v>0</v>
      </c>
      <c r="AL36" s="80" t="n">
        <f aca="false">Table9[[#This Row],[RLower(max) (kΩ)]]/(Table9[[#This Row],[RLower(max) (kΩ)]]+RT1_TH_S_MIN)*100</f>
        <v>0</v>
      </c>
      <c r="AM36" s="80" t="n">
        <f aca="false">IF(Table9[[#This Row],[Vmin (%)]]&lt;$BA$14, 0, IF(Table9[[#This Row],[Vmin (%)]]&lt;$BA$12, 4, IF(Table9[[#This Row],[Vmin (%)]]&lt;$BA$9, 3, IF(Table9[[#This Row],[Vmin (%)]]&lt;$BA$7, 2, 0))))</f>
        <v>0</v>
      </c>
      <c r="AN36" s="80" t="n">
        <f aca="false">IF(Table9[[#This Row],[Vmin (%)]]&lt;$BA$13, 0, IF(Table9[[#This Row],[Vmin (%)]]&lt;$BA$11, 4, IF(Table9[[#This Row],[Vmin (%)]]&lt;$BA$10, 3, IF(Table9[[#This Row],[Vmin (%)]]&lt;$BA$8, 2, 0))))</f>
        <v>0</v>
      </c>
      <c r="AO36" s="217" t="str">
        <f aca="false">IF(Table9[[#This Row],[Vmin (%)]]&lt;$BA$14, "Hot", IF(Table9[[#This Row],[Vmin (%)]]&lt;$BA$12, "Warm", IF(Table9[[#This Row],[Vmin (%)]]&lt;$BA$9, "Normal", IF(Table9[[#This Row],[Vmin (%)]]&lt;$BA$7, "Cool", "Cold"))))</f>
        <v>Hot</v>
      </c>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row>
    <row r="37" customFormat="false" ht="16.4" hidden="true" customHeight="false" outlineLevel="0" collapsed="false">
      <c r="A37" s="218" t="n">
        <f aca="false">A36-1</f>
        <v>93</v>
      </c>
      <c r="B37" s="191"/>
      <c r="C37" s="219" t="str">
        <f aca="false">_xlfn.CONCAT("RTH at ",A37, " °C")</f>
        <v>RTH at 93 °C</v>
      </c>
      <c r="D37" s="220" t="n">
        <f aca="false">$D$20-(ROW(D37)-ROW($D$20))*($D$20-$D$105)/(ROW($D$105)-ROW($D$20))</f>
        <v>3</v>
      </c>
      <c r="E37" s="221" t="n">
        <v>0</v>
      </c>
      <c r="F37" s="222" t="n">
        <v>0</v>
      </c>
      <c r="G37" s="223" t="n">
        <v>0</v>
      </c>
      <c r="H37" s="57" t="s">
        <v>18</v>
      </c>
      <c r="I37" s="24"/>
      <c r="J37" s="24" t="n">
        <v>1.205</v>
      </c>
      <c r="K37" s="24" t="n">
        <v>1.168</v>
      </c>
      <c r="L37" s="24" t="n">
        <v>1.131</v>
      </c>
      <c r="M37" s="24"/>
      <c r="N37" s="24"/>
      <c r="O37" s="24"/>
      <c r="P37" s="24"/>
      <c r="Q37" s="24"/>
      <c r="R37" s="24"/>
      <c r="S37" s="24"/>
      <c r="T37" s="24"/>
      <c r="U37" s="24"/>
      <c r="V37" s="24"/>
      <c r="W37" s="24"/>
      <c r="X37" s="24"/>
      <c r="Y37" s="25"/>
      <c r="Z37" s="6"/>
      <c r="AA37" s="7"/>
      <c r="AB37" s="7"/>
      <c r="AC37" s="80" t="n">
        <f aca="false">A37</f>
        <v>93</v>
      </c>
      <c r="AD37" s="80" t="n">
        <f aca="false">E37</f>
        <v>0</v>
      </c>
      <c r="AE37" s="80" t="n">
        <f aca="false">F37</f>
        <v>0</v>
      </c>
      <c r="AF37" s="80" t="n">
        <f aca="false">G37</f>
        <v>0</v>
      </c>
      <c r="AG37" s="80" t="n">
        <f aca="false">Table9[[#This Row],[RTH(min) (kΩ)]]*RT2_TH_MIN/(RT2_TH_MIN+Table9[[#This Row],[RTH(min) (kΩ)]])</f>
        <v>0</v>
      </c>
      <c r="AH37" s="80" t="n">
        <f aca="false">Table9[[#This Row],[RTH(nom) (kΩ)]]*RT2_TH_S/(RT2_TH_S+Table9[[#This Row],[RTH(nom) (kΩ)]])</f>
        <v>0</v>
      </c>
      <c r="AI37" s="80" t="n">
        <f aca="false">Table9[[#This Row],[RTH(max) (kΩ)]]*RT2_TH_S_MAX/(RT2_TH_S_MAX+Table9[[#This Row],[RTH(max) (kΩ)]])</f>
        <v>0</v>
      </c>
      <c r="AJ37" s="80" t="n">
        <f aca="false">Table9[[#This Row],[RLower(min) (kΩ)]]/(Table9[[#This Row],[RLower(min) (kΩ)]]+RT1_TH_S_MAX)*100</f>
        <v>0</v>
      </c>
      <c r="AK37" s="80" t="n">
        <f aca="false">Table9[[#This Row],[RLower(nom) (kΩ)]]/(Table9[[#This Row],[RLower(nom) (kΩ)]]+RT1_TH_S)*100</f>
        <v>0</v>
      </c>
      <c r="AL37" s="80" t="n">
        <f aca="false">Table9[[#This Row],[RLower(max) (kΩ)]]/(Table9[[#This Row],[RLower(max) (kΩ)]]+RT1_TH_S_MIN)*100</f>
        <v>0</v>
      </c>
      <c r="AM37" s="80" t="n">
        <f aca="false">IF(Table9[[#This Row],[Vmin (%)]]&lt;$BA$14, 0, IF(Table9[[#This Row],[Vmin (%)]]&lt;$BA$12, 4, IF(Table9[[#This Row],[Vmin (%)]]&lt;$BA$9, 3, IF(Table9[[#This Row],[Vmin (%)]]&lt;$BA$7, 2, 0))))</f>
        <v>0</v>
      </c>
      <c r="AN37" s="80" t="n">
        <f aca="false">IF(Table9[[#This Row],[Vmin (%)]]&lt;$BA$13, 0, IF(Table9[[#This Row],[Vmin (%)]]&lt;$BA$11, 4, IF(Table9[[#This Row],[Vmin (%)]]&lt;$BA$10, 3, IF(Table9[[#This Row],[Vmin (%)]]&lt;$BA$8, 2, 0))))</f>
        <v>0</v>
      </c>
      <c r="AO37" s="217" t="str">
        <f aca="false">IF(Table9[[#This Row],[Vmin (%)]]&lt;$BA$14, "Hot", IF(Table9[[#This Row],[Vmin (%)]]&lt;$BA$12, "Warm", IF(Table9[[#This Row],[Vmin (%)]]&lt;$BA$9, "Normal", IF(Table9[[#This Row],[Vmin (%)]]&lt;$BA$7, "Cool", "Cold"))))</f>
        <v>Hot</v>
      </c>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row>
    <row r="38" customFormat="false" ht="16.4" hidden="true" customHeight="false" outlineLevel="0" collapsed="false">
      <c r="A38" s="218" t="n">
        <f aca="false">A37-1</f>
        <v>92</v>
      </c>
      <c r="B38" s="191"/>
      <c r="C38" s="219" t="str">
        <f aca="false">_xlfn.CONCAT("RTH at ",A38, " °C")</f>
        <v>RTH at 92 °C</v>
      </c>
      <c r="D38" s="220" t="n">
        <f aca="false">$D$20-(ROW(D38)-ROW($D$20))*($D$20-$D$105)/(ROW($D$105)-ROW($D$20))</f>
        <v>2.97058823529412</v>
      </c>
      <c r="E38" s="221" t="n">
        <v>0</v>
      </c>
      <c r="F38" s="222" t="n">
        <v>0</v>
      </c>
      <c r="G38" s="223" t="n">
        <v>0</v>
      </c>
      <c r="H38" s="57" t="s">
        <v>18</v>
      </c>
      <c r="I38" s="24"/>
      <c r="J38" s="24" t="n">
        <v>1.238</v>
      </c>
      <c r="K38" s="24" t="n">
        <v>1.2</v>
      </c>
      <c r="L38" s="24" t="n">
        <v>1.162</v>
      </c>
      <c r="M38" s="24"/>
      <c r="N38" s="24"/>
      <c r="O38" s="24"/>
      <c r="P38" s="24"/>
      <c r="Q38" s="24"/>
      <c r="R38" s="24"/>
      <c r="S38" s="24"/>
      <c r="T38" s="24"/>
      <c r="U38" s="24"/>
      <c r="V38" s="24"/>
      <c r="W38" s="24"/>
      <c r="X38" s="24"/>
      <c r="Y38" s="25"/>
      <c r="Z38" s="6"/>
      <c r="AA38" s="7"/>
      <c r="AB38" s="7"/>
      <c r="AC38" s="80" t="n">
        <f aca="false">A38</f>
        <v>92</v>
      </c>
      <c r="AD38" s="80" t="n">
        <f aca="false">E38</f>
        <v>0</v>
      </c>
      <c r="AE38" s="80" t="n">
        <f aca="false">F38</f>
        <v>0</v>
      </c>
      <c r="AF38" s="80" t="n">
        <f aca="false">G38</f>
        <v>0</v>
      </c>
      <c r="AG38" s="80" t="n">
        <f aca="false">Table9[[#This Row],[RTH(min) (kΩ)]]*RT2_TH_MIN/(RT2_TH_MIN+Table9[[#This Row],[RTH(min) (kΩ)]])</f>
        <v>0</v>
      </c>
      <c r="AH38" s="80" t="n">
        <f aca="false">Table9[[#This Row],[RTH(nom) (kΩ)]]*RT2_TH_S/(RT2_TH_S+Table9[[#This Row],[RTH(nom) (kΩ)]])</f>
        <v>0</v>
      </c>
      <c r="AI38" s="80" t="n">
        <f aca="false">Table9[[#This Row],[RTH(max) (kΩ)]]*RT2_TH_S_MAX/(RT2_TH_S_MAX+Table9[[#This Row],[RTH(max) (kΩ)]])</f>
        <v>0</v>
      </c>
      <c r="AJ38" s="80" t="n">
        <f aca="false">Table9[[#This Row],[RLower(min) (kΩ)]]/(Table9[[#This Row],[RLower(min) (kΩ)]]+RT1_TH_S_MAX)*100</f>
        <v>0</v>
      </c>
      <c r="AK38" s="80" t="n">
        <f aca="false">Table9[[#This Row],[RLower(nom) (kΩ)]]/(Table9[[#This Row],[RLower(nom) (kΩ)]]+RT1_TH_S)*100</f>
        <v>0</v>
      </c>
      <c r="AL38" s="80" t="n">
        <f aca="false">Table9[[#This Row],[RLower(max) (kΩ)]]/(Table9[[#This Row],[RLower(max) (kΩ)]]+RT1_TH_S_MIN)*100</f>
        <v>0</v>
      </c>
      <c r="AM38" s="80" t="n">
        <f aca="false">IF(Table9[[#This Row],[Vmin (%)]]&lt;$BA$14, 0, IF(Table9[[#This Row],[Vmin (%)]]&lt;$BA$12, 4, IF(Table9[[#This Row],[Vmin (%)]]&lt;$BA$9, 3, IF(Table9[[#This Row],[Vmin (%)]]&lt;$BA$7, 2, 0))))</f>
        <v>0</v>
      </c>
      <c r="AN38" s="80" t="n">
        <f aca="false">IF(Table9[[#This Row],[Vmin (%)]]&lt;$BA$13, 0, IF(Table9[[#This Row],[Vmin (%)]]&lt;$BA$11, 4, IF(Table9[[#This Row],[Vmin (%)]]&lt;$BA$10, 3, IF(Table9[[#This Row],[Vmin (%)]]&lt;$BA$8, 2, 0))))</f>
        <v>0</v>
      </c>
      <c r="AO38" s="217" t="str">
        <f aca="false">IF(Table9[[#This Row],[Vmin (%)]]&lt;$BA$14, "Hot", IF(Table9[[#This Row],[Vmin (%)]]&lt;$BA$12, "Warm", IF(Table9[[#This Row],[Vmin (%)]]&lt;$BA$9, "Normal", IF(Table9[[#This Row],[Vmin (%)]]&lt;$BA$7, "Cool", "Cold"))))</f>
        <v>Hot</v>
      </c>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row>
    <row r="39" customFormat="false" ht="16.4" hidden="true" customHeight="false" outlineLevel="0" collapsed="false">
      <c r="A39" s="218" t="n">
        <f aca="false">A38-1</f>
        <v>91</v>
      </c>
      <c r="B39" s="191"/>
      <c r="C39" s="219" t="str">
        <f aca="false">_xlfn.CONCAT("RTH at ",A39, " °C")</f>
        <v>RTH at 91 °C</v>
      </c>
      <c r="D39" s="220" t="n">
        <f aca="false">$D$20-(ROW(D39)-ROW($D$20))*($D$20-$D$105)/(ROW($D$105)-ROW($D$20))</f>
        <v>2.94117647058824</v>
      </c>
      <c r="E39" s="221" t="n">
        <v>0</v>
      </c>
      <c r="F39" s="222" t="n">
        <v>0</v>
      </c>
      <c r="G39" s="223" t="n">
        <v>0</v>
      </c>
      <c r="H39" s="57" t="s">
        <v>18</v>
      </c>
      <c r="I39" s="24"/>
      <c r="J39" s="24" t="n">
        <v>1.271</v>
      </c>
      <c r="K39" s="24" t="n">
        <v>1.232</v>
      </c>
      <c r="L39" s="24" t="n">
        <v>1.194</v>
      </c>
      <c r="M39" s="24"/>
      <c r="N39" s="24"/>
      <c r="O39" s="24"/>
      <c r="P39" s="24"/>
      <c r="Q39" s="24"/>
      <c r="R39" s="24"/>
      <c r="S39" s="24"/>
      <c r="T39" s="24"/>
      <c r="U39" s="24"/>
      <c r="V39" s="24"/>
      <c r="W39" s="24"/>
      <c r="X39" s="24"/>
      <c r="Y39" s="25"/>
      <c r="Z39" s="6"/>
      <c r="AA39" s="7"/>
      <c r="AB39" s="7"/>
      <c r="AC39" s="80" t="n">
        <f aca="false">A39</f>
        <v>91</v>
      </c>
      <c r="AD39" s="80" t="n">
        <f aca="false">E39</f>
        <v>0</v>
      </c>
      <c r="AE39" s="80" t="n">
        <f aca="false">F39</f>
        <v>0</v>
      </c>
      <c r="AF39" s="80" t="n">
        <f aca="false">G39</f>
        <v>0</v>
      </c>
      <c r="AG39" s="80" t="n">
        <f aca="false">Table9[[#This Row],[RTH(min) (kΩ)]]*RT2_TH_MIN/(RT2_TH_MIN+Table9[[#This Row],[RTH(min) (kΩ)]])</f>
        <v>0</v>
      </c>
      <c r="AH39" s="80" t="n">
        <f aca="false">Table9[[#This Row],[RTH(nom) (kΩ)]]*RT2_TH_S/(RT2_TH_S+Table9[[#This Row],[RTH(nom) (kΩ)]])</f>
        <v>0</v>
      </c>
      <c r="AI39" s="80" t="n">
        <f aca="false">Table9[[#This Row],[RTH(max) (kΩ)]]*RT2_TH_S_MAX/(RT2_TH_S_MAX+Table9[[#This Row],[RTH(max) (kΩ)]])</f>
        <v>0</v>
      </c>
      <c r="AJ39" s="80" t="n">
        <f aca="false">Table9[[#This Row],[RLower(min) (kΩ)]]/(Table9[[#This Row],[RLower(min) (kΩ)]]+RT1_TH_S_MAX)*100</f>
        <v>0</v>
      </c>
      <c r="AK39" s="80" t="n">
        <f aca="false">Table9[[#This Row],[RLower(nom) (kΩ)]]/(Table9[[#This Row],[RLower(nom) (kΩ)]]+RT1_TH_S)*100</f>
        <v>0</v>
      </c>
      <c r="AL39" s="80" t="n">
        <f aca="false">Table9[[#This Row],[RLower(max) (kΩ)]]/(Table9[[#This Row],[RLower(max) (kΩ)]]+RT1_TH_S_MIN)*100</f>
        <v>0</v>
      </c>
      <c r="AM39" s="80" t="n">
        <f aca="false">IF(Table9[[#This Row],[Vmin (%)]]&lt;$BA$14, 0, IF(Table9[[#This Row],[Vmin (%)]]&lt;$BA$12, 4, IF(Table9[[#This Row],[Vmin (%)]]&lt;$BA$9, 3, IF(Table9[[#This Row],[Vmin (%)]]&lt;$BA$7, 2, 0))))</f>
        <v>0</v>
      </c>
      <c r="AN39" s="80" t="n">
        <f aca="false">IF(Table9[[#This Row],[Vmin (%)]]&lt;$BA$13, 0, IF(Table9[[#This Row],[Vmin (%)]]&lt;$BA$11, 4, IF(Table9[[#This Row],[Vmin (%)]]&lt;$BA$10, 3, IF(Table9[[#This Row],[Vmin (%)]]&lt;$BA$8, 2, 0))))</f>
        <v>0</v>
      </c>
      <c r="AO39" s="217" t="str">
        <f aca="false">IF(Table9[[#This Row],[Vmin (%)]]&lt;$BA$14, "Hot", IF(Table9[[#This Row],[Vmin (%)]]&lt;$BA$12, "Warm", IF(Table9[[#This Row],[Vmin (%)]]&lt;$BA$9, "Normal", IF(Table9[[#This Row],[Vmin (%)]]&lt;$BA$7, "Cool", "Cold"))))</f>
        <v>Hot</v>
      </c>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row>
    <row r="40" customFormat="false" ht="16.4" hidden="true" customHeight="false" outlineLevel="0" collapsed="false">
      <c r="A40" s="218" t="n">
        <f aca="false">A39-1</f>
        <v>90</v>
      </c>
      <c r="B40" s="191"/>
      <c r="C40" s="219" t="str">
        <f aca="false">_xlfn.CONCAT("RTH at ",A40, " °C")</f>
        <v>RTH at 90 °C</v>
      </c>
      <c r="D40" s="220" t="n">
        <f aca="false">$D$20-(ROW(D40)-ROW($D$20))*($D$20-$D$105)/(ROW($D$105)-ROW($D$20))</f>
        <v>2.91176470588235</v>
      </c>
      <c r="E40" s="221" t="n">
        <v>0</v>
      </c>
      <c r="F40" s="222" t="n">
        <v>0</v>
      </c>
      <c r="G40" s="223" t="n">
        <v>0</v>
      </c>
      <c r="H40" s="57" t="s">
        <v>18</v>
      </c>
      <c r="I40" s="24"/>
      <c r="J40" s="24" t="n">
        <v>1.305</v>
      </c>
      <c r="K40" s="24" t="n">
        <v>1.266</v>
      </c>
      <c r="L40" s="24" t="n">
        <v>1.227</v>
      </c>
      <c r="M40" s="24"/>
      <c r="N40" s="24"/>
      <c r="O40" s="24"/>
      <c r="P40" s="24"/>
      <c r="Q40" s="24"/>
      <c r="R40" s="24"/>
      <c r="S40" s="24"/>
      <c r="T40" s="24"/>
      <c r="U40" s="24"/>
      <c r="V40" s="24"/>
      <c r="W40" s="24"/>
      <c r="X40" s="24"/>
      <c r="Y40" s="25"/>
      <c r="Z40" s="6"/>
      <c r="AA40" s="7"/>
      <c r="AB40" s="7"/>
      <c r="AC40" s="80" t="n">
        <f aca="false">A40</f>
        <v>90</v>
      </c>
      <c r="AD40" s="80" t="n">
        <f aca="false">E40</f>
        <v>0</v>
      </c>
      <c r="AE40" s="80" t="n">
        <f aca="false">F40</f>
        <v>0</v>
      </c>
      <c r="AF40" s="80" t="n">
        <f aca="false">G40</f>
        <v>0</v>
      </c>
      <c r="AG40" s="80" t="n">
        <f aca="false">Table9[[#This Row],[RTH(min) (kΩ)]]*RT2_TH_MIN/(RT2_TH_MIN+Table9[[#This Row],[RTH(min) (kΩ)]])</f>
        <v>0</v>
      </c>
      <c r="AH40" s="80" t="n">
        <f aca="false">Table9[[#This Row],[RTH(nom) (kΩ)]]*RT2_TH_S/(RT2_TH_S+Table9[[#This Row],[RTH(nom) (kΩ)]])</f>
        <v>0</v>
      </c>
      <c r="AI40" s="80" t="n">
        <f aca="false">Table9[[#This Row],[RTH(max) (kΩ)]]*RT2_TH_S_MAX/(RT2_TH_S_MAX+Table9[[#This Row],[RTH(max) (kΩ)]])</f>
        <v>0</v>
      </c>
      <c r="AJ40" s="80" t="n">
        <f aca="false">Table9[[#This Row],[RLower(min) (kΩ)]]/(Table9[[#This Row],[RLower(min) (kΩ)]]+RT1_TH_S_MAX)*100</f>
        <v>0</v>
      </c>
      <c r="AK40" s="80" t="n">
        <f aca="false">Table9[[#This Row],[RLower(nom) (kΩ)]]/(Table9[[#This Row],[RLower(nom) (kΩ)]]+RT1_TH_S)*100</f>
        <v>0</v>
      </c>
      <c r="AL40" s="80" t="n">
        <f aca="false">Table9[[#This Row],[RLower(max) (kΩ)]]/(Table9[[#This Row],[RLower(max) (kΩ)]]+RT1_TH_S_MIN)*100</f>
        <v>0</v>
      </c>
      <c r="AM40" s="80" t="n">
        <f aca="false">IF(Table9[[#This Row],[Vmin (%)]]&lt;$BA$14, 0, IF(Table9[[#This Row],[Vmin (%)]]&lt;$BA$12, 4, IF(Table9[[#This Row],[Vmin (%)]]&lt;$BA$9, 3, IF(Table9[[#This Row],[Vmin (%)]]&lt;$BA$7, 2, 0))))</f>
        <v>0</v>
      </c>
      <c r="AN40" s="80" t="n">
        <f aca="false">IF(Table9[[#This Row],[Vmin (%)]]&lt;$BA$13, 0, IF(Table9[[#This Row],[Vmin (%)]]&lt;$BA$11, 4, IF(Table9[[#This Row],[Vmin (%)]]&lt;$BA$10, 3, IF(Table9[[#This Row],[Vmin (%)]]&lt;$BA$8, 2, 0))))</f>
        <v>0</v>
      </c>
      <c r="AO40" s="217" t="str">
        <f aca="false">IF(Table9[[#This Row],[Vmin (%)]]&lt;$BA$14, "Hot", IF(Table9[[#This Row],[Vmin (%)]]&lt;$BA$12, "Warm", IF(Table9[[#This Row],[Vmin (%)]]&lt;$BA$9, "Normal", IF(Table9[[#This Row],[Vmin (%)]]&lt;$BA$7, "Cool", "Cold"))))</f>
        <v>Hot</v>
      </c>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row>
    <row r="41" customFormat="false" ht="16.4" hidden="true" customHeight="false" outlineLevel="0" collapsed="false">
      <c r="A41" s="218" t="n">
        <f aca="false">A40-1</f>
        <v>89</v>
      </c>
      <c r="B41" s="191"/>
      <c r="C41" s="219" t="str">
        <f aca="false">_xlfn.CONCAT("RTH at ",A41, " °C")</f>
        <v>RTH at 89 °C</v>
      </c>
      <c r="D41" s="220" t="n">
        <f aca="false">$D$20-(ROW(D41)-ROW($D$20))*($D$20-$D$105)/(ROW($D$105)-ROW($D$20))</f>
        <v>2.88235294117647</v>
      </c>
      <c r="E41" s="221" t="n">
        <v>0</v>
      </c>
      <c r="F41" s="222" t="n">
        <v>0</v>
      </c>
      <c r="G41" s="223" t="n">
        <v>0</v>
      </c>
      <c r="H41" s="57" t="s">
        <v>18</v>
      </c>
      <c r="I41" s="24"/>
      <c r="J41" s="24" t="n">
        <v>1.341</v>
      </c>
      <c r="K41" s="24" t="n">
        <v>1.301</v>
      </c>
      <c r="L41" s="24" t="n">
        <v>1.261</v>
      </c>
      <c r="M41" s="24"/>
      <c r="N41" s="24"/>
      <c r="O41" s="24"/>
      <c r="P41" s="24"/>
      <c r="Q41" s="24"/>
      <c r="R41" s="24"/>
      <c r="S41" s="24"/>
      <c r="T41" s="24"/>
      <c r="U41" s="24"/>
      <c r="V41" s="24"/>
      <c r="W41" s="24"/>
      <c r="X41" s="24"/>
      <c r="Y41" s="25"/>
      <c r="Z41" s="6"/>
      <c r="AA41" s="7"/>
      <c r="AB41" s="7"/>
      <c r="AC41" s="80" t="n">
        <f aca="false">A41</f>
        <v>89</v>
      </c>
      <c r="AD41" s="80" t="n">
        <f aca="false">E41</f>
        <v>0</v>
      </c>
      <c r="AE41" s="80" t="n">
        <f aca="false">F41</f>
        <v>0</v>
      </c>
      <c r="AF41" s="80" t="n">
        <f aca="false">G41</f>
        <v>0</v>
      </c>
      <c r="AG41" s="80" t="n">
        <f aca="false">Table9[[#This Row],[RTH(min) (kΩ)]]*RT2_TH_MIN/(RT2_TH_MIN+Table9[[#This Row],[RTH(min) (kΩ)]])</f>
        <v>0</v>
      </c>
      <c r="AH41" s="80" t="n">
        <f aca="false">Table9[[#This Row],[RTH(nom) (kΩ)]]*RT2_TH_S/(RT2_TH_S+Table9[[#This Row],[RTH(nom) (kΩ)]])</f>
        <v>0</v>
      </c>
      <c r="AI41" s="80" t="n">
        <f aca="false">Table9[[#This Row],[RTH(max) (kΩ)]]*RT2_TH_S_MAX/(RT2_TH_S_MAX+Table9[[#This Row],[RTH(max) (kΩ)]])</f>
        <v>0</v>
      </c>
      <c r="AJ41" s="80" t="n">
        <f aca="false">Table9[[#This Row],[RLower(min) (kΩ)]]/(Table9[[#This Row],[RLower(min) (kΩ)]]+RT1_TH_S_MAX)*100</f>
        <v>0</v>
      </c>
      <c r="AK41" s="80" t="n">
        <f aca="false">Table9[[#This Row],[RLower(nom) (kΩ)]]/(Table9[[#This Row],[RLower(nom) (kΩ)]]+RT1_TH_S)*100</f>
        <v>0</v>
      </c>
      <c r="AL41" s="80" t="n">
        <f aca="false">Table9[[#This Row],[RLower(max) (kΩ)]]/(Table9[[#This Row],[RLower(max) (kΩ)]]+RT1_TH_S_MIN)*100</f>
        <v>0</v>
      </c>
      <c r="AM41" s="80" t="n">
        <f aca="false">IF(Table9[[#This Row],[Vmin (%)]]&lt;$BA$14, 0, IF(Table9[[#This Row],[Vmin (%)]]&lt;$BA$12, 4, IF(Table9[[#This Row],[Vmin (%)]]&lt;$BA$9, 3, IF(Table9[[#This Row],[Vmin (%)]]&lt;$BA$7, 2, 0))))</f>
        <v>0</v>
      </c>
      <c r="AN41" s="80" t="n">
        <f aca="false">IF(Table9[[#This Row],[Vmin (%)]]&lt;$BA$13, 0, IF(Table9[[#This Row],[Vmin (%)]]&lt;$BA$11, 4, IF(Table9[[#This Row],[Vmin (%)]]&lt;$BA$10, 3, IF(Table9[[#This Row],[Vmin (%)]]&lt;$BA$8, 2, 0))))</f>
        <v>0</v>
      </c>
      <c r="AO41" s="217" t="str">
        <f aca="false">IF(Table9[[#This Row],[Vmin (%)]]&lt;$BA$14, "Hot", IF(Table9[[#This Row],[Vmin (%)]]&lt;$BA$12, "Warm", IF(Table9[[#This Row],[Vmin (%)]]&lt;$BA$9, "Normal", IF(Table9[[#This Row],[Vmin (%)]]&lt;$BA$7, "Cool", "Cold"))))</f>
        <v>Hot</v>
      </c>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row>
    <row r="42" customFormat="false" ht="16.4" hidden="true" customHeight="false" outlineLevel="0" collapsed="false">
      <c r="A42" s="218" t="n">
        <f aca="false">A41-1</f>
        <v>88</v>
      </c>
      <c r="B42" s="191"/>
      <c r="C42" s="219" t="str">
        <f aca="false">_xlfn.CONCAT("RTH at ",A42, " °C")</f>
        <v>RTH at 88 °C</v>
      </c>
      <c r="D42" s="220" t="n">
        <f aca="false">$D$20-(ROW(D42)-ROW($D$20))*($D$20-$D$105)/(ROW($D$105)-ROW($D$20))</f>
        <v>2.85294117647059</v>
      </c>
      <c r="E42" s="221" t="n">
        <v>0</v>
      </c>
      <c r="F42" s="222" t="n">
        <v>0</v>
      </c>
      <c r="G42" s="223" t="n">
        <v>0</v>
      </c>
      <c r="H42" s="57" t="s">
        <v>18</v>
      </c>
      <c r="I42" s="24"/>
      <c r="J42" s="24" t="n">
        <v>1.377</v>
      </c>
      <c r="K42" s="24" t="n">
        <v>1.336</v>
      </c>
      <c r="L42" s="24" t="n">
        <v>1.296</v>
      </c>
      <c r="M42" s="24"/>
      <c r="N42" s="24"/>
      <c r="O42" s="24"/>
      <c r="P42" s="24"/>
      <c r="Q42" s="24"/>
      <c r="R42" s="24"/>
      <c r="S42" s="24"/>
      <c r="T42" s="24"/>
      <c r="U42" s="24"/>
      <c r="V42" s="24"/>
      <c r="W42" s="24"/>
      <c r="X42" s="24"/>
      <c r="Y42" s="25"/>
      <c r="Z42" s="6"/>
      <c r="AA42" s="7"/>
      <c r="AB42" s="7"/>
      <c r="AC42" s="80" t="n">
        <f aca="false">A42</f>
        <v>88</v>
      </c>
      <c r="AD42" s="80" t="n">
        <f aca="false">E42</f>
        <v>0</v>
      </c>
      <c r="AE42" s="80" t="n">
        <f aca="false">F42</f>
        <v>0</v>
      </c>
      <c r="AF42" s="80" t="n">
        <f aca="false">G42</f>
        <v>0</v>
      </c>
      <c r="AG42" s="80" t="n">
        <f aca="false">Table9[[#This Row],[RTH(min) (kΩ)]]*RT2_TH_MIN/(RT2_TH_MIN+Table9[[#This Row],[RTH(min) (kΩ)]])</f>
        <v>0</v>
      </c>
      <c r="AH42" s="80" t="n">
        <f aca="false">Table9[[#This Row],[RTH(nom) (kΩ)]]*RT2_TH_S/(RT2_TH_S+Table9[[#This Row],[RTH(nom) (kΩ)]])</f>
        <v>0</v>
      </c>
      <c r="AI42" s="80" t="n">
        <f aca="false">Table9[[#This Row],[RTH(max) (kΩ)]]*RT2_TH_S_MAX/(RT2_TH_S_MAX+Table9[[#This Row],[RTH(max) (kΩ)]])</f>
        <v>0</v>
      </c>
      <c r="AJ42" s="80" t="n">
        <f aca="false">Table9[[#This Row],[RLower(min) (kΩ)]]/(Table9[[#This Row],[RLower(min) (kΩ)]]+RT1_TH_S_MAX)*100</f>
        <v>0</v>
      </c>
      <c r="AK42" s="80" t="n">
        <f aca="false">Table9[[#This Row],[RLower(nom) (kΩ)]]/(Table9[[#This Row],[RLower(nom) (kΩ)]]+RT1_TH_S)*100</f>
        <v>0</v>
      </c>
      <c r="AL42" s="80" t="n">
        <f aca="false">Table9[[#This Row],[RLower(max) (kΩ)]]/(Table9[[#This Row],[RLower(max) (kΩ)]]+RT1_TH_S_MIN)*100</f>
        <v>0</v>
      </c>
      <c r="AM42" s="80" t="n">
        <f aca="false">IF(Table9[[#This Row],[Vmin (%)]]&lt;$BA$14, 0, IF(Table9[[#This Row],[Vmin (%)]]&lt;$BA$12, 4, IF(Table9[[#This Row],[Vmin (%)]]&lt;$BA$9, 3, IF(Table9[[#This Row],[Vmin (%)]]&lt;$BA$7, 2, 0))))</f>
        <v>0</v>
      </c>
      <c r="AN42" s="80" t="n">
        <f aca="false">IF(Table9[[#This Row],[Vmin (%)]]&lt;$BA$13, 0, IF(Table9[[#This Row],[Vmin (%)]]&lt;$BA$11, 4, IF(Table9[[#This Row],[Vmin (%)]]&lt;$BA$10, 3, IF(Table9[[#This Row],[Vmin (%)]]&lt;$BA$8, 2, 0))))</f>
        <v>0</v>
      </c>
      <c r="AO42" s="217" t="str">
        <f aca="false">IF(Table9[[#This Row],[Vmin (%)]]&lt;$BA$14, "Hot", IF(Table9[[#This Row],[Vmin (%)]]&lt;$BA$12, "Warm", IF(Table9[[#This Row],[Vmin (%)]]&lt;$BA$9, "Normal", IF(Table9[[#This Row],[Vmin (%)]]&lt;$BA$7, "Cool", "Cold"))))</f>
        <v>Hot</v>
      </c>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row>
    <row r="43" customFormat="false" ht="16.4" hidden="true" customHeight="false" outlineLevel="0" collapsed="false">
      <c r="A43" s="218" t="n">
        <f aca="false">A42-1</f>
        <v>87</v>
      </c>
      <c r="B43" s="191"/>
      <c r="C43" s="219" t="str">
        <f aca="false">_xlfn.CONCAT("RTH at ",A43, " °C")</f>
        <v>RTH at 87 °C</v>
      </c>
      <c r="D43" s="220" t="n">
        <f aca="false">$D$20-(ROW(D43)-ROW($D$20))*($D$20-$D$105)/(ROW($D$105)-ROW($D$20))</f>
        <v>2.82352941176471</v>
      </c>
      <c r="E43" s="221" t="n">
        <v>0</v>
      </c>
      <c r="F43" s="222" t="n">
        <v>0</v>
      </c>
      <c r="G43" s="223" t="n">
        <v>0</v>
      </c>
      <c r="H43" s="57" t="s">
        <v>18</v>
      </c>
      <c r="I43" s="24"/>
      <c r="J43" s="24" t="n">
        <v>1.415</v>
      </c>
      <c r="K43" s="24" t="n">
        <v>1.373</v>
      </c>
      <c r="L43" s="24" t="n">
        <v>1.332</v>
      </c>
      <c r="M43" s="24"/>
      <c r="N43" s="24"/>
      <c r="O43" s="24"/>
      <c r="P43" s="24"/>
      <c r="Q43" s="24"/>
      <c r="R43" s="24"/>
      <c r="S43" s="24"/>
      <c r="T43" s="24"/>
      <c r="U43" s="24"/>
      <c r="V43" s="24"/>
      <c r="W43" s="24"/>
      <c r="X43" s="24"/>
      <c r="Y43" s="25"/>
      <c r="Z43" s="6"/>
      <c r="AA43" s="7"/>
      <c r="AB43" s="7"/>
      <c r="AC43" s="80" t="n">
        <f aca="false">A43</f>
        <v>87</v>
      </c>
      <c r="AD43" s="80" t="n">
        <f aca="false">E43</f>
        <v>0</v>
      </c>
      <c r="AE43" s="80" t="n">
        <f aca="false">F43</f>
        <v>0</v>
      </c>
      <c r="AF43" s="80" t="n">
        <f aca="false">G43</f>
        <v>0</v>
      </c>
      <c r="AG43" s="80" t="n">
        <f aca="false">Table9[[#This Row],[RTH(min) (kΩ)]]*RT2_TH_MIN/(RT2_TH_MIN+Table9[[#This Row],[RTH(min) (kΩ)]])</f>
        <v>0</v>
      </c>
      <c r="AH43" s="80" t="n">
        <f aca="false">Table9[[#This Row],[RTH(nom) (kΩ)]]*RT2_TH_S/(RT2_TH_S+Table9[[#This Row],[RTH(nom) (kΩ)]])</f>
        <v>0</v>
      </c>
      <c r="AI43" s="80" t="n">
        <f aca="false">Table9[[#This Row],[RTH(max) (kΩ)]]*RT2_TH_S_MAX/(RT2_TH_S_MAX+Table9[[#This Row],[RTH(max) (kΩ)]])</f>
        <v>0</v>
      </c>
      <c r="AJ43" s="80" t="n">
        <f aca="false">Table9[[#This Row],[RLower(min) (kΩ)]]/(Table9[[#This Row],[RLower(min) (kΩ)]]+RT1_TH_S_MAX)*100</f>
        <v>0</v>
      </c>
      <c r="AK43" s="80" t="n">
        <f aca="false">Table9[[#This Row],[RLower(nom) (kΩ)]]/(Table9[[#This Row],[RLower(nom) (kΩ)]]+RT1_TH_S)*100</f>
        <v>0</v>
      </c>
      <c r="AL43" s="80" t="n">
        <f aca="false">Table9[[#This Row],[RLower(max) (kΩ)]]/(Table9[[#This Row],[RLower(max) (kΩ)]]+RT1_TH_S_MIN)*100</f>
        <v>0</v>
      </c>
      <c r="AM43" s="80" t="n">
        <f aca="false">IF(Table9[[#This Row],[Vmin (%)]]&lt;$BA$14, 0, IF(Table9[[#This Row],[Vmin (%)]]&lt;$BA$12, 4, IF(Table9[[#This Row],[Vmin (%)]]&lt;$BA$9, 3, IF(Table9[[#This Row],[Vmin (%)]]&lt;$BA$7, 2, 0))))</f>
        <v>0</v>
      </c>
      <c r="AN43" s="80" t="n">
        <f aca="false">IF(Table9[[#This Row],[Vmin (%)]]&lt;$BA$13, 0, IF(Table9[[#This Row],[Vmin (%)]]&lt;$BA$11, 4, IF(Table9[[#This Row],[Vmin (%)]]&lt;$BA$10, 3, IF(Table9[[#This Row],[Vmin (%)]]&lt;$BA$8, 2, 0))))</f>
        <v>0</v>
      </c>
      <c r="AO43" s="217" t="str">
        <f aca="false">IF(Table9[[#This Row],[Vmin (%)]]&lt;$BA$14, "Hot", IF(Table9[[#This Row],[Vmin (%)]]&lt;$BA$12, "Warm", IF(Table9[[#This Row],[Vmin (%)]]&lt;$BA$9, "Normal", IF(Table9[[#This Row],[Vmin (%)]]&lt;$BA$7, "Cool", "Cold"))))</f>
        <v>Hot</v>
      </c>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row>
    <row r="44" customFormat="false" ht="16.4" hidden="true" customHeight="false" outlineLevel="0" collapsed="false">
      <c r="A44" s="218" t="n">
        <f aca="false">A43-1</f>
        <v>86</v>
      </c>
      <c r="B44" s="191"/>
      <c r="C44" s="219" t="str">
        <f aca="false">_xlfn.CONCAT("RTH at ",A44, " °C")</f>
        <v>RTH at 86 °C</v>
      </c>
      <c r="D44" s="220" t="n">
        <f aca="false">$D$20-(ROW(D44)-ROW($D$20))*($D$20-$D$105)/(ROW($D$105)-ROW($D$20))</f>
        <v>2.79411764705882</v>
      </c>
      <c r="E44" s="221" t="n">
        <v>0</v>
      </c>
      <c r="F44" s="222" t="n">
        <v>0</v>
      </c>
      <c r="G44" s="223" t="n">
        <v>0</v>
      </c>
      <c r="H44" s="57" t="s">
        <v>18</v>
      </c>
      <c r="I44" s="24"/>
      <c r="J44" s="24" t="n">
        <v>1.454</v>
      </c>
      <c r="K44" s="24" t="n">
        <v>1.412</v>
      </c>
      <c r="L44" s="24" t="n">
        <v>1.37</v>
      </c>
      <c r="M44" s="24"/>
      <c r="N44" s="24"/>
      <c r="O44" s="24"/>
      <c r="P44" s="24"/>
      <c r="Q44" s="24"/>
      <c r="R44" s="24"/>
      <c r="S44" s="24"/>
      <c r="T44" s="24"/>
      <c r="U44" s="24"/>
      <c r="V44" s="24"/>
      <c r="W44" s="24"/>
      <c r="X44" s="24"/>
      <c r="Y44" s="25"/>
      <c r="Z44" s="6"/>
      <c r="AA44" s="7"/>
      <c r="AB44" s="7"/>
      <c r="AC44" s="80" t="n">
        <f aca="false">A44</f>
        <v>86</v>
      </c>
      <c r="AD44" s="80" t="n">
        <f aca="false">E44</f>
        <v>0</v>
      </c>
      <c r="AE44" s="80" t="n">
        <f aca="false">F44</f>
        <v>0</v>
      </c>
      <c r="AF44" s="80" t="n">
        <f aca="false">G44</f>
        <v>0</v>
      </c>
      <c r="AG44" s="80" t="n">
        <f aca="false">Table9[[#This Row],[RTH(min) (kΩ)]]*RT2_TH_MIN/(RT2_TH_MIN+Table9[[#This Row],[RTH(min) (kΩ)]])</f>
        <v>0</v>
      </c>
      <c r="AH44" s="80" t="n">
        <f aca="false">Table9[[#This Row],[RTH(nom) (kΩ)]]*RT2_TH_S/(RT2_TH_S+Table9[[#This Row],[RTH(nom) (kΩ)]])</f>
        <v>0</v>
      </c>
      <c r="AI44" s="80" t="n">
        <f aca="false">Table9[[#This Row],[RTH(max) (kΩ)]]*RT2_TH_S_MAX/(RT2_TH_S_MAX+Table9[[#This Row],[RTH(max) (kΩ)]])</f>
        <v>0</v>
      </c>
      <c r="AJ44" s="80" t="n">
        <f aca="false">Table9[[#This Row],[RLower(min) (kΩ)]]/(Table9[[#This Row],[RLower(min) (kΩ)]]+RT1_TH_S_MAX)*100</f>
        <v>0</v>
      </c>
      <c r="AK44" s="80" t="n">
        <f aca="false">Table9[[#This Row],[RLower(nom) (kΩ)]]/(Table9[[#This Row],[RLower(nom) (kΩ)]]+RT1_TH_S)*100</f>
        <v>0</v>
      </c>
      <c r="AL44" s="80" t="n">
        <f aca="false">Table9[[#This Row],[RLower(max) (kΩ)]]/(Table9[[#This Row],[RLower(max) (kΩ)]]+RT1_TH_S_MIN)*100</f>
        <v>0</v>
      </c>
      <c r="AM44" s="80" t="n">
        <f aca="false">IF(Table9[[#This Row],[Vmin (%)]]&lt;$BA$14, 0, IF(Table9[[#This Row],[Vmin (%)]]&lt;$BA$12, 4, IF(Table9[[#This Row],[Vmin (%)]]&lt;$BA$9, 3, IF(Table9[[#This Row],[Vmin (%)]]&lt;$BA$7, 2, 0))))</f>
        <v>0</v>
      </c>
      <c r="AN44" s="80" t="n">
        <f aca="false">IF(Table9[[#This Row],[Vmin (%)]]&lt;$BA$13, 0, IF(Table9[[#This Row],[Vmin (%)]]&lt;$BA$11, 4, IF(Table9[[#This Row],[Vmin (%)]]&lt;$BA$10, 3, IF(Table9[[#This Row],[Vmin (%)]]&lt;$BA$8, 2, 0))))</f>
        <v>0</v>
      </c>
      <c r="AO44" s="217" t="str">
        <f aca="false">IF(Table9[[#This Row],[Vmin (%)]]&lt;$BA$14, "Hot", IF(Table9[[#This Row],[Vmin (%)]]&lt;$BA$12, "Warm", IF(Table9[[#This Row],[Vmin (%)]]&lt;$BA$9, "Normal", IF(Table9[[#This Row],[Vmin (%)]]&lt;$BA$7, "Cool", "Cold"))))</f>
        <v>Hot</v>
      </c>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row>
    <row r="45" customFormat="false" ht="16.4" hidden="false" customHeight="false" outlineLevel="0" collapsed="false">
      <c r="A45" s="218" t="n">
        <f aca="false">A44-1</f>
        <v>85</v>
      </c>
      <c r="B45" s="191"/>
      <c r="C45" s="219" t="str">
        <f aca="false">_xlfn.CONCAT("RTH at ",A45, " °C")</f>
        <v>RTH at 85 °C</v>
      </c>
      <c r="D45" s="220" t="n">
        <f aca="false">$D$20-(ROW(D45)-ROW($D$20))*($D$20-$D$105)/(ROW($D$105)-ROW($D$20))</f>
        <v>2.76470588235294</v>
      </c>
      <c r="E45" s="221" t="n">
        <v>1.409</v>
      </c>
      <c r="F45" s="222" t="n">
        <v>1.451</v>
      </c>
      <c r="G45" s="223" t="n">
        <v>1.494</v>
      </c>
      <c r="H45" s="57" t="s">
        <v>18</v>
      </c>
      <c r="I45" s="24"/>
      <c r="J45" s="24" t="n">
        <v>1.494</v>
      </c>
      <c r="K45" s="24" t="n">
        <v>1.451</v>
      </c>
      <c r="L45" s="24" t="n">
        <v>1.409</v>
      </c>
      <c r="M45" s="24"/>
      <c r="N45" s="24"/>
      <c r="O45" s="24"/>
      <c r="P45" s="24"/>
      <c r="Q45" s="24"/>
      <c r="R45" s="24"/>
      <c r="S45" s="24"/>
      <c r="T45" s="24"/>
      <c r="U45" s="24"/>
      <c r="V45" s="24"/>
      <c r="W45" s="24"/>
      <c r="X45" s="24"/>
      <c r="Y45" s="25"/>
      <c r="Z45" s="6"/>
      <c r="AA45" s="7"/>
      <c r="AB45" s="7"/>
      <c r="AC45" s="80" t="n">
        <f aca="false">A45</f>
        <v>85</v>
      </c>
      <c r="AD45" s="80" t="n">
        <f aca="false">E45</f>
        <v>1.409</v>
      </c>
      <c r="AE45" s="80" t="n">
        <f aca="false">F45</f>
        <v>1.451</v>
      </c>
      <c r="AF45" s="80" t="n">
        <f aca="false">G45</f>
        <v>1.494</v>
      </c>
      <c r="AG45" s="80" t="n">
        <f aca="false">Table9[[#This Row],[RTH(min) (kΩ)]]*RT2_TH_MIN/(RT2_TH_MIN+Table9[[#This Row],[RTH(min) (kΩ)]])</f>
        <v>1.34673381333632</v>
      </c>
      <c r="AH45" s="80" t="n">
        <f aca="false">Table9[[#This Row],[RTH(nom) (kΩ)]]*RT2_TH_S/(RT2_TH_S+Table9[[#This Row],[RTH(nom) (kΩ)]])</f>
        <v>1.38511620275275</v>
      </c>
      <c r="AI45" s="80" t="n">
        <f aca="false">Table9[[#This Row],[RTH(max) (kΩ)]]*RT2_TH_S_MAX/(RT2_TH_S_MAX+Table9[[#This Row],[RTH(max) (kΩ)]])</f>
        <v>1.42431373588574</v>
      </c>
      <c r="AJ45" s="80" t="n">
        <f aca="false">Table9[[#This Row],[RLower(min) (kΩ)]]/(Table9[[#This Row],[RLower(min) (kΩ)]]+RT1_TH_S_MAX)*100</f>
        <v>20.4516691419547</v>
      </c>
      <c r="AK45" s="80" t="n">
        <f aca="false">Table9[[#This Row],[RLower(nom) (kΩ)]]/(Table9[[#This Row],[RLower(nom) (kΩ)]]+RT1_TH_S)*100</f>
        <v>20.9291891108903</v>
      </c>
      <c r="AL45" s="80" t="n">
        <f aca="false">Table9[[#This Row],[RLower(max) (kΩ)]]/(Table9[[#This Row],[RLower(max) (kΩ)]]+RT1_TH_S_MIN)*100</f>
        <v>21.4115806188773</v>
      </c>
      <c r="AM45" s="80" t="n">
        <f aca="false">IF(Table9[[#This Row],[Vmin (%)]]&lt;$BA$14, 0, IF(Table9[[#This Row],[Vmin (%)]]&lt;$BA$12, 4, IF(Table9[[#This Row],[Vmin (%)]]&lt;$BA$9, 3, IF(Table9[[#This Row],[Vmin (%)]]&lt;$BA$7, 2, 0))))</f>
        <v>0</v>
      </c>
      <c r="AN45" s="80" t="n">
        <f aca="false">IF(Table9[[#This Row],[Vmin (%)]]&lt;$BA$13, 0, IF(Table9[[#This Row],[Vmin (%)]]&lt;$BA$11, 4, IF(Table9[[#This Row],[Vmin (%)]]&lt;$BA$10, 3, IF(Table9[[#This Row],[Vmin (%)]]&lt;$BA$8, 2, 0))))</f>
        <v>0</v>
      </c>
      <c r="AO45" s="217" t="str">
        <f aca="false">IF(Table9[[#This Row],[Vmin (%)]]&lt;$BA$14, "Hot", IF(Table9[[#This Row],[Vmin (%)]]&lt;$BA$12, "Warm", IF(Table9[[#This Row],[Vmin (%)]]&lt;$BA$9, "Normal", IF(Table9[[#This Row],[Vmin (%)]]&lt;$BA$7, "Cool", "Cold"))))</f>
        <v>Hot</v>
      </c>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row>
    <row r="46" customFormat="false" ht="16.4" hidden="false" customHeight="false" outlineLevel="0" collapsed="false">
      <c r="A46" s="218" t="n">
        <f aca="false">A45-1</f>
        <v>84</v>
      </c>
      <c r="B46" s="191"/>
      <c r="C46" s="219" t="str">
        <f aca="false">_xlfn.CONCAT("RTH at ",A46, " °C")</f>
        <v>RTH at 84 °C</v>
      </c>
      <c r="D46" s="220" t="n">
        <f aca="false">$D$20-(ROW(D46)-ROW($D$20))*($D$20-$D$105)/(ROW($D$105)-ROW($D$20))</f>
        <v>2.73529411764706</v>
      </c>
      <c r="E46" s="221" t="n">
        <v>1.448</v>
      </c>
      <c r="F46" s="222" t="n">
        <v>1.492</v>
      </c>
      <c r="G46" s="223" t="n">
        <v>1.535</v>
      </c>
      <c r="H46" s="57" t="s">
        <v>18</v>
      </c>
      <c r="I46" s="24"/>
      <c r="J46" s="24" t="n">
        <v>1.535</v>
      </c>
      <c r="K46" s="24" t="n">
        <v>1.492</v>
      </c>
      <c r="L46" s="24" t="n">
        <v>1.448</v>
      </c>
      <c r="M46" s="24"/>
      <c r="N46" s="24"/>
      <c r="O46" s="24"/>
      <c r="P46" s="24"/>
      <c r="Q46" s="24"/>
      <c r="R46" s="24"/>
      <c r="S46" s="24"/>
      <c r="T46" s="24"/>
      <c r="U46" s="24"/>
      <c r="V46" s="24"/>
      <c r="W46" s="24"/>
      <c r="X46" s="24"/>
      <c r="Y46" s="25"/>
      <c r="Z46" s="6"/>
      <c r="AA46" s="7"/>
      <c r="AB46" s="7"/>
      <c r="AC46" s="80" t="n">
        <f aca="false">A46</f>
        <v>84</v>
      </c>
      <c r="AD46" s="80" t="n">
        <f aca="false">E46</f>
        <v>1.448</v>
      </c>
      <c r="AE46" s="80" t="n">
        <f aca="false">F46</f>
        <v>1.492</v>
      </c>
      <c r="AF46" s="80" t="n">
        <f aca="false">G46</f>
        <v>1.535</v>
      </c>
      <c r="AG46" s="80" t="n">
        <f aca="false">Table9[[#This Row],[RTH(min) (kΩ)]]*RT2_TH_MIN/(RT2_TH_MIN+Table9[[#This Row],[RTH(min) (kΩ)]])</f>
        <v>1.38231949163594</v>
      </c>
      <c r="AH46" s="80" t="n">
        <f aca="false">Table9[[#This Row],[RTH(nom) (kΩ)]]*RT2_TH_S/(RT2_TH_S+Table9[[#This Row],[RTH(nom) (kΩ)]])</f>
        <v>1.42242958412897</v>
      </c>
      <c r="AI46" s="80" t="n">
        <f aca="false">Table9[[#This Row],[RTH(max) (kΩ)]]*RT2_TH_S_MAX/(RT2_TH_S_MAX+Table9[[#This Row],[RTH(max) (kΩ)]])</f>
        <v>1.46153048373685</v>
      </c>
      <c r="AJ46" s="80" t="n">
        <f aca="false">Table9[[#This Row],[RLower(min) (kΩ)]]/(Table9[[#This Row],[RLower(min) (kΩ)]]+RT1_TH_S_MAX)*100</f>
        <v>20.8792444997441</v>
      </c>
      <c r="AK46" s="80" t="n">
        <f aca="false">Table9[[#This Row],[RLower(nom) (kΩ)]]/(Table9[[#This Row],[RLower(nom) (kΩ)]]+RT1_TH_S)*100</f>
        <v>21.3724968207567</v>
      </c>
      <c r="AL46" s="80" t="n">
        <f aca="false">Table9[[#This Row],[RLower(max) (kΩ)]]/(Table9[[#This Row],[RLower(max) (kΩ)]]+RT1_TH_S_MIN)*100</f>
        <v>21.8488177521198</v>
      </c>
      <c r="AM46" s="80" t="n">
        <f aca="false">IF(Table9[[#This Row],[Vmin (%)]]&lt;$BA$14, 0, IF(Table9[[#This Row],[Vmin (%)]]&lt;$BA$12, 4, IF(Table9[[#This Row],[Vmin (%)]]&lt;$BA$9, 3, IF(Table9[[#This Row],[Vmin (%)]]&lt;$BA$7, 2, 0))))</f>
        <v>0</v>
      </c>
      <c r="AN46" s="80" t="n">
        <f aca="false">IF(Table9[[#This Row],[Vmin (%)]]&lt;$BA$13, 0, IF(Table9[[#This Row],[Vmin (%)]]&lt;$BA$11, 4, IF(Table9[[#This Row],[Vmin (%)]]&lt;$BA$10, 3, IF(Table9[[#This Row],[Vmin (%)]]&lt;$BA$8, 2, 0))))</f>
        <v>0</v>
      </c>
      <c r="AO46" s="217" t="str">
        <f aca="false">IF(Table9[[#This Row],[Vmin (%)]]&lt;$BA$14, "Hot", IF(Table9[[#This Row],[Vmin (%)]]&lt;$BA$12, "Warm", IF(Table9[[#This Row],[Vmin (%)]]&lt;$BA$9, "Normal", IF(Table9[[#This Row],[Vmin (%)]]&lt;$BA$7, "Cool", "Cold"))))</f>
        <v>Hot</v>
      </c>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row>
    <row r="47" customFormat="false" ht="16.4" hidden="false" customHeight="false" outlineLevel="0" collapsed="false">
      <c r="A47" s="218" t="n">
        <f aca="false">A46-1</f>
        <v>83</v>
      </c>
      <c r="B47" s="191"/>
      <c r="C47" s="219" t="str">
        <f aca="false">_xlfn.CONCAT("RTH at ",A47, " °C")</f>
        <v>RTH at 83 °C</v>
      </c>
      <c r="D47" s="220" t="n">
        <f aca="false">$D$20-(ROW(D47)-ROW($D$20))*($D$20-$D$105)/(ROW($D$105)-ROW($D$20))</f>
        <v>2.70588235294118</v>
      </c>
      <c r="E47" s="221" t="n">
        <v>1.489</v>
      </c>
      <c r="F47" s="222" t="n">
        <v>1.533</v>
      </c>
      <c r="G47" s="223" t="n">
        <v>1.578</v>
      </c>
      <c r="H47" s="57" t="s">
        <v>18</v>
      </c>
      <c r="I47" s="24"/>
      <c r="J47" s="24" t="n">
        <v>1.578</v>
      </c>
      <c r="K47" s="24" t="n">
        <v>1.533</v>
      </c>
      <c r="L47" s="24" t="n">
        <v>1.489</v>
      </c>
      <c r="M47" s="24"/>
      <c r="N47" s="24"/>
      <c r="O47" s="24"/>
      <c r="P47" s="24"/>
      <c r="Q47" s="24"/>
      <c r="R47" s="24"/>
      <c r="S47" s="24"/>
      <c r="T47" s="24"/>
      <c r="U47" s="24"/>
      <c r="V47" s="24"/>
      <c r="W47" s="24"/>
      <c r="X47" s="24"/>
      <c r="Y47" s="25"/>
      <c r="Z47" s="6"/>
      <c r="AA47" s="7"/>
      <c r="AB47" s="7"/>
      <c r="AC47" s="80" t="n">
        <f aca="false">A47</f>
        <v>83</v>
      </c>
      <c r="AD47" s="80" t="n">
        <f aca="false">E47</f>
        <v>1.489</v>
      </c>
      <c r="AE47" s="80" t="n">
        <f aca="false">F47</f>
        <v>1.533</v>
      </c>
      <c r="AF47" s="80" t="n">
        <f aca="false">G47</f>
        <v>1.578</v>
      </c>
      <c r="AG47" s="80" t="n">
        <f aca="false">Table9[[#This Row],[RTH(min) (kΩ)]]*RT2_TH_MIN/(RT2_TH_MIN+Table9[[#This Row],[RTH(min) (kΩ)]])</f>
        <v>1.41963644405392</v>
      </c>
      <c r="AH47" s="80" t="n">
        <f aca="false">Table9[[#This Row],[RTH(nom) (kΩ)]]*RT2_TH_S/(RT2_TH_S+Table9[[#This Row],[RTH(nom) (kΩ)]])</f>
        <v>1.45964746420557</v>
      </c>
      <c r="AI47" s="80" t="n">
        <f aca="false">Table9[[#This Row],[RTH(max) (kΩ)]]*RT2_TH_S_MAX/(RT2_TH_S_MAX+Table9[[#This Row],[RTH(max) (kΩ)]])</f>
        <v>1.50046058621055</v>
      </c>
      <c r="AJ47" s="80" t="n">
        <f aca="false">Table9[[#This Row],[RLower(min) (kΩ)]]/(Table9[[#This Row],[RLower(min) (kΩ)]]+RT1_TH_S_MAX)*100</f>
        <v>21.3227121019726</v>
      </c>
      <c r="AK47" s="80" t="n">
        <f aca="false">Table9[[#This Row],[RLower(nom) (kΩ)]]/(Table9[[#This Row],[RLower(nom) (kΩ)]]+RT1_TH_S)*100</f>
        <v>21.809745737683</v>
      </c>
      <c r="AL47" s="80" t="n">
        <f aca="false">Table9[[#This Row],[RLower(max) (kΩ)]]/(Table9[[#This Row],[RLower(max) (kΩ)]]+RT1_TH_S_MIN)*100</f>
        <v>22.3010077967766</v>
      </c>
      <c r="AM47" s="80" t="n">
        <f aca="false">IF(Table9[[#This Row],[Vmin (%)]]&lt;$BA$14, 0, IF(Table9[[#This Row],[Vmin (%)]]&lt;$BA$12, 4, IF(Table9[[#This Row],[Vmin (%)]]&lt;$BA$9, 3, IF(Table9[[#This Row],[Vmin (%)]]&lt;$BA$7, 2, 0))))</f>
        <v>0</v>
      </c>
      <c r="AN47" s="80" t="n">
        <f aca="false">IF(Table9[[#This Row],[Vmin (%)]]&lt;$BA$13, 0, IF(Table9[[#This Row],[Vmin (%)]]&lt;$BA$11, 4, IF(Table9[[#This Row],[Vmin (%)]]&lt;$BA$10, 3, IF(Table9[[#This Row],[Vmin (%)]]&lt;$BA$8, 2, 0))))</f>
        <v>0</v>
      </c>
      <c r="AO47" s="217" t="str">
        <f aca="false">IF(Table9[[#This Row],[Vmin (%)]]&lt;$BA$14, "Hot", IF(Table9[[#This Row],[Vmin (%)]]&lt;$BA$12, "Warm", IF(Table9[[#This Row],[Vmin (%)]]&lt;$BA$9, "Normal", IF(Table9[[#This Row],[Vmin (%)]]&lt;$BA$7, "Cool", "Cold"))))</f>
        <v>Hot</v>
      </c>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row>
    <row r="48" customFormat="false" ht="16.4" hidden="false" customHeight="false" outlineLevel="0" collapsed="false">
      <c r="A48" s="218" t="n">
        <f aca="false">A47-1</f>
        <v>82</v>
      </c>
      <c r="B48" s="191"/>
      <c r="C48" s="219" t="str">
        <f aca="false">_xlfn.CONCAT("RTH at ",A48, " °C")</f>
        <v>RTH at 82 °C</v>
      </c>
      <c r="D48" s="220" t="n">
        <f aca="false">$D$20-(ROW(D48)-ROW($D$20))*($D$20-$D$105)/(ROW($D$105)-ROW($D$20))</f>
        <v>2.67647058823529</v>
      </c>
      <c r="E48" s="221" t="n">
        <v>1.532</v>
      </c>
      <c r="F48" s="222" t="n">
        <v>1.577</v>
      </c>
      <c r="G48" s="223" t="n">
        <v>1.622</v>
      </c>
      <c r="H48" s="57" t="s">
        <v>18</v>
      </c>
      <c r="I48" s="24"/>
      <c r="J48" s="24" t="n">
        <v>1.622</v>
      </c>
      <c r="K48" s="24" t="n">
        <v>1.577</v>
      </c>
      <c r="L48" s="24" t="n">
        <v>1.532</v>
      </c>
      <c r="M48" s="24"/>
      <c r="N48" s="24"/>
      <c r="O48" s="24"/>
      <c r="P48" s="24"/>
      <c r="Q48" s="24"/>
      <c r="R48" s="24"/>
      <c r="S48" s="24"/>
      <c r="T48" s="24"/>
      <c r="U48" s="24"/>
      <c r="V48" s="24"/>
      <c r="W48" s="24"/>
      <c r="X48" s="24"/>
      <c r="Y48" s="25"/>
      <c r="Z48" s="6"/>
      <c r="AA48" s="7"/>
      <c r="AB48" s="7"/>
      <c r="AC48" s="80" t="n">
        <f aca="false">A48</f>
        <v>82</v>
      </c>
      <c r="AD48" s="80" t="n">
        <f aca="false">E48</f>
        <v>1.532</v>
      </c>
      <c r="AE48" s="80" t="n">
        <f aca="false">F48</f>
        <v>1.577</v>
      </c>
      <c r="AF48" s="80" t="n">
        <f aca="false">G48</f>
        <v>1.622</v>
      </c>
      <c r="AG48" s="80" t="n">
        <f aca="false">Table9[[#This Row],[RTH(min) (kΩ)]]*RT2_TH_MIN/(RT2_TH_MIN+Table9[[#This Row],[RTH(min) (kΩ)]])</f>
        <v>1.45867102196589</v>
      </c>
      <c r="AH48" s="80" t="n">
        <f aca="false">Table9[[#This Row],[RTH(nom) (kΩ)]]*RT2_TH_S/(RT2_TH_S+Table9[[#This Row],[RTH(nom) (kΩ)]])</f>
        <v>1.49948278223798</v>
      </c>
      <c r="AI48" s="80" t="n">
        <f aca="false">Table9[[#This Row],[RTH(max) (kΩ)]]*RT2_TH_S_MAX/(RT2_TH_S_MAX+Table9[[#This Row],[RTH(max) (kΩ)]])</f>
        <v>1.54018826865852</v>
      </c>
      <c r="AJ48" s="80" t="n">
        <f aca="false">Table9[[#This Row],[RLower(min) (kΩ)]]/(Table9[[#This Row],[RLower(min) (kΩ)]]+RT1_TH_S_MAX)*100</f>
        <v>21.7813029341443</v>
      </c>
      <c r="AK48" s="80" t="n">
        <f aca="false">Table9[[#This Row],[RLower(nom) (kΩ)]]/(Table9[[#This Row],[RLower(nom) (kΩ)]]+RT1_TH_S)*100</f>
        <v>22.2723889916187</v>
      </c>
      <c r="AL48" s="80" t="n">
        <f aca="false">Table9[[#This Row],[RLower(max) (kΩ)]]/(Table9[[#This Row],[RLower(max) (kΩ)]]+RT1_TH_S_MIN)*100</f>
        <v>22.7570990089768</v>
      </c>
      <c r="AM48" s="80" t="n">
        <f aca="false">IF(Table9[[#This Row],[Vmin (%)]]&lt;$BA$14, 0, IF(Table9[[#This Row],[Vmin (%)]]&lt;$BA$12, 4, IF(Table9[[#This Row],[Vmin (%)]]&lt;$BA$9, 3, IF(Table9[[#This Row],[Vmin (%)]]&lt;$BA$7, 2, 0))))</f>
        <v>0</v>
      </c>
      <c r="AN48" s="80" t="n">
        <f aca="false">IF(Table9[[#This Row],[Vmin (%)]]&lt;$BA$13, 0, IF(Table9[[#This Row],[Vmin (%)]]&lt;$BA$11, 4, IF(Table9[[#This Row],[Vmin (%)]]&lt;$BA$10, 3, IF(Table9[[#This Row],[Vmin (%)]]&lt;$BA$8, 2, 0))))</f>
        <v>0</v>
      </c>
      <c r="AO48" s="217" t="str">
        <f aca="false">IF(Table9[[#This Row],[Vmin (%)]]&lt;$BA$14, "Hot", IF(Table9[[#This Row],[Vmin (%)]]&lt;$BA$12, "Warm", IF(Table9[[#This Row],[Vmin (%)]]&lt;$BA$9, "Normal", IF(Table9[[#This Row],[Vmin (%)]]&lt;$BA$7, "Cool", "Cold"))))</f>
        <v>Hot</v>
      </c>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row>
    <row r="49" customFormat="false" ht="16.4" hidden="false" customHeight="false" outlineLevel="0" collapsed="false">
      <c r="A49" s="218" t="n">
        <f aca="false">A48-1</f>
        <v>81</v>
      </c>
      <c r="B49" s="191"/>
      <c r="C49" s="219" t="str">
        <f aca="false">_xlfn.CONCAT("RTH at ",A49, " °C")</f>
        <v>RTH at 81 °C</v>
      </c>
      <c r="D49" s="220" t="n">
        <f aca="false">$D$20-(ROW(D49)-ROW($D$20))*($D$20-$D$105)/(ROW($D$105)-ROW($D$20))</f>
        <v>2.64705882352941</v>
      </c>
      <c r="E49" s="221" t="n">
        <v>1.576</v>
      </c>
      <c r="F49" s="222" t="n">
        <v>1.622</v>
      </c>
      <c r="G49" s="223" t="n">
        <v>1.668</v>
      </c>
      <c r="H49" s="57" t="s">
        <v>18</v>
      </c>
      <c r="I49" s="24"/>
      <c r="J49" s="24" t="n">
        <v>1.668</v>
      </c>
      <c r="K49" s="24" t="n">
        <v>1.622</v>
      </c>
      <c r="L49" s="24" t="n">
        <v>1.576</v>
      </c>
      <c r="M49" s="24"/>
      <c r="N49" s="24"/>
      <c r="O49" s="24"/>
      <c r="P49" s="24"/>
      <c r="Q49" s="24"/>
      <c r="R49" s="24"/>
      <c r="S49" s="24"/>
      <c r="T49" s="24"/>
      <c r="U49" s="24"/>
      <c r="V49" s="24"/>
      <c r="W49" s="24"/>
      <c r="X49" s="24"/>
      <c r="Y49" s="25"/>
      <c r="Z49" s="6"/>
      <c r="AA49" s="7"/>
      <c r="AB49" s="7"/>
      <c r="AC49" s="80" t="n">
        <f aca="false">A49</f>
        <v>81</v>
      </c>
      <c r="AD49" s="80" t="n">
        <f aca="false">E49</f>
        <v>1.576</v>
      </c>
      <c r="AE49" s="80" t="n">
        <f aca="false">F49</f>
        <v>1.622</v>
      </c>
      <c r="AF49" s="80" t="n">
        <f aca="false">G49</f>
        <v>1.668</v>
      </c>
      <c r="AG49" s="80" t="n">
        <f aca="false">Table9[[#This Row],[RTH(min) (kΩ)]]*RT2_TH_MIN/(RT2_TH_MIN+Table9[[#This Row],[RTH(min) (kΩ)]])</f>
        <v>1.49850495950094</v>
      </c>
      <c r="AH49" s="80" t="n">
        <f aca="false">Table9[[#This Row],[RTH(nom) (kΩ)]]*RT2_TH_S/(RT2_TH_S+Table9[[#This Row],[RTH(nom) (kΩ)]])</f>
        <v>1.54011058733078</v>
      </c>
      <c r="AI49" s="80" t="n">
        <f aca="false">Table9[[#This Row],[RTH(max) (kΩ)]]*RT2_TH_S_MAX/(RT2_TH_S_MAX+Table9[[#This Row],[RTH(max) (kΩ)]])</f>
        <v>1.58160568111148</v>
      </c>
      <c r="AJ49" s="80" t="n">
        <f aca="false">Table9[[#This Row],[RLower(min) (kΩ)]]/(Table9[[#This Row],[RLower(min) (kΩ)]]+RT1_TH_S_MAX)*100</f>
        <v>22.2438061234395</v>
      </c>
      <c r="AK49" s="80" t="n">
        <f aca="false">Table9[[#This Row],[RLower(nom) (kΩ)]]/(Table9[[#This Row],[RLower(nom) (kΩ)]]+RT1_TH_S)*100</f>
        <v>22.7386306567124</v>
      </c>
      <c r="AL49" s="80" t="n">
        <f aca="false">Table9[[#This Row],[RLower(max) (kΩ)]]/(Table9[[#This Row],[RLower(max) (kΩ)]]+RT1_TH_S_MIN)*100</f>
        <v>23.2269227937081</v>
      </c>
      <c r="AM49" s="80" t="n">
        <f aca="false">IF(Table9[[#This Row],[Vmin (%)]]&lt;$BA$14, 0, IF(Table9[[#This Row],[Vmin (%)]]&lt;$BA$12, 4, IF(Table9[[#This Row],[Vmin (%)]]&lt;$BA$9, 3, IF(Table9[[#This Row],[Vmin (%)]]&lt;$BA$7, 2, 0))))</f>
        <v>0</v>
      </c>
      <c r="AN49" s="80" t="n">
        <f aca="false">IF(Table9[[#This Row],[Vmin (%)]]&lt;$BA$13, 0, IF(Table9[[#This Row],[Vmin (%)]]&lt;$BA$11, 4, IF(Table9[[#This Row],[Vmin (%)]]&lt;$BA$10, 3, IF(Table9[[#This Row],[Vmin (%)]]&lt;$BA$8, 2, 0))))</f>
        <v>0</v>
      </c>
      <c r="AO49" s="217" t="str">
        <f aca="false">IF(Table9[[#This Row],[Vmin (%)]]&lt;$BA$14, "Hot", IF(Table9[[#This Row],[Vmin (%)]]&lt;$BA$12, "Warm", IF(Table9[[#This Row],[Vmin (%)]]&lt;$BA$9, "Normal", IF(Table9[[#This Row],[Vmin (%)]]&lt;$BA$7, "Cool", "Cold"))))</f>
        <v>Hot</v>
      </c>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row>
    <row r="50" customFormat="false" ht="16.4" hidden="false" customHeight="false" outlineLevel="0" collapsed="false">
      <c r="A50" s="218" t="n">
        <f aca="false">A49-1</f>
        <v>80</v>
      </c>
      <c r="B50" s="191"/>
      <c r="C50" s="219" t="str">
        <f aca="false">_xlfn.CONCAT("RTH at ",A50, " °C")</f>
        <v>RTH at 80 °C</v>
      </c>
      <c r="D50" s="220" t="n">
        <f aca="false">$D$20-(ROW(D50)-ROW($D$20))*($D$20-$D$105)/(ROW($D$105)-ROW($D$20))</f>
        <v>2.61764705882353</v>
      </c>
      <c r="E50" s="221" t="n">
        <v>1.621</v>
      </c>
      <c r="F50" s="222" t="n">
        <v>1.668</v>
      </c>
      <c r="G50" s="223" t="n">
        <v>1.715</v>
      </c>
      <c r="H50" s="57" t="s">
        <v>18</v>
      </c>
      <c r="I50" s="24"/>
      <c r="J50" s="24" t="n">
        <v>1.715</v>
      </c>
      <c r="K50" s="24" t="n">
        <v>1.668</v>
      </c>
      <c r="L50" s="24" t="n">
        <v>1.621</v>
      </c>
      <c r="M50" s="24"/>
      <c r="N50" s="24"/>
      <c r="O50" s="24"/>
      <c r="P50" s="24"/>
      <c r="Q50" s="24"/>
      <c r="R50" s="24"/>
      <c r="S50" s="24"/>
      <c r="T50" s="24"/>
      <c r="U50" s="24"/>
      <c r="V50" s="24"/>
      <c r="W50" s="24"/>
      <c r="X50" s="24"/>
      <c r="Y50" s="25"/>
      <c r="Z50" s="6"/>
      <c r="AA50" s="7"/>
      <c r="AB50" s="7"/>
      <c r="AC50" s="80" t="n">
        <f aca="false">A50</f>
        <v>80</v>
      </c>
      <c r="AD50" s="80" t="n">
        <f aca="false">E50</f>
        <v>1.621</v>
      </c>
      <c r="AE50" s="80" t="n">
        <f aca="false">F50</f>
        <v>1.668</v>
      </c>
      <c r="AF50" s="80" t="n">
        <f aca="false">G50</f>
        <v>1.715</v>
      </c>
      <c r="AG50" s="80" t="n">
        <f aca="false">Table9[[#This Row],[RTH(min) (kΩ)]]*RT2_TH_MIN/(RT2_TH_MIN+Table9[[#This Row],[RTH(min) (kΩ)]])</f>
        <v>1.53913124585182</v>
      </c>
      <c r="AH50" s="80" t="n">
        <f aca="false">Table9[[#This Row],[RTH(nom) (kΩ)]]*RT2_TH_S/(RT2_TH_S+Table9[[#This Row],[RTH(nom) (kΩ)]])</f>
        <v>1.58152376584256</v>
      </c>
      <c r="AI50" s="80" t="n">
        <f aca="false">Table9[[#This Row],[RTH(max) (kΩ)]]*RT2_TH_S_MAX/(RT2_TH_S_MAX+Table9[[#This Row],[RTH(max) (kΩ)]])</f>
        <v>1.62380144236367</v>
      </c>
      <c r="AJ50" s="80" t="n">
        <f aca="false">Table9[[#This Row],[RLower(min) (kΩ)]]/(Table9[[#This Row],[RLower(min) (kΩ)]]+RT1_TH_S_MAX)*100</f>
        <v>22.70990908235</v>
      </c>
      <c r="AK50" s="80" t="n">
        <f aca="false">Table9[[#This Row],[RLower(nom) (kΩ)]]/(Table9[[#This Row],[RLower(nom) (kΩ)]]+RT1_TH_S)*100</f>
        <v>23.2081635466816</v>
      </c>
      <c r="AL50" s="80" t="n">
        <f aca="false">Table9[[#This Row],[RLower(max) (kΩ)]]/(Table9[[#This Row],[RLower(max) (kΩ)]]+RT1_TH_S_MIN)*100</f>
        <v>23.6997346243639</v>
      </c>
      <c r="AM50" s="80" t="n">
        <f aca="false">IF(Table9[[#This Row],[Vmin (%)]]&lt;$BA$14, 0, IF(Table9[[#This Row],[Vmin (%)]]&lt;$BA$12, 4, IF(Table9[[#This Row],[Vmin (%)]]&lt;$BA$9, 3, IF(Table9[[#This Row],[Vmin (%)]]&lt;$BA$7, 2, 0))))</f>
        <v>0</v>
      </c>
      <c r="AN50" s="80" t="n">
        <f aca="false">IF(Table9[[#This Row],[Vmin (%)]]&lt;$BA$13, 0, IF(Table9[[#This Row],[Vmin (%)]]&lt;$BA$11, 4, IF(Table9[[#This Row],[Vmin (%)]]&lt;$BA$10, 3, IF(Table9[[#This Row],[Vmin (%)]]&lt;$BA$8, 2, 0))))</f>
        <v>0</v>
      </c>
      <c r="AO50" s="217" t="str">
        <f aca="false">IF(Table9[[#This Row],[Vmin (%)]]&lt;$BA$14, "Hot", IF(Table9[[#This Row],[Vmin (%)]]&lt;$BA$12, "Warm", IF(Table9[[#This Row],[Vmin (%)]]&lt;$BA$9, "Normal", IF(Table9[[#This Row],[Vmin (%)]]&lt;$BA$7, "Cool", "Cold"))))</f>
        <v>Hot</v>
      </c>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row>
    <row r="51" customFormat="false" ht="16.4" hidden="false" customHeight="false" outlineLevel="0" collapsed="false">
      <c r="A51" s="218" t="n">
        <f aca="false">A50-1</f>
        <v>79</v>
      </c>
      <c r="B51" s="191"/>
      <c r="C51" s="219" t="str">
        <f aca="false">_xlfn.CONCAT("RTH at ",A51, " °C")</f>
        <v>RTH at 79 °C</v>
      </c>
      <c r="D51" s="220" t="n">
        <f aca="false">$D$20-(ROW(D51)-ROW($D$20))*($D$20-$D$105)/(ROW($D$105)-ROW($D$20))</f>
        <v>2.58823529411765</v>
      </c>
      <c r="E51" s="221" t="n">
        <v>1.668</v>
      </c>
      <c r="F51" s="222" t="n">
        <v>1.716</v>
      </c>
      <c r="G51" s="223" t="n">
        <v>1.764</v>
      </c>
      <c r="H51" s="57" t="s">
        <v>18</v>
      </c>
      <c r="I51" s="24"/>
      <c r="J51" s="24" t="n">
        <v>1.764</v>
      </c>
      <c r="K51" s="24" t="n">
        <v>1.716</v>
      </c>
      <c r="L51" s="24" t="n">
        <v>1.668</v>
      </c>
      <c r="M51" s="24"/>
      <c r="N51" s="24"/>
      <c r="O51" s="24"/>
      <c r="P51" s="24"/>
      <c r="Q51" s="24"/>
      <c r="R51" s="24"/>
      <c r="S51" s="24"/>
      <c r="T51" s="24"/>
      <c r="U51" s="24"/>
      <c r="V51" s="24"/>
      <c r="W51" s="24"/>
      <c r="X51" s="24"/>
      <c r="Y51" s="25"/>
      <c r="Z51" s="6"/>
      <c r="AA51" s="7"/>
      <c r="AB51" s="7"/>
      <c r="AC51" s="80" t="n">
        <f aca="false">A51</f>
        <v>79</v>
      </c>
      <c r="AD51" s="80" t="n">
        <f aca="false">E51</f>
        <v>1.668</v>
      </c>
      <c r="AE51" s="80" t="n">
        <f aca="false">F51</f>
        <v>1.716</v>
      </c>
      <c r="AF51" s="80" t="n">
        <f aca="false">G51</f>
        <v>1.764</v>
      </c>
      <c r="AG51" s="80" t="n">
        <f aca="false">Table9[[#This Row],[RTH(min) (kΩ)]]*RT2_TH_MIN/(RT2_TH_MIN+Table9[[#This Row],[RTH(min) (kΩ)]])</f>
        <v>1.58144169508935</v>
      </c>
      <c r="AH51" s="80" t="n">
        <f aca="false">Table9[[#This Row],[RTH(nom) (kΩ)]]*RT2_TH_S/(RT2_TH_S+Table9[[#This Row],[RTH(nom) (kΩ)]])</f>
        <v>1.6246114486984</v>
      </c>
      <c r="AI51" s="80" t="n">
        <f aca="false">Table9[[#This Row],[RTH(max) (kΩ)]]*RT2_TH_S_MAX/(RT2_TH_S_MAX+Table9[[#This Row],[RTH(max) (kΩ)]])</f>
        <v>1.66766201883865</v>
      </c>
      <c r="AJ51" s="80" t="n">
        <f aca="false">Table9[[#This Row],[RLower(min) (kΩ)]]/(Table9[[#This Row],[RLower(min) (kΩ)]]+RT1_TH_S_MAX)*100</f>
        <v>23.1894308871409</v>
      </c>
      <c r="AK51" s="80" t="n">
        <f aca="false">Table9[[#This Row],[RLower(nom) (kΩ)]]/(Table9[[#This Row],[RLower(nom) (kΩ)]]+RT1_TH_S)*100</f>
        <v>23.6906619488466</v>
      </c>
      <c r="AL51" s="80" t="n">
        <f aca="false">Table9[[#This Row],[RLower(max) (kΩ)]]/(Table9[[#This Row],[RLower(max) (kΩ)]]+RT1_TH_S_MIN)*100</f>
        <v>24.1850674307594</v>
      </c>
      <c r="AM51" s="80" t="n">
        <f aca="false">IF(Table9[[#This Row],[Vmin (%)]]&lt;$BA$14, 0, IF(Table9[[#This Row],[Vmin (%)]]&lt;$BA$12, 4, IF(Table9[[#This Row],[Vmin (%)]]&lt;$BA$9, 3, IF(Table9[[#This Row],[Vmin (%)]]&lt;$BA$7, 2, 0))))</f>
        <v>0</v>
      </c>
      <c r="AN51" s="80" t="n">
        <f aca="false">IF(Table9[[#This Row],[Vmin (%)]]&lt;$BA$13, 0, IF(Table9[[#This Row],[Vmin (%)]]&lt;$BA$11, 4, IF(Table9[[#This Row],[Vmin (%)]]&lt;$BA$10, 3, IF(Table9[[#This Row],[Vmin (%)]]&lt;$BA$8, 2, 0))))</f>
        <v>0</v>
      </c>
      <c r="AO51" s="217" t="str">
        <f aca="false">IF(Table9[[#This Row],[Vmin (%)]]&lt;$BA$14, "Hot", IF(Table9[[#This Row],[Vmin (%)]]&lt;$BA$12, "Warm", IF(Table9[[#This Row],[Vmin (%)]]&lt;$BA$9, "Normal", IF(Table9[[#This Row],[Vmin (%)]]&lt;$BA$7, "Cool", "Cold"))))</f>
        <v>Hot</v>
      </c>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row>
    <row r="52" customFormat="false" ht="16.4" hidden="false" customHeight="false" outlineLevel="0" collapsed="false">
      <c r="A52" s="218" t="n">
        <f aca="false">A51-1</f>
        <v>78</v>
      </c>
      <c r="B52" s="191"/>
      <c r="C52" s="219" t="str">
        <f aca="false">_xlfn.CONCAT("RTH at ",A52, " °C")</f>
        <v>RTH at 78 °C</v>
      </c>
      <c r="D52" s="220" t="n">
        <f aca="false">$D$20-(ROW(D52)-ROW($D$20))*($D$20-$D$105)/(ROW($D$105)-ROW($D$20))</f>
        <v>2.55882352941176</v>
      </c>
      <c r="E52" s="221" t="n">
        <v>1.717</v>
      </c>
      <c r="F52" s="222" t="n">
        <v>1.765</v>
      </c>
      <c r="G52" s="223" t="n">
        <v>1.814</v>
      </c>
      <c r="H52" s="57" t="s">
        <v>18</v>
      </c>
      <c r="I52" s="24"/>
      <c r="J52" s="24" t="n">
        <v>1.814</v>
      </c>
      <c r="K52" s="24" t="n">
        <v>1.765</v>
      </c>
      <c r="L52" s="24" t="n">
        <v>1.717</v>
      </c>
      <c r="M52" s="24"/>
      <c r="N52" s="24"/>
      <c r="O52" s="24"/>
      <c r="P52" s="24"/>
      <c r="Q52" s="24"/>
      <c r="R52" s="24"/>
      <c r="S52" s="24"/>
      <c r="T52" s="24"/>
      <c r="U52" s="24"/>
      <c r="V52" s="24"/>
      <c r="W52" s="24"/>
      <c r="X52" s="24"/>
      <c r="Y52" s="25"/>
      <c r="Z52" s="6"/>
      <c r="AA52" s="7"/>
      <c r="AB52" s="7"/>
      <c r="AC52" s="80" t="n">
        <f aca="false">A52</f>
        <v>78</v>
      </c>
      <c r="AD52" s="80" t="n">
        <f aca="false">E52</f>
        <v>1.717</v>
      </c>
      <c r="AE52" s="80" t="n">
        <f aca="false">F52</f>
        <v>1.765</v>
      </c>
      <c r="AF52" s="80" t="n">
        <f aca="false">G52</f>
        <v>1.814</v>
      </c>
      <c r="AG52" s="80" t="n">
        <f aca="false">Table9[[#This Row],[RTH(min) (kΩ)]]*RT2_TH_MIN/(RT2_TH_MIN+Table9[[#This Row],[RTH(min) (kΩ)]])</f>
        <v>1.62542104462913</v>
      </c>
      <c r="AH52" s="80" t="n">
        <f aca="false">Table9[[#This Row],[RTH(nom) (kΩ)]]*RT2_TH_S/(RT2_TH_S+Table9[[#This Row],[RTH(nom) (kΩ)]])</f>
        <v>1.66846457774983</v>
      </c>
      <c r="AI52" s="80" t="n">
        <f aca="false">Table9[[#This Row],[RTH(max) (kΩ)]]*RT2_TH_S_MAX/(RT2_TH_S_MAX+Table9[[#This Row],[RTH(max) (kΩ)]])</f>
        <v>1.71228074334189</v>
      </c>
      <c r="AJ52" s="80" t="n">
        <f aca="false">Table9[[#This Row],[RLower(min) (kΩ)]]/(Table9[[#This Row],[RLower(min) (kΩ)]]+RT1_TH_S_MAX)*100</f>
        <v>23.6816006857681</v>
      </c>
      <c r="AK52" s="80" t="n">
        <f aca="false">Table9[[#This Row],[RLower(nom) (kΩ)]]/(Table9[[#This Row],[RLower(nom) (kΩ)]]+RT1_TH_S)*100</f>
        <v>24.1755456288905</v>
      </c>
      <c r="AL52" s="80" t="n">
        <f aca="false">Table9[[#This Row],[RLower(max) (kΩ)]]/(Table9[[#This Row],[RLower(max) (kΩ)]]+RT1_TH_S_MIN)*100</f>
        <v>24.6724948989283</v>
      </c>
      <c r="AM52" s="80" t="n">
        <f aca="false">IF(Table9[[#This Row],[Vmin (%)]]&lt;$BA$14, 0, IF(Table9[[#This Row],[Vmin (%)]]&lt;$BA$12, 4, IF(Table9[[#This Row],[Vmin (%)]]&lt;$BA$9, 3, IF(Table9[[#This Row],[Vmin (%)]]&lt;$BA$7, 2, 0))))</f>
        <v>0</v>
      </c>
      <c r="AN52" s="80" t="n">
        <f aca="false">IF(Table9[[#This Row],[Vmin (%)]]&lt;$BA$13, 0, IF(Table9[[#This Row],[Vmin (%)]]&lt;$BA$11, 4, IF(Table9[[#This Row],[Vmin (%)]]&lt;$BA$10, 3, IF(Table9[[#This Row],[Vmin (%)]]&lt;$BA$8, 2, 0))))</f>
        <v>0</v>
      </c>
      <c r="AO52" s="217" t="str">
        <f aca="false">IF(Table9[[#This Row],[Vmin (%)]]&lt;$BA$14, "Hot", IF(Table9[[#This Row],[Vmin (%)]]&lt;$BA$12, "Warm", IF(Table9[[#This Row],[Vmin (%)]]&lt;$BA$9, "Normal", IF(Table9[[#This Row],[Vmin (%)]]&lt;$BA$7, "Cool", "Cold"))))</f>
        <v>Hot</v>
      </c>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row>
    <row r="53" customFormat="false" ht="16.4" hidden="false" customHeight="false" outlineLevel="0" collapsed="false">
      <c r="A53" s="218" t="n">
        <f aca="false">A52-1</f>
        <v>77</v>
      </c>
      <c r="B53" s="191"/>
      <c r="C53" s="219" t="str">
        <f aca="false">_xlfn.CONCAT("RTH at ",A53, " °C")</f>
        <v>RTH at 77 °C</v>
      </c>
      <c r="D53" s="220" t="n">
        <f aca="false">$D$20-(ROW(D53)-ROW($D$20))*($D$20-$D$105)/(ROW($D$105)-ROW($D$20))</f>
        <v>2.52941176470588</v>
      </c>
      <c r="E53" s="221" t="n">
        <v>1.767</v>
      </c>
      <c r="F53" s="222" t="n">
        <v>1.816</v>
      </c>
      <c r="G53" s="223" t="n">
        <v>1.866</v>
      </c>
      <c r="H53" s="57" t="s">
        <v>18</v>
      </c>
      <c r="I53" s="24"/>
      <c r="J53" s="24" t="n">
        <v>1.866</v>
      </c>
      <c r="K53" s="24" t="n">
        <v>1.816</v>
      </c>
      <c r="L53" s="24" t="n">
        <v>1.767</v>
      </c>
      <c r="M53" s="24"/>
      <c r="N53" s="24"/>
      <c r="O53" s="24"/>
      <c r="P53" s="24"/>
      <c r="Q53" s="24"/>
      <c r="R53" s="24"/>
      <c r="S53" s="24"/>
      <c r="T53" s="24"/>
      <c r="U53" s="24"/>
      <c r="V53" s="24"/>
      <c r="W53" s="24"/>
      <c r="X53" s="24"/>
      <c r="Y53" s="25"/>
      <c r="Z53" s="6"/>
      <c r="AA53" s="7"/>
      <c r="AB53" s="7"/>
      <c r="AC53" s="80" t="n">
        <f aca="false">A53</f>
        <v>77</v>
      </c>
      <c r="AD53" s="80" t="n">
        <f aca="false">E53</f>
        <v>1.767</v>
      </c>
      <c r="AE53" s="80" t="n">
        <f aca="false">F53</f>
        <v>1.816</v>
      </c>
      <c r="AF53" s="80" t="n">
        <f aca="false">G53</f>
        <v>1.866</v>
      </c>
      <c r="AG53" s="80" t="n">
        <f aca="false">Table9[[#This Row],[RTH(min) (kΩ)]]*RT2_TH_MIN/(RT2_TH_MIN+Table9[[#This Row],[RTH(min) (kΩ)]])</f>
        <v>1.67016013515775</v>
      </c>
      <c r="AH53" s="80" t="n">
        <f aca="false">Table9[[#This Row],[RTH(nom) (kΩ)]]*RT2_TH_S/(RT2_TH_S+Table9[[#This Row],[RTH(nom) (kΩ)]])</f>
        <v>1.71396641370749</v>
      </c>
      <c r="AI53" s="80" t="n">
        <f aca="false">Table9[[#This Row],[RTH(max) (kΩ)]]*RT2_TH_S_MAX/(RT2_TH_S_MAX+Table9[[#This Row],[RTH(max) (kΩ)]])</f>
        <v>1.75853813986021</v>
      </c>
      <c r="AJ53" s="80" t="n">
        <f aca="false">Table9[[#This Row],[RLower(min) (kΩ)]]/(Table9[[#This Row],[RLower(min) (kΩ)]]+RT1_TH_S_MAX)*100</f>
        <v>24.1758429920631</v>
      </c>
      <c r="AK53" s="80" t="n">
        <f aca="false">Table9[[#This Row],[RLower(nom) (kΩ)]]/(Table9[[#This Row],[RLower(nom) (kΩ)]]+RT1_TH_S)*100</f>
        <v>24.6721877710534</v>
      </c>
      <c r="AL53" s="80" t="n">
        <f aca="false">Table9[[#This Row],[RLower(max) (kΩ)]]/(Table9[[#This Row],[RLower(max) (kΩ)]]+RT1_TH_S_MIN)*100</f>
        <v>25.1712504805411</v>
      </c>
      <c r="AM53" s="80" t="n">
        <f aca="false">IF(Table9[[#This Row],[Vmin (%)]]&lt;$BA$14, 0, IF(Table9[[#This Row],[Vmin (%)]]&lt;$BA$12, 4, IF(Table9[[#This Row],[Vmin (%)]]&lt;$BA$9, 3, IF(Table9[[#This Row],[Vmin (%)]]&lt;$BA$7, 2, 0))))</f>
        <v>0</v>
      </c>
      <c r="AN53" s="80" t="n">
        <f aca="false">IF(Table9[[#This Row],[Vmin (%)]]&lt;$BA$13, 0, IF(Table9[[#This Row],[Vmin (%)]]&lt;$BA$11, 4, IF(Table9[[#This Row],[Vmin (%)]]&lt;$BA$10, 3, IF(Table9[[#This Row],[Vmin (%)]]&lt;$BA$8, 2, 0))))</f>
        <v>0</v>
      </c>
      <c r="AO53" s="217" t="str">
        <f aca="false">IF(Table9[[#This Row],[Vmin (%)]]&lt;$BA$14, "Hot", IF(Table9[[#This Row],[Vmin (%)]]&lt;$BA$12, "Warm", IF(Table9[[#This Row],[Vmin (%)]]&lt;$BA$9, "Normal", IF(Table9[[#This Row],[Vmin (%)]]&lt;$BA$7, "Cool", "Cold"))))</f>
        <v>Hot</v>
      </c>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row>
    <row r="54" customFormat="false" ht="16.4" hidden="false" customHeight="false" outlineLevel="0" collapsed="false">
      <c r="A54" s="218" t="n">
        <f aca="false">A53-1</f>
        <v>76</v>
      </c>
      <c r="B54" s="191"/>
      <c r="C54" s="219" t="str">
        <f aca="false">_xlfn.CONCAT("RTH at ",A54, " °C")</f>
        <v>RTH at 76 °C</v>
      </c>
      <c r="D54" s="220" t="n">
        <f aca="false">$D$20-(ROW(D54)-ROW($D$20))*($D$20-$D$105)/(ROW($D$105)-ROW($D$20))</f>
        <v>2.5</v>
      </c>
      <c r="E54" s="221" t="n">
        <v>1.819</v>
      </c>
      <c r="F54" s="222" t="n">
        <v>1.869</v>
      </c>
      <c r="G54" s="223" t="n">
        <v>1.92</v>
      </c>
      <c r="H54" s="57" t="s">
        <v>18</v>
      </c>
      <c r="I54" s="24"/>
      <c r="J54" s="24" t="n">
        <v>1.92</v>
      </c>
      <c r="K54" s="24" t="n">
        <v>1.869</v>
      </c>
      <c r="L54" s="24" t="n">
        <v>1.819</v>
      </c>
      <c r="M54" s="24"/>
      <c r="N54" s="24"/>
      <c r="O54" s="24"/>
      <c r="P54" s="24"/>
      <c r="Q54" s="24"/>
      <c r="R54" s="24"/>
      <c r="S54" s="24"/>
      <c r="T54" s="24"/>
      <c r="U54" s="24"/>
      <c r="V54" s="24"/>
      <c r="W54" s="24"/>
      <c r="X54" s="24"/>
      <c r="Y54" s="25"/>
      <c r="Z54" s="6"/>
      <c r="AA54" s="7"/>
      <c r="AB54" s="7"/>
      <c r="AC54" s="80" t="n">
        <f aca="false">A54</f>
        <v>76</v>
      </c>
      <c r="AD54" s="80" t="n">
        <f aca="false">E54</f>
        <v>1.819</v>
      </c>
      <c r="AE54" s="80" t="n">
        <f aca="false">F54</f>
        <v>1.869</v>
      </c>
      <c r="AF54" s="80" t="n">
        <f aca="false">G54</f>
        <v>1.92</v>
      </c>
      <c r="AG54" s="80" t="n">
        <f aca="false">Table9[[#This Row],[RTH(min) (kΩ)]]*RT2_TH_MIN/(RT2_TH_MIN+Table9[[#This Row],[RTH(min) (kΩ)]])</f>
        <v>1.71654182838624</v>
      </c>
      <c r="AH54" s="80" t="n">
        <f aca="false">Table9[[#This Row],[RTH(nom) (kΩ)]]*RT2_TH_S/(RT2_TH_S+Table9[[#This Row],[RTH(nom) (kΩ)]])</f>
        <v>1.76110073186489</v>
      </c>
      <c r="AI54" s="80" t="n">
        <f aca="false">Table9[[#This Row],[RTH(max) (kΩ)]]*RT2_TH_S_MAX/(RT2_TH_S_MAX+Table9[[#This Row],[RTH(max) (kΩ)]])</f>
        <v>1.80641778059108</v>
      </c>
      <c r="AJ54" s="80" t="n">
        <f aca="false">Table9[[#This Row],[RLower(min) (kΩ)]]/(Table9[[#This Row],[RLower(min) (kΩ)]]+RT1_TH_S_MAX)*100</f>
        <v>24.6815182091254</v>
      </c>
      <c r="AK54" s="80" t="n">
        <f aca="false">Table9[[#This Row],[RLower(nom) (kΩ)]]/(Table9[[#This Row],[RLower(nom) (kΩ)]]+RT1_TH_S)*100</f>
        <v>25.1798341001678</v>
      </c>
      <c r="AL54" s="80" t="n">
        <f aca="false">Table9[[#This Row],[RLower(max) (kΩ)]]/(Table9[[#This Row],[RLower(max) (kΩ)]]+RT1_TH_S_MIN)*100</f>
        <v>25.6805885573532</v>
      </c>
      <c r="AM54" s="80" t="n">
        <f aca="false">IF(Table9[[#This Row],[Vmin (%)]]&lt;$BA$14, 0, IF(Table9[[#This Row],[Vmin (%)]]&lt;$BA$12, 4, IF(Table9[[#This Row],[Vmin (%)]]&lt;$BA$9, 3, IF(Table9[[#This Row],[Vmin (%)]]&lt;$BA$7, 2, 0))))</f>
        <v>0</v>
      </c>
      <c r="AN54" s="80" t="n">
        <f aca="false">IF(Table9[[#This Row],[Vmin (%)]]&lt;$BA$13, 0, IF(Table9[[#This Row],[Vmin (%)]]&lt;$BA$11, 4, IF(Table9[[#This Row],[Vmin (%)]]&lt;$BA$10, 3, IF(Table9[[#This Row],[Vmin (%)]]&lt;$BA$8, 2, 0))))</f>
        <v>0</v>
      </c>
      <c r="AO54" s="217" t="str">
        <f aca="false">IF(Table9[[#This Row],[Vmin (%)]]&lt;$BA$14, "Hot", IF(Table9[[#This Row],[Vmin (%)]]&lt;$BA$12, "Warm", IF(Table9[[#This Row],[Vmin (%)]]&lt;$BA$9, "Normal", IF(Table9[[#This Row],[Vmin (%)]]&lt;$BA$7, "Cool", "Cold"))))</f>
        <v>Hot</v>
      </c>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row>
    <row r="55" customFormat="false" ht="16.4" hidden="false" customHeight="false" outlineLevel="0" collapsed="false">
      <c r="A55" s="218" t="n">
        <f aca="false">A54-1</f>
        <v>75</v>
      </c>
      <c r="B55" s="191"/>
      <c r="C55" s="219" t="str">
        <f aca="false">_xlfn.CONCAT("RTH at ",A55, " °C")</f>
        <v>RTH at 75 °C</v>
      </c>
      <c r="D55" s="220" t="n">
        <f aca="false">$D$20-(ROW(D55)-ROW($D$20))*($D$20-$D$105)/(ROW($D$105)-ROW($D$20))</f>
        <v>2.47058823529412</v>
      </c>
      <c r="E55" s="221" t="n">
        <v>1.873</v>
      </c>
      <c r="F55" s="222" t="n">
        <v>1.924</v>
      </c>
      <c r="G55" s="223" t="n">
        <v>1.975</v>
      </c>
      <c r="H55" s="57" t="s">
        <v>18</v>
      </c>
      <c r="I55" s="24"/>
      <c r="J55" s="24" t="n">
        <v>1.975</v>
      </c>
      <c r="K55" s="24" t="n">
        <v>1.924</v>
      </c>
      <c r="L55" s="24" t="n">
        <v>1.873</v>
      </c>
      <c r="M55" s="24"/>
      <c r="N55" s="24"/>
      <c r="O55" s="24"/>
      <c r="P55" s="24"/>
      <c r="Q55" s="24"/>
      <c r="R55" s="24"/>
      <c r="S55" s="24"/>
      <c r="T55" s="24"/>
      <c r="U55" s="24"/>
      <c r="V55" s="24"/>
      <c r="W55" s="24"/>
      <c r="X55" s="24"/>
      <c r="Y55" s="25"/>
      <c r="Z55" s="6"/>
      <c r="AA55" s="7"/>
      <c r="AB55" s="7"/>
      <c r="AC55" s="80" t="n">
        <f aca="false">A55</f>
        <v>75</v>
      </c>
      <c r="AD55" s="80" t="n">
        <f aca="false">E55</f>
        <v>1.873</v>
      </c>
      <c r="AE55" s="80" t="n">
        <f aca="false">F55</f>
        <v>1.924</v>
      </c>
      <c r="AF55" s="80" t="n">
        <f aca="false">G55</f>
        <v>1.975</v>
      </c>
      <c r="AG55" s="80" t="n">
        <f aca="false">Table9[[#This Row],[RTH(min) (kΩ)]]*RT2_TH_MIN/(RT2_TH_MIN+Table9[[#This Row],[RTH(min) (kΩ)]])</f>
        <v>1.7645495996478</v>
      </c>
      <c r="AH55" s="80" t="n">
        <f aca="false">Table9[[#This Row],[RTH(nom) (kΩ)]]*RT2_TH_S/(RT2_TH_S+Table9[[#This Row],[RTH(nom) (kΩ)]])</f>
        <v>1.80985080750299</v>
      </c>
      <c r="AI55" s="80" t="n">
        <f aca="false">Table9[[#This Row],[RTH(max) (kΩ)]]*RT2_TH_S_MAX/(RT2_TH_S_MAX+Table9[[#This Row],[RTH(max) (kΩ)]])</f>
        <v>1.85502058091817</v>
      </c>
      <c r="AJ55" s="80" t="n">
        <f aca="false">Table9[[#This Row],[RLower(min) (kΩ)]]/(Table9[[#This Row],[RLower(min) (kΩ)]]+RT1_TH_S_MAX)*100</f>
        <v>25.197866813417</v>
      </c>
      <c r="AK55" s="80" t="n">
        <f aca="false">Table9[[#This Row],[RLower(nom) (kΩ)]]/(Table9[[#This Row],[RLower(nom) (kΩ)]]+RT1_TH_S)*100</f>
        <v>25.6977342277769</v>
      </c>
      <c r="AL55" s="80" t="n">
        <f aca="false">Table9[[#This Row],[RLower(max) (kΩ)]]/(Table9[[#This Row],[RLower(max) (kΩ)]]+RT1_TH_S_MIN)*100</f>
        <v>26.1905764659286</v>
      </c>
      <c r="AM55" s="80" t="n">
        <f aca="false">IF(Table9[[#This Row],[Vmin (%)]]&lt;$BA$14, 0, IF(Table9[[#This Row],[Vmin (%)]]&lt;$BA$12, 4, IF(Table9[[#This Row],[Vmin (%)]]&lt;$BA$9, 3, IF(Table9[[#This Row],[Vmin (%)]]&lt;$BA$7, 2, 0))))</f>
        <v>0</v>
      </c>
      <c r="AN55" s="80" t="n">
        <f aca="false">IF(Table9[[#This Row],[Vmin (%)]]&lt;$BA$13, 0, IF(Table9[[#This Row],[Vmin (%)]]&lt;$BA$11, 4, IF(Table9[[#This Row],[Vmin (%)]]&lt;$BA$10, 3, IF(Table9[[#This Row],[Vmin (%)]]&lt;$BA$8, 2, 0))))</f>
        <v>0</v>
      </c>
      <c r="AO55" s="217" t="str">
        <f aca="false">IF(Table9[[#This Row],[Vmin (%)]]&lt;$BA$14, "Hot", IF(Table9[[#This Row],[Vmin (%)]]&lt;$BA$12, "Warm", IF(Table9[[#This Row],[Vmin (%)]]&lt;$BA$9, "Normal", IF(Table9[[#This Row],[Vmin (%)]]&lt;$BA$7, "Cool", "Cold"))))</f>
        <v>Hot</v>
      </c>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row>
    <row r="56" customFormat="false" ht="16.4" hidden="false" customHeight="false" outlineLevel="0" collapsed="false">
      <c r="A56" s="218" t="n">
        <f aca="false">A55-1</f>
        <v>74</v>
      </c>
      <c r="B56" s="191"/>
      <c r="C56" s="219" t="str">
        <f aca="false">_xlfn.CONCAT("RTH at ",A56, " °C")</f>
        <v>RTH at 74 °C</v>
      </c>
      <c r="D56" s="220" t="n">
        <f aca="false">$D$20-(ROW(D56)-ROW($D$20))*($D$20-$D$105)/(ROW($D$105)-ROW($D$20))</f>
        <v>2.44117647058824</v>
      </c>
      <c r="E56" s="221" t="n">
        <v>1.929</v>
      </c>
      <c r="F56" s="222" t="n">
        <v>1.98</v>
      </c>
      <c r="G56" s="223" t="n">
        <v>2.033</v>
      </c>
      <c r="H56" s="57" t="s">
        <v>18</v>
      </c>
      <c r="I56" s="24"/>
      <c r="J56" s="24" t="n">
        <v>2.033</v>
      </c>
      <c r="K56" s="24" t="n">
        <v>1.98</v>
      </c>
      <c r="L56" s="24" t="n">
        <v>1.929</v>
      </c>
      <c r="M56" s="24"/>
      <c r="N56" s="24"/>
      <c r="O56" s="24"/>
      <c r="P56" s="24"/>
      <c r="Q56" s="24"/>
      <c r="R56" s="24"/>
      <c r="S56" s="24"/>
      <c r="T56" s="24"/>
      <c r="U56" s="24"/>
      <c r="V56" s="24"/>
      <c r="W56" s="24"/>
      <c r="X56" s="24"/>
      <c r="Y56" s="25"/>
      <c r="Z56" s="6"/>
      <c r="AA56" s="7"/>
      <c r="AB56" s="7"/>
      <c r="AC56" s="80" t="n">
        <f aca="false">A56</f>
        <v>74</v>
      </c>
      <c r="AD56" s="80" t="n">
        <f aca="false">E56</f>
        <v>1.929</v>
      </c>
      <c r="AE56" s="80" t="n">
        <f aca="false">F56</f>
        <v>1.98</v>
      </c>
      <c r="AF56" s="80" t="n">
        <f aca="false">G56</f>
        <v>2.033</v>
      </c>
      <c r="AG56" s="80" t="n">
        <f aca="false">Table9[[#This Row],[RTH(min) (kΩ)]]*RT2_TH_MIN/(RT2_TH_MIN+Table9[[#This Row],[RTH(min) (kΩ)]])</f>
        <v>1.81416643020643</v>
      </c>
      <c r="AH56" s="80" t="n">
        <f aca="false">Table9[[#This Row],[RTH(nom) (kΩ)]]*RT2_TH_S/(RT2_TH_S+Table9[[#This Row],[RTH(nom) (kΩ)]])</f>
        <v>1.85931764379349</v>
      </c>
      <c r="AI56" s="80" t="n">
        <f aca="false">Table9[[#This Row],[RTH(max) (kΩ)]]*RT2_TH_S_MAX/(RT2_TH_S_MAX+Table9[[#This Row],[RTH(max) (kΩ)]])</f>
        <v>1.90609661370969</v>
      </c>
      <c r="AJ56" s="80" t="n">
        <f aca="false">Table9[[#This Row],[RLower(min) (kΩ)]]/(Table9[[#This Row],[RLower(min) (kΩ)]]+RT1_TH_S_MAX)*100</f>
        <v>25.7241344288969</v>
      </c>
      <c r="AK56" s="80" t="n">
        <f aca="false">Table9[[#This Row],[RLower(nom) (kΩ)]]/(Table9[[#This Row],[RLower(nom) (kΩ)]]+RT1_TH_S)*100</f>
        <v>26.2159713950354</v>
      </c>
      <c r="AL56" s="80" t="n">
        <f aca="false">Table9[[#This Row],[RLower(max) (kΩ)]]/(Table9[[#This Row],[RLower(max) (kΩ)]]+RT1_TH_S_MIN)*100</f>
        <v>26.7190274449045</v>
      </c>
      <c r="AM56" s="80" t="n">
        <f aca="false">IF(Table9[[#This Row],[Vmin (%)]]&lt;$BA$14, 0, IF(Table9[[#This Row],[Vmin (%)]]&lt;$BA$12, 4, IF(Table9[[#This Row],[Vmin (%)]]&lt;$BA$9, 3, IF(Table9[[#This Row],[Vmin (%)]]&lt;$BA$7, 2, 0))))</f>
        <v>0</v>
      </c>
      <c r="AN56" s="80" t="n">
        <f aca="false">IF(Table9[[#This Row],[Vmin (%)]]&lt;$BA$13, 0, IF(Table9[[#This Row],[Vmin (%)]]&lt;$BA$11, 4, IF(Table9[[#This Row],[Vmin (%)]]&lt;$BA$10, 3, IF(Table9[[#This Row],[Vmin (%)]]&lt;$BA$8, 2, 0))))</f>
        <v>0</v>
      </c>
      <c r="AO56" s="217" t="str">
        <f aca="false">IF(Table9[[#This Row],[Vmin (%)]]&lt;$BA$14, "Hot", IF(Table9[[#This Row],[Vmin (%)]]&lt;$BA$12, "Warm", IF(Table9[[#This Row],[Vmin (%)]]&lt;$BA$9, "Normal", IF(Table9[[#This Row],[Vmin (%)]]&lt;$BA$7, "Cool", "Cold"))))</f>
        <v>Hot</v>
      </c>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row>
    <row r="57" customFormat="false" ht="16.4" hidden="false" customHeight="false" outlineLevel="0" collapsed="false">
      <c r="A57" s="218" t="n">
        <f aca="false">A56-1</f>
        <v>73</v>
      </c>
      <c r="B57" s="191"/>
      <c r="C57" s="219" t="str">
        <f aca="false">_xlfn.CONCAT("RTH at ",A57, " °C")</f>
        <v>RTH at 73 °C</v>
      </c>
      <c r="D57" s="220" t="n">
        <f aca="false">$D$20-(ROW(D57)-ROW($D$20))*($D$20-$D$105)/(ROW($D$105)-ROW($D$20))</f>
        <v>2.41176470588235</v>
      </c>
      <c r="E57" s="221" t="n">
        <v>1.986</v>
      </c>
      <c r="F57" s="222" t="n">
        <v>2.039</v>
      </c>
      <c r="G57" s="223" t="n">
        <v>2.092</v>
      </c>
      <c r="H57" s="57" t="s">
        <v>18</v>
      </c>
      <c r="I57" s="24"/>
      <c r="J57" s="24" t="n">
        <v>2.092</v>
      </c>
      <c r="K57" s="24" t="n">
        <v>2.039</v>
      </c>
      <c r="L57" s="24" t="n">
        <v>1.986</v>
      </c>
      <c r="M57" s="24"/>
      <c r="N57" s="24"/>
      <c r="O57" s="24"/>
      <c r="P57" s="24"/>
      <c r="Q57" s="24"/>
      <c r="R57" s="24"/>
      <c r="S57" s="24"/>
      <c r="T57" s="24"/>
      <c r="U57" s="24"/>
      <c r="V57" s="24"/>
      <c r="W57" s="24"/>
      <c r="X57" s="24"/>
      <c r="Y57" s="25"/>
      <c r="Z57" s="6"/>
      <c r="AA57" s="7"/>
      <c r="AB57" s="7"/>
      <c r="AC57" s="80" t="n">
        <f aca="false">A57</f>
        <v>73</v>
      </c>
      <c r="AD57" s="80" t="n">
        <f aca="false">E57</f>
        <v>1.986</v>
      </c>
      <c r="AE57" s="80" t="n">
        <f aca="false">F57</f>
        <v>2.039</v>
      </c>
      <c r="AF57" s="80" t="n">
        <f aca="false">G57</f>
        <v>2.092</v>
      </c>
      <c r="AG57" s="80" t="n">
        <f aca="false">Table9[[#This Row],[RTH(min) (kΩ)]]*RT2_TH_MIN/(RT2_TH_MIN+Table9[[#This Row],[RTH(min) (kΩ)]])</f>
        <v>1.86449346889527</v>
      </c>
      <c r="AH57" s="80" t="n">
        <f aca="false">Table9[[#This Row],[RTH(nom) (kΩ)]]*RT2_TH_S/(RT2_TH_S+Table9[[#This Row],[RTH(nom) (kΩ)]])</f>
        <v>1.91125032662626</v>
      </c>
      <c r="AI57" s="80" t="n">
        <f aca="false">Table9[[#This Row],[RTH(max) (kΩ)]]*RT2_TH_S_MAX/(RT2_TH_S_MAX+Table9[[#This Row],[RTH(max) (kΩ)]])</f>
        <v>1.95786695634478</v>
      </c>
      <c r="AJ57" s="80" t="n">
        <f aca="false">Table9[[#This Row],[RLower(min) (kΩ)]]/(Table9[[#This Row],[RLower(min) (kΩ)]]+RT1_TH_S_MAX)*100</f>
        <v>26.2504237405591</v>
      </c>
      <c r="AK57" s="80" t="n">
        <f aca="false">Table9[[#This Row],[RLower(nom) (kΩ)]]/(Table9[[#This Row],[RLower(nom) (kΩ)]]+RT1_TH_S)*100</f>
        <v>26.7523198051375</v>
      </c>
      <c r="AL57" s="80" t="n">
        <f aca="false">Table9[[#This Row],[RLower(max) (kΩ)]]/(Table9[[#This Row],[RLower(max) (kΩ)]]+RT1_TH_S_MIN)*100</f>
        <v>27.2469955755363</v>
      </c>
      <c r="AM57" s="80" t="n">
        <f aca="false">IF(Table9[[#This Row],[Vmin (%)]]&lt;$BA$14, 0, IF(Table9[[#This Row],[Vmin (%)]]&lt;$BA$12, 4, IF(Table9[[#This Row],[Vmin (%)]]&lt;$BA$9, 3, IF(Table9[[#This Row],[Vmin (%)]]&lt;$BA$7, 2, 0))))</f>
        <v>0</v>
      </c>
      <c r="AN57" s="80" t="n">
        <f aca="false">IF(Table9[[#This Row],[Vmin (%)]]&lt;$BA$13, 0, IF(Table9[[#This Row],[Vmin (%)]]&lt;$BA$11, 4, IF(Table9[[#This Row],[Vmin (%)]]&lt;$BA$10, 3, IF(Table9[[#This Row],[Vmin (%)]]&lt;$BA$8, 2, 0))))</f>
        <v>0</v>
      </c>
      <c r="AO57" s="217" t="str">
        <f aca="false">IF(Table9[[#This Row],[Vmin (%)]]&lt;$BA$14, "Hot", IF(Table9[[#This Row],[Vmin (%)]]&lt;$BA$12, "Warm", IF(Table9[[#This Row],[Vmin (%)]]&lt;$BA$9, "Normal", IF(Table9[[#This Row],[Vmin (%)]]&lt;$BA$7, "Cool", "Cold"))))</f>
        <v>Hot</v>
      </c>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row>
    <row r="58" customFormat="false" ht="16.4" hidden="false" customHeight="false" outlineLevel="0" collapsed="false">
      <c r="A58" s="218" t="n">
        <f aca="false">A57-1</f>
        <v>72</v>
      </c>
      <c r="B58" s="191"/>
      <c r="C58" s="219" t="str">
        <f aca="false">_xlfn.CONCAT("RTH at ",A58, " °C")</f>
        <v>RTH at 72 °C</v>
      </c>
      <c r="D58" s="220" t="n">
        <f aca="false">$D$20-(ROW(D58)-ROW($D$20))*($D$20-$D$105)/(ROW($D$105)-ROW($D$20))</f>
        <v>2.38235294117647</v>
      </c>
      <c r="E58" s="221" t="n">
        <v>2.046</v>
      </c>
      <c r="F58" s="222" t="n">
        <v>2.1</v>
      </c>
      <c r="G58" s="223" t="n">
        <v>2.154</v>
      </c>
      <c r="H58" s="57" t="s">
        <v>18</v>
      </c>
      <c r="I58" s="24"/>
      <c r="J58" s="24" t="n">
        <v>2.154</v>
      </c>
      <c r="K58" s="24" t="n">
        <v>2.1</v>
      </c>
      <c r="L58" s="24" t="n">
        <v>2.046</v>
      </c>
      <c r="M58" s="24"/>
      <c r="N58" s="24"/>
      <c r="O58" s="24"/>
      <c r="P58" s="24"/>
      <c r="Q58" s="24"/>
      <c r="R58" s="24"/>
      <c r="S58" s="24"/>
      <c r="T58" s="24"/>
      <c r="U58" s="24"/>
      <c r="V58" s="24"/>
      <c r="W58" s="24"/>
      <c r="X58" s="24"/>
      <c r="Y58" s="25"/>
      <c r="Z58" s="6"/>
      <c r="AA58" s="7"/>
      <c r="AB58" s="7"/>
      <c r="AC58" s="80" t="n">
        <f aca="false">A58</f>
        <v>72</v>
      </c>
      <c r="AD58" s="80" t="n">
        <f aca="false">E58</f>
        <v>2.046</v>
      </c>
      <c r="AE58" s="80" t="n">
        <f aca="false">F58</f>
        <v>2.1</v>
      </c>
      <c r="AF58" s="80" t="n">
        <f aca="false">G58</f>
        <v>2.154</v>
      </c>
      <c r="AG58" s="80" t="n">
        <f aca="false">Table9[[#This Row],[RTH(min) (kΩ)]]*RT2_TH_MIN/(RT2_TH_MIN+Table9[[#This Row],[RTH(min) (kΩ)]])</f>
        <v>1.917278707929</v>
      </c>
      <c r="AH58" s="80" t="n">
        <f aca="false">Table9[[#This Row],[RTH(nom) (kΩ)]]*RT2_TH_S/(RT2_TH_S+Table9[[#This Row],[RTH(nom) (kΩ)]])</f>
        <v>1.96474582802483</v>
      </c>
      <c r="AI58" s="80" t="n">
        <f aca="false">Table9[[#This Row],[RTH(max) (kΩ)]]*RT2_TH_S_MAX/(RT2_TH_S_MAX+Table9[[#This Row],[RTH(max) (kΩ)]])</f>
        <v>2.01206831962459</v>
      </c>
      <c r="AJ58" s="80" t="n">
        <f aca="false">Table9[[#This Row],[RLower(min) (kΩ)]]/(Table9[[#This Row],[RLower(min) (kΩ)]]+RT1_TH_S_MAX)*100</f>
        <v>26.7944650323219</v>
      </c>
      <c r="AK58" s="80" t="n">
        <f aca="false">Table9[[#This Row],[RLower(nom) (kΩ)]]/(Table9[[#This Row],[RLower(nom) (kΩ)]]+RT1_TH_S)*100</f>
        <v>27.2967161052529</v>
      </c>
      <c r="AL58" s="80" t="n">
        <f aca="false">Table9[[#This Row],[RLower(max) (kΩ)]]/(Table9[[#This Row],[RLower(max) (kΩ)]]+RT1_TH_S_MIN)*100</f>
        <v>27.791664986601</v>
      </c>
      <c r="AM58" s="80" t="n">
        <f aca="false">IF(Table9[[#This Row],[Vmin (%)]]&lt;$BA$14, 0, IF(Table9[[#This Row],[Vmin (%)]]&lt;$BA$12, 4, IF(Table9[[#This Row],[Vmin (%)]]&lt;$BA$9, 3, IF(Table9[[#This Row],[Vmin (%)]]&lt;$BA$7, 2, 0))))</f>
        <v>0</v>
      </c>
      <c r="AN58" s="80" t="n">
        <f aca="false">IF(Table9[[#This Row],[Vmin (%)]]&lt;$BA$13, 0, IF(Table9[[#This Row],[Vmin (%)]]&lt;$BA$11, 4, IF(Table9[[#This Row],[Vmin (%)]]&lt;$BA$10, 3, IF(Table9[[#This Row],[Vmin (%)]]&lt;$BA$8, 2, 0))))</f>
        <v>0</v>
      </c>
      <c r="AO58" s="217" t="str">
        <f aca="false">IF(Table9[[#This Row],[Vmin (%)]]&lt;$BA$14, "Hot", IF(Table9[[#This Row],[Vmin (%)]]&lt;$BA$12, "Warm", IF(Table9[[#This Row],[Vmin (%)]]&lt;$BA$9, "Normal", IF(Table9[[#This Row],[Vmin (%)]]&lt;$BA$7, "Cool", "Cold"))))</f>
        <v>Hot</v>
      </c>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row>
    <row r="59" customFormat="false" ht="16.4" hidden="false" customHeight="false" outlineLevel="0" collapsed="false">
      <c r="A59" s="218" t="n">
        <f aca="false">A58-1</f>
        <v>71</v>
      </c>
      <c r="B59" s="191"/>
      <c r="C59" s="219" t="str">
        <f aca="false">_xlfn.CONCAT("RTH at ",A59, " °C")</f>
        <v>RTH at 71 °C</v>
      </c>
      <c r="D59" s="220" t="n">
        <f aca="false">$D$20-(ROW(D59)-ROW($D$20))*($D$20-$D$105)/(ROW($D$105)-ROW($D$20))</f>
        <v>2.35294117647059</v>
      </c>
      <c r="E59" s="221" t="n">
        <v>2.108</v>
      </c>
      <c r="F59" s="222" t="n">
        <v>2.163</v>
      </c>
      <c r="G59" s="223" t="n">
        <v>2.218</v>
      </c>
      <c r="H59" s="57" t="s">
        <v>18</v>
      </c>
      <c r="I59" s="24"/>
      <c r="J59" s="24" t="n">
        <v>2.218</v>
      </c>
      <c r="K59" s="24" t="n">
        <v>2.163</v>
      </c>
      <c r="L59" s="24" t="n">
        <v>2.108</v>
      </c>
      <c r="M59" s="24"/>
      <c r="N59" s="24"/>
      <c r="O59" s="24"/>
      <c r="P59" s="24"/>
      <c r="Q59" s="24"/>
      <c r="R59" s="24"/>
      <c r="S59" s="24"/>
      <c r="T59" s="24"/>
      <c r="U59" s="24"/>
      <c r="V59" s="24"/>
      <c r="W59" s="24"/>
      <c r="X59" s="24"/>
      <c r="Y59" s="25"/>
      <c r="Z59" s="6"/>
      <c r="AA59" s="7"/>
      <c r="AB59" s="7"/>
      <c r="AC59" s="80" t="n">
        <f aca="false">A59</f>
        <v>71</v>
      </c>
      <c r="AD59" s="80" t="n">
        <f aca="false">E59</f>
        <v>2.108</v>
      </c>
      <c r="AE59" s="80" t="n">
        <f aca="false">F59</f>
        <v>2.163</v>
      </c>
      <c r="AF59" s="80" t="n">
        <f aca="false">G59</f>
        <v>2.218</v>
      </c>
      <c r="AG59" s="80" t="n">
        <f aca="false">Table9[[#This Row],[RTH(min) (kΩ)]]*RT2_TH_MIN/(RT2_TH_MIN+Table9[[#This Row],[RTH(min) (kΩ)]])</f>
        <v>1.97161922249742</v>
      </c>
      <c r="AH59" s="80" t="n">
        <f aca="false">Table9[[#This Row],[RTH(nom) (kΩ)]]*RT2_TH_S/(RT2_TH_S+Table9[[#This Row],[RTH(nom) (kΩ)]])</f>
        <v>2.01978556822846</v>
      </c>
      <c r="AI59" s="80" t="n">
        <f aca="false">Table9[[#This Row],[RTH(max) (kΩ)]]*RT2_TH_S_MAX/(RT2_TH_S_MAX+Table9[[#This Row],[RTH(max) (kΩ)]])</f>
        <v>2.06780288162344</v>
      </c>
      <c r="AJ59" s="80" t="n">
        <f aca="false">Table9[[#This Row],[RLower(min) (kΩ)]]/(Table9[[#This Row],[RLower(min) (kΩ)]]+RT1_TH_S_MAX)*100</f>
        <v>27.3462143894878</v>
      </c>
      <c r="AK59" s="80" t="n">
        <f aca="false">Table9[[#This Row],[RLower(nom) (kΩ)]]/(Table9[[#This Row],[RLower(nom) (kΩ)]]+RT1_TH_S)*100</f>
        <v>27.8484454655706</v>
      </c>
      <c r="AL59" s="80" t="n">
        <f aca="false">Table9[[#This Row],[RLower(max) (kΩ)]]/(Table9[[#This Row],[RLower(max) (kΩ)]]+RT1_TH_S_MIN)*100</f>
        <v>28.3433017838351</v>
      </c>
      <c r="AM59" s="80" t="n">
        <f aca="false">IF(Table9[[#This Row],[Vmin (%)]]&lt;$BA$14, 0, IF(Table9[[#This Row],[Vmin (%)]]&lt;$BA$12, 4, IF(Table9[[#This Row],[Vmin (%)]]&lt;$BA$9, 3, IF(Table9[[#This Row],[Vmin (%)]]&lt;$BA$7, 2, 0))))</f>
        <v>0</v>
      </c>
      <c r="AN59" s="80" t="n">
        <f aca="false">IF(Table9[[#This Row],[Vmin (%)]]&lt;$BA$13, 0, IF(Table9[[#This Row],[Vmin (%)]]&lt;$BA$11, 4, IF(Table9[[#This Row],[Vmin (%)]]&lt;$BA$10, 3, IF(Table9[[#This Row],[Vmin (%)]]&lt;$BA$8, 2, 0))))</f>
        <v>0</v>
      </c>
      <c r="AO59" s="217" t="str">
        <f aca="false">IF(Table9[[#This Row],[Vmin (%)]]&lt;$BA$14, "Hot", IF(Table9[[#This Row],[Vmin (%)]]&lt;$BA$12, "Warm", IF(Table9[[#This Row],[Vmin (%)]]&lt;$BA$9, "Normal", IF(Table9[[#This Row],[Vmin (%)]]&lt;$BA$7, "Cool", "Cold"))))</f>
        <v>Hot</v>
      </c>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row>
    <row r="60" customFormat="false" ht="16.4" hidden="false" customHeight="false" outlineLevel="0" collapsed="false">
      <c r="A60" s="218" t="n">
        <f aca="false">A59-1</f>
        <v>70</v>
      </c>
      <c r="B60" s="191"/>
      <c r="C60" s="219" t="str">
        <f aca="false">_xlfn.CONCAT("RTH at ",A60, " °C")</f>
        <v>RTH at 70 °C</v>
      </c>
      <c r="D60" s="220" t="n">
        <f aca="false">$D$20-(ROW(D60)-ROW($D$20))*($D$20-$D$105)/(ROW($D$105)-ROW($D$20))</f>
        <v>2.32352941176471</v>
      </c>
      <c r="E60" s="221" t="n">
        <v>2.172</v>
      </c>
      <c r="F60" s="222" t="n">
        <v>2.228</v>
      </c>
      <c r="G60" s="223" t="n">
        <v>2.284</v>
      </c>
      <c r="H60" s="57" t="s">
        <v>18</v>
      </c>
      <c r="I60" s="24"/>
      <c r="J60" s="24" t="n">
        <v>2.284</v>
      </c>
      <c r="K60" s="24" t="n">
        <v>2.228</v>
      </c>
      <c r="L60" s="24" t="n">
        <v>2.172</v>
      </c>
      <c r="M60" s="24"/>
      <c r="N60" s="24"/>
      <c r="O60" s="24"/>
      <c r="P60" s="24"/>
      <c r="Q60" s="24"/>
      <c r="R60" s="24"/>
      <c r="S60" s="24"/>
      <c r="T60" s="24"/>
      <c r="U60" s="24"/>
      <c r="V60" s="24"/>
      <c r="W60" s="24"/>
      <c r="X60" s="24"/>
      <c r="Y60" s="25"/>
      <c r="Z60" s="6"/>
      <c r="AA60" s="7"/>
      <c r="AB60" s="7"/>
      <c r="AC60" s="80" t="n">
        <f aca="false">A60</f>
        <v>70</v>
      </c>
      <c r="AD60" s="80" t="n">
        <f aca="false">E60</f>
        <v>2.172</v>
      </c>
      <c r="AE60" s="80" t="n">
        <f aca="false">F60</f>
        <v>2.228</v>
      </c>
      <c r="AF60" s="80" t="n">
        <f aca="false">G60</f>
        <v>2.284</v>
      </c>
      <c r="AG60" s="80" t="n">
        <f aca="false">Table9[[#This Row],[RTH(min) (kΩ)]]*RT2_TH_MIN/(RT2_TH_MIN+Table9[[#This Row],[RTH(min) (kΩ)]])</f>
        <v>2.02749616466341</v>
      </c>
      <c r="AH60" s="80" t="n">
        <f aca="false">Table9[[#This Row],[RTH(nom) (kΩ)]]*RT2_TH_S/(RT2_TH_S+Table9[[#This Row],[RTH(nom) (kΩ)]])</f>
        <v>2.07635054212687</v>
      </c>
      <c r="AI60" s="80" t="n">
        <f aca="false">Table9[[#This Row],[RTH(max) (kΩ)]]*RT2_TH_S_MAX/(RT2_TH_S_MAX+Table9[[#This Row],[RTH(max) (kΩ)]])</f>
        <v>2.12505148372886</v>
      </c>
      <c r="AJ60" s="80" t="n">
        <f aca="false">Table9[[#This Row],[RLower(min) (kΩ)]]/(Table9[[#This Row],[RLower(min) (kΩ)]]+RT1_TH_S_MAX)*100</f>
        <v>27.9049575295495</v>
      </c>
      <c r="AK60" s="80" t="n">
        <f aca="false">Table9[[#This Row],[RLower(nom) (kΩ)]]/(Table9[[#This Row],[RLower(nom) (kΩ)]]+RT1_TH_S)*100</f>
        <v>28.4068063922657</v>
      </c>
      <c r="AL60" s="80" t="n">
        <f aca="false">Table9[[#This Row],[RLower(max) (kΩ)]]/(Table9[[#This Row],[RLower(max) (kΩ)]]+RT1_TH_S_MIN)*100</f>
        <v>28.901217193801</v>
      </c>
      <c r="AM60" s="80" t="n">
        <f aca="false">IF(Table9[[#This Row],[Vmin (%)]]&lt;$BA$14, 0, IF(Table9[[#This Row],[Vmin (%)]]&lt;$BA$12, 4, IF(Table9[[#This Row],[Vmin (%)]]&lt;$BA$9, 3, IF(Table9[[#This Row],[Vmin (%)]]&lt;$BA$7, 2, 0))))</f>
        <v>0</v>
      </c>
      <c r="AN60" s="80" t="n">
        <f aca="false">IF(Table9[[#This Row],[Vmin (%)]]&lt;$BA$13, 0, IF(Table9[[#This Row],[Vmin (%)]]&lt;$BA$11, 4, IF(Table9[[#This Row],[Vmin (%)]]&lt;$BA$10, 3, IF(Table9[[#This Row],[Vmin (%)]]&lt;$BA$8, 2, 0))))</f>
        <v>0</v>
      </c>
      <c r="AO60" s="217" t="str">
        <f aca="false">IF(Table9[[#This Row],[Vmin (%)]]&lt;$BA$14, "Hot", IF(Table9[[#This Row],[Vmin (%)]]&lt;$BA$12, "Warm", IF(Table9[[#This Row],[Vmin (%)]]&lt;$BA$9, "Normal", IF(Table9[[#This Row],[Vmin (%)]]&lt;$BA$7, "Cool", "Cold"))))</f>
        <v>Hot</v>
      </c>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row>
    <row r="61" customFormat="false" ht="16.4" hidden="false" customHeight="false" outlineLevel="0" collapsed="false">
      <c r="A61" s="218" t="n">
        <f aca="false">A60-1</f>
        <v>69</v>
      </c>
      <c r="B61" s="191"/>
      <c r="C61" s="219" t="str">
        <f aca="false">_xlfn.CONCAT("RTH at ",A61, " °C")</f>
        <v>RTH at 69 °C</v>
      </c>
      <c r="D61" s="220" t="n">
        <f aca="false">$D$20-(ROW(D61)-ROW($D$20))*($D$20-$D$105)/(ROW($D$105)-ROW($D$20))</f>
        <v>2.29411764705882</v>
      </c>
      <c r="E61" s="221" t="n">
        <v>2.238</v>
      </c>
      <c r="F61" s="222" t="n">
        <v>2.295</v>
      </c>
      <c r="G61" s="223" t="n">
        <v>2.352</v>
      </c>
      <c r="H61" s="57" t="s">
        <v>18</v>
      </c>
      <c r="I61" s="24"/>
      <c r="J61" s="24" t="n">
        <v>2.352</v>
      </c>
      <c r="K61" s="24" t="n">
        <v>2.295</v>
      </c>
      <c r="L61" s="24" t="n">
        <v>2.238</v>
      </c>
      <c r="M61" s="24"/>
      <c r="N61" s="24"/>
      <c r="O61" s="24"/>
      <c r="P61" s="24"/>
      <c r="Q61" s="24"/>
      <c r="R61" s="24"/>
      <c r="S61" s="24"/>
      <c r="T61" s="24"/>
      <c r="U61" s="24"/>
      <c r="V61" s="24"/>
      <c r="W61" s="24"/>
      <c r="X61" s="24"/>
      <c r="Y61" s="25"/>
      <c r="Z61" s="6"/>
      <c r="AA61" s="7"/>
      <c r="AB61" s="7"/>
      <c r="AC61" s="80" t="n">
        <f aca="false">A61</f>
        <v>69</v>
      </c>
      <c r="AD61" s="80" t="n">
        <f aca="false">E61</f>
        <v>2.238</v>
      </c>
      <c r="AE61" s="80" t="n">
        <f aca="false">F61</f>
        <v>2.295</v>
      </c>
      <c r="AF61" s="80" t="n">
        <f aca="false">G61</f>
        <v>2.352</v>
      </c>
      <c r="AG61" s="80" t="n">
        <f aca="false">Table9[[#This Row],[RTH(min) (kΩ)]]*RT2_TH_MIN/(RT2_TH_MIN+Table9[[#This Row],[RTH(min) (kΩ)]])</f>
        <v>2.08489026807678</v>
      </c>
      <c r="AH61" s="80" t="n">
        <f aca="false">Table9[[#This Row],[RTH(nom) (kΩ)]]*RT2_TH_S/(RT2_TH_S+Table9[[#This Row],[RTH(nom) (kΩ)]])</f>
        <v>2.13442133493349</v>
      </c>
      <c r="AI61" s="80" t="n">
        <f aca="false">Table9[[#This Row],[RTH(max) (kΩ)]]*RT2_TH_S_MAX/(RT2_TH_S_MAX+Table9[[#This Row],[RTH(max) (kΩ)]])</f>
        <v>2.18379456635149</v>
      </c>
      <c r="AJ61" s="80" t="n">
        <f aca="false">Table9[[#This Row],[RLower(min) (kΩ)]]/(Table9[[#This Row],[RLower(min) (kΩ)]]+RT1_TH_S_MAX)*100</f>
        <v>28.4699944924745</v>
      </c>
      <c r="AK61" s="80" t="n">
        <f aca="false">Table9[[#This Row],[RLower(nom) (kΩ)]]/(Table9[[#This Row],[RLower(nom) (kΩ)]]+RT1_TH_S)*100</f>
        <v>28.9711121811242</v>
      </c>
      <c r="AL61" s="80" t="n">
        <f aca="false">Table9[[#This Row],[RLower(max) (kΩ)]]/(Table9[[#This Row],[RLower(max) (kΩ)]]+RT1_TH_S_MIN)*100</f>
        <v>29.4647376637215</v>
      </c>
      <c r="AM61" s="80" t="n">
        <f aca="false">IF(Table9[[#This Row],[Vmin (%)]]&lt;$BA$14, 0, IF(Table9[[#This Row],[Vmin (%)]]&lt;$BA$12, 4, IF(Table9[[#This Row],[Vmin (%)]]&lt;$BA$9, 3, IF(Table9[[#This Row],[Vmin (%)]]&lt;$BA$7, 2, 0))))</f>
        <v>0</v>
      </c>
      <c r="AN61" s="80" t="n">
        <f aca="false">IF(Table9[[#This Row],[Vmin (%)]]&lt;$BA$13, 0, IF(Table9[[#This Row],[Vmin (%)]]&lt;$BA$11, 4, IF(Table9[[#This Row],[Vmin (%)]]&lt;$BA$10, 3, IF(Table9[[#This Row],[Vmin (%)]]&lt;$BA$8, 2, 0))))</f>
        <v>0</v>
      </c>
      <c r="AO61" s="217" t="str">
        <f aca="false">IF(Table9[[#This Row],[Vmin (%)]]&lt;$BA$14, "Hot", IF(Table9[[#This Row],[Vmin (%)]]&lt;$BA$12, "Warm", IF(Table9[[#This Row],[Vmin (%)]]&lt;$BA$9, "Normal", IF(Table9[[#This Row],[Vmin (%)]]&lt;$BA$7, "Cool", "Cold"))))</f>
        <v>Hot</v>
      </c>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row>
    <row r="62" customFormat="false" ht="16.4" hidden="false" customHeight="false" outlineLevel="0" collapsed="false">
      <c r="A62" s="218" t="n">
        <f aca="false">A61-1</f>
        <v>68</v>
      </c>
      <c r="B62" s="191"/>
      <c r="C62" s="219" t="str">
        <f aca="false">_xlfn.CONCAT("RTH at ",A62, " °C")</f>
        <v>RTH at 68 °C</v>
      </c>
      <c r="D62" s="220" t="n">
        <f aca="false">$D$20-(ROW(D62)-ROW($D$20))*($D$20-$D$105)/(ROW($D$105)-ROW($D$20))</f>
        <v>2.26470588235294</v>
      </c>
      <c r="E62" s="221" t="n">
        <v>2.307</v>
      </c>
      <c r="F62" s="222" t="n">
        <v>2.364</v>
      </c>
      <c r="G62" s="223" t="n">
        <v>2.423</v>
      </c>
      <c r="H62" s="57" t="s">
        <v>18</v>
      </c>
      <c r="I62" s="24"/>
      <c r="J62" s="24" t="n">
        <v>2.423</v>
      </c>
      <c r="K62" s="24" t="n">
        <v>2.364</v>
      </c>
      <c r="L62" s="24" t="n">
        <v>2.307</v>
      </c>
      <c r="M62" s="24"/>
      <c r="N62" s="24"/>
      <c r="O62" s="24"/>
      <c r="P62" s="24"/>
      <c r="Q62" s="24"/>
      <c r="R62" s="24"/>
      <c r="S62" s="24"/>
      <c r="T62" s="24"/>
      <c r="U62" s="24"/>
      <c r="V62" s="24"/>
      <c r="W62" s="24"/>
      <c r="X62" s="24"/>
      <c r="Y62" s="25"/>
      <c r="Z62" s="6"/>
      <c r="AA62" s="7"/>
      <c r="AB62" s="7"/>
      <c r="AC62" s="80" t="n">
        <f aca="false">A62</f>
        <v>68</v>
      </c>
      <c r="AD62" s="80" t="n">
        <f aca="false">E62</f>
        <v>2.307</v>
      </c>
      <c r="AE62" s="80" t="n">
        <f aca="false">F62</f>
        <v>2.364</v>
      </c>
      <c r="AF62" s="80" t="n">
        <f aca="false">G62</f>
        <v>2.423</v>
      </c>
      <c r="AG62" s="80" t="n">
        <f aca="false">Table9[[#This Row],[RTH(min) (kΩ)]]*RT2_TH_MIN/(RT2_TH_MIN+Table9[[#This Row],[RTH(min) (kΩ)]])</f>
        <v>2.14464609379948</v>
      </c>
      <c r="AH62" s="80" t="n">
        <f aca="false">Table9[[#This Row],[RTH(nom) (kΩ)]]*RT2_TH_S/(RT2_TH_S+Table9[[#This Row],[RTH(nom) (kΩ)]])</f>
        <v>2.19397813804957</v>
      </c>
      <c r="AI62" s="80" t="n">
        <f aca="false">Table9[[#This Row],[RTH(max) (kΩ)]]*RT2_TH_S_MAX/(RT2_TH_S_MAX+Table9[[#This Row],[RTH(max) (kΩ)]])</f>
        <v>2.24487058334262</v>
      </c>
      <c r="AJ62" s="80" t="n">
        <f aca="false">Table9[[#This Row],[RLower(min) (kΩ)]]/(Table9[[#This Row],[RLower(min) (kΩ)]]+RT1_TH_S_MAX)*100</f>
        <v>29.048947448286</v>
      </c>
      <c r="AK62" s="80" t="n">
        <f aca="false">Table9[[#This Row],[RLower(nom) (kΩ)]]/(Table9[[#This Row],[RLower(nom) (kΩ)]]+RT1_TH_S)*100</f>
        <v>29.5406922244945</v>
      </c>
      <c r="AL62" s="80" t="n">
        <f aca="false">Table9[[#This Row],[RLower(max) (kΩ)]]/(Table9[[#This Row],[RLower(max) (kΩ)]]+RT1_TH_S_MIN)*100</f>
        <v>30.0412433394865</v>
      </c>
      <c r="AM62" s="80" t="n">
        <f aca="false">IF(Table9[[#This Row],[Vmin (%)]]&lt;$BA$14, 0, IF(Table9[[#This Row],[Vmin (%)]]&lt;$BA$12, 4, IF(Table9[[#This Row],[Vmin (%)]]&lt;$BA$9, 3, IF(Table9[[#This Row],[Vmin (%)]]&lt;$BA$7, 2, 0))))</f>
        <v>0</v>
      </c>
      <c r="AN62" s="80" t="n">
        <f aca="false">IF(Table9[[#This Row],[Vmin (%)]]&lt;$BA$13, 0, IF(Table9[[#This Row],[Vmin (%)]]&lt;$BA$11, 4, IF(Table9[[#This Row],[Vmin (%)]]&lt;$BA$10, 3, IF(Table9[[#This Row],[Vmin (%)]]&lt;$BA$8, 2, 0))))</f>
        <v>0</v>
      </c>
      <c r="AO62" s="217" t="str">
        <f aca="false">IF(Table9[[#This Row],[Vmin (%)]]&lt;$BA$14, "Hot", IF(Table9[[#This Row],[Vmin (%)]]&lt;$BA$12, "Warm", IF(Table9[[#This Row],[Vmin (%)]]&lt;$BA$9, "Normal", IF(Table9[[#This Row],[Vmin (%)]]&lt;$BA$7, "Cool", "Cold"))))</f>
        <v>Hot</v>
      </c>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row>
    <row r="63" customFormat="false" ht="16.4" hidden="false" customHeight="false" outlineLevel="0" collapsed="false">
      <c r="A63" s="218" t="n">
        <f aca="false">A62-1</f>
        <v>67</v>
      </c>
      <c r="B63" s="191"/>
      <c r="C63" s="219" t="str">
        <f aca="false">_xlfn.CONCAT("RTH at ",A63, " °C")</f>
        <v>RTH at 67 °C</v>
      </c>
      <c r="D63" s="220" t="n">
        <f aca="false">$D$20-(ROW(D63)-ROW($D$20))*($D$20-$D$105)/(ROW($D$105)-ROW($D$20))</f>
        <v>2.23529411764706</v>
      </c>
      <c r="E63" s="221" t="n">
        <v>2.378</v>
      </c>
      <c r="F63" s="222" t="n">
        <v>2.436</v>
      </c>
      <c r="G63" s="223" t="n">
        <v>2.496</v>
      </c>
      <c r="H63" s="57" t="s">
        <v>18</v>
      </c>
      <c r="I63" s="24"/>
      <c r="J63" s="24" t="n">
        <v>2.496</v>
      </c>
      <c r="K63" s="24" t="n">
        <v>2.436</v>
      </c>
      <c r="L63" s="24" t="n">
        <v>2.378</v>
      </c>
      <c r="M63" s="24"/>
      <c r="N63" s="24"/>
      <c r="O63" s="24"/>
      <c r="P63" s="24"/>
      <c r="Q63" s="24"/>
      <c r="R63" s="24"/>
      <c r="S63" s="24"/>
      <c r="T63" s="24"/>
      <c r="U63" s="24"/>
      <c r="V63" s="24"/>
      <c r="W63" s="24"/>
      <c r="X63" s="24"/>
      <c r="Y63" s="25"/>
      <c r="Z63" s="6"/>
      <c r="AA63" s="7"/>
      <c r="AB63" s="7"/>
      <c r="AC63" s="80" t="n">
        <f aca="false">A63</f>
        <v>67</v>
      </c>
      <c r="AD63" s="80" t="n">
        <f aca="false">E63</f>
        <v>2.378</v>
      </c>
      <c r="AE63" s="80" t="n">
        <f aca="false">F63</f>
        <v>2.436</v>
      </c>
      <c r="AF63" s="80" t="n">
        <f aca="false">G63</f>
        <v>2.496</v>
      </c>
      <c r="AG63" s="80" t="n">
        <f aca="false">Table9[[#This Row],[RTH(min) (kΩ)]]*RT2_TH_MIN/(RT2_TH_MIN+Table9[[#This Row],[RTH(min) (kΩ)]])</f>
        <v>2.2058719457675</v>
      </c>
      <c r="AH63" s="80" t="n">
        <f aca="false">Table9[[#This Row],[RTH(nom) (kΩ)]]*RT2_TH_S/(RT2_TH_S+Table9[[#This Row],[RTH(nom) (kΩ)]])</f>
        <v>2.2558583601586</v>
      </c>
      <c r="AI63" s="80" t="n">
        <f aca="false">Table9[[#This Row],[RTH(max) (kΩ)]]*RT2_TH_S_MAX/(RT2_TH_S_MAX+Table9[[#This Row],[RTH(max) (kΩ)]])</f>
        <v>2.30739329423581</v>
      </c>
      <c r="AJ63" s="80" t="n">
        <f aca="false">Table9[[#This Row],[RLower(min) (kΩ)]]/(Table9[[#This Row],[RLower(min) (kΩ)]]+RT1_TH_S_MAX)*100</f>
        <v>29.6325023341507</v>
      </c>
      <c r="AK63" s="80" t="n">
        <f aca="false">Table9[[#This Row],[RLower(nom) (kΩ)]]/(Table9[[#This Row],[RLower(nom) (kΩ)]]+RT1_TH_S)*100</f>
        <v>30.1228961545824</v>
      </c>
      <c r="AL63" s="80" t="n">
        <f aca="false">Table9[[#This Row],[RLower(max) (kΩ)]]/(Table9[[#This Row],[RLower(max) (kΩ)]]+RT1_TH_S_MIN)*100</f>
        <v>30.6217241893025</v>
      </c>
      <c r="AM63" s="80" t="n">
        <f aca="false">IF(Table9[[#This Row],[Vmin (%)]]&lt;$BA$14, 0, IF(Table9[[#This Row],[Vmin (%)]]&lt;$BA$12, 4, IF(Table9[[#This Row],[Vmin (%)]]&lt;$BA$9, 3, IF(Table9[[#This Row],[Vmin (%)]]&lt;$BA$7, 2, 0))))</f>
        <v>0</v>
      </c>
      <c r="AN63" s="80" t="n">
        <f aca="false">IF(Table9[[#This Row],[Vmin (%)]]&lt;$BA$13, 0, IF(Table9[[#This Row],[Vmin (%)]]&lt;$BA$11, 4, IF(Table9[[#This Row],[Vmin (%)]]&lt;$BA$10, 3, IF(Table9[[#This Row],[Vmin (%)]]&lt;$BA$8, 2, 0))))</f>
        <v>0</v>
      </c>
      <c r="AO63" s="217" t="str">
        <f aca="false">IF(Table9[[#This Row],[Vmin (%)]]&lt;$BA$14, "Hot", IF(Table9[[#This Row],[Vmin (%)]]&lt;$BA$12, "Warm", IF(Table9[[#This Row],[Vmin (%)]]&lt;$BA$9, "Normal", IF(Table9[[#This Row],[Vmin (%)]]&lt;$BA$7, "Cool", "Cold"))))</f>
        <v>Hot</v>
      </c>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row>
    <row r="64" customFormat="false" ht="16.4" hidden="false" customHeight="false" outlineLevel="0" collapsed="false">
      <c r="A64" s="218" t="n">
        <f aca="false">A63-1</f>
        <v>66</v>
      </c>
      <c r="B64" s="191"/>
      <c r="C64" s="219" t="str">
        <f aca="false">_xlfn.CONCAT("RTH at ",A64, " °C")</f>
        <v>RTH at 66 °C</v>
      </c>
      <c r="D64" s="220" t="n">
        <f aca="false">$D$20-(ROW(D64)-ROW($D$20))*($D$20-$D$105)/(ROW($D$105)-ROW($D$20))</f>
        <v>2.20588235294118</v>
      </c>
      <c r="E64" s="221" t="n">
        <v>2.451</v>
      </c>
      <c r="F64" s="222" t="n">
        <v>2.511</v>
      </c>
      <c r="G64" s="223" t="n">
        <v>2.571</v>
      </c>
      <c r="H64" s="57" t="s">
        <v>18</v>
      </c>
      <c r="I64" s="24"/>
      <c r="J64" s="24" t="n">
        <v>2.571</v>
      </c>
      <c r="K64" s="24" t="n">
        <v>2.511</v>
      </c>
      <c r="L64" s="24" t="n">
        <v>2.451</v>
      </c>
      <c r="M64" s="24"/>
      <c r="N64" s="24"/>
      <c r="O64" s="24"/>
      <c r="P64" s="24"/>
      <c r="Q64" s="24"/>
      <c r="R64" s="24"/>
      <c r="S64" s="24"/>
      <c r="T64" s="24"/>
      <c r="U64" s="24"/>
      <c r="V64" s="24"/>
      <c r="W64" s="24"/>
      <c r="X64" s="24"/>
      <c r="Y64" s="25"/>
      <c r="Z64" s="6"/>
      <c r="AA64" s="7"/>
      <c r="AB64" s="7"/>
      <c r="AC64" s="80" t="n">
        <f aca="false">A64</f>
        <v>66</v>
      </c>
      <c r="AD64" s="80" t="n">
        <f aca="false">E64</f>
        <v>2.451</v>
      </c>
      <c r="AE64" s="80" t="n">
        <f aca="false">F64</f>
        <v>2.511</v>
      </c>
      <c r="AF64" s="80" t="n">
        <f aca="false">G64</f>
        <v>2.571</v>
      </c>
      <c r="AG64" s="80" t="n">
        <f aca="false">Table9[[#This Row],[RTH(min) (kΩ)]]*RT2_TH_MIN/(RT2_TH_MIN+Table9[[#This Row],[RTH(min) (kΩ)]])</f>
        <v>2.26854715717102</v>
      </c>
      <c r="AH64" s="80" t="n">
        <f aca="false">Table9[[#This Row],[RTH(nom) (kΩ)]]*RT2_TH_S/(RT2_TH_S+Table9[[#This Row],[RTH(nom) (kΩ)]])</f>
        <v>2.32002993282232</v>
      </c>
      <c r="AI64" s="80" t="n">
        <f aca="false">Table9[[#This Row],[RTH(max) (kΩ)]]*RT2_TH_S_MAX/(RT2_TH_S_MAX+Table9[[#This Row],[RTH(max) (kΩ)]])</f>
        <v>2.37134179811161</v>
      </c>
      <c r="AJ64" s="80" t="n">
        <f aca="false">Table9[[#This Row],[RLower(min) (kΩ)]]/(Table9[[#This Row],[RLower(min) (kΩ)]]+RT1_TH_S_MAX)*100</f>
        <v>30.2200116132736</v>
      </c>
      <c r="AK64" s="80" t="n">
        <f aca="false">Table9[[#This Row],[RLower(nom) (kΩ)]]/(Table9[[#This Row],[RLower(nom) (kΩ)]]+RT1_TH_S)*100</f>
        <v>30.7165822570925</v>
      </c>
      <c r="AL64" s="80" t="n">
        <f aca="false">Table9[[#This Row],[RLower(max) (kΩ)]]/(Table9[[#This Row],[RLower(max) (kΩ)]]+RT1_TH_S_MIN)*100</f>
        <v>31.2055613498296</v>
      </c>
      <c r="AM64" s="80" t="n">
        <f aca="false">IF(Table9[[#This Row],[Vmin (%)]]&lt;$BA$14, 0, IF(Table9[[#This Row],[Vmin (%)]]&lt;$BA$12, 4, IF(Table9[[#This Row],[Vmin (%)]]&lt;$BA$9, 3, IF(Table9[[#This Row],[Vmin (%)]]&lt;$BA$7, 2, 0))))</f>
        <v>0</v>
      </c>
      <c r="AN64" s="80" t="n">
        <f aca="false">IF(Table9[[#This Row],[Vmin (%)]]&lt;$BA$13, 0, IF(Table9[[#This Row],[Vmin (%)]]&lt;$BA$11, 4, IF(Table9[[#This Row],[Vmin (%)]]&lt;$BA$10, 3, IF(Table9[[#This Row],[Vmin (%)]]&lt;$BA$8, 2, 0))))</f>
        <v>0</v>
      </c>
      <c r="AO64" s="217" t="str">
        <f aca="false">IF(Table9[[#This Row],[Vmin (%)]]&lt;$BA$14, "Hot", IF(Table9[[#This Row],[Vmin (%)]]&lt;$BA$12, "Warm", IF(Table9[[#This Row],[Vmin (%)]]&lt;$BA$9, "Normal", IF(Table9[[#This Row],[Vmin (%)]]&lt;$BA$7, "Cool", "Cold"))))</f>
        <v>Hot</v>
      </c>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row>
    <row r="65" customFormat="false" ht="16.4" hidden="false" customHeight="false" outlineLevel="0" collapsed="false">
      <c r="A65" s="218" t="n">
        <f aca="false">A64-1</f>
        <v>65</v>
      </c>
      <c r="B65" s="191"/>
      <c r="C65" s="219" t="str">
        <f aca="false">_xlfn.CONCAT("RTH at ",A65, " °C")</f>
        <v>RTH at 65 °C</v>
      </c>
      <c r="D65" s="220" t="n">
        <f aca="false">$D$20-(ROW(D65)-ROW($D$20))*($D$20-$D$105)/(ROW($D$105)-ROW($D$20))</f>
        <v>2.17647058823529</v>
      </c>
      <c r="E65" s="221" t="n">
        <v>2.527</v>
      </c>
      <c r="F65" s="222" t="n">
        <v>2.588</v>
      </c>
      <c r="G65" s="223" t="n">
        <v>2.65</v>
      </c>
      <c r="H65" s="57" t="s">
        <v>18</v>
      </c>
      <c r="I65" s="24"/>
      <c r="J65" s="24" t="n">
        <v>2.65</v>
      </c>
      <c r="K65" s="24" t="n">
        <v>2.588</v>
      </c>
      <c r="L65" s="24" t="n">
        <v>2.527</v>
      </c>
      <c r="M65" s="24"/>
      <c r="N65" s="24"/>
      <c r="O65" s="24"/>
      <c r="P65" s="24"/>
      <c r="Q65" s="24"/>
      <c r="R65" s="24"/>
      <c r="S65" s="24"/>
      <c r="T65" s="24"/>
      <c r="U65" s="24"/>
      <c r="V65" s="24"/>
      <c r="W65" s="24"/>
      <c r="X65" s="24"/>
      <c r="Y65" s="25"/>
      <c r="Z65" s="6"/>
      <c r="AA65" s="7"/>
      <c r="AB65" s="7"/>
      <c r="AC65" s="80" t="n">
        <f aca="false">A65</f>
        <v>65</v>
      </c>
      <c r="AD65" s="80" t="n">
        <f aca="false">E65</f>
        <v>2.527</v>
      </c>
      <c r="AE65" s="80" t="n">
        <f aca="false">F65</f>
        <v>2.588</v>
      </c>
      <c r="AF65" s="80" t="n">
        <f aca="false">G65</f>
        <v>2.65</v>
      </c>
      <c r="AG65" s="80" t="n">
        <f aca="false">Table9[[#This Row],[RTH(min) (kΩ)]]*RT2_TH_MIN/(RT2_TH_MIN+Table9[[#This Row],[RTH(min) (kΩ)]])</f>
        <v>2.3335034603049</v>
      </c>
      <c r="AH65" s="80" t="n">
        <f aca="false">Table9[[#This Row],[RTH(nom) (kΩ)]]*RT2_TH_S/(RT2_TH_S+Table9[[#This Row],[RTH(nom) (kΩ)]])</f>
        <v>2.38561014253986</v>
      </c>
      <c r="AI65" s="80" t="n">
        <f aca="false">Table9[[#This Row],[RTH(max) (kΩ)]]*RT2_TH_S_MAX/(RT2_TH_S_MAX+Table9[[#This Row],[RTH(max) (kΩ)]])</f>
        <v>2.43838830622242</v>
      </c>
      <c r="AJ65" s="80" t="n">
        <f aca="false">Table9[[#This Row],[RLower(min) (kΩ)]]/(Table9[[#This Row],[RLower(min) (kΩ)]]+RT1_TH_S_MAX)*100</f>
        <v>30.8186398681206</v>
      </c>
      <c r="AK65" s="80" t="n">
        <f aca="false">Table9[[#This Row],[RLower(nom) (kΩ)]]/(Table9[[#This Row],[RLower(nom) (kΩ)]]+RT1_TH_S)*100</f>
        <v>31.3129674586487</v>
      </c>
      <c r="AL65" s="80" t="n">
        <f aca="false">Table9[[#This Row],[RLower(max) (kΩ)]]/(Table9[[#This Row],[RLower(max) (kΩ)]]+RT1_TH_S_MIN)*100</f>
        <v>31.8072230728173</v>
      </c>
      <c r="AM65" s="80" t="n">
        <f aca="false">IF(Table9[[#This Row],[Vmin (%)]]&lt;$BA$14, 0, IF(Table9[[#This Row],[Vmin (%)]]&lt;$BA$12, 4, IF(Table9[[#This Row],[Vmin (%)]]&lt;$BA$9, 3, IF(Table9[[#This Row],[Vmin (%)]]&lt;$BA$7, 2, 0))))</f>
        <v>0</v>
      </c>
      <c r="AN65" s="80" t="n">
        <f aca="false">IF(Table9[[#This Row],[Vmin (%)]]&lt;$BA$13, 0, IF(Table9[[#This Row],[Vmin (%)]]&lt;$BA$11, 4, IF(Table9[[#This Row],[Vmin (%)]]&lt;$BA$10, 3, IF(Table9[[#This Row],[Vmin (%)]]&lt;$BA$8, 2, 0))))</f>
        <v>0</v>
      </c>
      <c r="AO65" s="217" t="str">
        <f aca="false">IF(Table9[[#This Row],[Vmin (%)]]&lt;$BA$14, "Hot", IF(Table9[[#This Row],[Vmin (%)]]&lt;$BA$12, "Warm", IF(Table9[[#This Row],[Vmin (%)]]&lt;$BA$9, "Normal", IF(Table9[[#This Row],[Vmin (%)]]&lt;$BA$7, "Cool", "Cold"))))</f>
        <v>Hot</v>
      </c>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row>
    <row r="66" customFormat="false" ht="16.4" hidden="false" customHeight="false" outlineLevel="0" collapsed="false">
      <c r="A66" s="218" t="n">
        <f aca="false">A65-1</f>
        <v>64</v>
      </c>
      <c r="B66" s="191"/>
      <c r="C66" s="219" t="str">
        <f aca="false">_xlfn.CONCAT("RTH at ",A66, " °C")</f>
        <v>RTH at 64 °C</v>
      </c>
      <c r="D66" s="220" t="n">
        <f aca="false">$D$20-(ROW(D66)-ROW($D$20))*($D$20-$D$105)/(ROW($D$105)-ROW($D$20))</f>
        <v>2.14705882352941</v>
      </c>
      <c r="E66" s="221" t="n">
        <v>2.606</v>
      </c>
      <c r="F66" s="222" t="n">
        <v>2.668</v>
      </c>
      <c r="G66" s="223" t="n">
        <v>2.731</v>
      </c>
      <c r="H66" s="57" t="s">
        <v>18</v>
      </c>
      <c r="I66" s="24"/>
      <c r="J66" s="24" t="n">
        <v>2.731</v>
      </c>
      <c r="K66" s="24" t="n">
        <v>2.668</v>
      </c>
      <c r="L66" s="24" t="n">
        <v>2.606</v>
      </c>
      <c r="M66" s="24"/>
      <c r="N66" s="24"/>
      <c r="O66" s="24"/>
      <c r="P66" s="24"/>
      <c r="Q66" s="24"/>
      <c r="R66" s="24"/>
      <c r="S66" s="24"/>
      <c r="T66" s="24"/>
      <c r="U66" s="24"/>
      <c r="V66" s="24"/>
      <c r="W66" s="24"/>
      <c r="X66" s="24"/>
      <c r="Y66" s="25"/>
      <c r="Z66" s="6"/>
      <c r="AA66" s="7"/>
      <c r="AB66" s="7"/>
      <c r="AC66" s="80" t="n">
        <f aca="false">A66</f>
        <v>64</v>
      </c>
      <c r="AD66" s="80" t="n">
        <f aca="false">E66</f>
        <v>2.606</v>
      </c>
      <c r="AE66" s="80" t="n">
        <f aca="false">F66</f>
        <v>2.668</v>
      </c>
      <c r="AF66" s="80" t="n">
        <f aca="false">G66</f>
        <v>2.731</v>
      </c>
      <c r="AG66" s="80" t="n">
        <f aca="false">Table9[[#This Row],[RTH(min) (kΩ)]]*RT2_TH_MIN/(RT2_TH_MIN+Table9[[#This Row],[RTH(min) (kΩ)]])</f>
        <v>2.40070746128136</v>
      </c>
      <c r="AH66" s="80" t="n">
        <f aca="false">Table9[[#This Row],[RTH(nom) (kΩ)]]*RT2_TH_S/(RT2_TH_S+Table9[[#This Row],[RTH(nom) (kΩ)]])</f>
        <v>2.45342295982002</v>
      </c>
      <c r="AI66" s="80" t="n">
        <f aca="false">Table9[[#This Row],[RTH(max) (kΩ)]]*RT2_TH_S_MAX/(RT2_TH_S_MAX+Table9[[#This Row],[RTH(max) (kΩ)]])</f>
        <v>2.5068015635268</v>
      </c>
      <c r="AJ66" s="80" t="n">
        <f aca="false">Table9[[#This Row],[RLower(min) (kΩ)]]/(Table9[[#This Row],[RLower(min) (kΩ)]]+RT1_TH_S_MAX)*100</f>
        <v>31.4272674141921</v>
      </c>
      <c r="AK66" s="80" t="n">
        <f aca="false">Table9[[#This Row],[RLower(nom) (kΩ)]]/(Table9[[#This Row],[RLower(nom) (kΩ)]]+RT1_TH_S)*100</f>
        <v>31.9189536991275</v>
      </c>
      <c r="AL66" s="80" t="n">
        <f aca="false">Table9[[#This Row],[RLower(max) (kΩ)]]/(Table9[[#This Row],[RLower(max) (kΩ)]]+RT1_TH_S_MIN)*100</f>
        <v>32.4103976766208</v>
      </c>
      <c r="AM66" s="80" t="n">
        <f aca="false">IF(Table9[[#This Row],[Vmin (%)]]&lt;$BA$14, 0, IF(Table9[[#This Row],[Vmin (%)]]&lt;$BA$12, 4, IF(Table9[[#This Row],[Vmin (%)]]&lt;$BA$9, 3, IF(Table9[[#This Row],[Vmin (%)]]&lt;$BA$7, 2, 0))))</f>
        <v>0</v>
      </c>
      <c r="AN66" s="80" t="n">
        <f aca="false">IF(Table9[[#This Row],[Vmin (%)]]&lt;$BA$13, 0, IF(Table9[[#This Row],[Vmin (%)]]&lt;$BA$11, 4, IF(Table9[[#This Row],[Vmin (%)]]&lt;$BA$10, 3, IF(Table9[[#This Row],[Vmin (%)]]&lt;$BA$8, 2, 0))))</f>
        <v>0</v>
      </c>
      <c r="AO66" s="217" t="str">
        <f aca="false">IF(Table9[[#This Row],[Vmin (%)]]&lt;$BA$14, "Hot", IF(Table9[[#This Row],[Vmin (%)]]&lt;$BA$12, "Warm", IF(Table9[[#This Row],[Vmin (%)]]&lt;$BA$9, "Normal", IF(Table9[[#This Row],[Vmin (%)]]&lt;$BA$7, "Cool", "Cold"))))</f>
        <v>Hot</v>
      </c>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row>
    <row r="67" customFormat="false" ht="16.4" hidden="false" customHeight="false" outlineLevel="0" collapsed="false">
      <c r="A67" s="218" t="n">
        <f aca="false">A66-1</f>
        <v>63</v>
      </c>
      <c r="B67" s="191"/>
      <c r="C67" s="219" t="str">
        <f aca="false">_xlfn.CONCAT("RTH at ",A67, " °C")</f>
        <v>RTH at 63 °C</v>
      </c>
      <c r="D67" s="220" t="n">
        <f aca="false">$D$20-(ROW(D67)-ROW($D$20))*($D$20-$D$105)/(ROW($D$105)-ROW($D$20))</f>
        <v>2.11764705882353</v>
      </c>
      <c r="E67" s="221" t="n">
        <v>2.688</v>
      </c>
      <c r="F67" s="222" t="n">
        <v>2.751</v>
      </c>
      <c r="G67" s="223" t="n">
        <v>2.815</v>
      </c>
      <c r="H67" s="57" t="s">
        <v>18</v>
      </c>
      <c r="I67" s="24"/>
      <c r="J67" s="24" t="n">
        <v>2.815</v>
      </c>
      <c r="K67" s="24" t="n">
        <v>2.751</v>
      </c>
      <c r="L67" s="24" t="n">
        <v>2.688</v>
      </c>
      <c r="M67" s="24"/>
      <c r="N67" s="24"/>
      <c r="O67" s="24"/>
      <c r="P67" s="24"/>
      <c r="Q67" s="24"/>
      <c r="R67" s="24"/>
      <c r="S67" s="24"/>
      <c r="T67" s="24"/>
      <c r="U67" s="24"/>
      <c r="V67" s="24"/>
      <c r="W67" s="24"/>
      <c r="X67" s="24"/>
      <c r="Y67" s="25"/>
      <c r="Z67" s="6"/>
      <c r="AA67" s="7"/>
      <c r="AB67" s="7"/>
      <c r="AC67" s="80" t="n">
        <f aca="false">A67</f>
        <v>63</v>
      </c>
      <c r="AD67" s="80" t="n">
        <f aca="false">E67</f>
        <v>2.688</v>
      </c>
      <c r="AE67" s="80" t="n">
        <f aca="false">F67</f>
        <v>2.751</v>
      </c>
      <c r="AF67" s="80" t="n">
        <f aca="false">G67</f>
        <v>2.815</v>
      </c>
      <c r="AG67" s="80" t="n">
        <f aca="false">Table9[[#This Row],[RTH(min) (kΩ)]]*RT2_TH_MIN/(RT2_TH_MIN+Table9[[#This Row],[RTH(min) (kΩ)]])</f>
        <v>2.47012485837368</v>
      </c>
      <c r="AH67" s="80" t="n">
        <f aca="false">Table9[[#This Row],[RTH(nom) (kΩ)]]*RT2_TH_S/(RT2_TH_S+Table9[[#This Row],[RTH(nom) (kΩ)]])</f>
        <v>2.52343392075978</v>
      </c>
      <c r="AI67" s="80" t="n">
        <f aca="false">Table9[[#This Row],[RTH(max) (kΩ)]]*RT2_TH_S_MAX/(RT2_TH_S_MAX+Table9[[#This Row],[RTH(max) (kΩ)]])</f>
        <v>2.57739764088131</v>
      </c>
      <c r="AJ67" s="80" t="n">
        <f aca="false">Table9[[#This Row],[RLower(min) (kΩ)]]/(Table9[[#This Row],[RLower(min) (kΩ)]]+RT1_TH_S_MAX)*100</f>
        <v>32.044797913898</v>
      </c>
      <c r="AK67" s="80" t="n">
        <f aca="false">Table9[[#This Row],[RLower(nom) (kΩ)]]/(Table9[[#This Row],[RLower(nom) (kΩ)]]+RT1_TH_S)*100</f>
        <v>32.5334661106809</v>
      </c>
      <c r="AL67" s="80" t="n">
        <f aca="false">Table9[[#This Row],[RLower(max) (kΩ)]]/(Table9[[#This Row],[RLower(max) (kΩ)]]+RT1_TH_S_MIN)*100</f>
        <v>33.0217321481365</v>
      </c>
      <c r="AM67" s="80" t="n">
        <f aca="false">IF(Table9[[#This Row],[Vmin (%)]]&lt;$BA$14, 0, IF(Table9[[#This Row],[Vmin (%)]]&lt;$BA$12, 4, IF(Table9[[#This Row],[Vmin (%)]]&lt;$BA$9, 3, IF(Table9[[#This Row],[Vmin (%)]]&lt;$BA$7, 2, 0))))</f>
        <v>0</v>
      </c>
      <c r="AN67" s="80" t="n">
        <f aca="false">IF(Table9[[#This Row],[Vmin (%)]]&lt;$BA$13, 0, IF(Table9[[#This Row],[Vmin (%)]]&lt;$BA$11, 4, IF(Table9[[#This Row],[Vmin (%)]]&lt;$BA$10, 3, IF(Table9[[#This Row],[Vmin (%)]]&lt;$BA$8, 2, 0))))</f>
        <v>0</v>
      </c>
      <c r="AO67" s="217" t="str">
        <f aca="false">IF(Table9[[#This Row],[Vmin (%)]]&lt;$BA$14, "Hot", IF(Table9[[#This Row],[Vmin (%)]]&lt;$BA$12, "Warm", IF(Table9[[#This Row],[Vmin (%)]]&lt;$BA$9, "Normal", IF(Table9[[#This Row],[Vmin (%)]]&lt;$BA$7, "Cool", "Cold"))))</f>
        <v>Hot</v>
      </c>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row>
    <row r="68" customFormat="false" ht="16.4" hidden="false" customHeight="false" outlineLevel="0" collapsed="false">
      <c r="A68" s="218" t="n">
        <f aca="false">A67-1</f>
        <v>62</v>
      </c>
      <c r="B68" s="191"/>
      <c r="C68" s="219" t="str">
        <f aca="false">_xlfn.CONCAT("RTH at ",A68, " °C")</f>
        <v>RTH at 62 °C</v>
      </c>
      <c r="D68" s="220" t="n">
        <f aca="false">$D$20-(ROW(D68)-ROW($D$20))*($D$20-$D$105)/(ROW($D$105)-ROW($D$20))</f>
        <v>2.08823529411765</v>
      </c>
      <c r="E68" s="221" t="n">
        <v>2.774</v>
      </c>
      <c r="F68" s="222" t="n">
        <v>2.838</v>
      </c>
      <c r="G68" s="223" t="n">
        <v>2.902</v>
      </c>
      <c r="H68" s="57" t="s">
        <v>18</v>
      </c>
      <c r="I68" s="24"/>
      <c r="J68" s="24" t="n">
        <v>2.902</v>
      </c>
      <c r="K68" s="24" t="n">
        <v>2.838</v>
      </c>
      <c r="L68" s="24" t="n">
        <v>2.774</v>
      </c>
      <c r="M68" s="24"/>
      <c r="N68" s="24"/>
      <c r="O68" s="24"/>
      <c r="P68" s="24"/>
      <c r="Q68" s="24"/>
      <c r="R68" s="24"/>
      <c r="S68" s="24"/>
      <c r="T68" s="24"/>
      <c r="U68" s="24"/>
      <c r="V68" s="24"/>
      <c r="W68" s="24"/>
      <c r="X68" s="24"/>
      <c r="Y68" s="25"/>
      <c r="Z68" s="6"/>
      <c r="AA68" s="7"/>
      <c r="AB68" s="7"/>
      <c r="AC68" s="80" t="n">
        <f aca="false">A68</f>
        <v>62</v>
      </c>
      <c r="AD68" s="80" t="n">
        <f aca="false">E68</f>
        <v>2.774</v>
      </c>
      <c r="AE68" s="80" t="n">
        <f aca="false">F68</f>
        <v>2.838</v>
      </c>
      <c r="AF68" s="80" t="n">
        <f aca="false">G68</f>
        <v>2.902</v>
      </c>
      <c r="AG68" s="80" t="n">
        <f aca="false">Table9[[#This Row],[RTH(min) (kΩ)]]*RT2_TH_MIN/(RT2_TH_MIN+Table9[[#This Row],[RTH(min) (kΩ)]])</f>
        <v>2.54256060656327</v>
      </c>
      <c r="AH68" s="80" t="n">
        <f aca="false">Table9[[#This Row],[RTH(nom) (kΩ)]]*RT2_TH_S/(RT2_TH_S+Table9[[#This Row],[RTH(nom) (kΩ)]])</f>
        <v>2.59644475213399</v>
      </c>
      <c r="AI68" s="80" t="n">
        <f aca="false">Table9[[#This Row],[RTH(max) (kΩ)]]*RT2_TH_S_MAX/(RT2_TH_S_MAX+Table9[[#This Row],[RTH(max) (kΩ)]])</f>
        <v>2.65014108631513</v>
      </c>
      <c r="AJ68" s="80" t="n">
        <f aca="false">Table9[[#This Row],[RLower(min) (kΩ)]]/(Table9[[#This Row],[RLower(min) (kΩ)]]+RT1_TH_S_MAX)*100</f>
        <v>32.6774315193894</v>
      </c>
      <c r="AK68" s="80" t="n">
        <f aca="false">Table9[[#This Row],[RLower(nom) (kΩ)]]/(Table9[[#This Row],[RLower(nom) (kΩ)]]+RT1_TH_S)*100</f>
        <v>33.1626030999571</v>
      </c>
      <c r="AL68" s="80" t="n">
        <f aca="false">Table9[[#This Row],[RLower(max) (kΩ)]]/(Table9[[#This Row],[RLower(max) (kΩ)]]+RT1_TH_S_MIN)*100</f>
        <v>33.6402003238614</v>
      </c>
      <c r="AM68" s="80" t="n">
        <f aca="false">IF(Table9[[#This Row],[Vmin (%)]]&lt;$BA$14, 0, IF(Table9[[#This Row],[Vmin (%)]]&lt;$BA$12, 4, IF(Table9[[#This Row],[Vmin (%)]]&lt;$BA$9, 3, IF(Table9[[#This Row],[Vmin (%)]]&lt;$BA$7, 2, 0))))</f>
        <v>0</v>
      </c>
      <c r="AN68" s="80" t="n">
        <f aca="false">IF(Table9[[#This Row],[Vmin (%)]]&lt;$BA$13, 0, IF(Table9[[#This Row],[Vmin (%)]]&lt;$BA$11, 4, IF(Table9[[#This Row],[Vmin (%)]]&lt;$BA$10, 3, IF(Table9[[#This Row],[Vmin (%)]]&lt;$BA$8, 2, 0))))</f>
        <v>0</v>
      </c>
      <c r="AO68" s="217" t="str">
        <f aca="false">IF(Table9[[#This Row],[Vmin (%)]]&lt;$BA$14, "Hot", IF(Table9[[#This Row],[Vmin (%)]]&lt;$BA$12, "Warm", IF(Table9[[#This Row],[Vmin (%)]]&lt;$BA$9, "Normal", IF(Table9[[#This Row],[Vmin (%)]]&lt;$BA$7, "Cool", "Cold"))))</f>
        <v>Hot</v>
      </c>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row>
    <row r="69" customFormat="false" ht="16.4" hidden="false" customHeight="false" outlineLevel="0" collapsed="false">
      <c r="A69" s="218" t="n">
        <f aca="false">A68-1</f>
        <v>61</v>
      </c>
      <c r="B69" s="191"/>
      <c r="C69" s="219" t="str">
        <f aca="false">_xlfn.CONCAT("RTH at ",A69, " °C")</f>
        <v>RTH at 61 °C</v>
      </c>
      <c r="D69" s="220" t="n">
        <f aca="false">$D$20-(ROW(D69)-ROW($D$20))*($D$20-$D$105)/(ROW($D$105)-ROW($D$20))</f>
        <v>2.05882352941176</v>
      </c>
      <c r="E69" s="221" t="n">
        <v>2.862</v>
      </c>
      <c r="F69" s="222" t="n">
        <v>2.927</v>
      </c>
      <c r="G69" s="223" t="n">
        <v>2.993</v>
      </c>
      <c r="H69" s="57" t="s">
        <v>18</v>
      </c>
      <c r="I69" s="24"/>
      <c r="J69" s="24" t="n">
        <v>2.993</v>
      </c>
      <c r="K69" s="24" t="n">
        <v>2.927</v>
      </c>
      <c r="L69" s="24" t="n">
        <v>2.862</v>
      </c>
      <c r="M69" s="24"/>
      <c r="N69" s="24"/>
      <c r="O69" s="24"/>
      <c r="P69" s="24"/>
      <c r="Q69" s="24"/>
      <c r="R69" s="24"/>
      <c r="S69" s="24"/>
      <c r="T69" s="24"/>
      <c r="U69" s="24"/>
      <c r="V69" s="24"/>
      <c r="W69" s="24"/>
      <c r="X69" s="24"/>
      <c r="Y69" s="25"/>
      <c r="Z69" s="6"/>
      <c r="AA69" s="7"/>
      <c r="AB69" s="7"/>
      <c r="AC69" s="80" t="n">
        <f aca="false">A69</f>
        <v>61</v>
      </c>
      <c r="AD69" s="80" t="n">
        <f aca="false">E69</f>
        <v>2.862</v>
      </c>
      <c r="AE69" s="80" t="n">
        <f aca="false">F69</f>
        <v>2.927</v>
      </c>
      <c r="AF69" s="80" t="n">
        <f aca="false">G69</f>
        <v>2.993</v>
      </c>
      <c r="AG69" s="80" t="n">
        <f aca="false">Table9[[#This Row],[RTH(min) (kΩ)]]*RT2_TH_MIN/(RT2_TH_MIN+Table9[[#This Row],[RTH(min) (kΩ)]])</f>
        <v>2.61629403899602</v>
      </c>
      <c r="AH69" s="80" t="n">
        <f aca="false">Table9[[#This Row],[RTH(nom) (kΩ)]]*RT2_TH_S/(RT2_TH_S+Table9[[#This Row],[RTH(nom) (kΩ)]])</f>
        <v>2.67074080136919</v>
      </c>
      <c r="AI69" s="80" t="n">
        <f aca="false">Table9[[#This Row],[RTH(max) (kΩ)]]*RT2_TH_S_MAX/(RT2_TH_S_MAX+Table9[[#This Row],[RTH(max) (kΩ)]])</f>
        <v>2.72582511672692</v>
      </c>
      <c r="AJ69" s="80" t="n">
        <f aca="false">Table9[[#This Row],[RLower(min) (kΩ)]]/(Table9[[#This Row],[RLower(min) (kΩ)]]+RT1_TH_S_MAX)*100</f>
        <v>33.3094147858903</v>
      </c>
      <c r="AK69" s="80" t="n">
        <f aca="false">Table9[[#This Row],[RLower(nom) (kΩ)]]/(Table9[[#This Row],[RLower(nom) (kΩ)]]+RT1_TH_S)*100</f>
        <v>33.7908828244458</v>
      </c>
      <c r="AL69" s="80" t="n">
        <f aca="false">Table9[[#This Row],[RLower(max) (kΩ)]]/(Table9[[#This Row],[RLower(max) (kΩ)]]+RT1_TH_S_MIN)*100</f>
        <v>34.2716612547152</v>
      </c>
      <c r="AM69" s="80" t="n">
        <f aca="false">IF(Table9[[#This Row],[Vmin (%)]]&lt;$BA$14, 0, IF(Table9[[#This Row],[Vmin (%)]]&lt;$BA$12, 4, IF(Table9[[#This Row],[Vmin (%)]]&lt;$BA$9, 3, IF(Table9[[#This Row],[Vmin (%)]]&lt;$BA$7, 2, 0))))</f>
        <v>0</v>
      </c>
      <c r="AN69" s="80" t="n">
        <f aca="false">IF(Table9[[#This Row],[Vmin (%)]]&lt;$BA$13, 0, IF(Table9[[#This Row],[Vmin (%)]]&lt;$BA$11, 4, IF(Table9[[#This Row],[Vmin (%)]]&lt;$BA$10, 3, IF(Table9[[#This Row],[Vmin (%)]]&lt;$BA$8, 2, 0))))</f>
        <v>0</v>
      </c>
      <c r="AO69" s="217" t="str">
        <f aca="false">IF(Table9[[#This Row],[Vmin (%)]]&lt;$BA$14, "Hot", IF(Table9[[#This Row],[Vmin (%)]]&lt;$BA$12, "Warm", IF(Table9[[#This Row],[Vmin (%)]]&lt;$BA$9, "Normal", IF(Table9[[#This Row],[Vmin (%)]]&lt;$BA$7, "Cool", "Cold"))))</f>
        <v>Hot</v>
      </c>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row>
    <row r="70" customFormat="false" ht="16.4" hidden="false" customHeight="false" outlineLevel="0" collapsed="false">
      <c r="A70" s="218" t="n">
        <f aca="false">A69-1</f>
        <v>60</v>
      </c>
      <c r="B70" s="191"/>
      <c r="C70" s="219" t="str">
        <f aca="false">_xlfn.CONCAT("RTH at ",A70, " °C")</f>
        <v>RTH at 60 °C</v>
      </c>
      <c r="D70" s="220" t="n">
        <f aca="false">$D$20-(ROW(D70)-ROW($D$20))*($D$20-$D$105)/(ROW($D$105)-ROW($D$20))</f>
        <v>2.02941176470588</v>
      </c>
      <c r="E70" s="221" t="n">
        <v>2.954</v>
      </c>
      <c r="F70" s="222" t="n">
        <v>3.02</v>
      </c>
      <c r="G70" s="223" t="n">
        <v>3.087</v>
      </c>
      <c r="H70" s="57" t="s">
        <v>18</v>
      </c>
      <c r="I70" s="24"/>
      <c r="J70" s="24" t="n">
        <v>3.087</v>
      </c>
      <c r="K70" s="24" t="n">
        <v>3.02</v>
      </c>
      <c r="L70" s="24" t="n">
        <v>2.954</v>
      </c>
      <c r="M70" s="24"/>
      <c r="N70" s="24"/>
      <c r="O70" s="24"/>
      <c r="P70" s="24"/>
      <c r="Q70" s="24"/>
      <c r="R70" s="24"/>
      <c r="S70" s="24"/>
      <c r="T70" s="24"/>
      <c r="U70" s="24"/>
      <c r="V70" s="24"/>
      <c r="W70" s="24"/>
      <c r="X70" s="24"/>
      <c r="Y70" s="25"/>
      <c r="Z70" s="6"/>
      <c r="AA70" s="7"/>
      <c r="AB70" s="7"/>
      <c r="AC70" s="80" t="n">
        <f aca="false">A70</f>
        <v>60</v>
      </c>
      <c r="AD70" s="80" t="n">
        <f aca="false">E70</f>
        <v>2.954</v>
      </c>
      <c r="AE70" s="80" t="n">
        <f aca="false">F70</f>
        <v>3.02</v>
      </c>
      <c r="AF70" s="80" t="n">
        <f aca="false">G70</f>
        <v>3.087</v>
      </c>
      <c r="AG70" s="80" t="n">
        <f aca="false">Table9[[#This Row],[RTH(min) (kΩ)]]*RT2_TH_MIN/(RT2_TH_MIN+Table9[[#This Row],[RTH(min) (kΩ)]])</f>
        <v>2.69296392077645</v>
      </c>
      <c r="AH70" s="80" t="n">
        <f aca="false">Table9[[#This Row],[RTH(nom) (kΩ)]]*RT2_TH_S/(RT2_TH_S+Table9[[#This Row],[RTH(nom) (kΩ)]])</f>
        <v>2.74795453763478</v>
      </c>
      <c r="AI70" s="80" t="n">
        <f aca="false">Table9[[#This Row],[RTH(max) (kΩ)]]*RT2_TH_S_MAX/(RT2_TH_S_MAX+Table9[[#This Row],[RTH(max) (kΩ)]])</f>
        <v>2.80357406630761</v>
      </c>
      <c r="AJ70" s="80" t="n">
        <f aca="false">Table9[[#This Row],[RLower(min) (kΩ)]]/(Table9[[#This Row],[RLower(min) (kΩ)]]+RT1_TH_S_MAX)*100</f>
        <v>33.9541049945155</v>
      </c>
      <c r="AK70" s="80" t="n">
        <f aca="false">Table9[[#This Row],[RLower(nom) (kΩ)]]/(Table9[[#This Row],[RLower(nom) (kΩ)]]+RT1_TH_S)*100</f>
        <v>34.4314401611448</v>
      </c>
      <c r="AL70" s="80" t="n">
        <f aca="false">Table9[[#This Row],[RLower(max) (kΩ)]]/(Table9[[#This Row],[RLower(max) (kΩ)]]+RT1_TH_S_MIN)*100</f>
        <v>34.9079578433616</v>
      </c>
      <c r="AM70" s="80" t="n">
        <f aca="false">IF(Table9[[#This Row],[Vmin (%)]]&lt;$BA$14, 0, IF(Table9[[#This Row],[Vmin (%)]]&lt;$BA$12, 4, IF(Table9[[#This Row],[Vmin (%)]]&lt;$BA$9, 3, IF(Table9[[#This Row],[Vmin (%)]]&lt;$BA$7, 2, 0))))</f>
        <v>0</v>
      </c>
      <c r="AN70" s="80" t="n">
        <f aca="false">IF(Table9[[#This Row],[Vmin (%)]]&lt;$BA$13, 0, IF(Table9[[#This Row],[Vmin (%)]]&lt;$BA$11, 4, IF(Table9[[#This Row],[Vmin (%)]]&lt;$BA$10, 3, IF(Table9[[#This Row],[Vmin (%)]]&lt;$BA$8, 2, 0))))</f>
        <v>0</v>
      </c>
      <c r="AO70" s="217" t="str">
        <f aca="false">IF(Table9[[#This Row],[Vmin (%)]]&lt;$BA$14, "Hot", IF(Table9[[#This Row],[Vmin (%)]]&lt;$BA$12, "Warm", IF(Table9[[#This Row],[Vmin (%)]]&lt;$BA$9, "Normal", IF(Table9[[#This Row],[Vmin (%)]]&lt;$BA$7, "Cool", "Cold"))))</f>
        <v>Hot</v>
      </c>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row>
    <row r="71" customFormat="false" ht="16.4" hidden="false" customHeight="false" outlineLevel="0" collapsed="false">
      <c r="A71" s="218" t="n">
        <f aca="false">A70-1</f>
        <v>59</v>
      </c>
      <c r="B71" s="191"/>
      <c r="C71" s="219" t="str">
        <f aca="false">_xlfn.CONCAT("RTH at ",A71, " °C")</f>
        <v>RTH at 59 °C</v>
      </c>
      <c r="D71" s="220" t="n">
        <f aca="false">$D$20-(ROW(D71)-ROW($D$20))*($D$20-$D$105)/(ROW($D$105)-ROW($D$20))</f>
        <v>2</v>
      </c>
      <c r="E71" s="221" t="n">
        <v>3.048</v>
      </c>
      <c r="F71" s="222" t="n">
        <v>3.116</v>
      </c>
      <c r="G71" s="223" t="n">
        <v>3.184</v>
      </c>
      <c r="H71" s="57" t="s">
        <v>18</v>
      </c>
      <c r="I71" s="24"/>
      <c r="J71" s="24" t="n">
        <v>3.184</v>
      </c>
      <c r="K71" s="24" t="n">
        <v>3.116</v>
      </c>
      <c r="L71" s="24" t="n">
        <v>3.048</v>
      </c>
      <c r="M71" s="24"/>
      <c r="N71" s="24"/>
      <c r="O71" s="24"/>
      <c r="P71" s="24"/>
      <c r="Q71" s="24"/>
      <c r="R71" s="24"/>
      <c r="S71" s="24"/>
      <c r="T71" s="24"/>
      <c r="U71" s="24"/>
      <c r="V71" s="24"/>
      <c r="W71" s="24"/>
      <c r="X71" s="24"/>
      <c r="Y71" s="25"/>
      <c r="Z71" s="6"/>
      <c r="AA71" s="7"/>
      <c r="AB71" s="7"/>
      <c r="AC71" s="80" t="n">
        <f aca="false">A71</f>
        <v>59</v>
      </c>
      <c r="AD71" s="80" t="n">
        <f aca="false">E71</f>
        <v>3.048</v>
      </c>
      <c r="AE71" s="80" t="n">
        <f aca="false">F71</f>
        <v>3.116</v>
      </c>
      <c r="AF71" s="80" t="n">
        <f aca="false">G71</f>
        <v>3.184</v>
      </c>
      <c r="AG71" s="80" t="n">
        <f aca="false">Table9[[#This Row],[RTH(min) (kΩ)]]*RT2_TH_MIN/(RT2_TH_MIN+Table9[[#This Row],[RTH(min) (kΩ)]])</f>
        <v>2.77086589098304</v>
      </c>
      <c r="AH71" s="80" t="n">
        <f aca="false">Table9[[#This Row],[RTH(nom) (kΩ)]]*RT2_TH_S/(RT2_TH_S+Table9[[#This Row],[RTH(nom) (kΩ)]])</f>
        <v>2.82721098551582</v>
      </c>
      <c r="AI71" s="80" t="n">
        <f aca="false">Table9[[#This Row],[RTH(max) (kΩ)]]*RT2_TH_S_MAX/(RT2_TH_S_MAX+Table9[[#This Row],[RTH(max) (kΩ)]])</f>
        <v>2.8833499144179</v>
      </c>
      <c r="AJ71" s="80" t="n">
        <f aca="false">Table9[[#This Row],[RLower(min) (kΩ)]]/(Table9[[#This Row],[RLower(min) (kΩ)]]+RT1_TH_S_MAX)*100</f>
        <v>34.5965132239636</v>
      </c>
      <c r="AK71" s="80" t="n">
        <f aca="false">Table9[[#This Row],[RLower(nom) (kΩ)]]/(Table9[[#This Row],[RLower(nom) (kΩ)]]+RT1_TH_S)*100</f>
        <v>35.0761797173227</v>
      </c>
      <c r="AL71" s="80" t="n">
        <f aca="false">Table9[[#This Row],[RLower(max) (kΩ)]]/(Table9[[#This Row],[RLower(max) (kΩ)]]+RT1_TH_S_MIN)*100</f>
        <v>35.5481629575589</v>
      </c>
      <c r="AM71" s="80" t="n">
        <f aca="false">IF(Table9[[#This Row],[Vmin (%)]]&lt;$BA$14, 0, IF(Table9[[#This Row],[Vmin (%)]]&lt;$BA$12, 4, IF(Table9[[#This Row],[Vmin (%)]]&lt;$BA$9, 3, IF(Table9[[#This Row],[Vmin (%)]]&lt;$BA$7, 2, 0))))</f>
        <v>4</v>
      </c>
      <c r="AN71" s="80" t="n">
        <f aca="false">IF(Table9[[#This Row],[Vmin (%)]]&lt;$BA$13, 0, IF(Table9[[#This Row],[Vmin (%)]]&lt;$BA$11, 4, IF(Table9[[#This Row],[Vmin (%)]]&lt;$BA$10, 3, IF(Table9[[#This Row],[Vmin (%)]]&lt;$BA$8, 2, 0))))</f>
        <v>0</v>
      </c>
      <c r="AO71" s="217" t="str">
        <f aca="false">IF(Table9[[#This Row],[Vmin (%)]]&lt;$BA$14, "Hot", IF(Table9[[#This Row],[Vmin (%)]]&lt;$BA$12, "Warm", IF(Table9[[#This Row],[Vmin (%)]]&lt;$BA$9, "Normal", IF(Table9[[#This Row],[Vmin (%)]]&lt;$BA$7, "Cool", "Cold"))))</f>
        <v>Warm</v>
      </c>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row>
    <row r="72" customFormat="false" ht="16.4" hidden="false" customHeight="false" outlineLevel="0" collapsed="false">
      <c r="A72" s="218" t="n">
        <f aca="false">A71-1</f>
        <v>58</v>
      </c>
      <c r="B72" s="191"/>
      <c r="C72" s="219" t="str">
        <f aca="false">_xlfn.CONCAT("RTH at ",A72, " °C")</f>
        <v>RTH at 58 °C</v>
      </c>
      <c r="D72" s="220" t="n">
        <f aca="false">$D$20-(ROW(D72)-ROW($D$20))*($D$20-$D$105)/(ROW($D$105)-ROW($D$20))</f>
        <v>1.97058823529412</v>
      </c>
      <c r="E72" s="221" t="n">
        <v>3.146</v>
      </c>
      <c r="F72" s="222" t="n">
        <v>3.215</v>
      </c>
      <c r="G72" s="223" t="n">
        <v>3.284</v>
      </c>
      <c r="H72" s="57" t="s">
        <v>18</v>
      </c>
      <c r="I72" s="24"/>
      <c r="J72" s="24" t="n">
        <v>3.284</v>
      </c>
      <c r="K72" s="24" t="n">
        <v>3.215</v>
      </c>
      <c r="L72" s="24" t="n">
        <v>3.146</v>
      </c>
      <c r="M72" s="24"/>
      <c r="N72" s="24"/>
      <c r="O72" s="24"/>
      <c r="P72" s="24"/>
      <c r="Q72" s="24"/>
      <c r="R72" s="24"/>
      <c r="S72" s="24"/>
      <c r="T72" s="24"/>
      <c r="U72" s="24"/>
      <c r="V72" s="24"/>
      <c r="W72" s="24"/>
      <c r="X72" s="24"/>
      <c r="Y72" s="25"/>
      <c r="Z72" s="6"/>
      <c r="AA72" s="7"/>
      <c r="AB72" s="7"/>
      <c r="AC72" s="80" t="n">
        <f aca="false">A72</f>
        <v>58</v>
      </c>
      <c r="AD72" s="80" t="n">
        <f aca="false">E72</f>
        <v>3.146</v>
      </c>
      <c r="AE72" s="80" t="n">
        <f aca="false">F72</f>
        <v>3.215</v>
      </c>
      <c r="AF72" s="80" t="n">
        <f aca="false">G72</f>
        <v>3.284</v>
      </c>
      <c r="AG72" s="80" t="n">
        <f aca="false">Table9[[#This Row],[RTH(min) (kΩ)]]*RT2_TH_MIN/(RT2_TH_MIN+Table9[[#This Row],[RTH(min) (kΩ)]])</f>
        <v>2.85161902855789</v>
      </c>
      <c r="AH72" s="80" t="n">
        <f aca="false">Table9[[#This Row],[RTH(nom) (kΩ)]]*RT2_TH_S/(RT2_TH_S+Table9[[#This Row],[RTH(nom) (kΩ)]])</f>
        <v>2.90847154482813</v>
      </c>
      <c r="AI72" s="80" t="n">
        <f aca="false">Table9[[#This Row],[RTH(max) (kΩ)]]*RT2_TH_S_MAX/(RT2_TH_S_MAX+Table9[[#This Row],[RTH(max) (kΩ)]])</f>
        <v>2.96511399108584</v>
      </c>
      <c r="AJ72" s="80" t="n">
        <f aca="false">Table9[[#This Row],[RLower(min) (kΩ)]]/(Table9[[#This Row],[RLower(min) (kΩ)]]+RT1_TH_S_MAX)*100</f>
        <v>35.249373441002</v>
      </c>
      <c r="AK72" s="80" t="n">
        <f aca="false">Table9[[#This Row],[RLower(nom) (kΩ)]]/(Table9[[#This Row],[RLower(nom) (kΩ)]]+RT1_TH_S)*100</f>
        <v>35.7241893132247</v>
      </c>
      <c r="AL72" s="80" t="n">
        <f aca="false">Table9[[#This Row],[RLower(max) (kΩ)]]/(Table9[[#This Row],[RLower(max) (kΩ)]]+RT1_TH_S_MIN)*100</f>
        <v>36.1913860972507</v>
      </c>
      <c r="AM72" s="80" t="n">
        <f aca="false">IF(Table9[[#This Row],[Vmin (%)]]&lt;$BA$14, 0, IF(Table9[[#This Row],[Vmin (%)]]&lt;$BA$12, 4, IF(Table9[[#This Row],[Vmin (%)]]&lt;$BA$9, 3, IF(Table9[[#This Row],[Vmin (%)]]&lt;$BA$7, 2, 0))))</f>
        <v>4</v>
      </c>
      <c r="AN72" s="80" t="n">
        <f aca="false">IF(Table9[[#This Row],[Vmin (%)]]&lt;$BA$13, 0, IF(Table9[[#This Row],[Vmin (%)]]&lt;$BA$11, 4, IF(Table9[[#This Row],[Vmin (%)]]&lt;$BA$10, 3, IF(Table9[[#This Row],[Vmin (%)]]&lt;$BA$8, 2, 0))))</f>
        <v>0</v>
      </c>
      <c r="AO72" s="217" t="str">
        <f aca="false">IF(Table9[[#This Row],[Vmin (%)]]&lt;$BA$14, "Hot", IF(Table9[[#This Row],[Vmin (%)]]&lt;$BA$12, "Warm", IF(Table9[[#This Row],[Vmin (%)]]&lt;$BA$9, "Normal", IF(Table9[[#This Row],[Vmin (%)]]&lt;$BA$7, "Cool", "Cold"))))</f>
        <v>Warm</v>
      </c>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row>
    <row r="73" customFormat="false" ht="16.4" hidden="false" customHeight="false" outlineLevel="0" collapsed="false">
      <c r="A73" s="218" t="n">
        <f aca="false">A72-1</f>
        <v>57</v>
      </c>
      <c r="B73" s="191"/>
      <c r="C73" s="219" t="str">
        <f aca="false">_xlfn.CONCAT("RTH at ",A73, " °C")</f>
        <v>RTH at 57 °C</v>
      </c>
      <c r="D73" s="220" t="n">
        <f aca="false">$D$20-(ROW(D73)-ROW($D$20))*($D$20-$D$105)/(ROW($D$105)-ROW($D$20))</f>
        <v>1.94117647058824</v>
      </c>
      <c r="E73" s="221" t="n">
        <v>3.248</v>
      </c>
      <c r="F73" s="222" t="n">
        <v>3.318</v>
      </c>
      <c r="G73" s="223" t="n">
        <v>3.388</v>
      </c>
      <c r="H73" s="57" t="s">
        <v>18</v>
      </c>
      <c r="I73" s="24"/>
      <c r="J73" s="24" t="n">
        <v>3.388</v>
      </c>
      <c r="K73" s="24" t="n">
        <v>3.318</v>
      </c>
      <c r="L73" s="24" t="n">
        <v>3.248</v>
      </c>
      <c r="M73" s="24"/>
      <c r="N73" s="24"/>
      <c r="O73" s="24"/>
      <c r="P73" s="24"/>
      <c r="Q73" s="24"/>
      <c r="R73" s="24"/>
      <c r="S73" s="24"/>
      <c r="T73" s="24"/>
      <c r="U73" s="24"/>
      <c r="V73" s="24"/>
      <c r="W73" s="24"/>
      <c r="X73" s="24"/>
      <c r="Y73" s="25"/>
      <c r="Z73" s="6"/>
      <c r="AA73" s="7"/>
      <c r="AB73" s="7"/>
      <c r="AC73" s="80" t="n">
        <f aca="false">A73</f>
        <v>57</v>
      </c>
      <c r="AD73" s="80" t="n">
        <f aca="false">E73</f>
        <v>3.248</v>
      </c>
      <c r="AE73" s="80" t="n">
        <f aca="false">F73</f>
        <v>3.318</v>
      </c>
      <c r="AF73" s="80" t="n">
        <f aca="false">G73</f>
        <v>3.388</v>
      </c>
      <c r="AG73" s="80" t="n">
        <f aca="false">Table9[[#This Row],[RTH(min) (kΩ)]]*RT2_TH_MIN/(RT2_TH_MIN+Table9[[#This Row],[RTH(min) (kΩ)]])</f>
        <v>2.93516974120525</v>
      </c>
      <c r="AH73" s="80" t="n">
        <f aca="false">Table9[[#This Row],[RTH(nom) (kΩ)]]*RT2_TH_S/(RT2_TH_S+Table9[[#This Row],[RTH(nom) (kΩ)]])</f>
        <v>2.99251044496071</v>
      </c>
      <c r="AI73" s="80" t="n">
        <f aca="false">Table9[[#This Row],[RTH(max) (kΩ)]]*RT2_TH_S_MAX/(RT2_TH_S_MAX+Table9[[#This Row],[RTH(max) (kΩ)]])</f>
        <v>3.04963727670939</v>
      </c>
      <c r="AJ73" s="80" t="n">
        <f aca="false">Table9[[#This Row],[RLower(min) (kΩ)]]/(Table9[[#This Row],[RLower(min) (kΩ)]]+RT1_TH_S_MAX)*100</f>
        <v>35.9112724114109</v>
      </c>
      <c r="AK73" s="80" t="n">
        <f aca="false">Table9[[#This Row],[RLower(nom) (kΩ)]]/(Table9[[#This Row],[RLower(nom) (kΩ)]]+RT1_TH_S)*100</f>
        <v>36.3808870689758</v>
      </c>
      <c r="AL73" s="80" t="n">
        <f aca="false">Table9[[#This Row],[RLower(max) (kΩ)]]/(Table9[[#This Row],[RLower(max) (kΩ)]]+RT1_TH_S_MIN)*100</f>
        <v>36.8429574450503</v>
      </c>
      <c r="AM73" s="80" t="n">
        <f aca="false">IF(Table9[[#This Row],[Vmin (%)]]&lt;$BA$14, 0, IF(Table9[[#This Row],[Vmin (%)]]&lt;$BA$12, 4, IF(Table9[[#This Row],[Vmin (%)]]&lt;$BA$9, 3, IF(Table9[[#This Row],[Vmin (%)]]&lt;$BA$7, 2, 0))))</f>
        <v>4</v>
      </c>
      <c r="AN73" s="80" t="n">
        <f aca="false">IF(Table9[[#This Row],[Vmin (%)]]&lt;$BA$13, 0, IF(Table9[[#This Row],[Vmin (%)]]&lt;$BA$11, 4, IF(Table9[[#This Row],[Vmin (%)]]&lt;$BA$10, 3, IF(Table9[[#This Row],[Vmin (%)]]&lt;$BA$8, 2, 0))))</f>
        <v>4</v>
      </c>
      <c r="AO73" s="217" t="str">
        <f aca="false">IF(Table9[[#This Row],[Vmin (%)]]&lt;$BA$14, "Hot", IF(Table9[[#This Row],[Vmin (%)]]&lt;$BA$12, "Warm", IF(Table9[[#This Row],[Vmin (%)]]&lt;$BA$9, "Normal", IF(Table9[[#This Row],[Vmin (%)]]&lt;$BA$7, "Cool", "Cold"))))</f>
        <v>Warm</v>
      </c>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row>
    <row r="74" customFormat="false" ht="16.4" hidden="false" customHeight="false" outlineLevel="0" collapsed="false">
      <c r="A74" s="218" t="n">
        <f aca="false">A73-1</f>
        <v>56</v>
      </c>
      <c r="B74" s="191"/>
      <c r="C74" s="219" t="str">
        <f aca="false">_xlfn.CONCAT("RTH at ",A74, " °C")</f>
        <v>RTH at 56 °C</v>
      </c>
      <c r="D74" s="220" t="n">
        <f aca="false">$D$20-(ROW(D74)-ROW($D$20))*($D$20-$D$105)/(ROW($D$105)-ROW($D$20))</f>
        <v>1.91176470588235</v>
      </c>
      <c r="E74" s="221" t="n">
        <v>3.354</v>
      </c>
      <c r="F74" s="222" t="n">
        <v>3.425</v>
      </c>
      <c r="G74" s="223" t="n">
        <v>3.496</v>
      </c>
      <c r="H74" s="57" t="s">
        <v>18</v>
      </c>
      <c r="I74" s="24"/>
      <c r="J74" s="24" t="n">
        <v>3.496</v>
      </c>
      <c r="K74" s="24" t="n">
        <v>3.425</v>
      </c>
      <c r="L74" s="24" t="n">
        <v>3.354</v>
      </c>
      <c r="M74" s="24"/>
      <c r="N74" s="24"/>
      <c r="O74" s="24"/>
      <c r="P74" s="24"/>
      <c r="Q74" s="24"/>
      <c r="R74" s="24"/>
      <c r="S74" s="24"/>
      <c r="T74" s="24"/>
      <c r="U74" s="24"/>
      <c r="V74" s="24"/>
      <c r="W74" s="24"/>
      <c r="X74" s="24"/>
      <c r="Y74" s="25"/>
      <c r="Z74" s="6"/>
      <c r="AA74" s="7"/>
      <c r="AB74" s="7"/>
      <c r="AC74" s="80" t="n">
        <f aca="false">A74</f>
        <v>56</v>
      </c>
      <c r="AD74" s="80" t="n">
        <f aca="false">E74</f>
        <v>3.354</v>
      </c>
      <c r="AE74" s="80" t="n">
        <f aca="false">F74</f>
        <v>3.425</v>
      </c>
      <c r="AF74" s="80" t="n">
        <f aca="false">G74</f>
        <v>3.496</v>
      </c>
      <c r="AG74" s="80" t="n">
        <f aca="false">Table9[[#This Row],[RTH(min) (kΩ)]]*RT2_TH_MIN/(RT2_TH_MIN+Table9[[#This Row],[RTH(min) (kΩ)]])</f>
        <v>3.02146308556405</v>
      </c>
      <c r="AH74" s="80" t="n">
        <f aca="false">Table9[[#This Row],[RTH(nom) (kΩ)]]*RT2_TH_S/(RT2_TH_S+Table9[[#This Row],[RTH(nom) (kΩ)]])</f>
        <v>3.07927266207715</v>
      </c>
      <c r="AI74" s="80" t="n">
        <f aca="false">Table9[[#This Row],[RTH(max) (kΩ)]]*RT2_TH_S_MAX/(RT2_TH_S_MAX+Table9[[#This Row],[RTH(max) (kΩ)]])</f>
        <v>3.13686467124995</v>
      </c>
      <c r="AJ74" s="80" t="n">
        <f aca="false">Table9[[#This Row],[RLower(min) (kΩ)]]/(Table9[[#This Row],[RLower(min) (kΩ)]]+RT1_TH_S_MAX)*100</f>
        <v>36.5808414265144</v>
      </c>
      <c r="AK74" s="80" t="n">
        <f aca="false">Table9[[#This Row],[RLower(nom) (kΩ)]]/(Table9[[#This Row],[RLower(nom) (kΩ)]]+RT1_TH_S)*100</f>
        <v>37.0449342426197</v>
      </c>
      <c r="AL74" s="80" t="n">
        <f aca="false">Table9[[#This Row],[RLower(max) (kΩ)]]/(Table9[[#This Row],[RLower(max) (kΩ)]]+RT1_TH_S_MIN)*100</f>
        <v>37.5015674485076</v>
      </c>
      <c r="AM74" s="80" t="n">
        <f aca="false">IF(Table9[[#This Row],[Vmin (%)]]&lt;$BA$14, 0, IF(Table9[[#This Row],[Vmin (%)]]&lt;$BA$12, 4, IF(Table9[[#This Row],[Vmin (%)]]&lt;$BA$9, 3, IF(Table9[[#This Row],[Vmin (%)]]&lt;$BA$7, 2, 0))))</f>
        <v>4</v>
      </c>
      <c r="AN74" s="80" t="n">
        <f aca="false">IF(Table9[[#This Row],[Vmin (%)]]&lt;$BA$13, 0, IF(Table9[[#This Row],[Vmin (%)]]&lt;$BA$11, 4, IF(Table9[[#This Row],[Vmin (%)]]&lt;$BA$10, 3, IF(Table9[[#This Row],[Vmin (%)]]&lt;$BA$8, 2, 0))))</f>
        <v>4</v>
      </c>
      <c r="AO74" s="217" t="str">
        <f aca="false">IF(Table9[[#This Row],[Vmin (%)]]&lt;$BA$14, "Hot", IF(Table9[[#This Row],[Vmin (%)]]&lt;$BA$12, "Warm", IF(Table9[[#This Row],[Vmin (%)]]&lt;$BA$9, "Normal", IF(Table9[[#This Row],[Vmin (%)]]&lt;$BA$7, "Cool", "Cold"))))</f>
        <v>Warm</v>
      </c>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row>
    <row r="75" customFormat="false" ht="16.4" hidden="false" customHeight="false" outlineLevel="0" collapsed="false">
      <c r="A75" s="218" t="n">
        <f aca="false">A74-1</f>
        <v>55</v>
      </c>
      <c r="B75" s="191"/>
      <c r="C75" s="219" t="str">
        <f aca="false">_xlfn.CONCAT("RTH at ",A75, " °C")</f>
        <v>RTH at 55 °C</v>
      </c>
      <c r="D75" s="220" t="n">
        <f aca="false">$D$20-(ROW(D75)-ROW($D$20))*($D$20-$D$105)/(ROW($D$105)-ROW($D$20))</f>
        <v>1.88235294117647</v>
      </c>
      <c r="E75" s="221" t="n">
        <v>3.464</v>
      </c>
      <c r="F75" s="222" t="n">
        <v>3.536</v>
      </c>
      <c r="G75" s="223" t="n">
        <v>3.609</v>
      </c>
      <c r="H75" s="57" t="s">
        <v>18</v>
      </c>
      <c r="I75" s="24"/>
      <c r="J75" s="24" t="n">
        <v>3.609</v>
      </c>
      <c r="K75" s="24" t="n">
        <v>3.536</v>
      </c>
      <c r="L75" s="24" t="n">
        <v>3.464</v>
      </c>
      <c r="M75" s="24"/>
      <c r="N75" s="24"/>
      <c r="O75" s="24"/>
      <c r="P75" s="24"/>
      <c r="Q75" s="24"/>
      <c r="R75" s="24"/>
      <c r="S75" s="24"/>
      <c r="T75" s="24"/>
      <c r="U75" s="24"/>
      <c r="V75" s="24"/>
      <c r="W75" s="24"/>
      <c r="X75" s="24"/>
      <c r="Y75" s="25"/>
      <c r="Z75" s="6"/>
      <c r="AA75" s="7"/>
      <c r="AB75" s="7"/>
      <c r="AC75" s="80" t="n">
        <f aca="false">A75</f>
        <v>55</v>
      </c>
      <c r="AD75" s="80" t="n">
        <f aca="false">E75</f>
        <v>3.464</v>
      </c>
      <c r="AE75" s="80" t="n">
        <f aca="false">F75</f>
        <v>3.536</v>
      </c>
      <c r="AF75" s="80" t="n">
        <f aca="false">G75</f>
        <v>3.609</v>
      </c>
      <c r="AG75" s="80" t="n">
        <f aca="false">Table9[[#This Row],[RTH(min) (kΩ)]]*RT2_TH_MIN/(RT2_TH_MIN+Table9[[#This Row],[RTH(min) (kΩ)]])</f>
        <v>3.11044285226627</v>
      </c>
      <c r="AH75" s="80" t="n">
        <f aca="false">Table9[[#This Row],[RTH(nom) (kΩ)]]*RT2_TH_S/(RT2_TH_S+Table9[[#This Row],[RTH(nom) (kΩ)]])</f>
        <v>3.16870193121272</v>
      </c>
      <c r="AI75" s="80" t="n">
        <f aca="false">Table9[[#This Row],[RTH(max) (kΩ)]]*RT2_TH_S_MAX/(RT2_TH_S_MAX+Table9[[#This Row],[RTH(max) (kΩ)]])</f>
        <v>3.22753965950591</v>
      </c>
      <c r="AJ75" s="80" t="n">
        <f aca="false">Table9[[#This Row],[RLower(min) (kΩ)]]/(Table9[[#This Row],[RLower(min) (kΩ)]]+RT1_TH_S_MAX)*100</f>
        <v>37.2567603415849</v>
      </c>
      <c r="AK75" s="80" t="n">
        <f aca="false">Table9[[#This Row],[RLower(nom) (kΩ)]]/(Table9[[#This Row],[RLower(nom) (kΩ)]]+RT1_TH_S)*100</f>
        <v>37.7150403113343</v>
      </c>
      <c r="AL75" s="80" t="n">
        <f aca="false">Table9[[#This Row],[RLower(max) (kΩ)]]/(Table9[[#This Row],[RLower(max) (kΩ)]]+RT1_TH_S_MIN)*100</f>
        <v>38.171803407252</v>
      </c>
      <c r="AM75" s="80" t="n">
        <f aca="false">IF(Table9[[#This Row],[Vmin (%)]]&lt;$BA$14, 0, IF(Table9[[#This Row],[Vmin (%)]]&lt;$BA$12, 4, IF(Table9[[#This Row],[Vmin (%)]]&lt;$BA$9, 3, IF(Table9[[#This Row],[Vmin (%)]]&lt;$BA$7, 2, 0))))</f>
        <v>4</v>
      </c>
      <c r="AN75" s="80" t="n">
        <f aca="false">IF(Table9[[#This Row],[Vmin (%)]]&lt;$BA$13, 0, IF(Table9[[#This Row],[Vmin (%)]]&lt;$BA$11, 4, IF(Table9[[#This Row],[Vmin (%)]]&lt;$BA$10, 3, IF(Table9[[#This Row],[Vmin (%)]]&lt;$BA$8, 2, 0))))</f>
        <v>4</v>
      </c>
      <c r="AO75" s="217" t="str">
        <f aca="false">IF(Table9[[#This Row],[Vmin (%)]]&lt;$BA$14, "Hot", IF(Table9[[#This Row],[Vmin (%)]]&lt;$BA$12, "Warm", IF(Table9[[#This Row],[Vmin (%)]]&lt;$BA$9, "Normal", IF(Table9[[#This Row],[Vmin (%)]]&lt;$BA$7, "Cool", "Cold"))))</f>
        <v>Warm</v>
      </c>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row>
    <row r="76" customFormat="false" ht="16.4" hidden="false" customHeight="false" outlineLevel="0" collapsed="false">
      <c r="A76" s="218" t="n">
        <f aca="false">A75-1</f>
        <v>54</v>
      </c>
      <c r="B76" s="191"/>
      <c r="C76" s="219" t="str">
        <f aca="false">_xlfn.CONCAT("RTH at ",A76, " °C")</f>
        <v>RTH at 54 °C</v>
      </c>
      <c r="D76" s="220" t="n">
        <f aca="false">$D$20-(ROW(D76)-ROW($D$20))*($D$20-$D$105)/(ROW($D$105)-ROW($D$20))</f>
        <v>1.85294117647059</v>
      </c>
      <c r="E76" s="221" t="n">
        <v>3.578</v>
      </c>
      <c r="F76" s="222" t="n">
        <v>3.651</v>
      </c>
      <c r="G76" s="223" t="n">
        <v>3.725</v>
      </c>
      <c r="H76" s="57" t="s">
        <v>18</v>
      </c>
      <c r="I76" s="24"/>
      <c r="J76" s="24" t="n">
        <v>3.725</v>
      </c>
      <c r="K76" s="24" t="n">
        <v>3.651</v>
      </c>
      <c r="L76" s="24" t="n">
        <v>3.578</v>
      </c>
      <c r="M76" s="24"/>
      <c r="N76" s="24"/>
      <c r="O76" s="24"/>
      <c r="P76" s="24"/>
      <c r="Q76" s="24"/>
      <c r="R76" s="24"/>
      <c r="S76" s="24"/>
      <c r="T76" s="24"/>
      <c r="U76" s="24"/>
      <c r="V76" s="24"/>
      <c r="W76" s="24"/>
      <c r="X76" s="24"/>
      <c r="Y76" s="25"/>
      <c r="Z76" s="6"/>
      <c r="AA76" s="7"/>
      <c r="AB76" s="7"/>
      <c r="AC76" s="80" t="n">
        <f aca="false">A76</f>
        <v>54</v>
      </c>
      <c r="AD76" s="80" t="n">
        <f aca="false">E76</f>
        <v>3.578</v>
      </c>
      <c r="AE76" s="80" t="n">
        <f aca="false">F76</f>
        <v>3.651</v>
      </c>
      <c r="AF76" s="80" t="n">
        <f aca="false">G76</f>
        <v>3.725</v>
      </c>
      <c r="AG76" s="80" t="n">
        <f aca="false">Table9[[#This Row],[RTH(min) (kΩ)]]*RT2_TH_MIN/(RT2_TH_MIN+Table9[[#This Row],[RTH(min) (kΩ)]])</f>
        <v>3.20205165166738</v>
      </c>
      <c r="AH76" s="80" t="n">
        <f aca="false">Table9[[#This Row],[RTH(nom) (kΩ)]]*RT2_TH_S/(RT2_TH_S+Table9[[#This Row],[RTH(nom) (kΩ)]])</f>
        <v>3.2607408316057</v>
      </c>
      <c r="AI76" s="80" t="n">
        <f aca="false">Table9[[#This Row],[RTH(max) (kΩ)]]*RT2_TH_S_MAX/(RT2_TH_S_MAX+Table9[[#This Row],[RTH(max) (kΩ)]])</f>
        <v>3.31999978382097</v>
      </c>
      <c r="AJ76" s="80" t="n">
        <f aca="false">Table9[[#This Row],[RLower(min) (kΩ)]]/(Table9[[#This Row],[RLower(min) (kΩ)]]+RT1_TH_S_MAX)*100</f>
        <v>37.9377609390661</v>
      </c>
      <c r="AK76" s="80" t="n">
        <f aca="false">Table9[[#This Row],[RLower(nom) (kΩ)]]/(Table9[[#This Row],[RLower(nom) (kΩ)]]+RT1_TH_S)*100</f>
        <v>38.38996615257</v>
      </c>
      <c r="AL76" s="80" t="n">
        <f aca="false">Table9[[#This Row],[RLower(max) (kΩ)]]/(Table9[[#This Row],[RLower(max) (kΩ)]]+RT1_TH_S_MIN)*100</f>
        <v>38.8405919695406</v>
      </c>
      <c r="AM76" s="80" t="n">
        <f aca="false">IF(Table9[[#This Row],[Vmin (%)]]&lt;$BA$14, 0, IF(Table9[[#This Row],[Vmin (%)]]&lt;$BA$12, 4, IF(Table9[[#This Row],[Vmin (%)]]&lt;$BA$9, 3, IF(Table9[[#This Row],[Vmin (%)]]&lt;$BA$7, 2, 0))))</f>
        <v>4</v>
      </c>
      <c r="AN76" s="80" t="n">
        <f aca="false">IF(Table9[[#This Row],[Vmin (%)]]&lt;$BA$13, 0, IF(Table9[[#This Row],[Vmin (%)]]&lt;$BA$11, 4, IF(Table9[[#This Row],[Vmin (%)]]&lt;$BA$10, 3, IF(Table9[[#This Row],[Vmin (%)]]&lt;$BA$8, 2, 0))))</f>
        <v>4</v>
      </c>
      <c r="AO76" s="217" t="str">
        <f aca="false">IF(Table9[[#This Row],[Vmin (%)]]&lt;$BA$14, "Hot", IF(Table9[[#This Row],[Vmin (%)]]&lt;$BA$12, "Warm", IF(Table9[[#This Row],[Vmin (%)]]&lt;$BA$9, "Normal", IF(Table9[[#This Row],[Vmin (%)]]&lt;$BA$7, "Cool", "Cold"))))</f>
        <v>Warm</v>
      </c>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row>
    <row r="77" customFormat="false" ht="16.4" hidden="false" customHeight="false" outlineLevel="0" collapsed="false">
      <c r="A77" s="218" t="n">
        <f aca="false">A76-1</f>
        <v>53</v>
      </c>
      <c r="B77" s="191"/>
      <c r="C77" s="219" t="str">
        <f aca="false">_xlfn.CONCAT("RTH at ",A77, " °C")</f>
        <v>RTH at 53 °C</v>
      </c>
      <c r="D77" s="220" t="n">
        <f aca="false">$D$20-(ROW(D77)-ROW($D$20))*($D$20-$D$105)/(ROW($D$105)-ROW($D$20))</f>
        <v>1.82352941176471</v>
      </c>
      <c r="E77" s="221" t="n">
        <v>3.697</v>
      </c>
      <c r="F77" s="222" t="n">
        <v>3.771</v>
      </c>
      <c r="G77" s="223" t="n">
        <v>3.846</v>
      </c>
      <c r="H77" s="57" t="s">
        <v>18</v>
      </c>
      <c r="I77" s="24"/>
      <c r="J77" s="24" t="n">
        <v>3.846</v>
      </c>
      <c r="K77" s="24" t="n">
        <v>3.771</v>
      </c>
      <c r="L77" s="24" t="n">
        <v>3.697</v>
      </c>
      <c r="M77" s="24"/>
      <c r="N77" s="24"/>
      <c r="O77" s="24"/>
      <c r="P77" s="24"/>
      <c r="Q77" s="24"/>
      <c r="R77" s="24"/>
      <c r="S77" s="24"/>
      <c r="T77" s="24"/>
      <c r="U77" s="24"/>
      <c r="V77" s="24"/>
      <c r="W77" s="24"/>
      <c r="X77" s="24"/>
      <c r="Y77" s="25"/>
      <c r="Z77" s="6"/>
      <c r="AA77" s="7"/>
      <c r="AB77" s="7"/>
      <c r="AC77" s="80" t="n">
        <f aca="false">A77</f>
        <v>53</v>
      </c>
      <c r="AD77" s="80" t="n">
        <f aca="false">E77</f>
        <v>3.697</v>
      </c>
      <c r="AE77" s="80" t="n">
        <f aca="false">F77</f>
        <v>3.771</v>
      </c>
      <c r="AF77" s="80" t="n">
        <f aca="false">G77</f>
        <v>3.846</v>
      </c>
      <c r="AG77" s="80" t="n">
        <f aca="false">Table9[[#This Row],[RTH(min) (kΩ)]]*RT2_TH_MIN/(RT2_TH_MIN+Table9[[#This Row],[RTH(min) (kΩ)]])</f>
        <v>3.29702635068103</v>
      </c>
      <c r="AH77" s="80" t="n">
        <f aca="false">Table9[[#This Row],[RTH(nom) (kΩ)]]*RT2_TH_S/(RT2_TH_S+Table9[[#This Row],[RTH(nom) (kΩ)]])</f>
        <v>3.35612296389057</v>
      </c>
      <c r="AI77" s="80" t="n">
        <f aca="false">Table9[[#This Row],[RTH(max) (kΩ)]]*RT2_TH_S_MAX/(RT2_TH_S_MAX+Table9[[#This Row],[RTH(max) (kΩ)]])</f>
        <v>3.41578044182106</v>
      </c>
      <c r="AJ77" s="80" t="n">
        <f aca="false">Table9[[#This Row],[RLower(min) (kΩ)]]/(Table9[[#This Row],[RLower(min) (kΩ)]]+RT1_TH_S_MAX)*100</f>
        <v>38.6283490457384</v>
      </c>
      <c r="AK77" s="80" t="n">
        <f aca="false">Table9[[#This Row],[RLower(nom) (kΩ)]]/(Table9[[#This Row],[RLower(nom) (kΩ)]]+RT1_TH_S)*100</f>
        <v>39.0741457225196</v>
      </c>
      <c r="AL77" s="80" t="n">
        <f aca="false">Table9[[#This Row],[RLower(max) (kΩ)]]/(Table9[[#This Row],[RLower(max) (kΩ)]]+RT1_TH_S_MIN)*100</f>
        <v>39.51831073923</v>
      </c>
      <c r="AM77" s="80" t="n">
        <f aca="false">IF(Table9[[#This Row],[Vmin (%)]]&lt;$BA$14, 0, IF(Table9[[#This Row],[Vmin (%)]]&lt;$BA$12, 4, IF(Table9[[#This Row],[Vmin (%)]]&lt;$BA$9, 3, IF(Table9[[#This Row],[Vmin (%)]]&lt;$BA$7, 2, 0))))</f>
        <v>4</v>
      </c>
      <c r="AN77" s="80" t="n">
        <f aca="false">IF(Table9[[#This Row],[Vmin (%)]]&lt;$BA$13, 0, IF(Table9[[#This Row],[Vmin (%)]]&lt;$BA$11, 4, IF(Table9[[#This Row],[Vmin (%)]]&lt;$BA$10, 3, IF(Table9[[#This Row],[Vmin (%)]]&lt;$BA$8, 2, 0))))</f>
        <v>4</v>
      </c>
      <c r="AO77" s="217" t="str">
        <f aca="false">IF(Table9[[#This Row],[Vmin (%)]]&lt;$BA$14, "Hot", IF(Table9[[#This Row],[Vmin (%)]]&lt;$BA$12, "Warm", IF(Table9[[#This Row],[Vmin (%)]]&lt;$BA$9, "Normal", IF(Table9[[#This Row],[Vmin (%)]]&lt;$BA$7, "Cool", "Cold"))))</f>
        <v>Warm</v>
      </c>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row>
    <row r="78" customFormat="false" ht="16.4" hidden="false" customHeight="false" outlineLevel="0" collapsed="false">
      <c r="A78" s="218" t="n">
        <f aca="false">A77-1</f>
        <v>52</v>
      </c>
      <c r="B78" s="191"/>
      <c r="C78" s="219" t="str">
        <f aca="false">_xlfn.CONCAT("RTH at ",A78, " °C")</f>
        <v>RTH at 52 °C</v>
      </c>
      <c r="D78" s="220" t="n">
        <f aca="false">$D$20-(ROW(D78)-ROW($D$20))*($D$20-$D$105)/(ROW($D$105)-ROW($D$20))</f>
        <v>1.79411764705882</v>
      </c>
      <c r="E78" s="221" t="n">
        <v>3.82</v>
      </c>
      <c r="F78" s="222" t="n">
        <v>3.896</v>
      </c>
      <c r="G78" s="223" t="n">
        <v>3.972</v>
      </c>
      <c r="H78" s="57" t="s">
        <v>18</v>
      </c>
      <c r="I78" s="24"/>
      <c r="J78" s="24" t="n">
        <v>3.972</v>
      </c>
      <c r="K78" s="24" t="n">
        <v>3.896</v>
      </c>
      <c r="L78" s="24" t="n">
        <v>3.82</v>
      </c>
      <c r="M78" s="24"/>
      <c r="N78" s="24"/>
      <c r="O78" s="24"/>
      <c r="P78" s="24"/>
      <c r="Q78" s="24"/>
      <c r="R78" s="24"/>
      <c r="S78" s="24"/>
      <c r="T78" s="24"/>
      <c r="U78" s="24"/>
      <c r="V78" s="24"/>
      <c r="W78" s="24"/>
      <c r="X78" s="24"/>
      <c r="Y78" s="25"/>
      <c r="Z78" s="6"/>
      <c r="AA78" s="7"/>
      <c r="AB78" s="7"/>
      <c r="AC78" s="80" t="n">
        <f aca="false">A78</f>
        <v>52</v>
      </c>
      <c r="AD78" s="80" t="n">
        <f aca="false">E78</f>
        <v>3.82</v>
      </c>
      <c r="AE78" s="80" t="n">
        <f aca="false">F78</f>
        <v>3.896</v>
      </c>
      <c r="AF78" s="80" t="n">
        <f aca="false">G78</f>
        <v>3.972</v>
      </c>
      <c r="AG78" s="80" t="n">
        <f aca="false">Table9[[#This Row],[RTH(min) (kΩ)]]*RT2_TH_MIN/(RT2_TH_MIN+Table9[[#This Row],[RTH(min) (kΩ)]])</f>
        <v>3.39450076329161</v>
      </c>
      <c r="AH78" s="80" t="n">
        <f aca="false">Table9[[#This Row],[RTH(nom) (kΩ)]]*RT2_TH_S/(RT2_TH_S+Table9[[#This Row],[RTH(nom) (kΩ)]])</f>
        <v>3.45477175255767</v>
      </c>
      <c r="AI78" s="80" t="n">
        <f aca="false">Table9[[#This Row],[RTH(max) (kΩ)]]*RT2_TH_S_MAX/(RT2_TH_S_MAX+Table9[[#This Row],[RTH(max) (kΩ)]])</f>
        <v>3.51480506922769</v>
      </c>
      <c r="AJ78" s="80" t="n">
        <f aca="false">Table9[[#This Row],[RLower(min) (kΩ)]]/(Table9[[#This Row],[RLower(min) (kΩ)]]+RT1_TH_S_MAX)*100</f>
        <v>39.3213128197653</v>
      </c>
      <c r="AK78" s="80" t="n">
        <f aca="false">Table9[[#This Row],[RLower(nom) (kΩ)]]/(Table9[[#This Row],[RLower(nom) (kΩ)]]+RT1_TH_S)*100</f>
        <v>39.7659534747104</v>
      </c>
      <c r="AL78" s="80" t="n">
        <f aca="false">Table9[[#This Row],[RLower(max) (kΩ)]]/(Table9[[#This Row],[RLower(max) (kΩ)]]+RT1_TH_S_MIN)*100</f>
        <v>40.2033703252924</v>
      </c>
      <c r="AM78" s="80" t="n">
        <f aca="false">IF(Table9[[#This Row],[Vmin (%)]]&lt;$BA$14, 0, IF(Table9[[#This Row],[Vmin (%)]]&lt;$BA$12, 4, IF(Table9[[#This Row],[Vmin (%)]]&lt;$BA$9, 3, IF(Table9[[#This Row],[Vmin (%)]]&lt;$BA$7, 2, 0))))</f>
        <v>4</v>
      </c>
      <c r="AN78" s="80" t="n">
        <f aca="false">IF(Table9[[#This Row],[Vmin (%)]]&lt;$BA$13, 0, IF(Table9[[#This Row],[Vmin (%)]]&lt;$BA$11, 4, IF(Table9[[#This Row],[Vmin (%)]]&lt;$BA$10, 3, IF(Table9[[#This Row],[Vmin (%)]]&lt;$BA$8, 2, 0))))</f>
        <v>4</v>
      </c>
      <c r="AO78" s="217" t="str">
        <f aca="false">IF(Table9[[#This Row],[Vmin (%)]]&lt;$BA$14, "Hot", IF(Table9[[#This Row],[Vmin (%)]]&lt;$BA$12, "Warm", IF(Table9[[#This Row],[Vmin (%)]]&lt;$BA$9, "Normal", IF(Table9[[#This Row],[Vmin (%)]]&lt;$BA$7, "Cool", "Cold"))))</f>
        <v>Warm</v>
      </c>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row>
    <row r="79" customFormat="false" ht="16.4" hidden="false" customHeight="false" outlineLevel="0" collapsed="false">
      <c r="A79" s="218" t="n">
        <f aca="false">A78-1</f>
        <v>51</v>
      </c>
      <c r="B79" s="191"/>
      <c r="C79" s="219" t="str">
        <f aca="false">_xlfn.CONCAT("RTH at ",A79, " °C")</f>
        <v>RTH at 51 °C</v>
      </c>
      <c r="D79" s="220" t="n">
        <f aca="false">$D$20-(ROW(D79)-ROW($D$20))*($D$20-$D$105)/(ROW($D$105)-ROW($D$20))</f>
        <v>1.76470588235294</v>
      </c>
      <c r="E79" s="221" t="n">
        <v>3.949</v>
      </c>
      <c r="F79" s="222" t="n">
        <v>4.026</v>
      </c>
      <c r="G79" s="223" t="n">
        <v>4.103</v>
      </c>
      <c r="H79" s="57" t="s">
        <v>18</v>
      </c>
      <c r="I79" s="24"/>
      <c r="J79" s="24" t="n">
        <v>4.103</v>
      </c>
      <c r="K79" s="24" t="n">
        <v>4.026</v>
      </c>
      <c r="L79" s="24" t="n">
        <v>3.949</v>
      </c>
      <c r="M79" s="24"/>
      <c r="N79" s="24"/>
      <c r="O79" s="24"/>
      <c r="P79" s="24"/>
      <c r="Q79" s="24"/>
      <c r="R79" s="24"/>
      <c r="S79" s="24"/>
      <c r="T79" s="24"/>
      <c r="U79" s="24"/>
      <c r="V79" s="24"/>
      <c r="W79" s="24"/>
      <c r="X79" s="24"/>
      <c r="Y79" s="25"/>
      <c r="Z79" s="6"/>
      <c r="AA79" s="7"/>
      <c r="AB79" s="7"/>
      <c r="AC79" s="80" t="n">
        <f aca="false">A79</f>
        <v>51</v>
      </c>
      <c r="AD79" s="80" t="n">
        <f aca="false">E79</f>
        <v>3.949</v>
      </c>
      <c r="AE79" s="80" t="n">
        <f aca="false">F79</f>
        <v>4.026</v>
      </c>
      <c r="AF79" s="80" t="n">
        <f aca="false">G79</f>
        <v>4.103</v>
      </c>
      <c r="AG79" s="80" t="n">
        <f aca="false">Table9[[#This Row],[RTH(min) (kΩ)]]*RT2_TH_MIN/(RT2_TH_MIN+Table9[[#This Row],[RTH(min) (kΩ)]])</f>
        <v>3.49598165371292</v>
      </c>
      <c r="AH79" s="80" t="n">
        <f aca="false">Table9[[#This Row],[RTH(nom) (kΩ)]]*RT2_TH_S/(RT2_TH_S+Table9[[#This Row],[RTH(nom) (kΩ)]])</f>
        <v>3.55660887070862</v>
      </c>
      <c r="AI79" s="80" t="n">
        <f aca="false">Table9[[#This Row],[RTH(max) (kΩ)]]*RT2_TH_S_MAX/(RT2_TH_S_MAX+Table9[[#This Row],[RTH(max) (kΩ)]])</f>
        <v>3.61699538414066</v>
      </c>
      <c r="AJ79" s="80" t="n">
        <f aca="false">Table9[[#This Row],[RLower(min) (kΩ)]]/(Table9[[#This Row],[RLower(min) (kΩ)]]+RT1_TH_S_MAX)*100</f>
        <v>40.0263256568243</v>
      </c>
      <c r="AK79" s="80" t="n">
        <f aca="false">Table9[[#This Row],[RLower(nom) (kΩ)]]/(Table9[[#This Row],[RLower(nom) (kΩ)]]+RT1_TH_S)*100</f>
        <v>40.4638307046727</v>
      </c>
      <c r="AL79" s="80" t="n">
        <f aca="false">Table9[[#This Row],[RLower(max) (kΩ)]]/(Table9[[#This Row],[RLower(max) (kΩ)]]+RT1_TH_S_MIN)*100</f>
        <v>40.8942472829927</v>
      </c>
      <c r="AM79" s="80" t="n">
        <f aca="false">IF(Table9[[#This Row],[Vmin (%)]]&lt;$BA$14, 0, IF(Table9[[#This Row],[Vmin (%)]]&lt;$BA$12, 4, IF(Table9[[#This Row],[Vmin (%)]]&lt;$BA$9, 3, IF(Table9[[#This Row],[Vmin (%)]]&lt;$BA$7, 2, 0))))</f>
        <v>4</v>
      </c>
      <c r="AN79" s="80" t="n">
        <f aca="false">IF(Table9[[#This Row],[Vmin (%)]]&lt;$BA$13, 0, IF(Table9[[#This Row],[Vmin (%)]]&lt;$BA$11, 4, IF(Table9[[#This Row],[Vmin (%)]]&lt;$BA$10, 3, IF(Table9[[#This Row],[Vmin (%)]]&lt;$BA$8, 2, 0))))</f>
        <v>4</v>
      </c>
      <c r="AO79" s="217" t="str">
        <f aca="false">IF(Table9[[#This Row],[Vmin (%)]]&lt;$BA$14, "Hot", IF(Table9[[#This Row],[Vmin (%)]]&lt;$BA$12, "Warm", IF(Table9[[#This Row],[Vmin (%)]]&lt;$BA$9, "Normal", IF(Table9[[#This Row],[Vmin (%)]]&lt;$BA$7, "Cool", "Cold"))))</f>
        <v>Warm</v>
      </c>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row>
    <row r="80" customFormat="false" ht="16.4" hidden="false" customHeight="false" outlineLevel="0" collapsed="false">
      <c r="A80" s="218" t="n">
        <f aca="false">A79-1</f>
        <v>50</v>
      </c>
      <c r="B80" s="191"/>
      <c r="C80" s="219" t="str">
        <f aca="false">_xlfn.CONCAT("RTH at ",A80, " °C")</f>
        <v>RTH at 50 °C</v>
      </c>
      <c r="D80" s="220" t="n">
        <f aca="false">$D$20-(ROW(D80)-ROW($D$20))*($D$20-$D$105)/(ROW($D$105)-ROW($D$20))</f>
        <v>1.73529411764706</v>
      </c>
      <c r="E80" s="221" t="n">
        <v>4.082</v>
      </c>
      <c r="F80" s="222" t="n">
        <v>4.16</v>
      </c>
      <c r="G80" s="223" t="n">
        <v>4.239</v>
      </c>
      <c r="H80" s="57" t="s">
        <v>18</v>
      </c>
      <c r="I80" s="24"/>
      <c r="J80" s="24" t="n">
        <v>4.239</v>
      </c>
      <c r="K80" s="24" t="n">
        <v>4.16</v>
      </c>
      <c r="L80" s="24" t="n">
        <v>4.082</v>
      </c>
      <c r="M80" s="24"/>
      <c r="N80" s="24"/>
      <c r="O80" s="24"/>
      <c r="P80" s="24"/>
      <c r="Q80" s="24"/>
      <c r="R80" s="24"/>
      <c r="S80" s="24"/>
      <c r="T80" s="24"/>
      <c r="U80" s="24"/>
      <c r="V80" s="24"/>
      <c r="W80" s="24"/>
      <c r="X80" s="24"/>
      <c r="Y80" s="25"/>
      <c r="Z80" s="6"/>
      <c r="AA80" s="7"/>
      <c r="AB80" s="7"/>
      <c r="AC80" s="80" t="n">
        <f aca="false">A80</f>
        <v>50</v>
      </c>
      <c r="AD80" s="80" t="n">
        <f aca="false">E80</f>
        <v>4.082</v>
      </c>
      <c r="AE80" s="80" t="n">
        <f aca="false">F80</f>
        <v>4.16</v>
      </c>
      <c r="AF80" s="80" t="n">
        <f aca="false">G80</f>
        <v>4.239</v>
      </c>
      <c r="AG80" s="80" t="n">
        <f aca="false">Table9[[#This Row],[RTH(min) (kΩ)]]*RT2_TH_MIN/(RT2_TH_MIN+Table9[[#This Row],[RTH(min) (kΩ)]])</f>
        <v>3.59981598069851</v>
      </c>
      <c r="AH80" s="80" t="n">
        <f aca="false">Table9[[#This Row],[RTH(nom) (kΩ)]]*RT2_TH_S/(RT2_TH_S+Table9[[#This Row],[RTH(nom) (kΩ)]])</f>
        <v>3.66078001539844</v>
      </c>
      <c r="AI80" s="80" t="n">
        <f aca="false">Table9[[#This Row],[RTH(max) (kΩ)]]*RT2_TH_S_MAX/(RT2_TH_S_MAX+Table9[[#This Row],[RTH(max) (kΩ)]])</f>
        <v>3.72227153071099</v>
      </c>
      <c r="AJ80" s="80" t="n">
        <f aca="false">Table9[[#This Row],[RLower(min) (kΩ)]]/(Table9[[#This Row],[RLower(min) (kΩ)]]+RT1_TH_S_MAX)*100</f>
        <v>40.7309305272105</v>
      </c>
      <c r="AK80" s="80" t="n">
        <f aca="false">Table9[[#This Row],[RLower(nom) (kΩ)]]/(Table9[[#This Row],[RLower(nom) (kΩ)]]+RT1_TH_S)*100</f>
        <v>41.161167165531</v>
      </c>
      <c r="AL80" s="80" t="n">
        <f aca="false">Table9[[#This Row],[RLower(max) (kΩ)]]/(Table9[[#This Row],[RLower(max) (kΩ)]]+RT1_TH_S_MIN)*100</f>
        <v>41.5894880927137</v>
      </c>
      <c r="AM80" s="80" t="n">
        <f aca="false">IF(Table9[[#This Row],[Vmin (%)]]&lt;$BA$14, 0, IF(Table9[[#This Row],[Vmin (%)]]&lt;$BA$12, 4, IF(Table9[[#This Row],[Vmin (%)]]&lt;$BA$9, 3, IF(Table9[[#This Row],[Vmin (%)]]&lt;$BA$7, 2, 0))))</f>
        <v>4</v>
      </c>
      <c r="AN80" s="80" t="n">
        <f aca="false">IF(Table9[[#This Row],[Vmin (%)]]&lt;$BA$13, 0, IF(Table9[[#This Row],[Vmin (%)]]&lt;$BA$11, 4, IF(Table9[[#This Row],[Vmin (%)]]&lt;$BA$10, 3, IF(Table9[[#This Row],[Vmin (%)]]&lt;$BA$8, 2, 0))))</f>
        <v>4</v>
      </c>
      <c r="AO80" s="217" t="str">
        <f aca="false">IF(Table9[[#This Row],[Vmin (%)]]&lt;$BA$14, "Hot", IF(Table9[[#This Row],[Vmin (%)]]&lt;$BA$12, "Warm", IF(Table9[[#This Row],[Vmin (%)]]&lt;$BA$9, "Normal", IF(Table9[[#This Row],[Vmin (%)]]&lt;$BA$7, "Cool", "Cold"))))</f>
        <v>Warm</v>
      </c>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row>
    <row r="81" customFormat="false" ht="16.4" hidden="false" customHeight="false" outlineLevel="0" collapsed="false">
      <c r="A81" s="218" t="n">
        <f aca="false">A80-1</f>
        <v>49</v>
      </c>
      <c r="B81" s="191"/>
      <c r="C81" s="219" t="str">
        <f aca="false">_xlfn.CONCAT("RTH at ",A81, " °C")</f>
        <v>RTH at 49 °C</v>
      </c>
      <c r="D81" s="220" t="n">
        <f aca="false">$D$20-(ROW(D81)-ROW($D$20))*($D$20-$D$105)/(ROW($D$105)-ROW($D$20))</f>
        <v>1.70588235294118</v>
      </c>
      <c r="E81" s="221" t="n">
        <v>4.22</v>
      </c>
      <c r="F81" s="222" t="n">
        <v>4.299</v>
      </c>
      <c r="G81" s="223" t="n">
        <v>4.379</v>
      </c>
      <c r="H81" s="57" t="s">
        <v>18</v>
      </c>
      <c r="I81" s="24"/>
      <c r="J81" s="24" t="n">
        <v>4.379</v>
      </c>
      <c r="K81" s="24" t="n">
        <v>4.299</v>
      </c>
      <c r="L81" s="24" t="n">
        <v>4.22</v>
      </c>
      <c r="M81" s="24"/>
      <c r="N81" s="24"/>
      <c r="O81" s="24"/>
      <c r="P81" s="24"/>
      <c r="Q81" s="24"/>
      <c r="R81" s="24"/>
      <c r="S81" s="24"/>
      <c r="T81" s="24"/>
      <c r="U81" s="24"/>
      <c r="V81" s="24"/>
      <c r="W81" s="24"/>
      <c r="X81" s="24"/>
      <c r="Y81" s="25"/>
      <c r="Z81" s="6"/>
      <c r="AA81" s="7"/>
      <c r="AB81" s="7"/>
      <c r="AC81" s="80" t="n">
        <f aca="false">A81</f>
        <v>49</v>
      </c>
      <c r="AD81" s="80" t="n">
        <f aca="false">E81</f>
        <v>4.22</v>
      </c>
      <c r="AE81" s="80" t="n">
        <f aca="false">F81</f>
        <v>4.299</v>
      </c>
      <c r="AF81" s="80" t="n">
        <f aca="false">G81</f>
        <v>4.379</v>
      </c>
      <c r="AG81" s="80" t="n">
        <f aca="false">Table9[[#This Row],[RTH(min) (kΩ)]]*RT2_TH_MIN/(RT2_TH_MIN+Table9[[#This Row],[RTH(min) (kΩ)]])</f>
        <v>3.70671231600715</v>
      </c>
      <c r="AH81" s="80" t="n">
        <f aca="false">Table9[[#This Row],[RTH(nom) (kΩ)]]*RT2_TH_S/(RT2_TH_S+Table9[[#This Row],[RTH(nom) (kΩ)]])</f>
        <v>3.76799054993545</v>
      </c>
      <c r="AI81" s="80" t="n">
        <f aca="false">Table9[[#This Row],[RTH(max) (kΩ)]]*RT2_TH_S_MAX/(RT2_TH_S_MAX+Table9[[#This Row],[RTH(max) (kΩ)]])</f>
        <v>3.82978735413979</v>
      </c>
      <c r="AJ81" s="80" t="n">
        <f aca="false">Table9[[#This Row],[RLower(min) (kΩ)]]/(Table9[[#This Row],[RLower(min) (kΩ)]]+RT1_TH_S_MAX)*100</f>
        <v>41.439224695246</v>
      </c>
      <c r="AK81" s="80" t="n">
        <f aca="false">Table9[[#This Row],[RLower(nom) (kΩ)]]/(Table9[[#This Row],[RLower(nom) (kΩ)]]+RT1_TH_S)*100</f>
        <v>41.8619954676255</v>
      </c>
      <c r="AL81" s="80" t="n">
        <f aca="false">Table9[[#This Row],[RLower(max) (kΩ)]]/(Table9[[#This Row],[RLower(max) (kΩ)]]+RT1_TH_S_MIN)*100</f>
        <v>42.2828386563746</v>
      </c>
      <c r="AM81" s="80" t="n">
        <f aca="false">IF(Table9[[#This Row],[Vmin (%)]]&lt;$BA$14, 0, IF(Table9[[#This Row],[Vmin (%)]]&lt;$BA$12, 4, IF(Table9[[#This Row],[Vmin (%)]]&lt;$BA$9, 3, IF(Table9[[#This Row],[Vmin (%)]]&lt;$BA$7, 2, 0))))</f>
        <v>3</v>
      </c>
      <c r="AN81" s="80" t="n">
        <f aca="false">IF(Table9[[#This Row],[Vmin (%)]]&lt;$BA$13, 0, IF(Table9[[#This Row],[Vmin (%)]]&lt;$BA$11, 4, IF(Table9[[#This Row],[Vmin (%)]]&lt;$BA$10, 3, IF(Table9[[#This Row],[Vmin (%)]]&lt;$BA$8, 2, 0))))</f>
        <v>4</v>
      </c>
      <c r="AO81" s="217" t="str">
        <f aca="false">IF(Table9[[#This Row],[Vmin (%)]]&lt;$BA$14, "Hot", IF(Table9[[#This Row],[Vmin (%)]]&lt;$BA$12, "Warm", IF(Table9[[#This Row],[Vmin (%)]]&lt;$BA$9, "Normal", IF(Table9[[#This Row],[Vmin (%)]]&lt;$BA$7, "Cool", "Cold"))))</f>
        <v>Normal</v>
      </c>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row>
    <row r="82" customFormat="false" ht="16.4" hidden="false" customHeight="false" outlineLevel="0" collapsed="false">
      <c r="A82" s="218" t="n">
        <f aca="false">A81-1</f>
        <v>48</v>
      </c>
      <c r="B82" s="191"/>
      <c r="C82" s="219" t="str">
        <f aca="false">_xlfn.CONCAT("RTH at ",A82, " °C")</f>
        <v>RTH at 48 °C</v>
      </c>
      <c r="D82" s="220" t="n">
        <f aca="false">$D$20-(ROW(D82)-ROW($D$20))*($D$20-$D$105)/(ROW($D$105)-ROW($D$20))</f>
        <v>1.67647058823529</v>
      </c>
      <c r="E82" s="221" t="n">
        <v>4.363</v>
      </c>
      <c r="F82" s="222" t="n">
        <v>4.443</v>
      </c>
      <c r="G82" s="223" t="n">
        <v>4.524</v>
      </c>
      <c r="H82" s="57" t="s">
        <v>18</v>
      </c>
      <c r="I82" s="24"/>
      <c r="J82" s="24" t="n">
        <v>4.524</v>
      </c>
      <c r="K82" s="24" t="n">
        <v>4.443</v>
      </c>
      <c r="L82" s="24" t="n">
        <v>4.363</v>
      </c>
      <c r="M82" s="24"/>
      <c r="N82" s="24"/>
      <c r="O82" s="24"/>
      <c r="P82" s="24"/>
      <c r="Q82" s="24"/>
      <c r="R82" s="24"/>
      <c r="S82" s="24"/>
      <c r="T82" s="24"/>
      <c r="U82" s="24"/>
      <c r="V82" s="24"/>
      <c r="W82" s="24"/>
      <c r="X82" s="24"/>
      <c r="Y82" s="25"/>
      <c r="Z82" s="6"/>
      <c r="AA82" s="7"/>
      <c r="AB82" s="7"/>
      <c r="AC82" s="80" t="n">
        <f aca="false">A82</f>
        <v>48</v>
      </c>
      <c r="AD82" s="80" t="n">
        <f aca="false">E82</f>
        <v>4.363</v>
      </c>
      <c r="AE82" s="80" t="n">
        <f aca="false">F82</f>
        <v>4.443</v>
      </c>
      <c r="AF82" s="80" t="n">
        <f aca="false">G82</f>
        <v>4.524</v>
      </c>
      <c r="AG82" s="80" t="n">
        <f aca="false">Table9[[#This Row],[RTH(min) (kΩ)]]*RT2_TH_MIN/(RT2_TH_MIN+Table9[[#This Row],[RTH(min) (kΩ)]])</f>
        <v>3.81658824574791</v>
      </c>
      <c r="AH82" s="80" t="n">
        <f aca="false">Table9[[#This Row],[RTH(nom) (kΩ)]]*RT2_TH_S/(RT2_TH_S+Table9[[#This Row],[RTH(nom) (kΩ)]])</f>
        <v>3.87815819319813</v>
      </c>
      <c r="AI82" s="80" t="n">
        <f aca="false">Table9[[#This Row],[RTH(max) (kΩ)]]*RT2_TH_S_MAX/(RT2_TH_S_MAX+Table9[[#This Row],[RTH(max) (kΩ)]])</f>
        <v>3.94023782125969</v>
      </c>
      <c r="AJ82" s="80" t="n">
        <f aca="false">Table9[[#This Row],[RLower(min) (kΩ)]]/(Table9[[#This Row],[RLower(min) (kΩ)]]+RT1_TH_S_MAX)*100</f>
        <v>42.1498324207607</v>
      </c>
      <c r="AK82" s="80" t="n">
        <f aca="false">Table9[[#This Row],[RLower(nom) (kΩ)]]/(Table9[[#This Row],[RLower(nom) (kΩ)]]+RT1_TH_S)*100</f>
        <v>42.5649723044992</v>
      </c>
      <c r="AL82" s="80" t="n">
        <f aca="false">Table9[[#This Row],[RLower(max) (kΩ)]]/(Table9[[#This Row],[RLower(max) (kΩ)]]+RT1_TH_S_MIN)*100</f>
        <v>42.9781800862009</v>
      </c>
      <c r="AM82" s="80" t="n">
        <f aca="false">IF(Table9[[#This Row],[Vmin (%)]]&lt;$BA$14, 0, IF(Table9[[#This Row],[Vmin (%)]]&lt;$BA$12, 4, IF(Table9[[#This Row],[Vmin (%)]]&lt;$BA$9, 3, IF(Table9[[#This Row],[Vmin (%)]]&lt;$BA$7, 2, 0))))</f>
        <v>3</v>
      </c>
      <c r="AN82" s="80" t="n">
        <f aca="false">IF(Table9[[#This Row],[Vmin (%)]]&lt;$BA$13, 0, IF(Table9[[#This Row],[Vmin (%)]]&lt;$BA$11, 4, IF(Table9[[#This Row],[Vmin (%)]]&lt;$BA$10, 3, IF(Table9[[#This Row],[Vmin (%)]]&lt;$BA$8, 2, 0))))</f>
        <v>4</v>
      </c>
      <c r="AO82" s="217" t="str">
        <f aca="false">IF(Table9[[#This Row],[Vmin (%)]]&lt;$BA$14, "Hot", IF(Table9[[#This Row],[Vmin (%)]]&lt;$BA$12, "Warm", IF(Table9[[#This Row],[Vmin (%)]]&lt;$BA$9, "Normal", IF(Table9[[#This Row],[Vmin (%)]]&lt;$BA$7, "Cool", "Cold"))))</f>
        <v>Normal</v>
      </c>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row>
    <row r="83" customFormat="false" ht="16.4" hidden="false" customHeight="false" outlineLevel="0" collapsed="false">
      <c r="A83" s="218" t="n">
        <f aca="false">A82-1</f>
        <v>47</v>
      </c>
      <c r="B83" s="191"/>
      <c r="C83" s="219" t="str">
        <f aca="false">_xlfn.CONCAT("RTH at ",A83, " °C")</f>
        <v>RTH at 47 °C</v>
      </c>
      <c r="D83" s="220" t="n">
        <f aca="false">$D$20-(ROW(D83)-ROW($D$20))*($D$20-$D$105)/(ROW($D$105)-ROW($D$20))</f>
        <v>1.64705882352941</v>
      </c>
      <c r="E83" s="221" t="n">
        <v>4.511</v>
      </c>
      <c r="F83" s="222" t="n">
        <v>4.593</v>
      </c>
      <c r="G83" s="223" t="n">
        <v>4.675</v>
      </c>
      <c r="H83" s="57" t="s">
        <v>18</v>
      </c>
      <c r="I83" s="24"/>
      <c r="J83" s="24" t="n">
        <v>4.675</v>
      </c>
      <c r="K83" s="24" t="n">
        <v>4.593</v>
      </c>
      <c r="L83" s="24" t="n">
        <v>4.511</v>
      </c>
      <c r="M83" s="24"/>
      <c r="N83" s="24"/>
      <c r="O83" s="24"/>
      <c r="P83" s="24"/>
      <c r="Q83" s="24"/>
      <c r="R83" s="24"/>
      <c r="S83" s="24"/>
      <c r="T83" s="24"/>
      <c r="U83" s="24"/>
      <c r="V83" s="24"/>
      <c r="W83" s="24"/>
      <c r="X83" s="24"/>
      <c r="Y83" s="25"/>
      <c r="Z83" s="6"/>
      <c r="AA83" s="7"/>
      <c r="AB83" s="7"/>
      <c r="AC83" s="80" t="n">
        <f aca="false">A83</f>
        <v>47</v>
      </c>
      <c r="AD83" s="80" t="n">
        <f aca="false">E83</f>
        <v>4.511</v>
      </c>
      <c r="AE83" s="80" t="n">
        <f aca="false">F83</f>
        <v>4.593</v>
      </c>
      <c r="AF83" s="80" t="n">
        <f aca="false">G83</f>
        <v>4.675</v>
      </c>
      <c r="AG83" s="80" t="n">
        <f aca="false">Table9[[#This Row],[RTH(min) (kΩ)]]*RT2_TH_MIN/(RT2_TH_MIN+Table9[[#This Row],[RTH(min) (kΩ)]])</f>
        <v>3.92936012492301</v>
      </c>
      <c r="AH83" s="80" t="n">
        <f aca="false">Table9[[#This Row],[RTH(nom) (kΩ)]]*RT2_TH_S/(RT2_TH_S+Table9[[#This Row],[RTH(nom) (kΩ)]])</f>
        <v>3.99195488726101</v>
      </c>
      <c r="AI83" s="80" t="n">
        <f aca="false">Table9[[#This Row],[RTH(max) (kΩ)]]*RT2_TH_S_MAX/(RT2_TH_S_MAX+Table9[[#This Row],[RTH(max) (kΩ)]])</f>
        <v>4.0542917281451</v>
      </c>
      <c r="AJ83" s="80" t="n">
        <f aca="false">Table9[[#This Row],[RLower(min) (kΩ)]]/(Table9[[#This Row],[RLower(min) (kΩ)]]+RT1_TH_S_MAX)*100</f>
        <v>42.8614563253172</v>
      </c>
      <c r="AK83" s="80" t="n">
        <f aca="false">Table9[[#This Row],[RLower(nom) (kΩ)]]/(Table9[[#This Row],[RLower(nom) (kΩ)]]+RT1_TH_S)*100</f>
        <v>43.273476858457</v>
      </c>
      <c r="AL83" s="80" t="n">
        <f aca="false">Table9[[#This Row],[RLower(max) (kΩ)]]/(Table9[[#This Row],[RLower(max) (kΩ)]]+RT1_TH_S_MIN)*100</f>
        <v>43.6788401149976</v>
      </c>
      <c r="AM83" s="80" t="n">
        <f aca="false">IF(Table9[[#This Row],[Vmin (%)]]&lt;$BA$14, 0, IF(Table9[[#This Row],[Vmin (%)]]&lt;$BA$12, 4, IF(Table9[[#This Row],[Vmin (%)]]&lt;$BA$9, 3, IF(Table9[[#This Row],[Vmin (%)]]&lt;$BA$7, 2, 0))))</f>
        <v>3</v>
      </c>
      <c r="AN83" s="80" t="n">
        <f aca="false">IF(Table9[[#This Row],[Vmin (%)]]&lt;$BA$13, 0, IF(Table9[[#This Row],[Vmin (%)]]&lt;$BA$11, 4, IF(Table9[[#This Row],[Vmin (%)]]&lt;$BA$10, 3, IF(Table9[[#This Row],[Vmin (%)]]&lt;$BA$8, 2, 0))))</f>
        <v>3</v>
      </c>
      <c r="AO83" s="217" t="str">
        <f aca="false">IF(Table9[[#This Row],[Vmin (%)]]&lt;$BA$14, "Hot", IF(Table9[[#This Row],[Vmin (%)]]&lt;$BA$12, "Warm", IF(Table9[[#This Row],[Vmin (%)]]&lt;$BA$9, "Normal", IF(Table9[[#This Row],[Vmin (%)]]&lt;$BA$7, "Cool", "Cold"))))</f>
        <v>Normal</v>
      </c>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row>
    <row r="84" customFormat="false" ht="16.4" hidden="false" customHeight="false" outlineLevel="0" collapsed="false">
      <c r="A84" s="218" t="n">
        <f aca="false">A83-1</f>
        <v>46</v>
      </c>
      <c r="B84" s="191"/>
      <c r="C84" s="219" t="str">
        <f aca="false">_xlfn.CONCAT("RTH at ",A84, " °C")</f>
        <v>RTH at 46 °C</v>
      </c>
      <c r="D84" s="220" t="n">
        <f aca="false">$D$20-(ROW(D84)-ROW($D$20))*($D$20-$D$105)/(ROW($D$105)-ROW($D$20))</f>
        <v>1.61764705882353</v>
      </c>
      <c r="E84" s="221" t="n">
        <v>4.666</v>
      </c>
      <c r="F84" s="222" t="n">
        <v>4.749</v>
      </c>
      <c r="G84" s="223" t="n">
        <v>4.832</v>
      </c>
      <c r="H84" s="57" t="s">
        <v>18</v>
      </c>
      <c r="I84" s="24"/>
      <c r="J84" s="24" t="n">
        <v>4.832</v>
      </c>
      <c r="K84" s="24" t="n">
        <v>4.749</v>
      </c>
      <c r="L84" s="24" t="n">
        <v>4.666</v>
      </c>
      <c r="M84" s="24"/>
      <c r="N84" s="24"/>
      <c r="O84" s="24"/>
      <c r="P84" s="24"/>
      <c r="Q84" s="24"/>
      <c r="R84" s="24"/>
      <c r="S84" s="24"/>
      <c r="T84" s="24"/>
      <c r="U84" s="24"/>
      <c r="V84" s="24"/>
      <c r="W84" s="24"/>
      <c r="X84" s="24"/>
      <c r="Y84" s="25"/>
      <c r="Z84" s="6"/>
      <c r="AA84" s="7"/>
      <c r="AB84" s="7"/>
      <c r="AC84" s="80" t="n">
        <f aca="false">A84</f>
        <v>46</v>
      </c>
      <c r="AD84" s="80" t="n">
        <f aca="false">E84</f>
        <v>4.666</v>
      </c>
      <c r="AE84" s="80" t="n">
        <f aca="false">F84</f>
        <v>4.749</v>
      </c>
      <c r="AF84" s="80" t="n">
        <f aca="false">G84</f>
        <v>4.832</v>
      </c>
      <c r="AG84" s="80" t="n">
        <f aca="false">Table9[[#This Row],[RTH(min) (kΩ)]]*RT2_TH_MIN/(RT2_TH_MIN+Table9[[#This Row],[RTH(min) (kΩ)]])</f>
        <v>4.04644744736995</v>
      </c>
      <c r="AH84" s="80" t="n">
        <f aca="false">Table9[[#This Row],[RTH(nom) (kΩ)]]*RT2_TH_S/(RT2_TH_S+Table9[[#This Row],[RTH(nom) (kΩ)]])</f>
        <v>4.10927620754167</v>
      </c>
      <c r="AI84" s="80" t="n">
        <f aca="false">Table9[[#This Row],[RTH(max) (kΩ)]]*RT2_TH_S_MAX/(RT2_TH_S_MAX+Table9[[#This Row],[RTH(max) (kΩ)]])</f>
        <v>4.17184487464259</v>
      </c>
      <c r="AJ84" s="80" t="n">
        <f aca="false">Table9[[#This Row],[RLower(min) (kΩ)]]/(Table9[[#This Row],[RLower(min) (kΩ)]]+RT1_TH_S_MAX)*100</f>
        <v>43.5820202166621</v>
      </c>
      <c r="AK84" s="80" t="n">
        <f aca="false">Table9[[#This Row],[RLower(nom) (kΩ)]]/(Table9[[#This Row],[RLower(nom) (kΩ)]]+RT1_TH_S)*100</f>
        <v>43.9858553783025</v>
      </c>
      <c r="AL84" s="80" t="n">
        <f aca="false">Table9[[#This Row],[RLower(max) (kΩ)]]/(Table9[[#This Row],[RLower(max) (kΩ)]]+RT1_TH_S_MIN)*100</f>
        <v>44.3832027926043</v>
      </c>
      <c r="AM84" s="80" t="n">
        <f aca="false">IF(Table9[[#This Row],[Vmin (%)]]&lt;$BA$14, 0, IF(Table9[[#This Row],[Vmin (%)]]&lt;$BA$12, 4, IF(Table9[[#This Row],[Vmin (%)]]&lt;$BA$9, 3, IF(Table9[[#This Row],[Vmin (%)]]&lt;$BA$7, 2, 0))))</f>
        <v>3</v>
      </c>
      <c r="AN84" s="80" t="n">
        <f aca="false">IF(Table9[[#This Row],[Vmin (%)]]&lt;$BA$13, 0, IF(Table9[[#This Row],[Vmin (%)]]&lt;$BA$11, 4, IF(Table9[[#This Row],[Vmin (%)]]&lt;$BA$10, 3, IF(Table9[[#This Row],[Vmin (%)]]&lt;$BA$8, 2, 0))))</f>
        <v>3</v>
      </c>
      <c r="AO84" s="217" t="str">
        <f aca="false">IF(Table9[[#This Row],[Vmin (%)]]&lt;$BA$14, "Hot", IF(Table9[[#This Row],[Vmin (%)]]&lt;$BA$12, "Warm", IF(Table9[[#This Row],[Vmin (%)]]&lt;$BA$9, "Normal", IF(Table9[[#This Row],[Vmin (%)]]&lt;$BA$7, "Cool", "Cold"))))</f>
        <v>Normal</v>
      </c>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row>
    <row r="85" customFormat="false" ht="16.4" hidden="false" customHeight="false" outlineLevel="0" collapsed="false">
      <c r="A85" s="218" t="n">
        <f aca="false">A84-1</f>
        <v>45</v>
      </c>
      <c r="B85" s="191"/>
      <c r="C85" s="219" t="str">
        <f aca="false">_xlfn.CONCAT("RTH at ",A85, " °C")</f>
        <v>RTH at 45 °C</v>
      </c>
      <c r="D85" s="220" t="n">
        <f aca="false">$D$20-(ROW(D85)-ROW($D$20))*($D$20-$D$105)/(ROW($D$105)-ROW($D$20))</f>
        <v>1.58823529411765</v>
      </c>
      <c r="E85" s="221" t="n">
        <v>4.827</v>
      </c>
      <c r="F85" s="222" t="n">
        <v>4.911</v>
      </c>
      <c r="G85" s="223" t="n">
        <v>4.995</v>
      </c>
      <c r="H85" s="57" t="s">
        <v>18</v>
      </c>
      <c r="I85" s="24"/>
      <c r="J85" s="24" t="n">
        <v>4.995</v>
      </c>
      <c r="K85" s="24" t="n">
        <v>4.911</v>
      </c>
      <c r="L85" s="24" t="n">
        <v>4.827</v>
      </c>
      <c r="M85" s="24"/>
      <c r="N85" s="24"/>
      <c r="O85" s="24"/>
      <c r="P85" s="24"/>
      <c r="Q85" s="24"/>
      <c r="R85" s="24"/>
      <c r="S85" s="24"/>
      <c r="T85" s="24"/>
      <c r="U85" s="24"/>
      <c r="V85" s="24"/>
      <c r="W85" s="24"/>
      <c r="X85" s="24"/>
      <c r="Y85" s="25"/>
      <c r="Z85" s="6"/>
      <c r="AA85" s="7"/>
      <c r="AB85" s="7"/>
      <c r="AC85" s="80" t="n">
        <f aca="false">A85</f>
        <v>45</v>
      </c>
      <c r="AD85" s="80" t="n">
        <f aca="false">E85</f>
        <v>4.827</v>
      </c>
      <c r="AE85" s="80" t="n">
        <f aca="false">F85</f>
        <v>4.911</v>
      </c>
      <c r="AF85" s="80" t="n">
        <f aca="false">G85</f>
        <v>4.995</v>
      </c>
      <c r="AG85" s="80" t="n">
        <f aca="false">Table9[[#This Row],[RTH(min) (kΩ)]]*RT2_TH_MIN/(RT2_TH_MIN+Table9[[#This Row],[RTH(min) (kΩ)]])</f>
        <v>4.16697851642466</v>
      </c>
      <c r="AH85" s="80" t="n">
        <f aca="false">Table9[[#This Row],[RTH(nom) (kΩ)]]*RT2_TH_S/(RT2_TH_S+Table9[[#This Row],[RTH(nom) (kΩ)]])</f>
        <v>4.23001595121611</v>
      </c>
      <c r="AI85" s="80" t="n">
        <f aca="false">Table9[[#This Row],[RTH(max) (kΩ)]]*RT2_TH_S_MAX/(RT2_TH_S_MAX+Table9[[#This Row],[RTH(max) (kΩ)]])</f>
        <v>4.29279132167481</v>
      </c>
      <c r="AJ85" s="80" t="n">
        <f aca="false">Table9[[#This Row],[RLower(min) (kΩ)]]/(Table9[[#This Row],[RLower(min) (kΩ)]]+RT1_TH_S_MAX)*100</f>
        <v>44.3050370050373</v>
      </c>
      <c r="AK85" s="80" t="n">
        <f aca="false">Table9[[#This Row],[RLower(nom) (kΩ)]]/(Table9[[#This Row],[RLower(nom) (kΩ)]]+RT1_TH_S)*100</f>
        <v>44.7005471664101</v>
      </c>
      <c r="AL85" s="80" t="n">
        <f aca="false">Table9[[#This Row],[RLower(max) (kΩ)]]/(Table9[[#This Row],[RLower(max) (kΩ)]]+RT1_TH_S_MIN)*100</f>
        <v>45.0897433167153</v>
      </c>
      <c r="AM85" s="80" t="n">
        <f aca="false">IF(Table9[[#This Row],[Vmin (%)]]&lt;$BA$14, 0, IF(Table9[[#This Row],[Vmin (%)]]&lt;$BA$12, 4, IF(Table9[[#This Row],[Vmin (%)]]&lt;$BA$9, 3, IF(Table9[[#This Row],[Vmin (%)]]&lt;$BA$7, 2, 0))))</f>
        <v>3</v>
      </c>
      <c r="AN85" s="80" t="n">
        <f aca="false">IF(Table9[[#This Row],[Vmin (%)]]&lt;$BA$13, 0, IF(Table9[[#This Row],[Vmin (%)]]&lt;$BA$11, 4, IF(Table9[[#This Row],[Vmin (%)]]&lt;$BA$10, 3, IF(Table9[[#This Row],[Vmin (%)]]&lt;$BA$8, 2, 0))))</f>
        <v>3</v>
      </c>
      <c r="AO85" s="217" t="str">
        <f aca="false">IF(Table9[[#This Row],[Vmin (%)]]&lt;$BA$14, "Hot", IF(Table9[[#This Row],[Vmin (%)]]&lt;$BA$12, "Warm", IF(Table9[[#This Row],[Vmin (%)]]&lt;$BA$9, "Normal", IF(Table9[[#This Row],[Vmin (%)]]&lt;$BA$7, "Cool", "Cold"))))</f>
        <v>Normal</v>
      </c>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row>
    <row r="86" customFormat="false" ht="16.4" hidden="false" customHeight="false" outlineLevel="0" collapsed="false">
      <c r="A86" s="218" t="n">
        <f aca="false">A85-1</f>
        <v>44</v>
      </c>
      <c r="B86" s="191"/>
      <c r="C86" s="219" t="str">
        <f aca="false">_xlfn.CONCAT("RTH at ",A86, " °C")</f>
        <v>RTH at 44 °C</v>
      </c>
      <c r="D86" s="220" t="n">
        <f aca="false">$D$20-(ROW(D86)-ROW($D$20))*($D$20-$D$105)/(ROW($D$105)-ROW($D$20))</f>
        <v>1.55882352941176</v>
      </c>
      <c r="E86" s="221" t="n">
        <v>4.994</v>
      </c>
      <c r="F86" s="222" t="n">
        <v>5.08</v>
      </c>
      <c r="G86" s="223" t="n">
        <v>5.165</v>
      </c>
      <c r="H86" s="57" t="s">
        <v>18</v>
      </c>
      <c r="I86" s="24"/>
      <c r="J86" s="24" t="n">
        <v>5.165</v>
      </c>
      <c r="K86" s="24" t="n">
        <v>5.08</v>
      </c>
      <c r="L86" s="24" t="n">
        <v>4.994</v>
      </c>
      <c r="M86" s="24"/>
      <c r="N86" s="24"/>
      <c r="O86" s="24"/>
      <c r="P86" s="24"/>
      <c r="Q86" s="24"/>
      <c r="R86" s="24"/>
      <c r="S86" s="24"/>
      <c r="T86" s="24"/>
      <c r="U86" s="24"/>
      <c r="V86" s="24"/>
      <c r="W86" s="24"/>
      <c r="X86" s="24"/>
      <c r="Y86" s="25"/>
      <c r="Z86" s="6"/>
      <c r="AA86" s="7"/>
      <c r="AB86" s="7"/>
      <c r="AC86" s="80" t="n">
        <f aca="false">A86</f>
        <v>44</v>
      </c>
      <c r="AD86" s="80" t="n">
        <f aca="false">E86</f>
        <v>4.994</v>
      </c>
      <c r="AE86" s="80" t="n">
        <f aca="false">F86</f>
        <v>5.08</v>
      </c>
      <c r="AF86" s="80" t="n">
        <f aca="false">G86</f>
        <v>5.165</v>
      </c>
      <c r="AG86" s="80" t="n">
        <f aca="false">Table9[[#This Row],[RTH(min) (kΩ)]]*RT2_TH_MIN/(RT2_TH_MIN+Table9[[#This Row],[RTH(min) (kΩ)]])</f>
        <v>4.29084526833238</v>
      </c>
      <c r="AH86" s="80" t="n">
        <f aca="false">Table9[[#This Row],[RTH(nom) (kΩ)]]*RT2_TH_S/(RT2_TH_S+Table9[[#This Row],[RTH(nom) (kΩ)]])</f>
        <v>4.35480124377883</v>
      </c>
      <c r="AI86" s="80" t="n">
        <f aca="false">Table9[[#This Row],[RTH(max) (kΩ)]]*RT2_TH_S_MAX/(RT2_TH_S_MAX+Table9[[#This Row],[RTH(max) (kΩ)]])</f>
        <v>4.41775520940043</v>
      </c>
      <c r="AJ86" s="80" t="n">
        <f aca="false">Table9[[#This Row],[RLower(min) (kΩ)]]/(Table9[[#This Row],[RLower(min) (kΩ)]]+RT1_TH_S_MAX)*100</f>
        <v>45.0290063528994</v>
      </c>
      <c r="AK86" s="80" t="n">
        <f aca="false">Table9[[#This Row],[RLower(nom) (kΩ)]]/(Table9[[#This Row],[RLower(nom) (kΩ)]]+RT1_TH_S)*100</f>
        <v>45.4202705520737</v>
      </c>
      <c r="AL86" s="80" t="n">
        <f aca="false">Table9[[#This Row],[RLower(max) (kΩ)]]/(Table9[[#This Row],[RLower(max) (kΩ)]]+RT1_TH_S_MIN)*100</f>
        <v>45.8011413410034</v>
      </c>
      <c r="AM86" s="80" t="n">
        <f aca="false">IF(Table9[[#This Row],[Vmin (%)]]&lt;$BA$14, 0, IF(Table9[[#This Row],[Vmin (%)]]&lt;$BA$12, 4, IF(Table9[[#This Row],[Vmin (%)]]&lt;$BA$9, 3, IF(Table9[[#This Row],[Vmin (%)]]&lt;$BA$7, 2, 0))))</f>
        <v>3</v>
      </c>
      <c r="AN86" s="80" t="n">
        <f aca="false">IF(Table9[[#This Row],[Vmin (%)]]&lt;$BA$13, 0, IF(Table9[[#This Row],[Vmin (%)]]&lt;$BA$11, 4, IF(Table9[[#This Row],[Vmin (%)]]&lt;$BA$10, 3, IF(Table9[[#This Row],[Vmin (%)]]&lt;$BA$8, 2, 0))))</f>
        <v>3</v>
      </c>
      <c r="AO86" s="217" t="str">
        <f aca="false">IF(Table9[[#This Row],[Vmin (%)]]&lt;$BA$14, "Hot", IF(Table9[[#This Row],[Vmin (%)]]&lt;$BA$12, "Warm", IF(Table9[[#This Row],[Vmin (%)]]&lt;$BA$9, "Normal", IF(Table9[[#This Row],[Vmin (%)]]&lt;$BA$7, "Cool", "Cold"))))</f>
        <v>Normal</v>
      </c>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row>
    <row r="87" customFormat="false" ht="16.4" hidden="false" customHeight="false" outlineLevel="0" collapsed="false">
      <c r="A87" s="218" t="n">
        <f aca="false">A86-1</f>
        <v>43</v>
      </c>
      <c r="B87" s="191"/>
      <c r="C87" s="219" t="str">
        <f aca="false">_xlfn.CONCAT("RTH at ",A87, " °C")</f>
        <v>RTH at 43 °C</v>
      </c>
      <c r="D87" s="220" t="n">
        <f aca="false">$D$20-(ROW(D87)-ROW($D$20))*($D$20-$D$105)/(ROW($D$105)-ROW($D$20))</f>
        <v>1.52941176470588</v>
      </c>
      <c r="E87" s="221" t="n">
        <v>5.169</v>
      </c>
      <c r="F87" s="222" t="n">
        <v>5.255</v>
      </c>
      <c r="G87" s="223" t="n">
        <v>5.342</v>
      </c>
      <c r="H87" s="57" t="s">
        <v>18</v>
      </c>
      <c r="I87" s="24"/>
      <c r="J87" s="24" t="n">
        <v>5.342</v>
      </c>
      <c r="K87" s="24" t="n">
        <v>5.255</v>
      </c>
      <c r="L87" s="24" t="n">
        <v>5.169</v>
      </c>
      <c r="M87" s="24"/>
      <c r="N87" s="24"/>
      <c r="O87" s="24"/>
      <c r="P87" s="24"/>
      <c r="Q87" s="24"/>
      <c r="R87" s="24"/>
      <c r="S87" s="24"/>
      <c r="T87" s="24"/>
      <c r="U87" s="24"/>
      <c r="V87" s="24"/>
      <c r="W87" s="24"/>
      <c r="X87" s="24"/>
      <c r="Y87" s="25"/>
      <c r="Z87" s="6"/>
      <c r="AA87" s="7"/>
      <c r="AB87" s="7"/>
      <c r="AC87" s="80" t="n">
        <f aca="false">A87</f>
        <v>43</v>
      </c>
      <c r="AD87" s="80" t="n">
        <f aca="false">E87</f>
        <v>5.169</v>
      </c>
      <c r="AE87" s="80" t="n">
        <f aca="false">F87</f>
        <v>5.255</v>
      </c>
      <c r="AF87" s="80" t="n">
        <f aca="false">G87</f>
        <v>5.342</v>
      </c>
      <c r="AG87" s="80" t="n">
        <f aca="false">Table9[[#This Row],[RTH(min) (kΩ)]]*RT2_TH_MIN/(RT2_TH_MIN+Table9[[#This Row],[RTH(min) (kΩ)]])</f>
        <v>4.41940032848307</v>
      </c>
      <c r="AH87" s="80" t="n">
        <f aca="false">Table9[[#This Row],[RTH(nom) (kΩ)]]*RT2_TH_S/(RT2_TH_S+Table9[[#This Row],[RTH(nom) (kΩ)]])</f>
        <v>4.48277378008822</v>
      </c>
      <c r="AI87" s="80" t="n">
        <f aca="false">Table9[[#This Row],[RTH(max) (kΩ)]]*RT2_TH_S_MAX/(RT2_TH_S_MAX+Table9[[#This Row],[RTH(max) (kΩ)]])</f>
        <v>4.5466062862863</v>
      </c>
      <c r="AJ87" s="80" t="n">
        <f aca="false">Table9[[#This Row],[RLower(min) (kΩ)]]/(Table9[[#This Row],[RLower(min) (kΩ)]]+RT1_TH_S_MAX)*100</f>
        <v>45.7607390289213</v>
      </c>
      <c r="AK87" s="80" t="n">
        <f aca="false">Table9[[#This Row],[RLower(nom) (kΩ)]]/(Table9[[#This Row],[RLower(nom) (kΩ)]]+RT1_TH_S)*100</f>
        <v>46.139174978136</v>
      </c>
      <c r="AL87" s="80" t="n">
        <f aca="false">Table9[[#This Row],[RLower(max) (kΩ)]]/(Table9[[#This Row],[RLower(max) (kΩ)]]+RT1_TH_S_MIN)*100</f>
        <v>46.5156206655333</v>
      </c>
      <c r="AM87" s="80" t="n">
        <f aca="false">IF(Table9[[#This Row],[Vmin (%)]]&lt;$BA$14, 0, IF(Table9[[#This Row],[Vmin (%)]]&lt;$BA$12, 4, IF(Table9[[#This Row],[Vmin (%)]]&lt;$BA$9, 3, IF(Table9[[#This Row],[Vmin (%)]]&lt;$BA$7, 2, 0))))</f>
        <v>3</v>
      </c>
      <c r="AN87" s="80" t="n">
        <f aca="false">IF(Table9[[#This Row],[Vmin (%)]]&lt;$BA$13, 0, IF(Table9[[#This Row],[Vmin (%)]]&lt;$BA$11, 4, IF(Table9[[#This Row],[Vmin (%)]]&lt;$BA$10, 3, IF(Table9[[#This Row],[Vmin (%)]]&lt;$BA$8, 2, 0))))</f>
        <v>3</v>
      </c>
      <c r="AO87" s="217" t="str">
        <f aca="false">IF(Table9[[#This Row],[Vmin (%)]]&lt;$BA$14, "Hot", IF(Table9[[#This Row],[Vmin (%)]]&lt;$BA$12, "Warm", IF(Table9[[#This Row],[Vmin (%)]]&lt;$BA$9, "Normal", IF(Table9[[#This Row],[Vmin (%)]]&lt;$BA$7, "Cool", "Cold"))))</f>
        <v>Normal</v>
      </c>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row>
    <row r="88" customFormat="false" ht="16.4" hidden="false" customHeight="false" outlineLevel="0" collapsed="false">
      <c r="A88" s="218" t="n">
        <f aca="false">A87-1</f>
        <v>42</v>
      </c>
      <c r="B88" s="191"/>
      <c r="C88" s="219" t="str">
        <f aca="false">_xlfn.CONCAT("RTH at ",A88, " °C")</f>
        <v>RTH at 42 °C</v>
      </c>
      <c r="D88" s="220" t="n">
        <f aca="false">$D$20-(ROW(D88)-ROW($D$20))*($D$20-$D$105)/(ROW($D$105)-ROW($D$20))</f>
        <v>1.5</v>
      </c>
      <c r="E88" s="221" t="n">
        <v>5.351</v>
      </c>
      <c r="F88" s="222" t="n">
        <v>5.438</v>
      </c>
      <c r="G88" s="223" t="n">
        <v>5.526</v>
      </c>
      <c r="H88" s="57" t="s">
        <v>18</v>
      </c>
      <c r="I88" s="24"/>
      <c r="J88" s="24" t="n">
        <v>5.526</v>
      </c>
      <c r="K88" s="24" t="n">
        <v>5.438</v>
      </c>
      <c r="L88" s="24" t="n">
        <v>5.351</v>
      </c>
      <c r="M88" s="24"/>
      <c r="N88" s="24"/>
      <c r="O88" s="24"/>
      <c r="P88" s="24"/>
      <c r="Q88" s="24"/>
      <c r="R88" s="24"/>
      <c r="S88" s="24"/>
      <c r="T88" s="24"/>
      <c r="U88" s="24"/>
      <c r="V88" s="24"/>
      <c r="W88" s="24"/>
      <c r="X88" s="24"/>
      <c r="Y88" s="25"/>
      <c r="Z88" s="6"/>
      <c r="AA88" s="7"/>
      <c r="AB88" s="7"/>
      <c r="AC88" s="80" t="n">
        <f aca="false">A88</f>
        <v>42</v>
      </c>
      <c r="AD88" s="80" t="n">
        <f aca="false">E88</f>
        <v>5.351</v>
      </c>
      <c r="AE88" s="80" t="n">
        <f aca="false">F88</f>
        <v>5.438</v>
      </c>
      <c r="AF88" s="80" t="n">
        <f aca="false">G88</f>
        <v>5.526</v>
      </c>
      <c r="AG88" s="80" t="n">
        <f aca="false">Table9[[#This Row],[RTH(min) (kΩ)]]*RT2_TH_MIN/(RT2_TH_MIN+Table9[[#This Row],[RTH(min) (kΩ)]])</f>
        <v>4.55176531212702</v>
      </c>
      <c r="AH88" s="80" t="n">
        <f aca="false">Table9[[#This Row],[RTH(nom) (kΩ)]]*RT2_TH_S/(RT2_TH_S+Table9[[#This Row],[RTH(nom) (kΩ)]])</f>
        <v>4.61526359690008</v>
      </c>
      <c r="AI88" s="80" t="n">
        <f aca="false">Table9[[#This Row],[RTH(max) (kΩ)]]*RT2_TH_S_MAX/(RT2_TH_S_MAX+Table9[[#This Row],[RTH(max) (kΩ)]])</f>
        <v>4.67921228017321</v>
      </c>
      <c r="AJ88" s="80" t="n">
        <f aca="false">Table9[[#This Row],[RLower(min) (kΩ)]]/(Table9[[#This Row],[RLower(min) (kΩ)]]+RT1_TH_S_MAX)*100</f>
        <v>46.4940778060363</v>
      </c>
      <c r="AK88" s="80" t="n">
        <f aca="false">Table9[[#This Row],[RLower(nom) (kΩ)]]/(Table9[[#This Row],[RLower(nom) (kΩ)]]+RT1_TH_S)*100</f>
        <v>46.8637714702238</v>
      </c>
      <c r="AL88" s="80" t="n">
        <f aca="false">Table9[[#This Row],[RLower(max) (kΩ)]]/(Table9[[#This Row],[RLower(max) (kΩ)]]+RT1_TH_S_MIN)*100</f>
        <v>47.2315155321833</v>
      </c>
      <c r="AM88" s="80" t="n">
        <f aca="false">IF(Table9[[#This Row],[Vmin (%)]]&lt;$BA$14, 0, IF(Table9[[#This Row],[Vmin (%)]]&lt;$BA$12, 4, IF(Table9[[#This Row],[Vmin (%)]]&lt;$BA$9, 3, IF(Table9[[#This Row],[Vmin (%)]]&lt;$BA$7, 2, 0))))</f>
        <v>3</v>
      </c>
      <c r="AN88" s="80" t="n">
        <f aca="false">IF(Table9[[#This Row],[Vmin (%)]]&lt;$BA$13, 0, IF(Table9[[#This Row],[Vmin (%)]]&lt;$BA$11, 4, IF(Table9[[#This Row],[Vmin (%)]]&lt;$BA$10, 3, IF(Table9[[#This Row],[Vmin (%)]]&lt;$BA$8, 2, 0))))</f>
        <v>3</v>
      </c>
      <c r="AO88" s="217" t="str">
        <f aca="false">IF(Table9[[#This Row],[Vmin (%)]]&lt;$BA$14, "Hot", IF(Table9[[#This Row],[Vmin (%)]]&lt;$BA$12, "Warm", IF(Table9[[#This Row],[Vmin (%)]]&lt;$BA$9, "Normal", IF(Table9[[#This Row],[Vmin (%)]]&lt;$BA$7, "Cool", "Cold"))))</f>
        <v>Normal</v>
      </c>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row>
    <row r="89" customFormat="false" ht="16.4" hidden="false" customHeight="false" outlineLevel="0" collapsed="false">
      <c r="A89" s="218" t="n">
        <f aca="false">A88-1</f>
        <v>41</v>
      </c>
      <c r="B89" s="191"/>
      <c r="C89" s="219" t="str">
        <f aca="false">_xlfn.CONCAT("RTH at ",A89, " °C")</f>
        <v>RTH at 41 °C</v>
      </c>
      <c r="D89" s="220" t="n">
        <f aca="false">$D$20-(ROW(D89)-ROW($D$20))*($D$20-$D$105)/(ROW($D$105)-ROW($D$20))</f>
        <v>1.47058823529412</v>
      </c>
      <c r="E89" s="221" t="n">
        <v>5.54</v>
      </c>
      <c r="F89" s="222" t="n">
        <v>5.629</v>
      </c>
      <c r="G89" s="223" t="n">
        <v>5.718</v>
      </c>
      <c r="H89" s="57" t="s">
        <v>18</v>
      </c>
      <c r="I89" s="24"/>
      <c r="J89" s="24" t="n">
        <v>5.718</v>
      </c>
      <c r="K89" s="24" t="n">
        <v>5.629</v>
      </c>
      <c r="L89" s="24" t="n">
        <v>5.54</v>
      </c>
      <c r="M89" s="24"/>
      <c r="N89" s="24"/>
      <c r="O89" s="24"/>
      <c r="P89" s="24"/>
      <c r="Q89" s="24"/>
      <c r="R89" s="24"/>
      <c r="S89" s="24"/>
      <c r="T89" s="24"/>
      <c r="U89" s="24"/>
      <c r="V89" s="24"/>
      <c r="W89" s="24"/>
      <c r="X89" s="24"/>
      <c r="Y89" s="25"/>
      <c r="Z89" s="6"/>
      <c r="AA89" s="7"/>
      <c r="AB89" s="7"/>
      <c r="AC89" s="80" t="n">
        <f aca="false">A89</f>
        <v>41</v>
      </c>
      <c r="AD89" s="80" t="n">
        <f aca="false">E89</f>
        <v>5.54</v>
      </c>
      <c r="AE89" s="80" t="n">
        <f aca="false">F89</f>
        <v>5.629</v>
      </c>
      <c r="AF89" s="80" t="n">
        <f aca="false">G89</f>
        <v>5.718</v>
      </c>
      <c r="AG89" s="80" t="n">
        <f aca="false">Table9[[#This Row],[RTH(min) (kΩ)]]*RT2_TH_MIN/(RT2_TH_MIN+Table9[[#This Row],[RTH(min) (kΩ)]])</f>
        <v>4.68780527789448</v>
      </c>
      <c r="AH89" s="80" t="n">
        <f aca="false">Table9[[#This Row],[RTH(nom) (kΩ)]]*RT2_TH_S/(RT2_TH_S+Table9[[#This Row],[RTH(nom) (kΩ)]])</f>
        <v>4.75211406337049</v>
      </c>
      <c r="AI89" s="80" t="n">
        <f aca="false">Table9[[#This Row],[RTH(max) (kΩ)]]*RT2_TH_S_MAX/(RT2_TH_S_MAX+Table9[[#This Row],[RTH(max) (kΩ)]])</f>
        <v>4.81614865570313</v>
      </c>
      <c r="AJ89" s="80" t="n">
        <f aca="false">Table9[[#This Row],[RLower(min) (kΩ)]]/(Table9[[#This Row],[RLower(min) (kΩ)]]+RT1_TH_S_MAX)*100</f>
        <v>47.227396590282</v>
      </c>
      <c r="AK89" s="80" t="n">
        <f aca="false">Table9[[#This Row],[RLower(nom) (kΩ)]]/(Table9[[#This Row],[RLower(nom) (kΩ)]]+RT1_TH_S)*100</f>
        <v>47.5920279590348</v>
      </c>
      <c r="AL89" s="80" t="n">
        <f aca="false">Table9[[#This Row],[RLower(max) (kΩ)]]/(Table9[[#This Row],[RLower(max) (kΩ)]]+RT1_TH_S_MIN)*100</f>
        <v>47.9509492287454</v>
      </c>
      <c r="AM89" s="80" t="n">
        <f aca="false">IF(Table9[[#This Row],[Vmin (%)]]&lt;$BA$14, 0, IF(Table9[[#This Row],[Vmin (%)]]&lt;$BA$12, 4, IF(Table9[[#This Row],[Vmin (%)]]&lt;$BA$9, 3, IF(Table9[[#This Row],[Vmin (%)]]&lt;$BA$7, 2, 0))))</f>
        <v>3</v>
      </c>
      <c r="AN89" s="80" t="n">
        <f aca="false">IF(Table9[[#This Row],[Vmin (%)]]&lt;$BA$13, 0, IF(Table9[[#This Row],[Vmin (%)]]&lt;$BA$11, 4, IF(Table9[[#This Row],[Vmin (%)]]&lt;$BA$10, 3, IF(Table9[[#This Row],[Vmin (%)]]&lt;$BA$8, 2, 0))))</f>
        <v>3</v>
      </c>
      <c r="AO89" s="217" t="str">
        <f aca="false">IF(Table9[[#This Row],[Vmin (%)]]&lt;$BA$14, "Hot", IF(Table9[[#This Row],[Vmin (%)]]&lt;$BA$12, "Warm", IF(Table9[[#This Row],[Vmin (%)]]&lt;$BA$9, "Normal", IF(Table9[[#This Row],[Vmin (%)]]&lt;$BA$7, "Cool", "Cold"))))</f>
        <v>Normal</v>
      </c>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row>
    <row r="90" customFormat="false" ht="16.4" hidden="false" customHeight="false" outlineLevel="0" collapsed="false">
      <c r="A90" s="218" t="n">
        <f aca="false">A89-1</f>
        <v>40</v>
      </c>
      <c r="B90" s="191"/>
      <c r="C90" s="219" t="str">
        <f aca="false">_xlfn.CONCAT("RTH at ",A90, " °C")</f>
        <v>RTH at 40 °C</v>
      </c>
      <c r="D90" s="220" t="n">
        <f aca="false">$D$20-(ROW(D90)-ROW($D$20))*($D$20-$D$105)/(ROW($D$105)-ROW($D$20))</f>
        <v>1.44117647058824</v>
      </c>
      <c r="E90" s="221" t="n">
        <v>5.738</v>
      </c>
      <c r="F90" s="222" t="n">
        <v>5.827</v>
      </c>
      <c r="G90" s="223" t="n">
        <v>5.918</v>
      </c>
      <c r="H90" s="57" t="s">
        <v>18</v>
      </c>
      <c r="I90" s="24"/>
      <c r="J90" s="24" t="n">
        <v>5.918</v>
      </c>
      <c r="K90" s="24" t="n">
        <v>5.827</v>
      </c>
      <c r="L90" s="24" t="n">
        <v>5.738</v>
      </c>
      <c r="M90" s="24"/>
      <c r="N90" s="24"/>
      <c r="O90" s="24"/>
      <c r="P90" s="24"/>
      <c r="Q90" s="24"/>
      <c r="R90" s="24"/>
      <c r="S90" s="24"/>
      <c r="T90" s="24"/>
      <c r="U90" s="24"/>
      <c r="V90" s="24"/>
      <c r="W90" s="24"/>
      <c r="X90" s="24"/>
      <c r="Y90" s="25"/>
      <c r="Z90" s="6"/>
      <c r="AA90" s="7"/>
      <c r="AB90" s="7"/>
      <c r="AC90" s="80" t="n">
        <f aca="false">A90</f>
        <v>40</v>
      </c>
      <c r="AD90" s="80" t="n">
        <f aca="false">E90</f>
        <v>5.738</v>
      </c>
      <c r="AE90" s="80" t="n">
        <f aca="false">F90</f>
        <v>5.827</v>
      </c>
      <c r="AF90" s="80" t="n">
        <f aca="false">G90</f>
        <v>5.918</v>
      </c>
      <c r="AG90" s="80" t="n">
        <f aca="false">Table9[[#This Row],[RTH(min) (kΩ)]]*RT2_TH_MIN/(RT2_TH_MIN+Table9[[#This Row],[RTH(min) (kΩ)]])</f>
        <v>4.82880027003536</v>
      </c>
      <c r="AH90" s="80" t="n">
        <f aca="false">Table9[[#This Row],[RTH(nom) (kΩ)]]*RT2_TH_S/(RT2_TH_S+Table9[[#This Row],[RTH(nom) (kΩ)]])</f>
        <v>4.89246107138068</v>
      </c>
      <c r="AI90" s="80" t="n">
        <f aca="false">Table9[[#This Row],[RTH(max) (kΩ)]]*RT2_TH_S_MAX/(RT2_TH_S_MAX+Table9[[#This Row],[RTH(max) (kΩ)]])</f>
        <v>4.95725683474849</v>
      </c>
      <c r="AJ90" s="80" t="n">
        <f aca="false">Table9[[#This Row],[RLower(min) (kΩ)]]/(Table9[[#This Row],[RLower(min) (kΩ)]]+RT1_TH_S_MAX)*100</f>
        <v>47.9665100066651</v>
      </c>
      <c r="AK90" s="80" t="n">
        <f aca="false">Table9[[#This Row],[RLower(nom) (kΩ)]]/(Table9[[#This Row],[RLower(nom) (kΩ)]]+RT1_TH_S)*100</f>
        <v>48.3184451020255</v>
      </c>
      <c r="AL90" s="80" t="n">
        <f aca="false">Table9[[#This Row],[RLower(max) (kΩ)]]/(Table9[[#This Row],[RLower(max) (kΩ)]]+RT1_TH_S_MIN)*100</f>
        <v>48.6720622346939</v>
      </c>
      <c r="AM90" s="80" t="n">
        <f aca="false">IF(Table9[[#This Row],[Vmin (%)]]&lt;$BA$14, 0, IF(Table9[[#This Row],[Vmin (%)]]&lt;$BA$12, 4, IF(Table9[[#This Row],[Vmin (%)]]&lt;$BA$9, 3, IF(Table9[[#This Row],[Vmin (%)]]&lt;$BA$7, 2, 0))))</f>
        <v>3</v>
      </c>
      <c r="AN90" s="80" t="n">
        <f aca="false">IF(Table9[[#This Row],[Vmin (%)]]&lt;$BA$13, 0, IF(Table9[[#This Row],[Vmin (%)]]&lt;$BA$11, 4, IF(Table9[[#This Row],[Vmin (%)]]&lt;$BA$10, 3, IF(Table9[[#This Row],[Vmin (%)]]&lt;$BA$8, 2, 0))))</f>
        <v>3</v>
      </c>
      <c r="AO90" s="217" t="str">
        <f aca="false">IF(Table9[[#This Row],[Vmin (%)]]&lt;$BA$14, "Hot", IF(Table9[[#This Row],[Vmin (%)]]&lt;$BA$12, "Warm", IF(Table9[[#This Row],[Vmin (%)]]&lt;$BA$9, "Normal", IF(Table9[[#This Row],[Vmin (%)]]&lt;$BA$7, "Cool", "Cold"))))</f>
        <v>Normal</v>
      </c>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row>
    <row r="91" customFormat="false" ht="16.4" hidden="false" customHeight="false" outlineLevel="0" collapsed="false">
      <c r="A91" s="218" t="n">
        <f aca="false">A90-1</f>
        <v>39</v>
      </c>
      <c r="B91" s="191"/>
      <c r="C91" s="219" t="str">
        <f aca="false">_xlfn.CONCAT("RTH at ",A91, " °C")</f>
        <v>RTH at 39 °C</v>
      </c>
      <c r="D91" s="220" t="n">
        <f aca="false">$D$20-(ROW(D91)-ROW($D$20))*($D$20-$D$105)/(ROW($D$105)-ROW($D$20))</f>
        <v>1.41176470588235</v>
      </c>
      <c r="E91" s="221" t="n">
        <v>5.941</v>
      </c>
      <c r="F91" s="222" t="n">
        <v>6.032</v>
      </c>
      <c r="G91" s="223" t="n">
        <v>6.123</v>
      </c>
      <c r="H91" s="57" t="s">
        <v>18</v>
      </c>
      <c r="I91" s="24"/>
      <c r="J91" s="24" t="n">
        <v>6.123</v>
      </c>
      <c r="K91" s="24" t="n">
        <v>6.032</v>
      </c>
      <c r="L91" s="24" t="n">
        <v>5.941</v>
      </c>
      <c r="M91" s="24"/>
      <c r="N91" s="24"/>
      <c r="O91" s="24"/>
      <c r="P91" s="24"/>
      <c r="Q91" s="24"/>
      <c r="R91" s="24"/>
      <c r="S91" s="24"/>
      <c r="T91" s="24"/>
      <c r="U91" s="24"/>
      <c r="V91" s="24"/>
      <c r="W91" s="24"/>
      <c r="X91" s="24"/>
      <c r="Y91" s="25"/>
      <c r="Z91" s="6"/>
      <c r="AA91" s="7"/>
      <c r="AB91" s="7"/>
      <c r="AC91" s="80" t="n">
        <f aca="false">A91</f>
        <v>39</v>
      </c>
      <c r="AD91" s="80" t="n">
        <f aca="false">E91</f>
        <v>5.941</v>
      </c>
      <c r="AE91" s="80" t="n">
        <f aca="false">F91</f>
        <v>6.032</v>
      </c>
      <c r="AF91" s="80" t="n">
        <f aca="false">G91</f>
        <v>6.123</v>
      </c>
      <c r="AG91" s="80" t="n">
        <f aca="false">Table9[[#This Row],[RTH(min) (kΩ)]]*RT2_TH_MIN/(RT2_TH_MIN+Table9[[#This Row],[RTH(min) (kΩ)]])</f>
        <v>4.9717639385982</v>
      </c>
      <c r="AH91" s="80" t="n">
        <f aca="false">Table9[[#This Row],[RTH(nom) (kΩ)]]*RT2_TH_S/(RT2_TH_S+Table9[[#This Row],[RTH(nom) (kΩ)]])</f>
        <v>5.03616711115997</v>
      </c>
      <c r="AI91" s="80" t="n">
        <f aca="false">Table9[[#This Row],[RTH(max) (kΩ)]]*RT2_TH_S_MAX/(RT2_TH_S_MAX+Table9[[#This Row],[RTH(max) (kΩ)]])</f>
        <v>5.10029480567865</v>
      </c>
      <c r="AJ91" s="80" t="n">
        <f aca="false">Table9[[#This Row],[RLower(min) (kΩ)]]/(Table9[[#This Row],[RLower(min) (kΩ)]]+RT1_TH_S_MAX)*100</f>
        <v>48.6951003401498</v>
      </c>
      <c r="AK91" s="80" t="n">
        <f aca="false">Table9[[#This Row],[RLower(nom) (kΩ)]]/(Table9[[#This Row],[RLower(nom) (kΩ)]]+RT1_TH_S)*100</f>
        <v>49.0416739585149</v>
      </c>
      <c r="AL91" s="80" t="n">
        <f aca="false">Table9[[#This Row],[RLower(max) (kΩ)]]/(Table9[[#This Row],[RLower(max) (kΩ)]]+RT1_TH_S_MIN)*100</f>
        <v>49.3829265280372</v>
      </c>
      <c r="AM91" s="80" t="n">
        <f aca="false">IF(Table9[[#This Row],[Vmin (%)]]&lt;$BA$14, 0, IF(Table9[[#This Row],[Vmin (%)]]&lt;$BA$12, 4, IF(Table9[[#This Row],[Vmin (%)]]&lt;$BA$9, 3, IF(Table9[[#This Row],[Vmin (%)]]&lt;$BA$7, 2, 0))))</f>
        <v>3</v>
      </c>
      <c r="AN91" s="80" t="n">
        <f aca="false">IF(Table9[[#This Row],[Vmin (%)]]&lt;$BA$13, 0, IF(Table9[[#This Row],[Vmin (%)]]&lt;$BA$11, 4, IF(Table9[[#This Row],[Vmin (%)]]&lt;$BA$10, 3, IF(Table9[[#This Row],[Vmin (%)]]&lt;$BA$8, 2, 0))))</f>
        <v>3</v>
      </c>
      <c r="AO91" s="217" t="str">
        <f aca="false">IF(Table9[[#This Row],[Vmin (%)]]&lt;$BA$14, "Hot", IF(Table9[[#This Row],[Vmin (%)]]&lt;$BA$12, "Warm", IF(Table9[[#This Row],[Vmin (%)]]&lt;$BA$9, "Normal", IF(Table9[[#This Row],[Vmin (%)]]&lt;$BA$7, "Cool", "Cold"))))</f>
        <v>Normal</v>
      </c>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row>
    <row r="92" customFormat="false" ht="16.4" hidden="false" customHeight="false" outlineLevel="0" collapsed="false">
      <c r="A92" s="218" t="n">
        <f aca="false">A91-1</f>
        <v>38</v>
      </c>
      <c r="B92" s="191"/>
      <c r="C92" s="219" t="str">
        <f aca="false">_xlfn.CONCAT("RTH at ",A92, " °C")</f>
        <v>RTH at 38 °C</v>
      </c>
      <c r="D92" s="220" t="n">
        <f aca="false">$D$20-(ROW(D92)-ROW($D$20))*($D$20-$D$105)/(ROW($D$105)-ROW($D$20))</f>
        <v>1.38235294117647</v>
      </c>
      <c r="E92" s="221" t="n">
        <v>6.153</v>
      </c>
      <c r="F92" s="222" t="n">
        <v>6.245</v>
      </c>
      <c r="G92" s="223" t="n">
        <v>6.337</v>
      </c>
      <c r="H92" s="57" t="s">
        <v>18</v>
      </c>
      <c r="I92" s="24"/>
      <c r="J92" s="24" t="n">
        <v>6.337</v>
      </c>
      <c r="K92" s="24" t="n">
        <v>6.245</v>
      </c>
      <c r="L92" s="24" t="n">
        <v>6.153</v>
      </c>
      <c r="M92" s="24"/>
      <c r="N92" s="24"/>
      <c r="O92" s="24"/>
      <c r="P92" s="24"/>
      <c r="Q92" s="24"/>
      <c r="R92" s="24"/>
      <c r="S92" s="24"/>
      <c r="T92" s="24"/>
      <c r="U92" s="24"/>
      <c r="V92" s="24"/>
      <c r="W92" s="24"/>
      <c r="X92" s="24"/>
      <c r="Y92" s="25"/>
      <c r="Z92" s="6"/>
      <c r="AA92" s="7"/>
      <c r="AB92" s="7"/>
      <c r="AC92" s="80" t="n">
        <f aca="false">A92</f>
        <v>38</v>
      </c>
      <c r="AD92" s="80" t="n">
        <f aca="false">E92</f>
        <v>6.153</v>
      </c>
      <c r="AE92" s="80" t="n">
        <f aca="false">F92</f>
        <v>6.245</v>
      </c>
      <c r="AF92" s="80" t="n">
        <f aca="false">G92</f>
        <v>6.337</v>
      </c>
      <c r="AG92" s="80" t="n">
        <f aca="false">Table9[[#This Row],[RTH(min) (kΩ)]]*RT2_TH_MIN/(RT2_TH_MIN+Table9[[#This Row],[RTH(min) (kΩ)]])</f>
        <v>5.11937427682928</v>
      </c>
      <c r="AH92" s="80" t="n">
        <f aca="false">Table9[[#This Row],[RTH(nom) (kΩ)]]*RT2_TH_S/(RT2_TH_S+Table9[[#This Row],[RTH(nom) (kΩ)]])</f>
        <v>5.1837828837085</v>
      </c>
      <c r="AI92" s="80" t="n">
        <f aca="false">Table9[[#This Row],[RTH(max) (kΩ)]]*RT2_TH_S_MAX/(RT2_TH_S_MAX+Table9[[#This Row],[RTH(max) (kΩ)]])</f>
        <v>5.24791573659717</v>
      </c>
      <c r="AJ92" s="80" t="n">
        <f aca="false">Table9[[#This Row],[RLower(min) (kΩ)]]/(Table9[[#This Row],[RLower(min) (kΩ)]]+RT1_TH_S_MAX)*100</f>
        <v>49.4262672852678</v>
      </c>
      <c r="AK92" s="80" t="n">
        <f aca="false">Table9[[#This Row],[RLower(nom) (kΩ)]]/(Table9[[#This Row],[RLower(nom) (kΩ)]]+RT1_TH_S)*100</f>
        <v>49.7638027715574</v>
      </c>
      <c r="AL92" s="80" t="n">
        <f aca="false">Table9[[#This Row],[RLower(max) (kΩ)]]/(Table9[[#This Row],[RLower(max) (kΩ)]]+RT1_TH_S_MIN)*100</f>
        <v>50.0962113804627</v>
      </c>
      <c r="AM92" s="80" t="n">
        <f aca="false">IF(Table9[[#This Row],[Vmin (%)]]&lt;$BA$14, 0, IF(Table9[[#This Row],[Vmin (%)]]&lt;$BA$12, 4, IF(Table9[[#This Row],[Vmin (%)]]&lt;$BA$9, 3, IF(Table9[[#This Row],[Vmin (%)]]&lt;$BA$7, 2, 0))))</f>
        <v>3</v>
      </c>
      <c r="AN92" s="80" t="n">
        <f aca="false">IF(Table9[[#This Row],[Vmin (%)]]&lt;$BA$13, 0, IF(Table9[[#This Row],[Vmin (%)]]&lt;$BA$11, 4, IF(Table9[[#This Row],[Vmin (%)]]&lt;$BA$10, 3, IF(Table9[[#This Row],[Vmin (%)]]&lt;$BA$8, 2, 0))))</f>
        <v>3</v>
      </c>
      <c r="AO92" s="217" t="str">
        <f aca="false">IF(Table9[[#This Row],[Vmin (%)]]&lt;$BA$14, "Hot", IF(Table9[[#This Row],[Vmin (%)]]&lt;$BA$12, "Warm", IF(Table9[[#This Row],[Vmin (%)]]&lt;$BA$9, "Normal", IF(Table9[[#This Row],[Vmin (%)]]&lt;$BA$7, "Cool", "Cold"))))</f>
        <v>Normal</v>
      </c>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A92" s="7"/>
      <c r="HB92" s="7"/>
    </row>
    <row r="93" customFormat="false" ht="16.4" hidden="false" customHeight="false" outlineLevel="0" collapsed="false">
      <c r="A93" s="218" t="n">
        <f aca="false">A92-1</f>
        <v>37</v>
      </c>
      <c r="B93" s="191"/>
      <c r="C93" s="219" t="str">
        <f aca="false">_xlfn.CONCAT("RTH at ",A93, " °C")</f>
        <v>RTH at 37 °C</v>
      </c>
      <c r="D93" s="220" t="n">
        <f aca="false">$D$20-(ROW(D93)-ROW($D$20))*($D$20-$D$105)/(ROW($D$105)-ROW($D$20))</f>
        <v>1.35294117647059</v>
      </c>
      <c r="E93" s="221" t="n">
        <v>6.374</v>
      </c>
      <c r="F93" s="222" t="n">
        <v>6.467</v>
      </c>
      <c r="G93" s="223" t="n">
        <v>6.56</v>
      </c>
      <c r="H93" s="57" t="s">
        <v>18</v>
      </c>
      <c r="I93" s="24"/>
      <c r="J93" s="24" t="n">
        <v>6.56</v>
      </c>
      <c r="K93" s="24" t="n">
        <v>6.467</v>
      </c>
      <c r="L93" s="24" t="n">
        <v>6.374</v>
      </c>
      <c r="M93" s="24"/>
      <c r="N93" s="24"/>
      <c r="O93" s="24"/>
      <c r="P93" s="24"/>
      <c r="Q93" s="24"/>
      <c r="R93" s="24"/>
      <c r="S93" s="24"/>
      <c r="T93" s="24"/>
      <c r="U93" s="24"/>
      <c r="V93" s="24"/>
      <c r="W93" s="24"/>
      <c r="X93" s="24"/>
      <c r="Y93" s="25"/>
      <c r="Z93" s="6"/>
      <c r="AA93" s="7"/>
      <c r="AB93" s="7"/>
      <c r="AC93" s="80" t="n">
        <f aca="false">A93</f>
        <v>37</v>
      </c>
      <c r="AD93" s="80" t="n">
        <f aca="false">E93</f>
        <v>6.374</v>
      </c>
      <c r="AE93" s="80" t="n">
        <f aca="false">F93</f>
        <v>6.467</v>
      </c>
      <c r="AF93" s="80" t="n">
        <f aca="false">G93</f>
        <v>6.56</v>
      </c>
      <c r="AG93" s="80" t="n">
        <f aca="false">Table9[[#This Row],[RTH(min) (kΩ)]]*RT2_TH_MIN/(RT2_TH_MIN+Table9[[#This Row],[RTH(min) (kΩ)]])</f>
        <v>5.2714429267357</v>
      </c>
      <c r="AH93" s="80" t="n">
        <f aca="false">Table9[[#This Row],[RTH(nom) (kΩ)]]*RT2_TH_S/(RT2_TH_S+Table9[[#This Row],[RTH(nom) (kΩ)]])</f>
        <v>5.33582577322061</v>
      </c>
      <c r="AI93" s="80" t="n">
        <f aca="false">Table9[[#This Row],[RTH(max) (kΩ)]]*RT2_TH_S_MAX/(RT2_TH_S_MAX+Table9[[#This Row],[RTH(max) (kΩ)]])</f>
        <v>5.39993286705133</v>
      </c>
      <c r="AJ93" s="80" t="n">
        <f aca="false">Table9[[#This Row],[RLower(min) (kΩ)]]/(Table9[[#This Row],[RLower(min) (kΩ)]]+RT1_TH_S_MAX)*100</f>
        <v>50.1580392060445</v>
      </c>
      <c r="AK93" s="80" t="n">
        <f aca="false">Table9[[#This Row],[RLower(nom) (kΩ)]]/(Table9[[#This Row],[RLower(nom) (kΩ)]]+RT1_TH_S)*100</f>
        <v>50.4865001787036</v>
      </c>
      <c r="AL93" s="80" t="n">
        <f aca="false">Table9[[#This Row],[RLower(max) (kΩ)]]/(Table9[[#This Row],[RLower(max) (kΩ)]]+RT1_TH_S_MIN)*100</f>
        <v>50.8100287777238</v>
      </c>
      <c r="AM93" s="80" t="n">
        <f aca="false">IF(Table9[[#This Row],[Vmin (%)]]&lt;$BA$14, 0, IF(Table9[[#This Row],[Vmin (%)]]&lt;$BA$12, 4, IF(Table9[[#This Row],[Vmin (%)]]&lt;$BA$9, 3, IF(Table9[[#This Row],[Vmin (%)]]&lt;$BA$7, 2, 0))))</f>
        <v>3</v>
      </c>
      <c r="AN93" s="80" t="n">
        <f aca="false">IF(Table9[[#This Row],[Vmin (%)]]&lt;$BA$13, 0, IF(Table9[[#This Row],[Vmin (%)]]&lt;$BA$11, 4, IF(Table9[[#This Row],[Vmin (%)]]&lt;$BA$10, 3, IF(Table9[[#This Row],[Vmin (%)]]&lt;$BA$8, 2, 0))))</f>
        <v>3</v>
      </c>
      <c r="AO93" s="217" t="str">
        <f aca="false">IF(Table9[[#This Row],[Vmin (%)]]&lt;$BA$14, "Hot", IF(Table9[[#This Row],[Vmin (%)]]&lt;$BA$12, "Warm", IF(Table9[[#This Row],[Vmin (%)]]&lt;$BA$9, "Normal", IF(Table9[[#This Row],[Vmin (%)]]&lt;$BA$7, "Cool", "Cold"))))</f>
        <v>Normal</v>
      </c>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row>
    <row r="94" customFormat="false" ht="16.4" hidden="false" customHeight="false" outlineLevel="0" collapsed="false">
      <c r="A94" s="218" t="n">
        <f aca="false">A93-1</f>
        <v>36</v>
      </c>
      <c r="B94" s="191"/>
      <c r="C94" s="219" t="str">
        <f aca="false">_xlfn.CONCAT("RTH at ",A94, " °C")</f>
        <v>RTH at 36 °C</v>
      </c>
      <c r="D94" s="220" t="n">
        <f aca="false">$D$20-(ROW(D94)-ROW($D$20))*($D$20-$D$105)/(ROW($D$105)-ROW($D$20))</f>
        <v>1.32352941176471</v>
      </c>
      <c r="E94" s="221" t="n">
        <v>6.605</v>
      </c>
      <c r="F94" s="222" t="n">
        <v>6.699</v>
      </c>
      <c r="G94" s="223" t="n">
        <v>6.793</v>
      </c>
      <c r="H94" s="57" t="s">
        <v>18</v>
      </c>
      <c r="I94" s="24"/>
      <c r="J94" s="24" t="n">
        <v>6.793</v>
      </c>
      <c r="K94" s="24" t="n">
        <v>6.699</v>
      </c>
      <c r="L94" s="24" t="n">
        <v>6.605</v>
      </c>
      <c r="M94" s="24"/>
      <c r="N94" s="24"/>
      <c r="O94" s="24"/>
      <c r="P94" s="24"/>
      <c r="Q94" s="24"/>
      <c r="R94" s="24"/>
      <c r="S94" s="24"/>
      <c r="T94" s="24"/>
      <c r="U94" s="24"/>
      <c r="V94" s="24"/>
      <c r="W94" s="24"/>
      <c r="X94" s="24"/>
      <c r="Y94" s="25"/>
      <c r="Z94" s="6"/>
      <c r="AA94" s="7"/>
      <c r="AB94" s="7"/>
      <c r="AC94" s="80" t="n">
        <f aca="false">A94</f>
        <v>36</v>
      </c>
      <c r="AD94" s="80" t="n">
        <f aca="false">E94</f>
        <v>6.605</v>
      </c>
      <c r="AE94" s="80" t="n">
        <f aca="false">F94</f>
        <v>6.699</v>
      </c>
      <c r="AF94" s="80" t="n">
        <f aca="false">G94</f>
        <v>6.793</v>
      </c>
      <c r="AG94" s="80" t="n">
        <f aca="false">Table9[[#This Row],[RTH(min) (kΩ)]]*RT2_TH_MIN/(RT2_TH_MIN+Table9[[#This Row],[RTH(min) (kΩ)]])</f>
        <v>5.42845492605607</v>
      </c>
      <c r="AH94" s="80" t="n">
        <f aca="false">Table9[[#This Row],[RTH(nom) (kΩ)]]*RT2_TH_S/(RT2_TH_S+Table9[[#This Row],[RTH(nom) (kΩ)]])</f>
        <v>5.49277850280606</v>
      </c>
      <c r="AI94" s="80" t="n">
        <f aca="false">Table9[[#This Row],[RTH(max) (kΩ)]]*RT2_TH_S_MAX/(RT2_TH_S_MAX+Table9[[#This Row],[RTH(max) (kΩ)]])</f>
        <v>5.55682662838564</v>
      </c>
      <c r="AJ94" s="80" t="n">
        <f aca="false">Table9[[#This Row],[RLower(min) (kΩ)]]/(Table9[[#This Row],[RLower(min) (kΩ)]]+RT1_TH_S_MAX)*100</f>
        <v>50.8917057828055</v>
      </c>
      <c r="AK94" s="80" t="n">
        <f aca="false">Table9[[#This Row],[RLower(nom) (kΩ)]]/(Table9[[#This Row],[RLower(nom) (kΩ)]]+RT1_TH_S)*100</f>
        <v>51.2110429576505</v>
      </c>
      <c r="AL94" s="80" t="n">
        <f aca="false">Table9[[#This Row],[RLower(max) (kΩ)]]/(Table9[[#This Row],[RLower(max) (kΩ)]]+RT1_TH_S_MIN)*100</f>
        <v>51.5256427544808</v>
      </c>
      <c r="AM94" s="80" t="n">
        <f aca="false">IF(Table9[[#This Row],[Vmin (%)]]&lt;$BA$14, 0, IF(Table9[[#This Row],[Vmin (%)]]&lt;$BA$12, 4, IF(Table9[[#This Row],[Vmin (%)]]&lt;$BA$9, 3, IF(Table9[[#This Row],[Vmin (%)]]&lt;$BA$7, 2, 0))))</f>
        <v>3</v>
      </c>
      <c r="AN94" s="80" t="n">
        <f aca="false">IF(Table9[[#This Row],[Vmin (%)]]&lt;$BA$13, 0, IF(Table9[[#This Row],[Vmin (%)]]&lt;$BA$11, 4, IF(Table9[[#This Row],[Vmin (%)]]&lt;$BA$10, 3, IF(Table9[[#This Row],[Vmin (%)]]&lt;$BA$8, 2, 0))))</f>
        <v>3</v>
      </c>
      <c r="AO94" s="217" t="str">
        <f aca="false">IF(Table9[[#This Row],[Vmin (%)]]&lt;$BA$14, "Hot", IF(Table9[[#This Row],[Vmin (%)]]&lt;$BA$12, "Warm", IF(Table9[[#This Row],[Vmin (%)]]&lt;$BA$9, "Normal", IF(Table9[[#This Row],[Vmin (%)]]&lt;$BA$7, "Cool", "Cold"))))</f>
        <v>Normal</v>
      </c>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A94" s="7"/>
      <c r="HB94" s="7"/>
    </row>
    <row r="95" customFormat="false" ht="16.4" hidden="false" customHeight="false" outlineLevel="0" collapsed="false">
      <c r="A95" s="218" t="n">
        <f aca="false">A94-1</f>
        <v>35</v>
      </c>
      <c r="B95" s="191"/>
      <c r="C95" s="219" t="str">
        <f aca="false">_xlfn.CONCAT("RTH at ",A95, " °C")</f>
        <v>RTH at 35 °C</v>
      </c>
      <c r="D95" s="220" t="n">
        <f aca="false">$D$20-(ROW(D95)-ROW($D$20))*($D$20-$D$105)/(ROW($D$105)-ROW($D$20))</f>
        <v>1.29411764705882</v>
      </c>
      <c r="E95" s="221" t="n">
        <v>6.845</v>
      </c>
      <c r="F95" s="222" t="n">
        <v>6.94</v>
      </c>
      <c r="G95" s="223" t="n">
        <v>7.035</v>
      </c>
      <c r="H95" s="57" t="s">
        <v>18</v>
      </c>
      <c r="I95" s="24"/>
      <c r="J95" s="24" t="n">
        <v>7.035</v>
      </c>
      <c r="K95" s="24" t="n">
        <v>6.94</v>
      </c>
      <c r="L95" s="24" t="n">
        <v>6.845</v>
      </c>
      <c r="M95" s="24"/>
      <c r="N95" s="24"/>
      <c r="O95" s="24"/>
      <c r="P95" s="24"/>
      <c r="Q95" s="24"/>
      <c r="R95" s="24"/>
      <c r="S95" s="24"/>
      <c r="T95" s="24"/>
      <c r="U95" s="24"/>
      <c r="V95" s="24"/>
      <c r="W95" s="24"/>
      <c r="X95" s="24"/>
      <c r="Y95" s="25"/>
      <c r="Z95" s="6"/>
      <c r="AA95" s="7"/>
      <c r="AB95" s="7"/>
      <c r="AC95" s="80" t="n">
        <f aca="false">A95</f>
        <v>35</v>
      </c>
      <c r="AD95" s="80" t="n">
        <f aca="false">E95</f>
        <v>6.845</v>
      </c>
      <c r="AE95" s="80" t="n">
        <f aca="false">F95</f>
        <v>6.94</v>
      </c>
      <c r="AF95" s="80" t="n">
        <f aca="false">G95</f>
        <v>7.035</v>
      </c>
      <c r="AG95" s="80" t="n">
        <f aca="false">Table9[[#This Row],[RTH(min) (kΩ)]]*RT2_TH_MIN/(RT2_TH_MIN+Table9[[#This Row],[RTH(min) (kΩ)]])</f>
        <v>5.58952547669902</v>
      </c>
      <c r="AH95" s="80" t="n">
        <f aca="false">Table9[[#This Row],[RTH(nom) (kΩ)]]*RT2_TH_S/(RT2_TH_S+Table9[[#This Row],[RTH(nom) (kΩ)]])</f>
        <v>5.65376041489264</v>
      </c>
      <c r="AI95" s="80" t="n">
        <f aca="false">Table9[[#This Row],[RTH(max) (kΩ)]]*RT2_TH_S_MAX/(RT2_TH_S_MAX+Table9[[#This Row],[RTH(max) (kΩ)]])</f>
        <v>5.71772046809516</v>
      </c>
      <c r="AJ95" s="80" t="n">
        <f aca="false">Table9[[#This Row],[RLower(min) (kΩ)]]/(Table9[[#This Row],[RLower(min) (kΩ)]]+RT1_TH_S_MAX)*100</f>
        <v>51.6222269226728</v>
      </c>
      <c r="AK95" s="80" t="n">
        <f aca="false">Table9[[#This Row],[RLower(nom) (kΩ)]]/(Table9[[#This Row],[RLower(nom) (kΩ)]]+RT1_TH_S)*100</f>
        <v>51.9324830997232</v>
      </c>
      <c r="AL95" s="80" t="n">
        <f aca="false">Table9[[#This Row],[RLower(max) (kΩ)]]/(Table9[[#This Row],[RLower(max) (kΩ)]]+RT1_TH_S_MIN)*100</f>
        <v>52.2381950085001</v>
      </c>
      <c r="AM95" s="80" t="n">
        <f aca="false">IF(Table9[[#This Row],[Vmin (%)]]&lt;$BA$14, 0, IF(Table9[[#This Row],[Vmin (%)]]&lt;$BA$12, 4, IF(Table9[[#This Row],[Vmin (%)]]&lt;$BA$9, 3, IF(Table9[[#This Row],[Vmin (%)]]&lt;$BA$7, 2, 0))))</f>
        <v>3</v>
      </c>
      <c r="AN95" s="80" t="n">
        <f aca="false">IF(Table9[[#This Row],[Vmin (%)]]&lt;$BA$13, 0, IF(Table9[[#This Row],[Vmin (%)]]&lt;$BA$11, 4, IF(Table9[[#This Row],[Vmin (%)]]&lt;$BA$10, 3, IF(Table9[[#This Row],[Vmin (%)]]&lt;$BA$8, 2, 0))))</f>
        <v>3</v>
      </c>
      <c r="AO95" s="217" t="str">
        <f aca="false">IF(Table9[[#This Row],[Vmin (%)]]&lt;$BA$14, "Hot", IF(Table9[[#This Row],[Vmin (%)]]&lt;$BA$12, "Warm", IF(Table9[[#This Row],[Vmin (%)]]&lt;$BA$9, "Normal", IF(Table9[[#This Row],[Vmin (%)]]&lt;$BA$7, "Cool", "Cold"))))</f>
        <v>Normal</v>
      </c>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row>
    <row r="96" customFormat="false" ht="16.4" hidden="false" customHeight="false" outlineLevel="0" collapsed="false">
      <c r="A96" s="218" t="n">
        <f aca="false">A95-1</f>
        <v>34</v>
      </c>
      <c r="B96" s="191"/>
      <c r="C96" s="219" t="str">
        <f aca="false">_xlfn.CONCAT("RTH at ",A96, " °C")</f>
        <v>RTH at 34 °C</v>
      </c>
      <c r="D96" s="220" t="n">
        <f aca="false">$D$20-(ROW(D96)-ROW($D$20))*($D$20-$D$105)/(ROW($D$105)-ROW($D$20))</f>
        <v>1.26470588235294</v>
      </c>
      <c r="E96" s="221" t="n">
        <v>7.096</v>
      </c>
      <c r="F96" s="222" t="n">
        <v>7.192</v>
      </c>
      <c r="G96" s="223" t="n">
        <v>7.288</v>
      </c>
      <c r="H96" s="57" t="s">
        <v>18</v>
      </c>
      <c r="I96" s="24"/>
      <c r="J96" s="24" t="n">
        <v>7.288</v>
      </c>
      <c r="K96" s="24" t="n">
        <v>7.192</v>
      </c>
      <c r="L96" s="24" t="n">
        <v>7.096</v>
      </c>
      <c r="M96" s="24"/>
      <c r="N96" s="24"/>
      <c r="O96" s="24"/>
      <c r="P96" s="24"/>
      <c r="Q96" s="24"/>
      <c r="R96" s="24"/>
      <c r="S96" s="24"/>
      <c r="T96" s="24"/>
      <c r="U96" s="24"/>
      <c r="V96" s="24"/>
      <c r="W96" s="24"/>
      <c r="X96" s="24"/>
      <c r="Y96" s="25"/>
      <c r="Z96" s="6"/>
      <c r="AA96" s="7"/>
      <c r="AB96" s="7"/>
      <c r="AC96" s="80" t="n">
        <f aca="false">A96</f>
        <v>34</v>
      </c>
      <c r="AD96" s="80" t="n">
        <f aca="false">E96</f>
        <v>7.096</v>
      </c>
      <c r="AE96" s="80" t="n">
        <f aca="false">F96</f>
        <v>7.192</v>
      </c>
      <c r="AF96" s="80" t="n">
        <f aca="false">G96</f>
        <v>7.288</v>
      </c>
      <c r="AG96" s="80" t="n">
        <f aca="false">Table9[[#This Row],[RTH(min) (kΩ)]]*RT2_TH_MIN/(RT2_TH_MIN+Table9[[#This Row],[RTH(min) (kΩ)]])</f>
        <v>5.75577697174311</v>
      </c>
      <c r="AH96" s="80" t="n">
        <f aca="false">Table9[[#This Row],[RTH(nom) (kΩ)]]*RT2_TH_S/(RT2_TH_S+Table9[[#This Row],[RTH(nom) (kΩ)]])</f>
        <v>5.81988865653812</v>
      </c>
      <c r="AI96" s="80" t="n">
        <f aca="false">Table9[[#This Row],[RTH(max) (kΩ)]]*RT2_TH_S_MAX/(RT2_TH_S_MAX+Table9[[#This Row],[RTH(max) (kΩ)]])</f>
        <v>5.88372633597363</v>
      </c>
      <c r="AJ96" s="80" t="n">
        <f aca="false">Table9[[#This Row],[RLower(min) (kΩ)]]/(Table9[[#This Row],[RLower(min) (kΩ)]]+RT1_TH_S_MAX)*100</f>
        <v>52.3537965323856</v>
      </c>
      <c r="AK96" s="80" t="n">
        <f aca="false">Table9[[#This Row],[RLower(nom) (kΩ)]]/(Table9[[#This Row],[RLower(nom) (kΩ)]]+RT1_TH_S)*100</f>
        <v>52.6549529179949</v>
      </c>
      <c r="AL96" s="80" t="n">
        <f aca="false">Table9[[#This Row],[RLower(max) (kΩ)]]/(Table9[[#This Row],[RLower(max) (kΩ)]]+RT1_TH_S_MIN)*100</f>
        <v>52.9517576197804</v>
      </c>
      <c r="AM96" s="80" t="n">
        <f aca="false">IF(Table9[[#This Row],[Vmin (%)]]&lt;$BA$14, 0, IF(Table9[[#This Row],[Vmin (%)]]&lt;$BA$12, 4, IF(Table9[[#This Row],[Vmin (%)]]&lt;$BA$9, 3, IF(Table9[[#This Row],[Vmin (%)]]&lt;$BA$7, 2, 0))))</f>
        <v>3</v>
      </c>
      <c r="AN96" s="80" t="n">
        <f aca="false">IF(Table9[[#This Row],[Vmin (%)]]&lt;$BA$13, 0, IF(Table9[[#This Row],[Vmin (%)]]&lt;$BA$11, 4, IF(Table9[[#This Row],[Vmin (%)]]&lt;$BA$10, 3, IF(Table9[[#This Row],[Vmin (%)]]&lt;$BA$8, 2, 0))))</f>
        <v>3</v>
      </c>
      <c r="AO96" s="217" t="str">
        <f aca="false">IF(Table9[[#This Row],[Vmin (%)]]&lt;$BA$14, "Hot", IF(Table9[[#This Row],[Vmin (%)]]&lt;$BA$12, "Warm", IF(Table9[[#This Row],[Vmin (%)]]&lt;$BA$9, "Normal", IF(Table9[[#This Row],[Vmin (%)]]&lt;$BA$7, "Cool", "Cold"))))</f>
        <v>Normal</v>
      </c>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row>
    <row r="97" customFormat="false" ht="16.4" hidden="false" customHeight="false" outlineLevel="0" collapsed="false">
      <c r="A97" s="218" t="n">
        <f aca="false">A96-1</f>
        <v>33</v>
      </c>
      <c r="B97" s="191"/>
      <c r="C97" s="219" t="str">
        <f aca="false">_xlfn.CONCAT("RTH at ",A97, " °C")</f>
        <v>RTH at 33 °C</v>
      </c>
      <c r="D97" s="220" t="n">
        <f aca="false">$D$20-(ROW(D97)-ROW($D$20))*($D$20-$D$105)/(ROW($D$105)-ROW($D$20))</f>
        <v>1.23529411764706</v>
      </c>
      <c r="E97" s="221" t="n">
        <v>7.358</v>
      </c>
      <c r="F97" s="222" t="n">
        <v>7.454</v>
      </c>
      <c r="G97" s="223" t="n">
        <v>7.551</v>
      </c>
      <c r="H97" s="57" t="s">
        <v>18</v>
      </c>
      <c r="I97" s="24"/>
      <c r="J97" s="24" t="n">
        <v>7.551</v>
      </c>
      <c r="K97" s="24" t="n">
        <v>7.454</v>
      </c>
      <c r="L97" s="24" t="n">
        <v>7.358</v>
      </c>
      <c r="M97" s="24"/>
      <c r="N97" s="24"/>
      <c r="O97" s="24"/>
      <c r="P97" s="24"/>
      <c r="Q97" s="24"/>
      <c r="R97" s="24"/>
      <c r="S97" s="24"/>
      <c r="T97" s="24"/>
      <c r="U97" s="24"/>
      <c r="V97" s="24"/>
      <c r="W97" s="24"/>
      <c r="X97" s="24"/>
      <c r="Y97" s="25"/>
      <c r="Z97" s="6"/>
      <c r="AA97" s="7"/>
      <c r="AB97" s="7"/>
      <c r="AC97" s="80" t="n">
        <f aca="false">A97</f>
        <v>33</v>
      </c>
      <c r="AD97" s="80" t="n">
        <f aca="false">E97</f>
        <v>7.358</v>
      </c>
      <c r="AE97" s="80" t="n">
        <f aca="false">F97</f>
        <v>7.454</v>
      </c>
      <c r="AF97" s="80" t="n">
        <f aca="false">G97</f>
        <v>7.551</v>
      </c>
      <c r="AG97" s="80" t="n">
        <f aca="false">Table9[[#This Row],[RTH(min) (kΩ)]]*RT2_TH_MIN/(RT2_TH_MIN+Table9[[#This Row],[RTH(min) (kΩ)]])</f>
        <v>5.92696127843009</v>
      </c>
      <c r="AH97" s="80" t="n">
        <f aca="false">Table9[[#This Row],[RTH(nom) (kΩ)]]*RT2_TH_S/(RT2_TH_S+Table9[[#This Row],[RTH(nom) (kΩ)]])</f>
        <v>5.99027050865575</v>
      </c>
      <c r="AI97" s="80" t="n">
        <f aca="false">Table9[[#This Row],[RTH(max) (kΩ)]]*RT2_TH_S_MAX/(RT2_TH_S_MAX+Table9[[#This Row],[RTH(max) (kΩ)]])</f>
        <v>6.0539557568269</v>
      </c>
      <c r="AJ97" s="80" t="n">
        <f aca="false">Table9[[#This Row],[RLower(min) (kΩ)]]/(Table9[[#This Row],[RLower(min) (kΩ)]]+RT1_TH_S_MAX)*100</f>
        <v>53.0843067749559</v>
      </c>
      <c r="AK97" s="80" t="n">
        <f aca="false">Table9[[#This Row],[RLower(nom) (kΩ)]]/(Table9[[#This Row],[RLower(nom) (kΩ)]]+RT1_TH_S)*100</f>
        <v>53.3737044768607</v>
      </c>
      <c r="AL97" s="80" t="n">
        <f aca="false">Table9[[#This Row],[RLower(max) (kΩ)]]/(Table9[[#This Row],[RLower(max) (kΩ)]]+RT1_TH_S_MIN)*100</f>
        <v>53.6616670461911</v>
      </c>
      <c r="AM97" s="80" t="n">
        <f aca="false">IF(Table9[[#This Row],[Vmin (%)]]&lt;$BA$14, 0, IF(Table9[[#This Row],[Vmin (%)]]&lt;$BA$12, 4, IF(Table9[[#This Row],[Vmin (%)]]&lt;$BA$9, 3, IF(Table9[[#This Row],[Vmin (%)]]&lt;$BA$7, 2, 0))))</f>
        <v>3</v>
      </c>
      <c r="AN97" s="80" t="n">
        <f aca="false">IF(Table9[[#This Row],[Vmin (%)]]&lt;$BA$13, 0, IF(Table9[[#This Row],[Vmin (%)]]&lt;$BA$11, 4, IF(Table9[[#This Row],[Vmin (%)]]&lt;$BA$10, 3, IF(Table9[[#This Row],[Vmin (%)]]&lt;$BA$8, 2, 0))))</f>
        <v>3</v>
      </c>
      <c r="AO97" s="217" t="str">
        <f aca="false">IF(Table9[[#This Row],[Vmin (%)]]&lt;$BA$14, "Hot", IF(Table9[[#This Row],[Vmin (%)]]&lt;$BA$12, "Warm", IF(Table9[[#This Row],[Vmin (%)]]&lt;$BA$9, "Normal", IF(Table9[[#This Row],[Vmin (%)]]&lt;$BA$7, "Cool", "Cold"))))</f>
        <v>Normal</v>
      </c>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row>
    <row r="98" customFormat="false" ht="16.4" hidden="false" customHeight="false" outlineLevel="0" collapsed="false">
      <c r="A98" s="218" t="n">
        <f aca="false">A97-1</f>
        <v>32</v>
      </c>
      <c r="B98" s="191"/>
      <c r="C98" s="219" t="str">
        <f aca="false">_xlfn.CONCAT("RTH at ",A98, " °C")</f>
        <v>RTH at 32 °C</v>
      </c>
      <c r="D98" s="220" t="n">
        <f aca="false">$D$20-(ROW(D98)-ROW($D$20))*($D$20-$D$105)/(ROW($D$105)-ROW($D$20))</f>
        <v>1.20588235294118</v>
      </c>
      <c r="E98" s="221" t="n">
        <v>7.631</v>
      </c>
      <c r="F98" s="222" t="n">
        <v>7.728</v>
      </c>
      <c r="G98" s="223" t="n">
        <v>7.826</v>
      </c>
      <c r="H98" s="57" t="s">
        <v>18</v>
      </c>
      <c r="I98" s="24"/>
      <c r="J98" s="24" t="n">
        <v>7.826</v>
      </c>
      <c r="K98" s="24" t="n">
        <v>7.728</v>
      </c>
      <c r="L98" s="24" t="n">
        <v>7.631</v>
      </c>
      <c r="M98" s="24"/>
      <c r="N98" s="24"/>
      <c r="O98" s="24"/>
      <c r="P98" s="24"/>
      <c r="Q98" s="24"/>
      <c r="R98" s="24"/>
      <c r="S98" s="24"/>
      <c r="T98" s="24"/>
      <c r="U98" s="24"/>
      <c r="V98" s="24"/>
      <c r="W98" s="24"/>
      <c r="X98" s="24"/>
      <c r="Y98" s="25"/>
      <c r="Z98" s="6"/>
      <c r="AA98" s="7"/>
      <c r="AB98" s="7"/>
      <c r="AC98" s="80" t="n">
        <f aca="false">A98</f>
        <v>32</v>
      </c>
      <c r="AD98" s="80" t="n">
        <f aca="false">E98</f>
        <v>7.631</v>
      </c>
      <c r="AE98" s="80" t="n">
        <f aca="false">F98</f>
        <v>7.728</v>
      </c>
      <c r="AF98" s="80" t="n">
        <f aca="false">G98</f>
        <v>7.826</v>
      </c>
      <c r="AG98" s="80" t="n">
        <f aca="false">Table9[[#This Row],[RTH(min) (kΩ)]]*RT2_TH_MIN/(RT2_TH_MIN+Table9[[#This Row],[RTH(min) (kΩ)]])</f>
        <v>6.10282840125626</v>
      </c>
      <c r="AH98" s="80" t="n">
        <f aca="false">Table9[[#This Row],[RTH(nom) (kΩ)]]*RT2_TH_S/(RT2_TH_S+Table9[[#This Row],[RTH(nom) (kΩ)]])</f>
        <v>6.16595809007035</v>
      </c>
      <c r="AI98" s="80" t="n">
        <f aca="false">Table9[[#This Row],[RTH(max) (kΩ)]]*RT2_TH_S_MAX/(RT2_TH_S_MAX+Table9[[#This Row],[RTH(max) (kΩ)]])</f>
        <v>6.22945600949865</v>
      </c>
      <c r="AJ98" s="80" t="n">
        <f aca="false">Table9[[#This Row],[RLower(min) (kΩ)]]/(Table9[[#This Row],[RLower(min) (kΩ)]]+RT1_TH_S_MAX)*100</f>
        <v>53.8118343086087</v>
      </c>
      <c r="AK98" s="80" t="n">
        <f aca="false">Table9[[#This Row],[RLower(nom) (kΩ)]]/(Table9[[#This Row],[RLower(nom) (kΩ)]]+RT1_TH_S)*100</f>
        <v>54.0923374771969</v>
      </c>
      <c r="AL98" s="80" t="n">
        <f aca="false">Table9[[#This Row],[RLower(max) (kΩ)]]/(Table9[[#This Row],[RLower(max) (kΩ)]]+RT1_TH_S_MIN)*100</f>
        <v>54.3714721545311</v>
      </c>
      <c r="AM98" s="80" t="n">
        <f aca="false">IF(Table9[[#This Row],[Vmin (%)]]&lt;$BA$14, 0, IF(Table9[[#This Row],[Vmin (%)]]&lt;$BA$12, 4, IF(Table9[[#This Row],[Vmin (%)]]&lt;$BA$9, 3, IF(Table9[[#This Row],[Vmin (%)]]&lt;$BA$7, 2, 0))))</f>
        <v>3</v>
      </c>
      <c r="AN98" s="80" t="n">
        <f aca="false">IF(Table9[[#This Row],[Vmin (%)]]&lt;$BA$13, 0, IF(Table9[[#This Row],[Vmin (%)]]&lt;$BA$11, 4, IF(Table9[[#This Row],[Vmin (%)]]&lt;$BA$10, 3, IF(Table9[[#This Row],[Vmin (%)]]&lt;$BA$8, 2, 0))))</f>
        <v>3</v>
      </c>
      <c r="AO98" s="217" t="str">
        <f aca="false">IF(Table9[[#This Row],[Vmin (%)]]&lt;$BA$14, "Hot", IF(Table9[[#This Row],[Vmin (%)]]&lt;$BA$12, "Warm", IF(Table9[[#This Row],[Vmin (%)]]&lt;$BA$9, "Normal", IF(Table9[[#This Row],[Vmin (%)]]&lt;$BA$7, "Cool", "Cold"))))</f>
        <v>Normal</v>
      </c>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row>
    <row r="99" customFormat="false" ht="16.4" hidden="false" customHeight="false" outlineLevel="0" collapsed="false">
      <c r="A99" s="218" t="n">
        <f aca="false">A98-1</f>
        <v>31</v>
      </c>
      <c r="B99" s="191"/>
      <c r="C99" s="219" t="str">
        <f aca="false">_xlfn.CONCAT("RTH at ",A99, " °C")</f>
        <v>RTH at 31 °C</v>
      </c>
      <c r="D99" s="220" t="n">
        <f aca="false">$D$20-(ROW(D99)-ROW($D$20))*($D$20-$D$105)/(ROW($D$105)-ROW($D$20))</f>
        <v>1.17647058823529</v>
      </c>
      <c r="E99" s="221" t="n">
        <v>7.916</v>
      </c>
      <c r="F99" s="222" t="n">
        <v>8.014</v>
      </c>
      <c r="G99" s="223" t="n">
        <v>8.112</v>
      </c>
      <c r="H99" s="57" t="s">
        <v>18</v>
      </c>
      <c r="I99" s="24"/>
      <c r="J99" s="24" t="n">
        <v>8.112</v>
      </c>
      <c r="K99" s="24" t="n">
        <v>8.014</v>
      </c>
      <c r="L99" s="24" t="n">
        <v>7.916</v>
      </c>
      <c r="M99" s="24"/>
      <c r="N99" s="24"/>
      <c r="O99" s="24"/>
      <c r="P99" s="24"/>
      <c r="Q99" s="24"/>
      <c r="R99" s="24"/>
      <c r="S99" s="24"/>
      <c r="T99" s="24"/>
      <c r="U99" s="24"/>
      <c r="V99" s="24"/>
      <c r="W99" s="24"/>
      <c r="X99" s="24"/>
      <c r="Y99" s="25"/>
      <c r="Z99" s="6"/>
      <c r="AA99" s="7"/>
      <c r="AB99" s="7"/>
      <c r="AC99" s="80" t="n">
        <f aca="false">A99</f>
        <v>31</v>
      </c>
      <c r="AD99" s="80" t="n">
        <f aca="false">E99</f>
        <v>7.916</v>
      </c>
      <c r="AE99" s="80" t="n">
        <f aca="false">F99</f>
        <v>8.014</v>
      </c>
      <c r="AF99" s="80" t="n">
        <f aca="false">G99</f>
        <v>8.112</v>
      </c>
      <c r="AG99" s="80" t="n">
        <f aca="false">Table9[[#This Row],[RTH(min) (kΩ)]]*RT2_TH_MIN/(RT2_TH_MIN+Table9[[#This Row],[RTH(min) (kΩ)]])</f>
        <v>6.28375740405488</v>
      </c>
      <c r="AH99" s="80" t="n">
        <f aca="false">Table9[[#This Row],[RTH(nom) (kΩ)]]*RT2_TH_S/(RT2_TH_S+Table9[[#This Row],[RTH(nom) (kΩ)]])</f>
        <v>6.34667397963808</v>
      </c>
      <c r="AI99" s="80" t="n">
        <f aca="false">Table9[[#This Row],[RTH(max) (kΩ)]]*RT2_TH_S_MAX/(RT2_TH_S_MAX+Table9[[#This Row],[RTH(max) (kΩ)]])</f>
        <v>6.40932686120268</v>
      </c>
      <c r="AJ99" s="80" t="n">
        <f aca="false">Table9[[#This Row],[RLower(min) (kΩ)]]/(Table9[[#This Row],[RLower(min) (kΩ)]]+RT1_TH_S_MAX)*100</f>
        <v>54.5371243751798</v>
      </c>
      <c r="AK99" s="80" t="n">
        <f aca="false">Table9[[#This Row],[RLower(nom) (kΩ)]]/(Table9[[#This Row],[RLower(nom) (kΩ)]]+RT1_TH_S)*100</f>
        <v>54.8087868719061</v>
      </c>
      <c r="AL99" s="80" t="n">
        <f aca="false">Table9[[#This Row],[RLower(max) (kΩ)]]/(Table9[[#This Row],[RLower(max) (kΩ)]]+RT1_TH_S_MIN)*100</f>
        <v>55.0767383061204</v>
      </c>
      <c r="AM99" s="80" t="n">
        <f aca="false">IF(Table9[[#This Row],[Vmin (%)]]&lt;$BA$14, 0, IF(Table9[[#This Row],[Vmin (%)]]&lt;$BA$12, 4, IF(Table9[[#This Row],[Vmin (%)]]&lt;$BA$9, 3, IF(Table9[[#This Row],[Vmin (%)]]&lt;$BA$7, 2, 0))))</f>
        <v>3</v>
      </c>
      <c r="AN99" s="80" t="n">
        <f aca="false">IF(Table9[[#This Row],[Vmin (%)]]&lt;$BA$13, 0, IF(Table9[[#This Row],[Vmin (%)]]&lt;$BA$11, 4, IF(Table9[[#This Row],[Vmin (%)]]&lt;$BA$10, 3, IF(Table9[[#This Row],[Vmin (%)]]&lt;$BA$8, 2, 0))))</f>
        <v>3</v>
      </c>
      <c r="AO99" s="217" t="str">
        <f aca="false">IF(Table9[[#This Row],[Vmin (%)]]&lt;$BA$14, "Hot", IF(Table9[[#This Row],[Vmin (%)]]&lt;$BA$12, "Warm", IF(Table9[[#This Row],[Vmin (%)]]&lt;$BA$9, "Normal", IF(Table9[[#This Row],[Vmin (%)]]&lt;$BA$7, "Cool", "Cold"))))</f>
        <v>Normal</v>
      </c>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row>
    <row r="100" customFormat="false" ht="16.4" hidden="false" customHeight="false" outlineLevel="0" collapsed="false">
      <c r="A100" s="218" t="n">
        <f aca="false">A99-1</f>
        <v>30</v>
      </c>
      <c r="B100" s="191"/>
      <c r="C100" s="219" t="str">
        <f aca="false">_xlfn.CONCAT("RTH at ",A100, " °C")</f>
        <v>RTH at 30 °C</v>
      </c>
      <c r="D100" s="220" t="n">
        <f aca="false">$D$20-(ROW(D100)-ROW($D$20))*($D$20-$D$105)/(ROW($D$105)-ROW($D$20))</f>
        <v>1.14705882352941</v>
      </c>
      <c r="E100" s="221" t="n">
        <v>8.214</v>
      </c>
      <c r="F100" s="222" t="n">
        <v>8.313</v>
      </c>
      <c r="G100" s="223" t="n">
        <v>8.411</v>
      </c>
      <c r="H100" s="57" t="s">
        <v>18</v>
      </c>
      <c r="I100" s="24"/>
      <c r="J100" s="24" t="n">
        <v>8.411</v>
      </c>
      <c r="K100" s="24" t="n">
        <v>8.313</v>
      </c>
      <c r="L100" s="24" t="n">
        <v>8.214</v>
      </c>
      <c r="M100" s="24"/>
      <c r="N100" s="24"/>
      <c r="O100" s="24"/>
      <c r="P100" s="24"/>
      <c r="Q100" s="24"/>
      <c r="R100" s="24"/>
      <c r="S100" s="24"/>
      <c r="T100" s="24"/>
      <c r="U100" s="24"/>
      <c r="V100" s="24"/>
      <c r="W100" s="24"/>
      <c r="X100" s="24"/>
      <c r="Y100" s="25"/>
      <c r="Z100" s="6"/>
      <c r="AA100" s="7"/>
      <c r="AB100" s="7"/>
      <c r="AC100" s="80" t="n">
        <f aca="false">A100</f>
        <v>30</v>
      </c>
      <c r="AD100" s="80" t="n">
        <f aca="false">E100</f>
        <v>8.214</v>
      </c>
      <c r="AE100" s="80" t="n">
        <f aca="false">F100</f>
        <v>8.313</v>
      </c>
      <c r="AF100" s="80" t="n">
        <f aca="false">G100</f>
        <v>8.411</v>
      </c>
      <c r="AG100" s="80" t="n">
        <f aca="false">Table9[[#This Row],[RTH(min) (kΩ)]]*RT2_TH_MIN/(RT2_TH_MIN+Table9[[#This Row],[RTH(min) (kΩ)]])</f>
        <v>6.47008853213813</v>
      </c>
      <c r="AH100" s="80" t="n">
        <f aca="false">Table9[[#This Row],[RTH(nom) (kΩ)]]*RT2_TH_S/(RT2_TH_S+Table9[[#This Row],[RTH(nom) (kΩ)]])</f>
        <v>6.53275700743275</v>
      </c>
      <c r="AI100" s="80" t="n">
        <f aca="false">Table9[[#This Row],[RTH(max) (kΩ)]]*RT2_TH_S_MAX/(RT2_TH_S_MAX+Table9[[#This Row],[RTH(max) (kΩ)]])</f>
        <v>6.59454910458893</v>
      </c>
      <c r="AJ100" s="80" t="n">
        <f aca="false">Table9[[#This Row],[RLower(min) (kΩ)]]/(Table9[[#This Row],[RLower(min) (kΩ)]]+RT1_TH_S_MAX)*100</f>
        <v>55.2606401489526</v>
      </c>
      <c r="AK100" s="80" t="n">
        <f aca="false">Table9[[#This Row],[RLower(nom) (kΩ)]]/(Table9[[#This Row],[RLower(nom) (kΩ)]]+RT1_TH_S)*100</f>
        <v>55.523515562198</v>
      </c>
      <c r="AL100" s="80" t="n">
        <f aca="false">Table9[[#This Row],[RLower(max) (kΩ)]]/(Table9[[#This Row],[RLower(max) (kΩ)]]+RT1_TH_S_MIN)*100</f>
        <v>55.780559237855</v>
      </c>
      <c r="AM100" s="80" t="n">
        <f aca="false">IF(Table9[[#This Row],[Vmin (%)]]&lt;$BA$14, 0, IF(Table9[[#This Row],[Vmin (%)]]&lt;$BA$12, 4, IF(Table9[[#This Row],[Vmin (%)]]&lt;$BA$9, 3, IF(Table9[[#This Row],[Vmin (%)]]&lt;$BA$7, 2, 0))))</f>
        <v>3</v>
      </c>
      <c r="AN100" s="80" t="n">
        <f aca="false">IF(Table9[[#This Row],[Vmin (%)]]&lt;$BA$13, 0, IF(Table9[[#This Row],[Vmin (%)]]&lt;$BA$11, 4, IF(Table9[[#This Row],[Vmin (%)]]&lt;$BA$10, 3, IF(Table9[[#This Row],[Vmin (%)]]&lt;$BA$8, 2, 0))))</f>
        <v>3</v>
      </c>
      <c r="AO100" s="217" t="str">
        <f aca="false">IF(Table9[[#This Row],[Vmin (%)]]&lt;$BA$14, "Hot", IF(Table9[[#This Row],[Vmin (%)]]&lt;$BA$12, "Warm", IF(Table9[[#This Row],[Vmin (%)]]&lt;$BA$9, "Normal", IF(Table9[[#This Row],[Vmin (%)]]&lt;$BA$7, "Cool", "Cold"))))</f>
        <v>Normal</v>
      </c>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A100" s="7"/>
      <c r="HB100" s="7"/>
    </row>
    <row r="101" customFormat="false" ht="16.4" hidden="false" customHeight="false" outlineLevel="0" collapsed="false">
      <c r="A101" s="218" t="n">
        <f aca="false">A100-1</f>
        <v>29</v>
      </c>
      <c r="B101" s="191"/>
      <c r="C101" s="219" t="str">
        <f aca="false">_xlfn.CONCAT("RTH at ",A101, " °C")</f>
        <v>RTH at 29 °C</v>
      </c>
      <c r="D101" s="220" t="n">
        <f aca="false">$D$20-(ROW(D101)-ROW($D$20))*($D$20-$D$105)/(ROW($D$105)-ROW($D$20))</f>
        <v>1.11764705882353</v>
      </c>
      <c r="E101" s="221" t="n">
        <v>8.522</v>
      </c>
      <c r="F101" s="222" t="n">
        <v>8.622</v>
      </c>
      <c r="G101" s="223" t="n">
        <v>8.721</v>
      </c>
      <c r="H101" s="57" t="s">
        <v>18</v>
      </c>
      <c r="I101" s="24"/>
      <c r="J101" s="24" t="n">
        <v>8.721</v>
      </c>
      <c r="K101" s="24" t="n">
        <v>8.622</v>
      </c>
      <c r="L101" s="24" t="n">
        <v>8.522</v>
      </c>
      <c r="M101" s="24"/>
      <c r="N101" s="24"/>
      <c r="O101" s="24"/>
      <c r="P101" s="24"/>
      <c r="Q101" s="24"/>
      <c r="R101" s="24"/>
      <c r="S101" s="24"/>
      <c r="T101" s="24"/>
      <c r="U101" s="24"/>
      <c r="V101" s="24"/>
      <c r="W101" s="24"/>
      <c r="X101" s="24"/>
      <c r="Y101" s="25"/>
      <c r="Z101" s="6"/>
      <c r="AA101" s="7"/>
      <c r="AB101" s="7"/>
      <c r="AC101" s="80" t="n">
        <f aca="false">A101</f>
        <v>29</v>
      </c>
      <c r="AD101" s="80" t="n">
        <f aca="false">E101</f>
        <v>8.522</v>
      </c>
      <c r="AE101" s="80" t="n">
        <f aca="false">F101</f>
        <v>8.622</v>
      </c>
      <c r="AF101" s="80" t="n">
        <f aca="false">G101</f>
        <v>8.721</v>
      </c>
      <c r="AG101" s="80" t="n">
        <f aca="false">Table9[[#This Row],[RTH(min) (kΩ)]]*RT2_TH_MIN/(RT2_TH_MIN+Table9[[#This Row],[RTH(min) (kΩ)]])</f>
        <v>6.6596796783071</v>
      </c>
      <c r="AH101" s="80" t="n">
        <f aca="false">Table9[[#This Row],[RTH(nom) (kΩ)]]*RT2_TH_S/(RT2_TH_S+Table9[[#This Row],[RTH(nom) (kΩ)]])</f>
        <v>6.72207529056853</v>
      </c>
      <c r="AI101" s="80" t="n">
        <f aca="false">Table9[[#This Row],[RTH(max) (kΩ)]]*RT2_TH_S_MAX/(RT2_TH_S_MAX+Table9[[#This Row],[RTH(max) (kΩ)]])</f>
        <v>6.78360643642582</v>
      </c>
      <c r="AJ101" s="80" t="n">
        <f aca="false">Table9[[#This Row],[RLower(min) (kΩ)]]/(Table9[[#This Row],[RLower(min) (kΩ)]]+RT1_TH_S_MAX)*100</f>
        <v>55.9735545113488</v>
      </c>
      <c r="AK101" s="80" t="n">
        <f aca="false">Table9[[#This Row],[RLower(nom) (kΩ)]]/(Table9[[#This Row],[RLower(nom) (kΩ)]]+RT1_TH_S)*100</f>
        <v>56.2278371749454</v>
      </c>
      <c r="AL101" s="80" t="n">
        <f aca="false">Table9[[#This Row],[RLower(max) (kΩ)]]/(Table9[[#This Row],[RLower(max) (kΩ)]]+RT1_TH_S_MIN)*100</f>
        <v>56.4765675408012</v>
      </c>
      <c r="AM101" s="80" t="n">
        <f aca="false">IF(Table9[[#This Row],[Vmin (%)]]&lt;$BA$14, 0, IF(Table9[[#This Row],[Vmin (%)]]&lt;$BA$12, 4, IF(Table9[[#This Row],[Vmin (%)]]&lt;$BA$9, 3, IF(Table9[[#This Row],[Vmin (%)]]&lt;$BA$7, 2, 0))))</f>
        <v>3</v>
      </c>
      <c r="AN101" s="80" t="n">
        <f aca="false">IF(Table9[[#This Row],[Vmin (%)]]&lt;$BA$13, 0, IF(Table9[[#This Row],[Vmin (%)]]&lt;$BA$11, 4, IF(Table9[[#This Row],[Vmin (%)]]&lt;$BA$10, 3, IF(Table9[[#This Row],[Vmin (%)]]&lt;$BA$8, 2, 0))))</f>
        <v>3</v>
      </c>
      <c r="AO101" s="217" t="str">
        <f aca="false">IF(Table9[[#This Row],[Vmin (%)]]&lt;$BA$14, "Hot", IF(Table9[[#This Row],[Vmin (%)]]&lt;$BA$12, "Warm", IF(Table9[[#This Row],[Vmin (%)]]&lt;$BA$9, "Normal", IF(Table9[[#This Row],[Vmin (%)]]&lt;$BA$7, "Cool", "Cold"))))</f>
        <v>Normal</v>
      </c>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row>
    <row r="102" customFormat="false" ht="16.4" hidden="false" customHeight="false" outlineLevel="0" collapsed="false">
      <c r="A102" s="218" t="n">
        <f aca="false">A101-1</f>
        <v>28</v>
      </c>
      <c r="B102" s="191"/>
      <c r="C102" s="219" t="str">
        <f aca="false">_xlfn.CONCAT("RTH at ",A102, " °C")</f>
        <v>RTH at 28 °C</v>
      </c>
      <c r="D102" s="220" t="n">
        <f aca="false">$D$20-(ROW(D102)-ROW($D$20))*($D$20-$D$105)/(ROW($D$105)-ROW($D$20))</f>
        <v>1.08823529411765</v>
      </c>
      <c r="E102" s="221" t="n">
        <v>8.844</v>
      </c>
      <c r="F102" s="222" t="n">
        <v>8.944</v>
      </c>
      <c r="G102" s="223" t="n">
        <v>9.043</v>
      </c>
      <c r="H102" s="57" t="s">
        <v>18</v>
      </c>
      <c r="I102" s="24"/>
      <c r="J102" s="24" t="n">
        <v>9.043</v>
      </c>
      <c r="K102" s="24" t="n">
        <v>8.944</v>
      </c>
      <c r="L102" s="24" t="n">
        <v>8.844</v>
      </c>
      <c r="M102" s="24"/>
      <c r="N102" s="24"/>
      <c r="O102" s="24"/>
      <c r="P102" s="24"/>
      <c r="Q102" s="24"/>
      <c r="R102" s="24"/>
      <c r="S102" s="24"/>
      <c r="T102" s="24"/>
      <c r="U102" s="24"/>
      <c r="V102" s="24"/>
      <c r="W102" s="24"/>
      <c r="X102" s="24"/>
      <c r="Y102" s="25"/>
      <c r="Z102" s="6"/>
      <c r="AA102" s="7"/>
      <c r="AB102" s="7"/>
      <c r="AC102" s="80" t="n">
        <f aca="false">A102</f>
        <v>28</v>
      </c>
      <c r="AD102" s="80" t="n">
        <f aca="false">E102</f>
        <v>8.844</v>
      </c>
      <c r="AE102" s="80" t="n">
        <f aca="false">F102</f>
        <v>8.944</v>
      </c>
      <c r="AF102" s="80" t="n">
        <f aca="false">G102</f>
        <v>9.043</v>
      </c>
      <c r="AG102" s="80" t="n">
        <f aca="false">Table9[[#This Row],[RTH(min) (kΩ)]]*RT2_TH_MIN/(RT2_TH_MIN+Table9[[#This Row],[RTH(min) (kΩ)]])</f>
        <v>6.85471272597578</v>
      </c>
      <c r="AH102" s="80" t="n">
        <f aca="false">Table9[[#This Row],[RTH(nom) (kΩ)]]*RT2_TH_S/(RT2_TH_S+Table9[[#This Row],[RTH(nom) (kΩ)]])</f>
        <v>6.91620283297535</v>
      </c>
      <c r="AI102" s="80" t="n">
        <f aca="false">Table9[[#This Row],[RTH(max) (kΩ)]]*RT2_TH_S_MAX/(RT2_TH_S_MAX+Table9[[#This Row],[RTH(max) (kΩ)]])</f>
        <v>6.97684636008922</v>
      </c>
      <c r="AJ102" s="80" t="n">
        <f aca="false">Table9[[#This Row],[RLower(min) (kΩ)]]/(Table9[[#This Row],[RLower(min) (kΩ)]]+RT1_TH_S_MAX)*100</f>
        <v>56.6836063323648</v>
      </c>
      <c r="AK102" s="80" t="n">
        <f aca="false">Table9[[#This Row],[RLower(nom) (kΩ)]]/(Table9[[#This Row],[RLower(nom) (kΩ)]]+RT1_TH_S)*100</f>
        <v>56.92725661044</v>
      </c>
      <c r="AL102" s="80" t="n">
        <f aca="false">Table9[[#This Row],[RLower(max) (kΩ)]]/(Table9[[#This Row],[RLower(max) (kΩ)]]+RT1_TH_S_MIN)*100</f>
        <v>57.1656898106073</v>
      </c>
      <c r="AM102" s="80" t="n">
        <f aca="false">IF(Table9[[#This Row],[Vmin (%)]]&lt;$BA$14, 0, IF(Table9[[#This Row],[Vmin (%)]]&lt;$BA$12, 4, IF(Table9[[#This Row],[Vmin (%)]]&lt;$BA$9, 3, IF(Table9[[#This Row],[Vmin (%)]]&lt;$BA$7, 2, 0))))</f>
        <v>3</v>
      </c>
      <c r="AN102" s="80" t="n">
        <f aca="false">IF(Table9[[#This Row],[Vmin (%)]]&lt;$BA$13, 0, IF(Table9[[#This Row],[Vmin (%)]]&lt;$BA$11, 4, IF(Table9[[#This Row],[Vmin (%)]]&lt;$BA$10, 3, IF(Table9[[#This Row],[Vmin (%)]]&lt;$BA$8, 2, 0))))</f>
        <v>3</v>
      </c>
      <c r="AO102" s="217" t="str">
        <f aca="false">IF(Table9[[#This Row],[Vmin (%)]]&lt;$BA$14, "Hot", IF(Table9[[#This Row],[Vmin (%)]]&lt;$BA$12, "Warm", IF(Table9[[#This Row],[Vmin (%)]]&lt;$BA$9, "Normal", IF(Table9[[#This Row],[Vmin (%)]]&lt;$BA$7, "Cool", "Cold"))))</f>
        <v>Normal</v>
      </c>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row>
    <row r="103" customFormat="false" ht="16.4" hidden="false" customHeight="false" outlineLevel="0" collapsed="false">
      <c r="A103" s="218" t="n">
        <f aca="false">A102-1</f>
        <v>27</v>
      </c>
      <c r="B103" s="191"/>
      <c r="C103" s="219" t="str">
        <f aca="false">_xlfn.CONCAT("RTH at ",A103, " °C")</f>
        <v>RTH at 27 °C</v>
      </c>
      <c r="D103" s="220" t="n">
        <f aca="false">$D$20-(ROW(D103)-ROW($D$20))*($D$20-$D$105)/(ROW($D$105)-ROW($D$20))</f>
        <v>1.05882352941176</v>
      </c>
      <c r="E103" s="221" t="n">
        <v>9.18</v>
      </c>
      <c r="F103" s="222" t="n">
        <v>9.281</v>
      </c>
      <c r="G103" s="223" t="n">
        <v>9.38</v>
      </c>
      <c r="H103" s="57" t="s">
        <v>18</v>
      </c>
      <c r="I103" s="24"/>
      <c r="J103" s="24" t="n">
        <v>9.38</v>
      </c>
      <c r="K103" s="24" t="n">
        <v>9.281</v>
      </c>
      <c r="L103" s="24" t="n">
        <v>9.18</v>
      </c>
      <c r="M103" s="24"/>
      <c r="N103" s="24"/>
      <c r="O103" s="24"/>
      <c r="P103" s="24"/>
      <c r="Q103" s="24"/>
      <c r="R103" s="24"/>
      <c r="S103" s="24"/>
      <c r="T103" s="24"/>
      <c r="U103" s="24"/>
      <c r="V103" s="24"/>
      <c r="W103" s="24"/>
      <c r="X103" s="24"/>
      <c r="Y103" s="25"/>
      <c r="Z103" s="6"/>
      <c r="AA103" s="7"/>
      <c r="AB103" s="7"/>
      <c r="AC103" s="80" t="n">
        <f aca="false">A103</f>
        <v>27</v>
      </c>
      <c r="AD103" s="80" t="n">
        <f aca="false">E103</f>
        <v>9.18</v>
      </c>
      <c r="AE103" s="80" t="n">
        <f aca="false">F103</f>
        <v>9.281</v>
      </c>
      <c r="AF103" s="80" t="n">
        <f aca="false">G103</f>
        <v>9.38</v>
      </c>
      <c r="AG103" s="80" t="n">
        <f aca="false">Table9[[#This Row],[RTH(min) (kΩ)]]*RT2_TH_MIN/(RT2_TH_MIN+Table9[[#This Row],[RTH(min) (kΩ)]])</f>
        <v>7.05484854157659</v>
      </c>
      <c r="AH103" s="80" t="n">
        <f aca="false">Table9[[#This Row],[RTH(nom) (kΩ)]]*RT2_TH_S/(RT2_TH_S+Table9[[#This Row],[RTH(nom) (kΩ)]])</f>
        <v>7.11600836530307</v>
      </c>
      <c r="AI103" s="80" t="n">
        <f aca="false">Table9[[#This Row],[RTH(max) (kΩ)]]*RT2_TH_S_MAX/(RT2_TH_S_MAX+Table9[[#This Row],[RTH(max) (kΩ)]])</f>
        <v>7.17574918033007</v>
      </c>
      <c r="AJ103" s="80" t="n">
        <f aca="false">Table9[[#This Row],[RLower(min) (kΩ)]]/(Table9[[#This Row],[RLower(min) (kΩ)]]+RT1_TH_S_MAX)*100</f>
        <v>57.3888134031721</v>
      </c>
      <c r="AK103" s="80" t="n">
        <f aca="false">Table9[[#This Row],[RLower(nom) (kΩ)]]/(Table9[[#This Row],[RLower(nom) (kΩ)]]+RT1_TH_S)*100</f>
        <v>57.624169134675</v>
      </c>
      <c r="AL103" s="80" t="n">
        <f aca="false">Table9[[#This Row],[RLower(max) (kΩ)]]/(Table9[[#This Row],[RLower(max) (kΩ)]]+RT1_TH_S_MIN)*100</f>
        <v>57.8525814186781</v>
      </c>
      <c r="AM103" s="80" t="n">
        <f aca="false">IF(Table9[[#This Row],[Vmin (%)]]&lt;$BA$14, 0, IF(Table9[[#This Row],[Vmin (%)]]&lt;$BA$12, 4, IF(Table9[[#This Row],[Vmin (%)]]&lt;$BA$9, 3, IF(Table9[[#This Row],[Vmin (%)]]&lt;$BA$7, 2, 0))))</f>
        <v>3</v>
      </c>
      <c r="AN103" s="80" t="n">
        <f aca="false">IF(Table9[[#This Row],[Vmin (%)]]&lt;$BA$13, 0, IF(Table9[[#This Row],[Vmin (%)]]&lt;$BA$11, 4, IF(Table9[[#This Row],[Vmin (%)]]&lt;$BA$10, 3, IF(Table9[[#This Row],[Vmin (%)]]&lt;$BA$8, 2, 0))))</f>
        <v>3</v>
      </c>
      <c r="AO103" s="217" t="str">
        <f aca="false">IF(Table9[[#This Row],[Vmin (%)]]&lt;$BA$14, "Hot", IF(Table9[[#This Row],[Vmin (%)]]&lt;$BA$12, "Warm", IF(Table9[[#This Row],[Vmin (%)]]&lt;$BA$9, "Normal", IF(Table9[[#This Row],[Vmin (%)]]&lt;$BA$7, "Cool", "Cold"))))</f>
        <v>Normal</v>
      </c>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row>
    <row r="104" customFormat="false" ht="16.4" hidden="false" customHeight="false" outlineLevel="0" collapsed="false">
      <c r="A104" s="218" t="n">
        <f aca="false">A103-1</f>
        <v>26</v>
      </c>
      <c r="B104" s="191"/>
      <c r="C104" s="219" t="str">
        <f aca="false">_xlfn.CONCAT("RTH at ",A104, " °C")</f>
        <v>RTH at 26 °C</v>
      </c>
      <c r="D104" s="220" t="n">
        <f aca="false">$D$20-(ROW(D104)-ROW($D$20))*($D$20-$D$105)/(ROW($D$105)-ROW($D$20))</f>
        <v>1.02941176470588</v>
      </c>
      <c r="E104" s="221" t="n">
        <v>9.532</v>
      </c>
      <c r="F104" s="222" t="n">
        <v>9.632</v>
      </c>
      <c r="G104" s="223" t="n">
        <v>9.732</v>
      </c>
      <c r="H104" s="57" t="s">
        <v>18</v>
      </c>
      <c r="I104" s="24"/>
      <c r="J104" s="24" t="n">
        <v>9.732</v>
      </c>
      <c r="K104" s="24" t="n">
        <v>9.632</v>
      </c>
      <c r="L104" s="24" t="n">
        <v>9.532</v>
      </c>
      <c r="M104" s="24"/>
      <c r="N104" s="24"/>
      <c r="O104" s="24"/>
      <c r="P104" s="24"/>
      <c r="Q104" s="24"/>
      <c r="R104" s="24"/>
      <c r="S104" s="24"/>
      <c r="T104" s="24"/>
      <c r="U104" s="24"/>
      <c r="V104" s="24"/>
      <c r="W104" s="24"/>
      <c r="X104" s="24"/>
      <c r="Y104" s="25"/>
      <c r="Z104" s="6"/>
      <c r="AA104" s="7"/>
      <c r="AB104" s="7"/>
      <c r="AC104" s="80" t="n">
        <f aca="false">A104</f>
        <v>26</v>
      </c>
      <c r="AD104" s="80" t="n">
        <f aca="false">E104</f>
        <v>9.532</v>
      </c>
      <c r="AE104" s="80" t="n">
        <f aca="false">F104</f>
        <v>9.632</v>
      </c>
      <c r="AF104" s="80" t="n">
        <f aca="false">G104</f>
        <v>9.732</v>
      </c>
      <c r="AG104" s="80" t="n">
        <f aca="false">Table9[[#This Row],[RTH(min) (kΩ)]]*RT2_TH_MIN/(RT2_TH_MIN+Table9[[#This Row],[RTH(min) (kΩ)]])</f>
        <v>7.26090898790145</v>
      </c>
      <c r="AH104" s="80" t="n">
        <f aca="false">Table9[[#This Row],[RTH(nom) (kΩ)]]*RT2_TH_S/(RT2_TH_S+Table9[[#This Row],[RTH(nom) (kΩ)]])</f>
        <v>7.32054724245325</v>
      </c>
      <c r="AI104" s="80" t="n">
        <f aca="false">Table9[[#This Row],[RTH(max) (kΩ)]]*RT2_TH_S_MAX/(RT2_TH_S_MAX+Table9[[#This Row],[RTH(max) (kΩ)]])</f>
        <v>7.37995044165004</v>
      </c>
      <c r="AJ104" s="80" t="n">
        <f aca="false">Table9[[#This Row],[RLower(min) (kΩ)]]/(Table9[[#This Row],[RLower(min) (kΩ)]]+RT1_TH_S_MAX)*100</f>
        <v>58.0913005308918</v>
      </c>
      <c r="AK104" s="80" t="n">
        <f aca="false">Table9[[#This Row],[RLower(nom) (kΩ)]]/(Table9[[#This Row],[RLower(nom) (kΩ)]]+RT1_TH_S)*100</f>
        <v>58.3146123065307</v>
      </c>
      <c r="AL104" s="80" t="n">
        <f aca="false">Table9[[#This Row],[RLower(max) (kΩ)]]/(Table9[[#This Row],[RLower(max) (kΩ)]]+RT1_TH_S_MIN)*100</f>
        <v>58.53522378539</v>
      </c>
      <c r="AM104" s="80" t="n">
        <f aca="false">IF(Table9[[#This Row],[Vmin (%)]]&lt;$BA$14, 0, IF(Table9[[#This Row],[Vmin (%)]]&lt;$BA$12, 4, IF(Table9[[#This Row],[Vmin (%)]]&lt;$BA$9, 3, IF(Table9[[#This Row],[Vmin (%)]]&lt;$BA$7, 2, 0))))</f>
        <v>3</v>
      </c>
      <c r="AN104" s="80" t="n">
        <f aca="false">IF(Table9[[#This Row],[Vmin (%)]]&lt;$BA$13, 0, IF(Table9[[#This Row],[Vmin (%)]]&lt;$BA$11, 4, IF(Table9[[#This Row],[Vmin (%)]]&lt;$BA$10, 3, IF(Table9[[#This Row],[Vmin (%)]]&lt;$BA$8, 2, 0))))</f>
        <v>3</v>
      </c>
      <c r="AO104" s="217" t="str">
        <f aca="false">IF(Table9[[#This Row],[Vmin (%)]]&lt;$BA$14, "Hot", IF(Table9[[#This Row],[Vmin (%)]]&lt;$BA$12, "Warm", IF(Table9[[#This Row],[Vmin (%)]]&lt;$BA$9, "Normal", IF(Table9[[#This Row],[Vmin (%)]]&lt;$BA$7, "Cool", "Cold"))))</f>
        <v>Normal</v>
      </c>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row>
    <row r="105" customFormat="false" ht="16.4" hidden="false" customHeight="false" outlineLevel="0" collapsed="false">
      <c r="A105" s="218" t="n">
        <f aca="false">A104-1</f>
        <v>25</v>
      </c>
      <c r="B105" s="191"/>
      <c r="C105" s="219" t="str">
        <f aca="false">_xlfn.CONCAT("RTH at ",A105, " °C")</f>
        <v>RTH at 25 °C</v>
      </c>
      <c r="D105" s="220" t="n">
        <v>1</v>
      </c>
      <c r="E105" s="221" t="n">
        <v>9.9</v>
      </c>
      <c r="F105" s="222" t="n">
        <v>10</v>
      </c>
      <c r="G105" s="223" t="n">
        <v>10.1</v>
      </c>
      <c r="H105" s="57" t="s">
        <v>18</v>
      </c>
      <c r="I105" s="24"/>
      <c r="J105" s="24" t="n">
        <v>10.1</v>
      </c>
      <c r="K105" s="24" t="n">
        <v>10</v>
      </c>
      <c r="L105" s="24" t="n">
        <v>9.9</v>
      </c>
      <c r="M105" s="24"/>
      <c r="N105" s="24"/>
      <c r="O105" s="24"/>
      <c r="P105" s="24"/>
      <c r="Q105" s="24"/>
      <c r="R105" s="24"/>
      <c r="S105" s="24"/>
      <c r="T105" s="24"/>
      <c r="U105" s="24"/>
      <c r="V105" s="24"/>
      <c r="W105" s="24"/>
      <c r="X105" s="24"/>
      <c r="Y105" s="25"/>
      <c r="Z105" s="6"/>
      <c r="AA105" s="7"/>
      <c r="AB105" s="7"/>
      <c r="AC105" s="80" t="n">
        <f aca="false">A105</f>
        <v>25</v>
      </c>
      <c r="AD105" s="80" t="n">
        <f aca="false">E105</f>
        <v>9.9</v>
      </c>
      <c r="AE105" s="80" t="n">
        <f aca="false">F105</f>
        <v>10</v>
      </c>
      <c r="AF105" s="80" t="n">
        <f aca="false">G105</f>
        <v>10.1</v>
      </c>
      <c r="AG105" s="80" t="n">
        <f aca="false">Table9[[#This Row],[RTH(min) (kΩ)]]*RT2_TH_MIN/(RT2_TH_MIN+Table9[[#This Row],[RTH(min) (kΩ)]])</f>
        <v>7.47249412929701</v>
      </c>
      <c r="AH105" s="80" t="n">
        <f aca="false">Table9[[#This Row],[RTH(nom) (kΩ)]]*RT2_TH_S/(RT2_TH_S+Table9[[#This Row],[RTH(nom) (kΩ)]])</f>
        <v>7.53118599083618</v>
      </c>
      <c r="AI105" s="80" t="n">
        <f aca="false">Table9[[#This Row],[RTH(max) (kΩ)]]*RT2_TH_S_MAX/(RT2_TH_S_MAX+Table9[[#This Row],[RTH(max) (kΩ)]])</f>
        <v>7.58965100453855</v>
      </c>
      <c r="AJ105" s="80" t="n">
        <f aca="false">Table9[[#This Row],[RLower(min) (kΩ)]]/(Table9[[#This Row],[RLower(min) (kΩ)]]+RT1_TH_S_MAX)*100</f>
        <v>58.7889210678615</v>
      </c>
      <c r="AK105" s="80" t="n">
        <f aca="false">Table9[[#This Row],[RLower(nom) (kΩ)]]/(Table9[[#This Row],[RLower(nom) (kΩ)]]+RT1_TH_S)*100</f>
        <v>59.0025186082781</v>
      </c>
      <c r="AL105" s="80" t="n">
        <f aca="false">Table9[[#This Row],[RLower(max) (kΩ)]]/(Table9[[#This Row],[RLower(max) (kΩ)]]+RT1_TH_S_MIN)*100</f>
        <v>59.2136125926416</v>
      </c>
      <c r="AM105" s="80" t="n">
        <f aca="false">IF(Table9[[#This Row],[Vmin (%)]]&lt;$BA$14, 0, IF(Table9[[#This Row],[Vmin (%)]]&lt;$BA$12, 4, IF(Table9[[#This Row],[Vmin (%)]]&lt;$BA$9, 3, IF(Table9[[#This Row],[Vmin (%)]]&lt;$BA$7, 2, 0))))</f>
        <v>3</v>
      </c>
      <c r="AN105" s="80" t="n">
        <f aca="false">IF(Table9[[#This Row],[Vmin (%)]]&lt;$BA$13, 0, IF(Table9[[#This Row],[Vmin (%)]]&lt;$BA$11, 4, IF(Table9[[#This Row],[Vmin (%)]]&lt;$BA$10, 3, IF(Table9[[#This Row],[Vmin (%)]]&lt;$BA$8, 2, 0))))</f>
        <v>3</v>
      </c>
      <c r="AO105" s="217" t="str">
        <f aca="false">IF(Table9[[#This Row],[Vmin (%)]]&lt;$BA$14, "Hot", IF(Table9[[#This Row],[Vmin (%)]]&lt;$BA$12, "Warm", IF(Table9[[#This Row],[Vmin (%)]]&lt;$BA$9, "Normal", IF(Table9[[#This Row],[Vmin (%)]]&lt;$BA$7, "Cool", "Cold"))))</f>
        <v>Normal</v>
      </c>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row>
    <row r="106" customFormat="false" ht="16.4" hidden="false" customHeight="false" outlineLevel="0" collapsed="false">
      <c r="A106" s="218" t="n">
        <f aca="false">A105-1</f>
        <v>24</v>
      </c>
      <c r="B106" s="191"/>
      <c r="C106" s="219" t="str">
        <f aca="false">_xlfn.CONCAT("RTH at ",A106, " °C")</f>
        <v>RTH at 24 °C</v>
      </c>
      <c r="D106" s="220" t="n">
        <f aca="false">$D$105+(ROW(D106)-ROW($D$105))*($D$180-$D$105)/(ROW($D$180)-ROW($D$105))</f>
        <v>1.04333333333333</v>
      </c>
      <c r="E106" s="221" t="n">
        <v>10.27</v>
      </c>
      <c r="F106" s="222" t="n">
        <v>10.38</v>
      </c>
      <c r="G106" s="223" t="n">
        <v>10.49</v>
      </c>
      <c r="H106" s="57" t="s">
        <v>18</v>
      </c>
      <c r="I106" s="24"/>
      <c r="J106" s="24" t="n">
        <v>10.49</v>
      </c>
      <c r="K106" s="24" t="n">
        <v>10.38</v>
      </c>
      <c r="L106" s="24" t="n">
        <v>10.27</v>
      </c>
      <c r="M106" s="24"/>
      <c r="N106" s="24"/>
      <c r="O106" s="24"/>
      <c r="P106" s="24"/>
      <c r="Q106" s="24"/>
      <c r="R106" s="24"/>
      <c r="S106" s="24"/>
      <c r="T106" s="24"/>
      <c r="U106" s="24"/>
      <c r="V106" s="24"/>
      <c r="W106" s="24"/>
      <c r="X106" s="24"/>
      <c r="Y106" s="25"/>
      <c r="Z106" s="6"/>
      <c r="AA106" s="7"/>
      <c r="AB106" s="7"/>
      <c r="AC106" s="80" t="n">
        <f aca="false">A106</f>
        <v>24</v>
      </c>
      <c r="AD106" s="80" t="n">
        <f aca="false">E106</f>
        <v>10.27</v>
      </c>
      <c r="AE106" s="80" t="n">
        <f aca="false">F106</f>
        <v>10.38</v>
      </c>
      <c r="AF106" s="80" t="n">
        <f aca="false">G106</f>
        <v>10.49</v>
      </c>
      <c r="AG106" s="80" t="n">
        <f aca="false">Table9[[#This Row],[RTH(min) (kΩ)]]*RT2_TH_MIN/(RT2_TH_MIN+Table9[[#This Row],[RTH(min) (kΩ)]])</f>
        <v>7.68137597243945</v>
      </c>
      <c r="AH106" s="80" t="n">
        <f aca="false">Table9[[#This Row],[RTH(nom) (kΩ)]]*RT2_TH_S/(RT2_TH_S+Table9[[#This Row],[RTH(nom) (kΩ)]])</f>
        <v>7.74471407578039</v>
      </c>
      <c r="AI106" s="80" t="n">
        <f aca="false">Table9[[#This Row],[RTH(max) (kΩ)]]*RT2_TH_S_MAX/(RT2_TH_S_MAX+Table9[[#This Row],[RTH(max) (kΩ)]])</f>
        <v>7.80778192190107</v>
      </c>
      <c r="AJ106" s="80" t="n">
        <f aca="false">Table9[[#This Row],[RLower(min) (kΩ)]]/(Table9[[#This Row],[RLower(min) (kΩ)]]+RT1_TH_S_MAX)*100</f>
        <v>59.4552146103608</v>
      </c>
      <c r="AK106" s="80" t="n">
        <f aca="false">Table9[[#This Row],[RLower(nom) (kΩ)]]/(Table9[[#This Row],[RLower(nom) (kΩ)]]+RT1_TH_S)*100</f>
        <v>59.6770688110264</v>
      </c>
      <c r="AL106" s="80" t="n">
        <f aca="false">Table9[[#This Row],[RLower(max) (kΩ)]]/(Table9[[#This Row],[RLower(max) (kΩ)]]+RT1_TH_S_MIN)*100</f>
        <v>59.8961138199118</v>
      </c>
      <c r="AM106" s="80" t="n">
        <f aca="false">IF(Table9[[#This Row],[Vmin (%)]]&lt;$BA$14, 0, IF(Table9[[#This Row],[Vmin (%)]]&lt;$BA$12, 4, IF(Table9[[#This Row],[Vmin (%)]]&lt;$BA$9, 3, IF(Table9[[#This Row],[Vmin (%)]]&lt;$BA$7, 2, 0))))</f>
        <v>3</v>
      </c>
      <c r="AN106" s="80" t="n">
        <f aca="false">IF(Table9[[#This Row],[Vmin (%)]]&lt;$BA$13, 0, IF(Table9[[#This Row],[Vmin (%)]]&lt;$BA$11, 4, IF(Table9[[#This Row],[Vmin (%)]]&lt;$BA$10, 3, IF(Table9[[#This Row],[Vmin (%)]]&lt;$BA$8, 2, 0))))</f>
        <v>3</v>
      </c>
      <c r="AO106" s="217" t="str">
        <f aca="false">IF(Table9[[#This Row],[Vmin (%)]]&lt;$BA$14, "Hot", IF(Table9[[#This Row],[Vmin (%)]]&lt;$BA$12, "Warm", IF(Table9[[#This Row],[Vmin (%)]]&lt;$BA$9, "Normal", IF(Table9[[#This Row],[Vmin (%)]]&lt;$BA$7, "Cool", "Cold"))))</f>
        <v>Normal</v>
      </c>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c r="GZ106" s="7"/>
      <c r="HA106" s="7"/>
      <c r="HB106" s="7"/>
    </row>
    <row r="107" customFormat="false" ht="16.4" hidden="false" customHeight="false" outlineLevel="0" collapsed="false">
      <c r="A107" s="218" t="n">
        <f aca="false">A106-1</f>
        <v>23</v>
      </c>
      <c r="B107" s="191"/>
      <c r="C107" s="219" t="str">
        <f aca="false">_xlfn.CONCAT("RTH at ",A107, " °C")</f>
        <v>RTH at 23 °C</v>
      </c>
      <c r="D107" s="220" t="n">
        <f aca="false">$D$105+(ROW(D107)-ROW($D$105))*($D$180-$D$105)/(ROW($D$180)-ROW($D$105))</f>
        <v>1.08666666666667</v>
      </c>
      <c r="E107" s="221" t="n">
        <v>10.66</v>
      </c>
      <c r="F107" s="222" t="n">
        <v>10.78</v>
      </c>
      <c r="G107" s="223" t="n">
        <v>10.9</v>
      </c>
      <c r="H107" s="57" t="s">
        <v>18</v>
      </c>
      <c r="I107" s="24"/>
      <c r="J107" s="24" t="n">
        <v>10.9</v>
      </c>
      <c r="K107" s="24" t="n">
        <v>10.78</v>
      </c>
      <c r="L107" s="24" t="n">
        <v>10.66</v>
      </c>
      <c r="M107" s="24"/>
      <c r="N107" s="24"/>
      <c r="O107" s="24"/>
      <c r="P107" s="24"/>
      <c r="Q107" s="24"/>
      <c r="R107" s="24"/>
      <c r="S107" s="24"/>
      <c r="T107" s="24"/>
      <c r="U107" s="24"/>
      <c r="V107" s="24"/>
      <c r="W107" s="24"/>
      <c r="X107" s="24"/>
      <c r="Y107" s="25"/>
      <c r="Z107" s="6"/>
      <c r="AA107" s="7"/>
      <c r="AB107" s="7"/>
      <c r="AC107" s="80" t="n">
        <f aca="false">A107</f>
        <v>23</v>
      </c>
      <c r="AD107" s="80" t="n">
        <f aca="false">E107</f>
        <v>10.66</v>
      </c>
      <c r="AE107" s="80" t="n">
        <f aca="false">F107</f>
        <v>10.78</v>
      </c>
      <c r="AF107" s="80" t="n">
        <f aca="false">G107</f>
        <v>10.9</v>
      </c>
      <c r="AG107" s="80" t="n">
        <f aca="false">Table9[[#This Row],[RTH(min) (kΩ)]]*RT2_TH_MIN/(RT2_TH_MIN+Table9[[#This Row],[RTH(min) (kΩ)]])</f>
        <v>7.89748084675634</v>
      </c>
      <c r="AH107" s="80" t="n">
        <f aca="false">Table9[[#This Row],[RTH(nom) (kΩ)]]*RT2_TH_S/(RT2_TH_S+Table9[[#This Row],[RTH(nom) (kΩ)]])</f>
        <v>7.96523398439525</v>
      </c>
      <c r="AI107" s="80" t="n">
        <f aca="false">Table9[[#This Row],[RTH(max) (kΩ)]]*RT2_TH_S_MAX/(RT2_TH_S_MAX+Table9[[#This Row],[RTH(max) (kΩ)]])</f>
        <v>8.03267161834392</v>
      </c>
      <c r="AJ107" s="80" t="n">
        <f aca="false">Table9[[#This Row],[RLower(min) (kΩ)]]/(Table9[[#This Row],[RLower(min) (kΩ)]]+RT1_TH_S_MAX)*100</f>
        <v>60.122245863044</v>
      </c>
      <c r="AK107" s="80" t="n">
        <f aca="false">Table9[[#This Row],[RLower(nom) (kΩ)]]/(Table9[[#This Row],[RLower(nom) (kΩ)]]+RT1_TH_S)*100</f>
        <v>60.350796453378</v>
      </c>
      <c r="AL107" s="80" t="n">
        <f aca="false">Table9[[#This Row],[RLower(max) (kΩ)]]/(Table9[[#This Row],[RLower(max) (kΩ)]]+RT1_TH_S_MIN)*100</f>
        <v>60.5762539769748</v>
      </c>
      <c r="AM107" s="80" t="n">
        <f aca="false">IF(Table9[[#This Row],[Vmin (%)]]&lt;$BA$14, 0, IF(Table9[[#This Row],[Vmin (%)]]&lt;$BA$12, 4, IF(Table9[[#This Row],[Vmin (%)]]&lt;$BA$9, 3, IF(Table9[[#This Row],[Vmin (%)]]&lt;$BA$7, 2, 0))))</f>
        <v>3</v>
      </c>
      <c r="AN107" s="80" t="n">
        <f aca="false">IF(Table9[[#This Row],[Vmin (%)]]&lt;$BA$13, 0, IF(Table9[[#This Row],[Vmin (%)]]&lt;$BA$11, 4, IF(Table9[[#This Row],[Vmin (%)]]&lt;$BA$10, 3, IF(Table9[[#This Row],[Vmin (%)]]&lt;$BA$8, 2, 0))))</f>
        <v>3</v>
      </c>
      <c r="AO107" s="217" t="str">
        <f aca="false">IF(Table9[[#This Row],[Vmin (%)]]&lt;$BA$14, "Hot", IF(Table9[[#This Row],[Vmin (%)]]&lt;$BA$12, "Warm", IF(Table9[[#This Row],[Vmin (%)]]&lt;$BA$9, "Normal", IF(Table9[[#This Row],[Vmin (%)]]&lt;$BA$7, "Cool", "Cold"))))</f>
        <v>Normal</v>
      </c>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row>
    <row r="108" customFormat="false" ht="16.4" hidden="false" customHeight="false" outlineLevel="0" collapsed="false">
      <c r="A108" s="218" t="n">
        <f aca="false">A107-1</f>
        <v>22</v>
      </c>
      <c r="B108" s="191"/>
      <c r="C108" s="219" t="str">
        <f aca="false">_xlfn.CONCAT("RTH at ",A108, " °C")</f>
        <v>RTH at 22 °C</v>
      </c>
      <c r="D108" s="220" t="n">
        <f aca="false">$D$105+(ROW(D108)-ROW($D$105))*($D$180-$D$105)/(ROW($D$180)-ROW($D$105))</f>
        <v>1.13</v>
      </c>
      <c r="E108" s="221" t="n">
        <v>11.07</v>
      </c>
      <c r="F108" s="222" t="n">
        <v>11.2</v>
      </c>
      <c r="G108" s="223" t="n">
        <v>11.32</v>
      </c>
      <c r="H108" s="57" t="s">
        <v>18</v>
      </c>
      <c r="I108" s="24"/>
      <c r="J108" s="24" t="n">
        <v>11.32</v>
      </c>
      <c r="K108" s="24" t="n">
        <v>11.2</v>
      </c>
      <c r="L108" s="24" t="n">
        <v>11.07</v>
      </c>
      <c r="M108" s="24"/>
      <c r="N108" s="24"/>
      <c r="O108" s="24"/>
      <c r="P108" s="24"/>
      <c r="Q108" s="24"/>
      <c r="R108" s="24"/>
      <c r="S108" s="24"/>
      <c r="T108" s="24"/>
      <c r="U108" s="24"/>
      <c r="V108" s="24"/>
      <c r="W108" s="24"/>
      <c r="X108" s="24"/>
      <c r="Y108" s="25"/>
      <c r="Z108" s="6"/>
      <c r="AA108" s="7"/>
      <c r="AB108" s="7"/>
      <c r="AC108" s="80" t="n">
        <f aca="false">A108</f>
        <v>22</v>
      </c>
      <c r="AD108" s="80" t="n">
        <f aca="false">E108</f>
        <v>11.07</v>
      </c>
      <c r="AE108" s="80" t="n">
        <f aca="false">F108</f>
        <v>11.2</v>
      </c>
      <c r="AF108" s="80" t="n">
        <f aca="false">G108</f>
        <v>11.32</v>
      </c>
      <c r="AG108" s="80" t="n">
        <f aca="false">Table9[[#This Row],[RTH(min) (kΩ)]]*RT2_TH_MIN/(RT2_TH_MIN+Table9[[#This Row],[RTH(min) (kΩ)]])</f>
        <v>8.12029323038861</v>
      </c>
      <c r="AH108" s="80" t="n">
        <f aca="false">Table9[[#This Row],[RTH(nom) (kΩ)]]*RT2_TH_S/(RT2_TH_S+Table9[[#This Row],[RTH(nom) (kΩ)]])</f>
        <v>8.192227283919</v>
      </c>
      <c r="AI108" s="80" t="n">
        <f aca="false">Table9[[#This Row],[RTH(max) (kΩ)]]*RT2_TH_S_MAX/(RT2_TH_S_MAX+Table9[[#This Row],[RTH(max) (kΩ)]])</f>
        <v>8.25847809793479</v>
      </c>
      <c r="AJ108" s="80" t="n">
        <f aca="false">Table9[[#This Row],[RLower(min) (kΩ)]]/(Table9[[#This Row],[RLower(min) (kΩ)]]+RT1_TH_S_MAX)*100</f>
        <v>60.7873838576397</v>
      </c>
      <c r="AK108" s="80" t="n">
        <f aca="false">Table9[[#This Row],[RLower(nom) (kΩ)]]/(Table9[[#This Row],[RLower(nom) (kΩ)]]+RT1_TH_S)*100</f>
        <v>61.0211843195399</v>
      </c>
      <c r="AL108" s="80" t="n">
        <f aca="false">Table9[[#This Row],[RLower(max) (kΩ)]]/(Table9[[#This Row],[RLower(max) (kΩ)]]+RT1_TH_S_MIN)*100</f>
        <v>61.2363445414839</v>
      </c>
      <c r="AM108" s="80" t="n">
        <f aca="false">IF(Table9[[#This Row],[Vmin (%)]]&lt;$BA$14, 0, IF(Table9[[#This Row],[Vmin (%)]]&lt;$BA$12, 4, IF(Table9[[#This Row],[Vmin (%)]]&lt;$BA$9, 3, IF(Table9[[#This Row],[Vmin (%)]]&lt;$BA$7, 2, 0))))</f>
        <v>3</v>
      </c>
      <c r="AN108" s="80" t="n">
        <f aca="false">IF(Table9[[#This Row],[Vmin (%)]]&lt;$BA$13, 0, IF(Table9[[#This Row],[Vmin (%)]]&lt;$BA$11, 4, IF(Table9[[#This Row],[Vmin (%)]]&lt;$BA$10, 3, IF(Table9[[#This Row],[Vmin (%)]]&lt;$BA$8, 2, 0))))</f>
        <v>3</v>
      </c>
      <c r="AO108" s="217" t="str">
        <f aca="false">IF(Table9[[#This Row],[Vmin (%)]]&lt;$BA$14, "Hot", IF(Table9[[#This Row],[Vmin (%)]]&lt;$BA$12, "Warm", IF(Table9[[#This Row],[Vmin (%)]]&lt;$BA$9, "Normal", IF(Table9[[#This Row],[Vmin (%)]]&lt;$BA$7, "Cool", "Cold"))))</f>
        <v>Normal</v>
      </c>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row>
    <row r="109" customFormat="false" ht="16.4" hidden="false" customHeight="false" outlineLevel="0" collapsed="false">
      <c r="A109" s="218" t="n">
        <f aca="false">A108-1</f>
        <v>21</v>
      </c>
      <c r="B109" s="191"/>
      <c r="C109" s="219" t="str">
        <f aca="false">_xlfn.CONCAT("RTH at ",A109, " °C")</f>
        <v>RTH at 21 °C</v>
      </c>
      <c r="D109" s="220" t="n">
        <f aca="false">$D$105+(ROW(D109)-ROW($D$105))*($D$180-$D$105)/(ROW($D$180)-ROW($D$105))</f>
        <v>1.17333333333333</v>
      </c>
      <c r="E109" s="221" t="n">
        <v>11.5</v>
      </c>
      <c r="F109" s="222" t="n">
        <v>11.63</v>
      </c>
      <c r="G109" s="223" t="n">
        <v>11.77</v>
      </c>
      <c r="H109" s="57" t="s">
        <v>18</v>
      </c>
      <c r="I109" s="24"/>
      <c r="J109" s="24" t="n">
        <v>11.77</v>
      </c>
      <c r="K109" s="24" t="n">
        <v>11.63</v>
      </c>
      <c r="L109" s="24" t="n">
        <v>11.5</v>
      </c>
      <c r="M109" s="24"/>
      <c r="N109" s="24"/>
      <c r="O109" s="24"/>
      <c r="P109" s="24"/>
      <c r="Q109" s="24"/>
      <c r="R109" s="24"/>
      <c r="S109" s="24"/>
      <c r="T109" s="24"/>
      <c r="U109" s="24"/>
      <c r="V109" s="24"/>
      <c r="W109" s="24"/>
      <c r="X109" s="24"/>
      <c r="Y109" s="25"/>
      <c r="Z109" s="6"/>
      <c r="AA109" s="7"/>
      <c r="AB109" s="7"/>
      <c r="AC109" s="80" t="n">
        <f aca="false">A109</f>
        <v>21</v>
      </c>
      <c r="AD109" s="80" t="n">
        <f aca="false">E109</f>
        <v>11.5</v>
      </c>
      <c r="AE109" s="80" t="n">
        <f aca="false">F109</f>
        <v>11.63</v>
      </c>
      <c r="AF109" s="80" t="n">
        <f aca="false">G109</f>
        <v>11.77</v>
      </c>
      <c r="AG109" s="80" t="n">
        <f aca="false">Table9[[#This Row],[RTH(min) (kΩ)]]*RT2_TH_MIN/(RT2_TH_MIN+Table9[[#This Row],[RTH(min) (kΩ)]])</f>
        <v>8.34929807637806</v>
      </c>
      <c r="AH109" s="80" t="n">
        <f aca="false">Table9[[#This Row],[RTH(nom) (kΩ)]]*RT2_TH_S/(RT2_TH_S+Table9[[#This Row],[RTH(nom) (kΩ)]])</f>
        <v>8.41993699525676</v>
      </c>
      <c r="AI109" s="80" t="n">
        <f aca="false">Table9[[#This Row],[RTH(max) (kΩ)]]*RT2_TH_S_MAX/(RT2_TH_S_MAX+Table9[[#This Row],[RTH(max) (kΩ)]])</f>
        <v>8.49543831346021</v>
      </c>
      <c r="AJ109" s="80" t="n">
        <f aca="false">Table9[[#This Row],[RLower(min) (kΩ)]]/(Table9[[#This Row],[RLower(min) (kΩ)]]+RT1_TH_S_MAX)*100</f>
        <v>61.4482754447053</v>
      </c>
      <c r="AK109" s="80" t="n">
        <f aca="false">Table9[[#This Row],[RLower(nom) (kΩ)]]/(Table9[[#This Row],[RLower(nom) (kΩ)]]+RT1_TH_S)*100</f>
        <v>61.6712906391897</v>
      </c>
      <c r="AL109" s="80" t="n">
        <f aca="false">Table9[[#This Row],[RLower(max) (kΩ)]]/(Table9[[#This Row],[RLower(max) (kΩ)]]+RT1_TH_S_MIN)*100</f>
        <v>61.9056816141306</v>
      </c>
      <c r="AM109" s="80" t="n">
        <f aca="false">IF(Table9[[#This Row],[Vmin (%)]]&lt;$BA$14, 0, IF(Table9[[#This Row],[Vmin (%)]]&lt;$BA$12, 4, IF(Table9[[#This Row],[Vmin (%)]]&lt;$BA$9, 3, IF(Table9[[#This Row],[Vmin (%)]]&lt;$BA$7, 2, 0))))</f>
        <v>3</v>
      </c>
      <c r="AN109" s="80" t="n">
        <f aca="false">IF(Table9[[#This Row],[Vmin (%)]]&lt;$BA$13, 0, IF(Table9[[#This Row],[Vmin (%)]]&lt;$BA$11, 4, IF(Table9[[#This Row],[Vmin (%)]]&lt;$BA$10, 3, IF(Table9[[#This Row],[Vmin (%)]]&lt;$BA$8, 2, 0))))</f>
        <v>3</v>
      </c>
      <c r="AO109" s="217" t="str">
        <f aca="false">IF(Table9[[#This Row],[Vmin (%)]]&lt;$BA$14, "Hot", IF(Table9[[#This Row],[Vmin (%)]]&lt;$BA$12, "Warm", IF(Table9[[#This Row],[Vmin (%)]]&lt;$BA$9, "Normal", IF(Table9[[#This Row],[Vmin (%)]]&lt;$BA$7, "Cool", "Cold"))))</f>
        <v>Normal</v>
      </c>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A109" s="7"/>
      <c r="HB109" s="7"/>
    </row>
    <row r="110" customFormat="false" ht="16.4" hidden="false" customHeight="false" outlineLevel="0" collapsed="false">
      <c r="A110" s="218" t="n">
        <f aca="false">A109-1</f>
        <v>20</v>
      </c>
      <c r="B110" s="191"/>
      <c r="C110" s="219" t="str">
        <f aca="false">_xlfn.CONCAT("RTH at ",A110, " °C")</f>
        <v>RTH at 20 °C</v>
      </c>
      <c r="D110" s="220" t="n">
        <f aca="false">$D$105+(ROW(D110)-ROW($D$105))*($D$180-$D$105)/(ROW($D$180)-ROW($D$105))</f>
        <v>1.21666666666667</v>
      </c>
      <c r="E110" s="221" t="n">
        <v>11.94</v>
      </c>
      <c r="F110" s="222" t="n">
        <v>12.09</v>
      </c>
      <c r="G110" s="223" t="n">
        <v>12.24</v>
      </c>
      <c r="H110" s="57" t="s">
        <v>18</v>
      </c>
      <c r="I110" s="24"/>
      <c r="J110" s="24" t="n">
        <v>12.24</v>
      </c>
      <c r="K110" s="24" t="n">
        <v>12.09</v>
      </c>
      <c r="L110" s="24" t="n">
        <v>11.94</v>
      </c>
      <c r="M110" s="24"/>
      <c r="N110" s="24"/>
      <c r="O110" s="24"/>
      <c r="P110" s="24"/>
      <c r="Q110" s="24"/>
      <c r="R110" s="24"/>
      <c r="S110" s="24"/>
      <c r="T110" s="24"/>
      <c r="U110" s="24"/>
      <c r="V110" s="24"/>
      <c r="W110" s="24"/>
      <c r="X110" s="24"/>
      <c r="Y110" s="25"/>
      <c r="Z110" s="6"/>
      <c r="AA110" s="7"/>
      <c r="AB110" s="7"/>
      <c r="AC110" s="80" t="n">
        <f aca="false">A110</f>
        <v>20</v>
      </c>
      <c r="AD110" s="80" t="n">
        <f aca="false">E110</f>
        <v>11.94</v>
      </c>
      <c r="AE110" s="80" t="n">
        <f aca="false">F110</f>
        <v>12.09</v>
      </c>
      <c r="AF110" s="80" t="n">
        <f aca="false">G110</f>
        <v>12.24</v>
      </c>
      <c r="AG110" s="80" t="n">
        <f aca="false">Table9[[#This Row],[RTH(min) (kΩ)]]*RT2_TH_MIN/(RT2_TH_MIN+Table9[[#This Row],[RTH(min) (kΩ)]])</f>
        <v>8.57882209381608</v>
      </c>
      <c r="AH110" s="80" t="n">
        <f aca="false">Table9[[#This Row],[RTH(nom) (kΩ)]]*RT2_TH_S/(RT2_TH_S+Table9[[#This Row],[RTH(nom) (kΩ)]])</f>
        <v>8.65844364526894</v>
      </c>
      <c r="AI110" s="80" t="n">
        <f aca="false">Table9[[#This Row],[RTH(max) (kΩ)]]*RT2_TH_S_MAX/(RT2_TH_S_MAX+Table9[[#This Row],[RTH(max) (kΩ)]])</f>
        <v>8.73760716567906</v>
      </c>
      <c r="AJ110" s="80" t="n">
        <f aca="false">Table9[[#This Row],[RLower(min) (kΩ)]]/(Table9[[#This Row],[RLower(min) (kΩ)]]+RT1_TH_S_MAX)*100</f>
        <v>62.0886834270384</v>
      </c>
      <c r="AK110" s="80" t="n">
        <f aca="false">Table9[[#This Row],[RLower(nom) (kΩ)]]/(Table9[[#This Row],[RLower(nom) (kΩ)]]+RT1_TH_S)*100</f>
        <v>62.329368959087</v>
      </c>
      <c r="AL110" s="80" t="n">
        <f aca="false">Table9[[#This Row],[RLower(max) (kΩ)]]/(Table9[[#This Row],[RLower(max) (kΩ)]]+RT1_TH_S_MIN)*100</f>
        <v>62.5662627838523</v>
      </c>
      <c r="AM110" s="80" t="n">
        <f aca="false">IF(Table9[[#This Row],[Vmin (%)]]&lt;$BA$14, 0, IF(Table9[[#This Row],[Vmin (%)]]&lt;$BA$12, 4, IF(Table9[[#This Row],[Vmin (%)]]&lt;$BA$9, 3, IF(Table9[[#This Row],[Vmin (%)]]&lt;$BA$7, 2, 0))))</f>
        <v>3</v>
      </c>
      <c r="AN110" s="80" t="n">
        <f aca="false">IF(Table9[[#This Row],[Vmin (%)]]&lt;$BA$13, 0, IF(Table9[[#This Row],[Vmin (%)]]&lt;$BA$11, 4, IF(Table9[[#This Row],[Vmin (%)]]&lt;$BA$10, 3, IF(Table9[[#This Row],[Vmin (%)]]&lt;$BA$8, 2, 0))))</f>
        <v>3</v>
      </c>
      <c r="AO110" s="217" t="str">
        <f aca="false">IF(Table9[[#This Row],[Vmin (%)]]&lt;$BA$14, "Hot", IF(Table9[[#This Row],[Vmin (%)]]&lt;$BA$12, "Warm", IF(Table9[[#This Row],[Vmin (%)]]&lt;$BA$9, "Normal", IF(Table9[[#This Row],[Vmin (%)]]&lt;$BA$7, "Cool", "Cold"))))</f>
        <v>Normal</v>
      </c>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A110" s="7"/>
      <c r="HB110" s="7"/>
    </row>
    <row r="111" customFormat="false" ht="16.4" hidden="false" customHeight="false" outlineLevel="0" collapsed="false">
      <c r="A111" s="218" t="n">
        <f aca="false">A110-1</f>
        <v>19</v>
      </c>
      <c r="B111" s="191"/>
      <c r="C111" s="219" t="str">
        <f aca="false">_xlfn.CONCAT("RTH at ",A111, " °C")</f>
        <v>RTH at 19 °C</v>
      </c>
      <c r="D111" s="220" t="n">
        <f aca="false">$D$105+(ROW(D111)-ROW($D$105))*($D$180-$D$105)/(ROW($D$180)-ROW($D$105))</f>
        <v>1.26</v>
      </c>
      <c r="E111" s="221" t="n">
        <v>12.4</v>
      </c>
      <c r="F111" s="222" t="n">
        <v>12.56</v>
      </c>
      <c r="G111" s="223" t="n">
        <v>12.72</v>
      </c>
      <c r="H111" s="57" t="s">
        <v>18</v>
      </c>
      <c r="I111" s="24"/>
      <c r="J111" s="24" t="n">
        <v>12.72</v>
      </c>
      <c r="K111" s="24" t="n">
        <v>12.56</v>
      </c>
      <c r="L111" s="24" t="n">
        <v>12.4</v>
      </c>
      <c r="M111" s="24"/>
      <c r="N111" s="24"/>
      <c r="O111" s="24"/>
      <c r="P111" s="24"/>
      <c r="Q111" s="24"/>
      <c r="R111" s="24"/>
      <c r="S111" s="24"/>
      <c r="T111" s="24"/>
      <c r="U111" s="24"/>
      <c r="V111" s="24"/>
      <c r="W111" s="24"/>
      <c r="X111" s="24"/>
      <c r="Y111" s="25"/>
      <c r="Z111" s="6"/>
      <c r="AA111" s="7"/>
      <c r="AB111" s="7"/>
      <c r="AC111" s="80" t="n">
        <f aca="false">A111</f>
        <v>19</v>
      </c>
      <c r="AD111" s="80" t="n">
        <f aca="false">E111</f>
        <v>12.4</v>
      </c>
      <c r="AE111" s="80" t="n">
        <f aca="false">F111</f>
        <v>12.56</v>
      </c>
      <c r="AF111" s="80" t="n">
        <f aca="false">G111</f>
        <v>12.72</v>
      </c>
      <c r="AG111" s="80" t="n">
        <f aca="false">Table9[[#This Row],[RTH(min) (kΩ)]]*RT2_TH_MIN/(RT2_TH_MIN+Table9[[#This Row],[RTH(min) (kΩ)]])</f>
        <v>8.81374199781749</v>
      </c>
      <c r="AH111" s="80" t="n">
        <f aca="false">Table9[[#This Row],[RTH(nom) (kΩ)]]*RT2_TH_S/(RT2_TH_S+Table9[[#This Row],[RTH(nom) (kΩ)]])</f>
        <v>8.89687267284321</v>
      </c>
      <c r="AI111" s="80" t="n">
        <f aca="false">Table9[[#This Row],[RTH(max) (kΩ)]]*RT2_TH_S_MAX/(RT2_TH_S_MAX+Table9[[#This Row],[RTH(max) (kΩ)]])</f>
        <v>8.97949678034212</v>
      </c>
      <c r="AJ111" s="80" t="n">
        <f aca="false">Table9[[#This Row],[RLower(min) (kΩ)]]/(Table9[[#This Row],[RLower(min) (kΩ)]]+RT1_TH_S_MAX)*100</f>
        <v>62.7224824814789</v>
      </c>
      <c r="AK111" s="80" t="n">
        <f aca="false">Table9[[#This Row],[RLower(nom) (kΩ)]]/(Table9[[#This Row],[RLower(nom) (kΩ)]]+RT1_TH_S)*100</f>
        <v>62.9650277341346</v>
      </c>
      <c r="AL111" s="80" t="n">
        <f aca="false">Table9[[#This Row],[RLower(max) (kΩ)]]/(Table9[[#This Row],[RLower(max) (kΩ)]]+RT1_TH_S_MIN)*100</f>
        <v>63.2036014049579</v>
      </c>
      <c r="AM111" s="80" t="n">
        <f aca="false">IF(Table9[[#This Row],[Vmin (%)]]&lt;$BA$14, 0, IF(Table9[[#This Row],[Vmin (%)]]&lt;$BA$12, 4, IF(Table9[[#This Row],[Vmin (%)]]&lt;$BA$9, 3, IF(Table9[[#This Row],[Vmin (%)]]&lt;$BA$7, 2, 0))))</f>
        <v>3</v>
      </c>
      <c r="AN111" s="80" t="n">
        <f aca="false">IF(Table9[[#This Row],[Vmin (%)]]&lt;$BA$13, 0, IF(Table9[[#This Row],[Vmin (%)]]&lt;$BA$11, 4, IF(Table9[[#This Row],[Vmin (%)]]&lt;$BA$10, 3, IF(Table9[[#This Row],[Vmin (%)]]&lt;$BA$8, 2, 0))))</f>
        <v>3</v>
      </c>
      <c r="AO111" s="217" t="str">
        <f aca="false">IF(Table9[[#This Row],[Vmin (%)]]&lt;$BA$14, "Hot", IF(Table9[[#This Row],[Vmin (%)]]&lt;$BA$12, "Warm", IF(Table9[[#This Row],[Vmin (%)]]&lt;$BA$9, "Normal", IF(Table9[[#This Row],[Vmin (%)]]&lt;$BA$7, "Cool", "Cold"))))</f>
        <v>Normal</v>
      </c>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c r="FL111" s="7"/>
      <c r="FM111" s="7"/>
      <c r="FN111" s="7"/>
      <c r="FO111" s="7"/>
      <c r="FP111" s="7"/>
      <c r="FQ111" s="7"/>
      <c r="FR111" s="7"/>
      <c r="FS111" s="7"/>
      <c r="FT111" s="7"/>
      <c r="FU111" s="7"/>
      <c r="FV111" s="7"/>
      <c r="FW111" s="7"/>
      <c r="FX111" s="7"/>
      <c r="FY111" s="7"/>
      <c r="FZ111" s="7"/>
      <c r="GA111" s="7"/>
      <c r="GB111" s="7"/>
      <c r="GC111" s="7"/>
      <c r="GD111" s="7"/>
      <c r="GE111" s="7"/>
      <c r="GF111" s="7"/>
      <c r="GG111" s="7"/>
      <c r="GH111" s="7"/>
      <c r="GI111" s="7"/>
      <c r="GJ111" s="7"/>
      <c r="GK111" s="7"/>
      <c r="GL111" s="7"/>
      <c r="GM111" s="7"/>
      <c r="GN111" s="7"/>
      <c r="GO111" s="7"/>
      <c r="GP111" s="7"/>
      <c r="GQ111" s="7"/>
      <c r="GR111" s="7"/>
      <c r="GS111" s="7"/>
      <c r="GT111" s="7"/>
      <c r="GU111" s="7"/>
      <c r="GV111" s="7"/>
      <c r="GW111" s="7"/>
      <c r="GX111" s="7"/>
      <c r="GY111" s="7"/>
      <c r="GZ111" s="7"/>
      <c r="HA111" s="7"/>
      <c r="HB111" s="7"/>
    </row>
    <row r="112" customFormat="false" ht="16.4" hidden="false" customHeight="false" outlineLevel="0" collapsed="false">
      <c r="A112" s="218" t="n">
        <f aca="false">A111-1</f>
        <v>18</v>
      </c>
      <c r="B112" s="191"/>
      <c r="C112" s="219" t="str">
        <f aca="false">_xlfn.CONCAT("RTH at ",A112, " °C")</f>
        <v>RTH at 18 °C</v>
      </c>
      <c r="D112" s="220" t="n">
        <f aca="false">$D$105+(ROW(D112)-ROW($D$105))*($D$180-$D$105)/(ROW($D$180)-ROW($D$105))</f>
        <v>1.30333333333333</v>
      </c>
      <c r="E112" s="221" t="n">
        <v>12.89</v>
      </c>
      <c r="F112" s="222" t="n">
        <v>13.06</v>
      </c>
      <c r="G112" s="223" t="n">
        <v>13.22</v>
      </c>
      <c r="H112" s="57" t="s">
        <v>18</v>
      </c>
      <c r="I112" s="24"/>
      <c r="J112" s="24" t="n">
        <v>13.22</v>
      </c>
      <c r="K112" s="24" t="n">
        <v>13.06</v>
      </c>
      <c r="L112" s="24" t="n">
        <v>12.89</v>
      </c>
      <c r="M112" s="24"/>
      <c r="N112" s="24"/>
      <c r="O112" s="24"/>
      <c r="P112" s="24"/>
      <c r="Q112" s="24"/>
      <c r="R112" s="24"/>
      <c r="S112" s="24"/>
      <c r="T112" s="24"/>
      <c r="U112" s="24"/>
      <c r="V112" s="24"/>
      <c r="W112" s="24"/>
      <c r="X112" s="24"/>
      <c r="Y112" s="25"/>
      <c r="Z112" s="6"/>
      <c r="AA112" s="7"/>
      <c r="AB112" s="7"/>
      <c r="AC112" s="80" t="n">
        <f aca="false">A112</f>
        <v>18</v>
      </c>
      <c r="AD112" s="80" t="n">
        <f aca="false">E112</f>
        <v>12.89</v>
      </c>
      <c r="AE112" s="80" t="n">
        <f aca="false">F112</f>
        <v>13.06</v>
      </c>
      <c r="AF112" s="80" t="n">
        <f aca="false">G112</f>
        <v>13.22</v>
      </c>
      <c r="AG112" s="80" t="n">
        <f aca="false">Table9[[#This Row],[RTH(min) (kΩ)]]*RT2_TH_MIN/(RT2_TH_MIN+Table9[[#This Row],[RTH(min) (kΩ)]])</f>
        <v>9.05850069502186</v>
      </c>
      <c r="AH112" s="80" t="n">
        <f aca="false">Table9[[#This Row],[RTH(nom) (kΩ)]]*RT2_TH_S/(RT2_TH_S+Table9[[#This Row],[RTH(nom) (kΩ)]])</f>
        <v>9.14487299298466</v>
      </c>
      <c r="AI112" s="80" t="n">
        <f aca="false">Table9[[#This Row],[RTH(max) (kΩ)]]*RT2_TH_S_MAX/(RT2_TH_S_MAX+Table9[[#This Row],[RTH(max) (kΩ)]])</f>
        <v>9.22582178404653</v>
      </c>
      <c r="AJ112" s="80" t="n">
        <f aca="false">Table9[[#This Row],[RLower(min) (kΩ)]]/(Table9[[#This Row],[RLower(min) (kΩ)]]+RT1_TH_S_MAX)*100</f>
        <v>63.3606703692248</v>
      </c>
      <c r="AK112" s="80" t="n">
        <f aca="false">Table9[[#This Row],[RLower(nom) (kΩ)]]/(Table9[[#This Row],[RLower(nom) (kΩ)]]+RT1_TH_S)*100</f>
        <v>63.6038350624734</v>
      </c>
      <c r="AL112" s="80" t="n">
        <f aca="false">Table9[[#This Row],[RLower(max) (kΩ)]]/(Table9[[#This Row],[RLower(max) (kΩ)]]+RT1_TH_S_MIN)*100</f>
        <v>63.8307036908993</v>
      </c>
      <c r="AM112" s="80" t="n">
        <f aca="false">IF(Table9[[#This Row],[Vmin (%)]]&lt;$BA$14, 0, IF(Table9[[#This Row],[Vmin (%)]]&lt;$BA$12, 4, IF(Table9[[#This Row],[Vmin (%)]]&lt;$BA$9, 3, IF(Table9[[#This Row],[Vmin (%)]]&lt;$BA$7, 2, 0))))</f>
        <v>3</v>
      </c>
      <c r="AN112" s="80" t="n">
        <f aca="false">IF(Table9[[#This Row],[Vmin (%)]]&lt;$BA$13, 0, IF(Table9[[#This Row],[Vmin (%)]]&lt;$BA$11, 4, IF(Table9[[#This Row],[Vmin (%)]]&lt;$BA$10, 3, IF(Table9[[#This Row],[Vmin (%)]]&lt;$BA$8, 2, 0))))</f>
        <v>3</v>
      </c>
      <c r="AO112" s="217" t="str">
        <f aca="false">IF(Table9[[#This Row],[Vmin (%)]]&lt;$BA$14, "Hot", IF(Table9[[#This Row],[Vmin (%)]]&lt;$BA$12, "Warm", IF(Table9[[#This Row],[Vmin (%)]]&lt;$BA$9, "Normal", IF(Table9[[#This Row],[Vmin (%)]]&lt;$BA$7, "Cool", "Cold"))))</f>
        <v>Normal</v>
      </c>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c r="FL112" s="7"/>
      <c r="FM112" s="7"/>
      <c r="FN112" s="7"/>
      <c r="FO112" s="7"/>
      <c r="FP112" s="7"/>
      <c r="FQ112" s="7"/>
      <c r="FR112" s="7"/>
      <c r="FS112" s="7"/>
      <c r="FT112" s="7"/>
      <c r="FU112" s="7"/>
      <c r="FV112" s="7"/>
      <c r="FW112" s="7"/>
      <c r="FX112" s="7"/>
      <c r="FY112" s="7"/>
      <c r="FZ112" s="7"/>
      <c r="GA112" s="7"/>
      <c r="GB112" s="7"/>
      <c r="GC112" s="7"/>
      <c r="GD112" s="7"/>
      <c r="GE112" s="7"/>
      <c r="GF112" s="7"/>
      <c r="GG112" s="7"/>
      <c r="GH112" s="7"/>
      <c r="GI112" s="7"/>
      <c r="GJ112" s="7"/>
      <c r="GK112" s="7"/>
      <c r="GL112" s="7"/>
      <c r="GM112" s="7"/>
      <c r="GN112" s="7"/>
      <c r="GO112" s="7"/>
      <c r="GP112" s="7"/>
      <c r="GQ112" s="7"/>
      <c r="GR112" s="7"/>
      <c r="GS112" s="7"/>
      <c r="GT112" s="7"/>
      <c r="GU112" s="7"/>
      <c r="GV112" s="7"/>
      <c r="GW112" s="7"/>
      <c r="GX112" s="7"/>
      <c r="GY112" s="7"/>
      <c r="GZ112" s="7"/>
      <c r="HA112" s="7"/>
      <c r="HB112" s="7"/>
    </row>
    <row r="113" customFormat="false" ht="16.4" hidden="false" customHeight="false" outlineLevel="0" collapsed="false">
      <c r="A113" s="218" t="n">
        <f aca="false">A112-1</f>
        <v>17</v>
      </c>
      <c r="B113" s="191"/>
      <c r="C113" s="219" t="str">
        <f aca="false">_xlfn.CONCAT("RTH at ",A113, " °C")</f>
        <v>RTH at 17 °C</v>
      </c>
      <c r="D113" s="220" t="n">
        <f aca="false">$D$105+(ROW(D113)-ROW($D$105))*($D$180-$D$105)/(ROW($D$180)-ROW($D$105))</f>
        <v>1.34666666666667</v>
      </c>
      <c r="E113" s="221" t="n">
        <v>13.39</v>
      </c>
      <c r="F113" s="222" t="n">
        <v>13.58</v>
      </c>
      <c r="G113" s="223" t="n">
        <v>13.75</v>
      </c>
      <c r="H113" s="57" t="s">
        <v>18</v>
      </c>
      <c r="I113" s="24"/>
      <c r="J113" s="24" t="n">
        <v>13.75</v>
      </c>
      <c r="K113" s="24" t="n">
        <v>13.58</v>
      </c>
      <c r="L113" s="24" t="n">
        <v>13.39</v>
      </c>
      <c r="M113" s="24"/>
      <c r="N113" s="24"/>
      <c r="O113" s="24"/>
      <c r="P113" s="24"/>
      <c r="Q113" s="24"/>
      <c r="R113" s="24"/>
      <c r="S113" s="24"/>
      <c r="T113" s="24"/>
      <c r="U113" s="24"/>
      <c r="V113" s="24"/>
      <c r="W113" s="24"/>
      <c r="X113" s="24"/>
      <c r="Y113" s="25"/>
      <c r="Z113" s="6"/>
      <c r="AA113" s="7"/>
      <c r="AB113" s="7"/>
      <c r="AC113" s="80" t="n">
        <f aca="false">A113</f>
        <v>17</v>
      </c>
      <c r="AD113" s="80" t="n">
        <f aca="false">E113</f>
        <v>13.39</v>
      </c>
      <c r="AE113" s="80" t="n">
        <f aca="false">F113</f>
        <v>13.58</v>
      </c>
      <c r="AF113" s="80" t="n">
        <f aca="false">G113</f>
        <v>13.75</v>
      </c>
      <c r="AG113" s="80" t="n">
        <f aca="false">Table9[[#This Row],[RTH(min) (kΩ)]]*RT2_TH_MIN/(RT2_TH_MIN+Table9[[#This Row],[RTH(min) (kΩ)]])</f>
        <v>9.30261768411697</v>
      </c>
      <c r="AH113" s="80" t="n">
        <f aca="false">Table9[[#This Row],[RTH(nom) (kΩ)]]*RT2_TH_S/(RT2_TH_S+Table9[[#This Row],[RTH(nom) (kΩ)]])</f>
        <v>9.39682582961203</v>
      </c>
      <c r="AI113" s="80" t="n">
        <f aca="false">Table9[[#This Row],[RTH(max) (kΩ)]]*RT2_TH_S_MAX/(RT2_TH_S_MAX+Table9[[#This Row],[RTH(max) (kΩ)]])</f>
        <v>9.48085351216005</v>
      </c>
      <c r="AJ113" s="80" t="n">
        <f aca="false">Table9[[#This Row],[RLower(min) (kΩ)]]/(Table9[[#This Row],[RLower(min) (kΩ)]]+RT1_TH_S_MAX)*100</f>
        <v>63.9757848819449</v>
      </c>
      <c r="AK113" s="80" t="n">
        <f aca="false">Table9[[#This Row],[RLower(nom) (kΩ)]]/(Table9[[#This Row],[RLower(nom) (kΩ)]]+RT1_TH_S)*100</f>
        <v>64.2306451594927</v>
      </c>
      <c r="AL113" s="80" t="n">
        <f aca="false">Table9[[#This Row],[RLower(max) (kΩ)]]/(Table9[[#This Row],[RLower(max) (kΩ)]]+RT1_TH_S_MIN)*100</f>
        <v>64.4578409320392</v>
      </c>
      <c r="AM113" s="80" t="n">
        <f aca="false">IF(Table9[[#This Row],[Vmin (%)]]&lt;$BA$14, 0, IF(Table9[[#This Row],[Vmin (%)]]&lt;$BA$12, 4, IF(Table9[[#This Row],[Vmin (%)]]&lt;$BA$9, 3, IF(Table9[[#This Row],[Vmin (%)]]&lt;$BA$7, 2, 0))))</f>
        <v>3</v>
      </c>
      <c r="AN113" s="80" t="n">
        <f aca="false">IF(Table9[[#This Row],[Vmin (%)]]&lt;$BA$13, 0, IF(Table9[[#This Row],[Vmin (%)]]&lt;$BA$11, 4, IF(Table9[[#This Row],[Vmin (%)]]&lt;$BA$10, 3, IF(Table9[[#This Row],[Vmin (%)]]&lt;$BA$8, 2, 0))))</f>
        <v>3</v>
      </c>
      <c r="AO113" s="217" t="str">
        <f aca="false">IF(Table9[[#This Row],[Vmin (%)]]&lt;$BA$14, "Hot", IF(Table9[[#This Row],[Vmin (%)]]&lt;$BA$12, "Warm", IF(Table9[[#This Row],[Vmin (%)]]&lt;$BA$9, "Normal", IF(Table9[[#This Row],[Vmin (%)]]&lt;$BA$7, "Cool", "Cold"))))</f>
        <v>Normal</v>
      </c>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row>
    <row r="114" customFormat="false" ht="16.4" hidden="false" customHeight="false" outlineLevel="0" collapsed="false">
      <c r="A114" s="218" t="n">
        <f aca="false">A113-1</f>
        <v>16</v>
      </c>
      <c r="B114" s="191"/>
      <c r="C114" s="219" t="str">
        <f aca="false">_xlfn.CONCAT("RTH at ",A114, " °C")</f>
        <v>RTH at 16 °C</v>
      </c>
      <c r="D114" s="220" t="n">
        <f aca="false">$D$105+(ROW(D114)-ROW($D$105))*($D$180-$D$105)/(ROW($D$180)-ROW($D$105))</f>
        <v>1.39</v>
      </c>
      <c r="E114" s="221" t="n">
        <v>13.92</v>
      </c>
      <c r="F114" s="222" t="n">
        <v>14.12</v>
      </c>
      <c r="G114" s="223" t="n">
        <v>14.31</v>
      </c>
      <c r="H114" s="57" t="s">
        <v>18</v>
      </c>
      <c r="I114" s="24"/>
      <c r="J114" s="24" t="n">
        <v>14.31</v>
      </c>
      <c r="K114" s="24" t="n">
        <v>14.12</v>
      </c>
      <c r="L114" s="24" t="n">
        <v>13.92</v>
      </c>
      <c r="M114" s="24"/>
      <c r="N114" s="24"/>
      <c r="O114" s="24"/>
      <c r="P114" s="24"/>
      <c r="Q114" s="24"/>
      <c r="R114" s="24"/>
      <c r="S114" s="24"/>
      <c r="T114" s="24"/>
      <c r="U114" s="24"/>
      <c r="V114" s="24"/>
      <c r="W114" s="24"/>
      <c r="X114" s="24"/>
      <c r="Y114" s="25"/>
      <c r="Z114" s="6"/>
      <c r="AA114" s="7"/>
      <c r="AB114" s="7"/>
      <c r="AC114" s="80" t="n">
        <f aca="false">A114</f>
        <v>16</v>
      </c>
      <c r="AD114" s="80" t="n">
        <f aca="false">E114</f>
        <v>13.92</v>
      </c>
      <c r="AE114" s="80" t="n">
        <f aca="false">F114</f>
        <v>14.12</v>
      </c>
      <c r="AF114" s="80" t="n">
        <f aca="false">G114</f>
        <v>14.31</v>
      </c>
      <c r="AG114" s="80" t="n">
        <f aca="false">Table9[[#This Row],[RTH(min) (kΩ)]]*RT2_TH_MIN/(RT2_TH_MIN+Table9[[#This Row],[RTH(min) (kΩ)]])</f>
        <v>9.55537812711667</v>
      </c>
      <c r="AH114" s="80" t="n">
        <f aca="false">Table9[[#This Row],[RTH(nom) (kΩ)]]*RT2_TH_S/(RT2_TH_S+Table9[[#This Row],[RTH(nom) (kΩ)]])</f>
        <v>9.65225425358473</v>
      </c>
      <c r="AI114" s="80" t="n">
        <f aca="false">Table9[[#This Row],[RTH(max) (kΩ)]]*RT2_TH_S_MAX/(RT2_TH_S_MAX+Table9[[#This Row],[RTH(max) (kΩ)]])</f>
        <v>9.74377145171781</v>
      </c>
      <c r="AJ114" s="80" t="n">
        <f aca="false">Table9[[#This Row],[RLower(min) (kΩ)]]/(Table9[[#This Row],[RLower(min) (kΩ)]]+RT1_TH_S_MAX)*100</f>
        <v>64.5912872057738</v>
      </c>
      <c r="AK114" s="80" t="n">
        <f aca="false">Table9[[#This Row],[RLower(nom) (kΩ)]]/(Table9[[#This Row],[RLower(nom) (kΩ)]]+RT1_TH_S)*100</f>
        <v>64.8444415523412</v>
      </c>
      <c r="AL114" s="80" t="n">
        <f aca="false">Table9[[#This Row],[RLower(max) (kΩ)]]/(Table9[[#This Row],[RLower(max) (kΩ)]]+RT1_TH_S_MIN)*100</f>
        <v>65.0820036912654</v>
      </c>
      <c r="AM114" s="80" t="n">
        <f aca="false">IF(Table9[[#This Row],[Vmin (%)]]&lt;$BA$14, 0, IF(Table9[[#This Row],[Vmin (%)]]&lt;$BA$12, 4, IF(Table9[[#This Row],[Vmin (%)]]&lt;$BA$9, 3, IF(Table9[[#This Row],[Vmin (%)]]&lt;$BA$7, 2, 0))))</f>
        <v>3</v>
      </c>
      <c r="AN114" s="80" t="n">
        <f aca="false">IF(Table9[[#This Row],[Vmin (%)]]&lt;$BA$13, 0, IF(Table9[[#This Row],[Vmin (%)]]&lt;$BA$11, 4, IF(Table9[[#This Row],[Vmin (%)]]&lt;$BA$10, 3, IF(Table9[[#This Row],[Vmin (%)]]&lt;$BA$8, 2, 0))))</f>
        <v>3</v>
      </c>
      <c r="AO114" s="217" t="str">
        <f aca="false">IF(Table9[[#This Row],[Vmin (%)]]&lt;$BA$14, "Hot", IF(Table9[[#This Row],[Vmin (%)]]&lt;$BA$12, "Warm", IF(Table9[[#This Row],[Vmin (%)]]&lt;$BA$9, "Normal", IF(Table9[[#This Row],[Vmin (%)]]&lt;$BA$7, "Cool", "Cold"))))</f>
        <v>Normal</v>
      </c>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c r="FL114" s="7"/>
      <c r="FM114" s="7"/>
      <c r="FN114" s="7"/>
      <c r="FO114" s="7"/>
      <c r="FP114" s="7"/>
      <c r="FQ114" s="7"/>
      <c r="FR114" s="7"/>
      <c r="FS114" s="7"/>
      <c r="FT114" s="7"/>
      <c r="FU114" s="7"/>
      <c r="FV114" s="7"/>
      <c r="FW114" s="7"/>
      <c r="FX114" s="7"/>
      <c r="FY114" s="7"/>
      <c r="FZ114" s="7"/>
      <c r="GA114" s="7"/>
      <c r="GB114" s="7"/>
      <c r="GC114" s="7"/>
      <c r="GD114" s="7"/>
      <c r="GE114" s="7"/>
      <c r="GF114" s="7"/>
      <c r="GG114" s="7"/>
      <c r="GH114" s="7"/>
      <c r="GI114" s="7"/>
      <c r="GJ114" s="7"/>
      <c r="GK114" s="7"/>
      <c r="GL114" s="7"/>
      <c r="GM114" s="7"/>
      <c r="GN114" s="7"/>
      <c r="GO114" s="7"/>
      <c r="GP114" s="7"/>
      <c r="GQ114" s="7"/>
      <c r="GR114" s="7"/>
      <c r="GS114" s="7"/>
      <c r="GT114" s="7"/>
      <c r="GU114" s="7"/>
      <c r="GV114" s="7"/>
      <c r="GW114" s="7"/>
      <c r="GX114" s="7"/>
      <c r="GY114" s="7"/>
      <c r="GZ114" s="7"/>
      <c r="HA114" s="7"/>
      <c r="HB114" s="7"/>
    </row>
    <row r="115" customFormat="false" ht="16.4" hidden="false" customHeight="false" outlineLevel="0" collapsed="false">
      <c r="A115" s="218" t="n">
        <f aca="false">A114-1</f>
        <v>15</v>
      </c>
      <c r="B115" s="191"/>
      <c r="C115" s="219" t="str">
        <f aca="false">_xlfn.CONCAT("RTH at ",A115, " °C")</f>
        <v>RTH at 15 °C</v>
      </c>
      <c r="D115" s="220" t="n">
        <f aca="false">$D$105+(ROW(D115)-ROW($D$105))*($D$180-$D$105)/(ROW($D$180)-ROW($D$105))</f>
        <v>1.43333333333333</v>
      </c>
      <c r="E115" s="221" t="n">
        <v>14.48</v>
      </c>
      <c r="F115" s="222" t="n">
        <v>14.69</v>
      </c>
      <c r="G115" s="223" t="n">
        <v>14.89</v>
      </c>
      <c r="H115" s="57" t="s">
        <v>18</v>
      </c>
      <c r="I115" s="24"/>
      <c r="J115" s="24" t="n">
        <v>14.89</v>
      </c>
      <c r="K115" s="24" t="n">
        <v>14.69</v>
      </c>
      <c r="L115" s="24" t="n">
        <v>14.48</v>
      </c>
      <c r="M115" s="24"/>
      <c r="N115" s="24"/>
      <c r="O115" s="24"/>
      <c r="P115" s="24"/>
      <c r="Q115" s="24"/>
      <c r="R115" s="24"/>
      <c r="S115" s="24"/>
      <c r="T115" s="24"/>
      <c r="U115" s="24"/>
      <c r="V115" s="24"/>
      <c r="W115" s="24"/>
      <c r="X115" s="24"/>
      <c r="Y115" s="25"/>
      <c r="Z115" s="6"/>
      <c r="AA115" s="7"/>
      <c r="AB115" s="7"/>
      <c r="AC115" s="80" t="n">
        <f aca="false">A115</f>
        <v>15</v>
      </c>
      <c r="AD115" s="80" t="n">
        <f aca="false">E115</f>
        <v>14.48</v>
      </c>
      <c r="AE115" s="80" t="n">
        <f aca="false">F115</f>
        <v>14.69</v>
      </c>
      <c r="AF115" s="80" t="n">
        <f aca="false">G115</f>
        <v>14.89</v>
      </c>
      <c r="AG115" s="80" t="n">
        <f aca="false">Table9[[#This Row],[RTH(min) (kΩ)]]*RT2_TH_MIN/(RT2_TH_MIN+Table9[[#This Row],[RTH(min) (kΩ)]])</f>
        <v>9.81597028527473</v>
      </c>
      <c r="AH115" s="80" t="n">
        <f aca="false">Table9[[#This Row],[RTH(nom) (kΩ)]]*RT2_TH_S/(RT2_TH_S+Table9[[#This Row],[RTH(nom) (kΩ)]])</f>
        <v>9.91525128200392</v>
      </c>
      <c r="AI115" s="80" t="n">
        <f aca="false">Table9[[#This Row],[RTH(max) (kΩ)]]*RT2_TH_S_MAX/(RT2_TH_S_MAX+Table9[[#This Row],[RTH(max) (kΩ)]])</f>
        <v>10.0092455123331</v>
      </c>
      <c r="AJ115" s="80" t="n">
        <f aca="false">Table9[[#This Row],[RLower(min) (kΩ)]]/(Table9[[#This Row],[RLower(min) (kΩ)]]+RT1_TH_S_MAX)*100</f>
        <v>65.2042215565089</v>
      </c>
      <c r="AK115" s="80" t="n">
        <f aca="false">Table9[[#This Row],[RLower(nom) (kΩ)]]/(Table9[[#This Row],[RLower(nom) (kΩ)]]+RT1_TH_S)*100</f>
        <v>65.4547966775379</v>
      </c>
      <c r="AL115" s="80" t="n">
        <f aca="false">Table9[[#This Row],[RLower(max) (kΩ)]]/(Table9[[#This Row],[RLower(max) (kΩ)]]+RT1_TH_S_MIN)*100</f>
        <v>65.6903793582016</v>
      </c>
      <c r="AM115" s="80" t="n">
        <f aca="false">IF(Table9[[#This Row],[Vmin (%)]]&lt;$BA$14, 0, IF(Table9[[#This Row],[Vmin (%)]]&lt;$BA$12, 4, IF(Table9[[#This Row],[Vmin (%)]]&lt;$BA$9, 3, IF(Table9[[#This Row],[Vmin (%)]]&lt;$BA$7, 2, 0))))</f>
        <v>3</v>
      </c>
      <c r="AN115" s="80" t="n">
        <f aca="false">IF(Table9[[#This Row],[Vmin (%)]]&lt;$BA$13, 0, IF(Table9[[#This Row],[Vmin (%)]]&lt;$BA$11, 4, IF(Table9[[#This Row],[Vmin (%)]]&lt;$BA$10, 3, IF(Table9[[#This Row],[Vmin (%)]]&lt;$BA$8, 2, 0))))</f>
        <v>3</v>
      </c>
      <c r="AO115" s="217" t="str">
        <f aca="false">IF(Table9[[#This Row],[Vmin (%)]]&lt;$BA$14, "Hot", IF(Table9[[#This Row],[Vmin (%)]]&lt;$BA$12, "Warm", IF(Table9[[#This Row],[Vmin (%)]]&lt;$BA$9, "Normal", IF(Table9[[#This Row],[Vmin (%)]]&lt;$BA$7, "Cool", "Cold"))))</f>
        <v>Normal</v>
      </c>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c r="FJ115" s="7"/>
      <c r="FK115" s="7"/>
      <c r="FL115" s="7"/>
      <c r="FM115" s="7"/>
      <c r="FN115" s="7"/>
      <c r="FO115" s="7"/>
      <c r="FP115" s="7"/>
      <c r="FQ115" s="7"/>
      <c r="FR115" s="7"/>
      <c r="FS115" s="7"/>
      <c r="FT115" s="7"/>
      <c r="FU115" s="7"/>
      <c r="FV115" s="7"/>
      <c r="FW115" s="7"/>
      <c r="FX115" s="7"/>
      <c r="FY115" s="7"/>
      <c r="FZ115" s="7"/>
      <c r="GA115" s="7"/>
      <c r="GB115" s="7"/>
      <c r="GC115" s="7"/>
      <c r="GD115" s="7"/>
      <c r="GE115" s="7"/>
      <c r="GF115" s="7"/>
      <c r="GG115" s="7"/>
      <c r="GH115" s="7"/>
      <c r="GI115" s="7"/>
      <c r="GJ115" s="7"/>
      <c r="GK115" s="7"/>
      <c r="GL115" s="7"/>
      <c r="GM115" s="7"/>
      <c r="GN115" s="7"/>
      <c r="GO115" s="7"/>
      <c r="GP115" s="7"/>
      <c r="GQ115" s="7"/>
      <c r="GR115" s="7"/>
      <c r="GS115" s="7"/>
      <c r="GT115" s="7"/>
      <c r="GU115" s="7"/>
      <c r="GV115" s="7"/>
      <c r="GW115" s="7"/>
      <c r="GX115" s="7"/>
      <c r="GY115" s="7"/>
      <c r="GZ115" s="7"/>
      <c r="HA115" s="7"/>
      <c r="HB115" s="7"/>
    </row>
    <row r="116" customFormat="false" ht="16.4" hidden="false" customHeight="false" outlineLevel="0" collapsed="false">
      <c r="A116" s="218" t="n">
        <f aca="false">A115-1</f>
        <v>14</v>
      </c>
      <c r="B116" s="191"/>
      <c r="C116" s="219" t="str">
        <f aca="false">_xlfn.CONCAT("RTH at ",A116, " °C")</f>
        <v>RTH at 14 °C</v>
      </c>
      <c r="D116" s="220" t="n">
        <f aca="false">$D$105+(ROW(D116)-ROW($D$105))*($D$180-$D$105)/(ROW($D$180)-ROW($D$105))</f>
        <v>1.47666666666667</v>
      </c>
      <c r="E116" s="221" t="n">
        <v>15.06</v>
      </c>
      <c r="F116" s="222" t="n">
        <v>15.28</v>
      </c>
      <c r="G116" s="223" t="n">
        <v>15.5</v>
      </c>
      <c r="H116" s="57" t="s">
        <v>18</v>
      </c>
      <c r="I116" s="24"/>
      <c r="J116" s="24" t="n">
        <v>15.5</v>
      </c>
      <c r="K116" s="24" t="n">
        <v>15.28</v>
      </c>
      <c r="L116" s="24" t="n">
        <v>15.06</v>
      </c>
      <c r="M116" s="24"/>
      <c r="N116" s="24"/>
      <c r="O116" s="24"/>
      <c r="P116" s="24"/>
      <c r="Q116" s="24"/>
      <c r="R116" s="24"/>
      <c r="S116" s="24"/>
      <c r="T116" s="24"/>
      <c r="U116" s="24"/>
      <c r="V116" s="24"/>
      <c r="W116" s="24"/>
      <c r="X116" s="24"/>
      <c r="Y116" s="25"/>
      <c r="Z116" s="6"/>
      <c r="AA116" s="7"/>
      <c r="AB116" s="7"/>
      <c r="AC116" s="80" t="n">
        <f aca="false">A116</f>
        <v>14</v>
      </c>
      <c r="AD116" s="80" t="n">
        <f aca="false">E116</f>
        <v>15.06</v>
      </c>
      <c r="AE116" s="80" t="n">
        <f aca="false">F116</f>
        <v>15.28</v>
      </c>
      <c r="AF116" s="80" t="n">
        <f aca="false">G116</f>
        <v>15.5</v>
      </c>
      <c r="AG116" s="80" t="n">
        <f aca="false">Table9[[#This Row],[RTH(min) (kΩ)]]*RT2_TH_MIN/(RT2_TH_MIN+Table9[[#This Row],[RTH(min) (kΩ)]])</f>
        <v>10.0791121652658</v>
      </c>
      <c r="AH116" s="80" t="n">
        <f aca="false">Table9[[#This Row],[RTH(nom) (kΩ)]]*RT2_TH_S/(RT2_TH_S+Table9[[#This Row],[RTH(nom) (kΩ)]])</f>
        <v>10.1805792779744</v>
      </c>
      <c r="AI116" s="80" t="n">
        <f aca="false">Table9[[#This Row],[RTH(max) (kΩ)]]*RT2_TH_S_MAX/(RT2_TH_S_MAX+Table9[[#This Row],[RTH(max) (kΩ)]])</f>
        <v>10.2812336800344</v>
      </c>
      <c r="AJ116" s="80" t="n">
        <f aca="false">Table9[[#This Row],[RLower(min) (kΩ)]]/(Table9[[#This Row],[RLower(min) (kΩ)]]+RT1_TH_S_MAX)*100</f>
        <v>65.8019904096641</v>
      </c>
      <c r="AK116" s="80" t="n">
        <f aca="false">Table9[[#This Row],[RLower(nom) (kΩ)]]/(Table9[[#This Row],[RLower(nom) (kΩ)]]+RT1_TH_S)*100</f>
        <v>66.0494551061392</v>
      </c>
      <c r="AL116" s="80" t="n">
        <f aca="false">Table9[[#This Row],[RLower(max) (kΩ)]]/(Table9[[#This Row],[RLower(max) (kΩ)]]+RT1_TH_S_MIN)*100</f>
        <v>66.2920826121427</v>
      </c>
      <c r="AM116" s="80" t="n">
        <f aca="false">IF(Table9[[#This Row],[Vmin (%)]]&lt;$BA$14, 0, IF(Table9[[#This Row],[Vmin (%)]]&lt;$BA$12, 4, IF(Table9[[#This Row],[Vmin (%)]]&lt;$BA$9, 3, IF(Table9[[#This Row],[Vmin (%)]]&lt;$BA$7, 2, 0))))</f>
        <v>3</v>
      </c>
      <c r="AN116" s="80" t="n">
        <f aca="false">IF(Table9[[#This Row],[Vmin (%)]]&lt;$BA$13, 0, IF(Table9[[#This Row],[Vmin (%)]]&lt;$BA$11, 4, IF(Table9[[#This Row],[Vmin (%)]]&lt;$BA$10, 3, IF(Table9[[#This Row],[Vmin (%)]]&lt;$BA$8, 2, 0))))</f>
        <v>3</v>
      </c>
      <c r="AO116" s="217" t="str">
        <f aca="false">IF(Table9[[#This Row],[Vmin (%)]]&lt;$BA$14, "Hot", IF(Table9[[#This Row],[Vmin (%)]]&lt;$BA$12, "Warm", IF(Table9[[#This Row],[Vmin (%)]]&lt;$BA$9, "Normal", IF(Table9[[#This Row],[Vmin (%)]]&lt;$BA$7, "Cool", "Cold"))))</f>
        <v>Normal</v>
      </c>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c r="FL116" s="7"/>
      <c r="FM116" s="7"/>
      <c r="FN116" s="7"/>
      <c r="FO116" s="7"/>
      <c r="FP116" s="7"/>
      <c r="FQ116" s="7"/>
      <c r="FR116" s="7"/>
      <c r="FS116" s="7"/>
      <c r="FT116" s="7"/>
      <c r="FU116" s="7"/>
      <c r="FV116" s="7"/>
      <c r="FW116" s="7"/>
      <c r="FX116" s="7"/>
      <c r="FY116" s="7"/>
      <c r="FZ116" s="7"/>
      <c r="GA116" s="7"/>
      <c r="GB116" s="7"/>
      <c r="GC116" s="7"/>
      <c r="GD116" s="7"/>
      <c r="GE116" s="7"/>
      <c r="GF116" s="7"/>
      <c r="GG116" s="7"/>
      <c r="GH116" s="7"/>
      <c r="GI116" s="7"/>
      <c r="GJ116" s="7"/>
      <c r="GK116" s="7"/>
      <c r="GL116" s="7"/>
      <c r="GM116" s="7"/>
      <c r="GN116" s="7"/>
      <c r="GO116" s="7"/>
      <c r="GP116" s="7"/>
      <c r="GQ116" s="7"/>
      <c r="GR116" s="7"/>
      <c r="GS116" s="7"/>
      <c r="GT116" s="7"/>
      <c r="GU116" s="7"/>
      <c r="GV116" s="7"/>
      <c r="GW116" s="7"/>
      <c r="GX116" s="7"/>
      <c r="GY116" s="7"/>
      <c r="GZ116" s="7"/>
      <c r="HA116" s="7"/>
      <c r="HB116" s="7"/>
    </row>
    <row r="117" customFormat="false" ht="16.4" hidden="false" customHeight="false" outlineLevel="0" collapsed="false">
      <c r="A117" s="218" t="n">
        <f aca="false">A116-1</f>
        <v>13</v>
      </c>
      <c r="B117" s="191"/>
      <c r="C117" s="219" t="str">
        <f aca="false">_xlfn.CONCAT("RTH at ",A117, " °C")</f>
        <v>RTH at 13 °C</v>
      </c>
      <c r="D117" s="220" t="n">
        <f aca="false">$D$105+(ROW(D117)-ROW($D$105))*($D$180-$D$105)/(ROW($D$180)-ROW($D$105))</f>
        <v>1.52</v>
      </c>
      <c r="E117" s="221" t="n">
        <v>15.67</v>
      </c>
      <c r="F117" s="222" t="n">
        <v>15.9</v>
      </c>
      <c r="G117" s="223" t="n">
        <v>16.14</v>
      </c>
      <c r="H117" s="57" t="s">
        <v>18</v>
      </c>
      <c r="I117" s="24"/>
      <c r="J117" s="24" t="n">
        <v>16.14</v>
      </c>
      <c r="K117" s="24" t="n">
        <v>15.9</v>
      </c>
      <c r="L117" s="24" t="n">
        <v>15.67</v>
      </c>
      <c r="M117" s="24"/>
      <c r="N117" s="24"/>
      <c r="O117" s="24"/>
      <c r="P117" s="24"/>
      <c r="Q117" s="24"/>
      <c r="R117" s="24"/>
      <c r="S117" s="24"/>
      <c r="T117" s="24"/>
      <c r="U117" s="24"/>
      <c r="V117" s="24"/>
      <c r="W117" s="24"/>
      <c r="X117" s="24"/>
      <c r="Y117" s="25"/>
      <c r="Z117" s="6"/>
      <c r="AA117" s="7"/>
      <c r="AB117" s="7"/>
      <c r="AC117" s="80" t="n">
        <f aca="false">A117</f>
        <v>13</v>
      </c>
      <c r="AD117" s="80" t="n">
        <f aca="false">E117</f>
        <v>15.67</v>
      </c>
      <c r="AE117" s="80" t="n">
        <f aca="false">F117</f>
        <v>15.9</v>
      </c>
      <c r="AF117" s="80" t="n">
        <f aca="false">G117</f>
        <v>16.14</v>
      </c>
      <c r="AG117" s="80" t="n">
        <f aca="false">Table9[[#This Row],[RTH(min) (kΩ)]]*RT2_TH_MIN/(RT2_TH_MIN+Table9[[#This Row],[RTH(min) (kΩ)]])</f>
        <v>10.3487278229592</v>
      </c>
      <c r="AH117" s="80" t="n">
        <f aca="false">Table9[[#This Row],[RTH(nom) (kΩ)]]*RT2_TH_S/(RT2_TH_S+Table9[[#This Row],[RTH(nom) (kΩ)]])</f>
        <v>10.4521284220651</v>
      </c>
      <c r="AI117" s="80" t="n">
        <f aca="false">Table9[[#This Row],[RTH(max) (kΩ)]]*RT2_TH_S_MAX/(RT2_TH_S_MAX+Table9[[#This Row],[RTH(max) (kΩ)]])</f>
        <v>10.5589561125179</v>
      </c>
      <c r="AJ117" s="80" t="n">
        <f aca="false">Table9[[#This Row],[RLower(min) (kΩ)]]/(Table9[[#This Row],[RLower(min) (kΩ)]]+RT1_TH_S_MAX)*100</f>
        <v>66.3935312619501</v>
      </c>
      <c r="AK117" s="80" t="n">
        <f aca="false">Table9[[#This Row],[RLower(nom) (kΩ)]]/(Table9[[#This Row],[RLower(nom) (kΩ)]]+RT1_TH_S)*100</f>
        <v>66.6372250218772</v>
      </c>
      <c r="AL117" s="80" t="n">
        <f aca="false">Table9[[#This Row],[RLower(max) (kΩ)]]/(Table9[[#This Row],[RLower(max) (kΩ)]]+RT1_TH_S_MIN)*100</f>
        <v>66.8850777504519</v>
      </c>
      <c r="AM117" s="80" t="n">
        <f aca="false">IF(Table9[[#This Row],[Vmin (%)]]&lt;$BA$14, 0, IF(Table9[[#This Row],[Vmin (%)]]&lt;$BA$12, 4, IF(Table9[[#This Row],[Vmin (%)]]&lt;$BA$9, 3, IF(Table9[[#This Row],[Vmin (%)]]&lt;$BA$7, 2, 0))))</f>
        <v>3</v>
      </c>
      <c r="AN117" s="80" t="n">
        <f aca="false">IF(Table9[[#This Row],[Vmin (%)]]&lt;$BA$13, 0, IF(Table9[[#This Row],[Vmin (%)]]&lt;$BA$11, 4, IF(Table9[[#This Row],[Vmin (%)]]&lt;$BA$10, 3, IF(Table9[[#This Row],[Vmin (%)]]&lt;$BA$8, 2, 0))))</f>
        <v>3</v>
      </c>
      <c r="AO117" s="217" t="str">
        <f aca="false">IF(Table9[[#This Row],[Vmin (%)]]&lt;$BA$14, "Hot", IF(Table9[[#This Row],[Vmin (%)]]&lt;$BA$12, "Warm", IF(Table9[[#This Row],[Vmin (%)]]&lt;$BA$9, "Normal", IF(Table9[[#This Row],[Vmin (%)]]&lt;$BA$7, "Cool", "Cold"))))</f>
        <v>Normal</v>
      </c>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A117" s="7"/>
      <c r="HB117" s="7"/>
    </row>
    <row r="118" customFormat="false" ht="16.4" hidden="false" customHeight="false" outlineLevel="0" collapsed="false">
      <c r="A118" s="218" t="n">
        <f aca="false">A117-1</f>
        <v>12</v>
      </c>
      <c r="B118" s="191"/>
      <c r="C118" s="219" t="str">
        <f aca="false">_xlfn.CONCAT("RTH at ",A118, " °C")</f>
        <v>RTH at 12 °C</v>
      </c>
      <c r="D118" s="220" t="n">
        <f aca="false">$D$105+(ROW(D118)-ROW($D$105))*($D$180-$D$105)/(ROW($D$180)-ROW($D$105))</f>
        <v>1.56333333333333</v>
      </c>
      <c r="E118" s="221" t="n">
        <v>16.3</v>
      </c>
      <c r="F118" s="222" t="n">
        <v>16.56</v>
      </c>
      <c r="G118" s="223" t="n">
        <v>16.81</v>
      </c>
      <c r="H118" s="57" t="s">
        <v>18</v>
      </c>
      <c r="I118" s="24"/>
      <c r="J118" s="24" t="n">
        <v>16.81</v>
      </c>
      <c r="K118" s="24" t="n">
        <v>16.56</v>
      </c>
      <c r="L118" s="24" t="n">
        <v>16.3</v>
      </c>
      <c r="M118" s="24"/>
      <c r="N118" s="24"/>
      <c r="O118" s="24"/>
      <c r="P118" s="24"/>
      <c r="Q118" s="24"/>
      <c r="R118" s="24"/>
      <c r="S118" s="24"/>
      <c r="T118" s="24"/>
      <c r="U118" s="24"/>
      <c r="V118" s="24"/>
      <c r="W118" s="24"/>
      <c r="X118" s="24"/>
      <c r="Y118" s="25"/>
      <c r="Z118" s="6"/>
      <c r="AA118" s="7"/>
      <c r="AB118" s="7"/>
      <c r="AC118" s="80" t="n">
        <f aca="false">A118</f>
        <v>12</v>
      </c>
      <c r="AD118" s="80" t="n">
        <f aca="false">E118</f>
        <v>16.3</v>
      </c>
      <c r="AE118" s="80" t="n">
        <f aca="false">F118</f>
        <v>16.56</v>
      </c>
      <c r="AF118" s="80" t="n">
        <f aca="false">G118</f>
        <v>16.81</v>
      </c>
      <c r="AG118" s="80" t="n">
        <f aca="false">Table9[[#This Row],[RTH(min) (kΩ)]]*RT2_TH_MIN/(RT2_TH_MIN+Table9[[#This Row],[RTH(min) (kΩ)]])</f>
        <v>10.6198014780985</v>
      </c>
      <c r="AH118" s="80" t="n">
        <f aca="false">Table9[[#This Row],[RTH(nom) (kΩ)]]*RT2_TH_S/(RT2_TH_S+Table9[[#This Row],[RTH(nom) (kΩ)]])</f>
        <v>10.7333352825316</v>
      </c>
      <c r="AI118" s="80" t="n">
        <f aca="false">Table9[[#This Row],[RTH(max) (kΩ)]]*RT2_TH_S_MAX/(RT2_TH_S_MAX+Table9[[#This Row],[RTH(max) (kΩ)]])</f>
        <v>10.8416523448781</v>
      </c>
      <c r="AJ118" s="80" t="n">
        <f aca="false">Table9[[#This Row],[RLower(min) (kΩ)]]/(Table9[[#This Row],[RLower(min) (kΩ)]]+RT1_TH_S_MAX)*100</f>
        <v>66.9679929596234</v>
      </c>
      <c r="AK118" s="80" t="n">
        <f aca="false">Table9[[#This Row],[RLower(nom) (kΩ)]]/(Table9[[#This Row],[RLower(nom) (kΩ)]]+RT1_TH_S)*100</f>
        <v>67.2248267629267</v>
      </c>
      <c r="AL118" s="80" t="n">
        <f aca="false">Table9[[#This Row],[RLower(max) (kΩ)]]/(Table9[[#This Row],[RLower(max) (kΩ)]]+RT1_TH_S_MIN)*100</f>
        <v>67.4676419804545</v>
      </c>
      <c r="AM118" s="80" t="n">
        <f aca="false">IF(Table9[[#This Row],[Vmin (%)]]&lt;$BA$14, 0, IF(Table9[[#This Row],[Vmin (%)]]&lt;$BA$12, 4, IF(Table9[[#This Row],[Vmin (%)]]&lt;$BA$9, 3, IF(Table9[[#This Row],[Vmin (%)]]&lt;$BA$7, 2, 0))))</f>
        <v>3</v>
      </c>
      <c r="AN118" s="80" t="n">
        <f aca="false">IF(Table9[[#This Row],[Vmin (%)]]&lt;$BA$13, 0, IF(Table9[[#This Row],[Vmin (%)]]&lt;$BA$11, 4, IF(Table9[[#This Row],[Vmin (%)]]&lt;$BA$10, 3, IF(Table9[[#This Row],[Vmin (%)]]&lt;$BA$8, 2, 0))))</f>
        <v>2</v>
      </c>
      <c r="AO118" s="217" t="str">
        <f aca="false">IF(Table9[[#This Row],[Vmin (%)]]&lt;$BA$14, "Hot", IF(Table9[[#This Row],[Vmin (%)]]&lt;$BA$12, "Warm", IF(Table9[[#This Row],[Vmin (%)]]&lt;$BA$9, "Normal", IF(Table9[[#This Row],[Vmin (%)]]&lt;$BA$7, "Cool", "Cold"))))</f>
        <v>Normal</v>
      </c>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c r="FR118" s="7"/>
      <c r="FS118" s="7"/>
      <c r="FT118" s="7"/>
      <c r="FU118" s="7"/>
      <c r="FV118" s="7"/>
      <c r="FW118" s="7"/>
      <c r="FX118" s="7"/>
      <c r="FY118" s="7"/>
      <c r="FZ118" s="7"/>
      <c r="GA118" s="7"/>
      <c r="GB118" s="7"/>
      <c r="GC118" s="7"/>
      <c r="GD118" s="7"/>
      <c r="GE118" s="7"/>
      <c r="GF118" s="7"/>
      <c r="GG118" s="7"/>
      <c r="GH118" s="7"/>
      <c r="GI118" s="7"/>
      <c r="GJ118" s="7"/>
      <c r="GK118" s="7"/>
      <c r="GL118" s="7"/>
      <c r="GM118" s="7"/>
      <c r="GN118" s="7"/>
      <c r="GO118" s="7"/>
      <c r="GP118" s="7"/>
      <c r="GQ118" s="7"/>
      <c r="GR118" s="7"/>
      <c r="GS118" s="7"/>
      <c r="GT118" s="7"/>
      <c r="GU118" s="7"/>
      <c r="GV118" s="7"/>
      <c r="GW118" s="7"/>
      <c r="GX118" s="7"/>
      <c r="GY118" s="7"/>
      <c r="GZ118" s="7"/>
      <c r="HA118" s="7"/>
      <c r="HB118" s="7"/>
    </row>
    <row r="119" customFormat="false" ht="16.4" hidden="false" customHeight="false" outlineLevel="0" collapsed="false">
      <c r="A119" s="218" t="n">
        <f aca="false">A118-1</f>
        <v>11</v>
      </c>
      <c r="B119" s="191"/>
      <c r="C119" s="219" t="str">
        <f aca="false">_xlfn.CONCAT("RTH at ",A119, " °C")</f>
        <v>RTH at 11 °C</v>
      </c>
      <c r="D119" s="220" t="n">
        <f aca="false">$D$105+(ROW(D119)-ROW($D$105))*($D$180-$D$105)/(ROW($D$180)-ROW($D$105))</f>
        <v>1.60666666666667</v>
      </c>
      <c r="E119" s="221" t="n">
        <v>16.97</v>
      </c>
      <c r="F119" s="222" t="n">
        <v>17.24</v>
      </c>
      <c r="G119" s="223" t="n">
        <v>17.51</v>
      </c>
      <c r="H119" s="57" t="s">
        <v>18</v>
      </c>
      <c r="I119" s="24"/>
      <c r="J119" s="24" t="n">
        <v>17.51</v>
      </c>
      <c r="K119" s="24" t="n">
        <v>17.24</v>
      </c>
      <c r="L119" s="24" t="n">
        <v>16.97</v>
      </c>
      <c r="M119" s="24"/>
      <c r="N119" s="24"/>
      <c r="O119" s="24"/>
      <c r="P119" s="24"/>
      <c r="Q119" s="24"/>
      <c r="R119" s="24"/>
      <c r="S119" s="24"/>
      <c r="T119" s="24"/>
      <c r="U119" s="24"/>
      <c r="V119" s="24"/>
      <c r="W119" s="24"/>
      <c r="X119" s="24"/>
      <c r="Y119" s="25"/>
      <c r="Z119" s="6"/>
      <c r="AA119" s="7"/>
      <c r="AB119" s="7"/>
      <c r="AC119" s="80" t="n">
        <f aca="false">A119</f>
        <v>11</v>
      </c>
      <c r="AD119" s="80" t="n">
        <f aca="false">E119</f>
        <v>16.97</v>
      </c>
      <c r="AE119" s="80" t="n">
        <f aca="false">F119</f>
        <v>17.24</v>
      </c>
      <c r="AF119" s="80" t="n">
        <f aca="false">G119</f>
        <v>17.51</v>
      </c>
      <c r="AG119" s="80" t="n">
        <f aca="false">Table9[[#This Row],[RTH(min) (kΩ)]]*RT2_TH_MIN/(RT2_TH_MIN+Table9[[#This Row],[RTH(min) (kΩ)]])</f>
        <v>10.9001870784829</v>
      </c>
      <c r="AH119" s="80" t="n">
        <f aca="false">Table9[[#This Row],[RTH(nom) (kΩ)]]*RT2_TH_S/(RT2_TH_S+Table9[[#This Row],[RTH(nom) (kΩ)]])</f>
        <v>11.0149321643741</v>
      </c>
      <c r="AI119" s="80" t="n">
        <f aca="false">Table9[[#This Row],[RTH(max) (kΩ)]]*RT2_TH_S_MAX/(RT2_TH_S_MAX+Table9[[#This Row],[RTH(max) (kΩ)]])</f>
        <v>11.1285847473879</v>
      </c>
      <c r="AJ119" s="80" t="n">
        <f aca="false">Table9[[#This Row],[RLower(min) (kΩ)]]/(Table9[[#This Row],[RLower(min) (kΩ)]]+RT1_TH_S_MAX)*100</f>
        <v>67.5418845900757</v>
      </c>
      <c r="AK119" s="80" t="n">
        <f aca="false">Table9[[#This Row],[RLower(nom) (kΩ)]]/(Table9[[#This Row],[RLower(nom) (kΩ)]]+RT1_TH_S)*100</f>
        <v>67.7928616070506</v>
      </c>
      <c r="AL119" s="80" t="n">
        <f aca="false">Table9[[#This Row],[RLower(max) (kΩ)]]/(Table9[[#This Row],[RLower(max) (kΩ)]]+RT1_TH_S_MIN)*100</f>
        <v>68.0383433714184</v>
      </c>
      <c r="AM119" s="80" t="n">
        <f aca="false">IF(Table9[[#This Row],[Vmin (%)]]&lt;$BA$14, 0, IF(Table9[[#This Row],[Vmin (%)]]&lt;$BA$12, 4, IF(Table9[[#This Row],[Vmin (%)]]&lt;$BA$9, 3, IF(Table9[[#This Row],[Vmin (%)]]&lt;$BA$7, 2, 0))))</f>
        <v>3</v>
      </c>
      <c r="AN119" s="80" t="n">
        <f aca="false">IF(Table9[[#This Row],[Vmin (%)]]&lt;$BA$13, 0, IF(Table9[[#This Row],[Vmin (%)]]&lt;$BA$11, 4, IF(Table9[[#This Row],[Vmin (%)]]&lt;$BA$10, 3, IF(Table9[[#This Row],[Vmin (%)]]&lt;$BA$8, 2, 0))))</f>
        <v>2</v>
      </c>
      <c r="AO119" s="217" t="str">
        <f aca="false">IF(Table9[[#This Row],[Vmin (%)]]&lt;$BA$14, "Hot", IF(Table9[[#This Row],[Vmin (%)]]&lt;$BA$12, "Warm", IF(Table9[[#This Row],[Vmin (%)]]&lt;$BA$9, "Normal", IF(Table9[[#This Row],[Vmin (%)]]&lt;$BA$7, "Cool", "Cold"))))</f>
        <v>Normal</v>
      </c>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c r="FV119" s="7"/>
      <c r="FW119" s="7"/>
      <c r="FX119" s="7"/>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c r="GY119" s="7"/>
      <c r="GZ119" s="7"/>
      <c r="HA119" s="7"/>
      <c r="HB119" s="7"/>
    </row>
    <row r="120" customFormat="false" ht="16.4" hidden="false" customHeight="false" outlineLevel="0" collapsed="false">
      <c r="A120" s="218" t="n">
        <f aca="false">A119-1</f>
        <v>10</v>
      </c>
      <c r="B120" s="191"/>
      <c r="C120" s="219" t="str">
        <f aca="false">_xlfn.CONCAT("RTH at ",A120, " °C")</f>
        <v>RTH at 10 °C</v>
      </c>
      <c r="D120" s="220" t="n">
        <f aca="false">$D$105+(ROW(D120)-ROW($D$105))*($D$180-$D$105)/(ROW($D$180)-ROW($D$105))</f>
        <v>1.65</v>
      </c>
      <c r="E120" s="221" t="n">
        <v>17.67</v>
      </c>
      <c r="F120" s="222" t="n">
        <v>17.96</v>
      </c>
      <c r="G120" s="223" t="n">
        <v>18.25</v>
      </c>
      <c r="H120" s="57" t="s">
        <v>18</v>
      </c>
      <c r="I120" s="24"/>
      <c r="J120" s="24" t="n">
        <v>18.25</v>
      </c>
      <c r="K120" s="24" t="n">
        <v>17.96</v>
      </c>
      <c r="L120" s="24" t="n">
        <v>17.67</v>
      </c>
      <c r="M120" s="24"/>
      <c r="N120" s="24"/>
      <c r="O120" s="24"/>
      <c r="P120" s="24"/>
      <c r="Q120" s="24"/>
      <c r="R120" s="24"/>
      <c r="S120" s="24"/>
      <c r="T120" s="24"/>
      <c r="U120" s="24"/>
      <c r="V120" s="24"/>
      <c r="W120" s="24"/>
      <c r="X120" s="24"/>
      <c r="Y120" s="25"/>
      <c r="Z120" s="6"/>
      <c r="AA120" s="7"/>
      <c r="AB120" s="7"/>
      <c r="AC120" s="80" t="n">
        <f aca="false">A120</f>
        <v>10</v>
      </c>
      <c r="AD120" s="80" t="n">
        <f aca="false">E120</f>
        <v>17.67</v>
      </c>
      <c r="AE120" s="80" t="n">
        <f aca="false">F120</f>
        <v>17.96</v>
      </c>
      <c r="AF120" s="80" t="n">
        <f aca="false">G120</f>
        <v>18.25</v>
      </c>
      <c r="AG120" s="80" t="n">
        <f aca="false">Table9[[#This Row],[RTH(min) (kΩ)]]*RT2_TH_MIN/(RT2_TH_MIN+Table9[[#This Row],[RTH(min) (kΩ)]])</f>
        <v>11.1847913989596</v>
      </c>
      <c r="AH120" s="80" t="n">
        <f aca="false">Table9[[#This Row],[RTH(nom) (kΩ)]]*RT2_TH_S/(RT2_TH_S+Table9[[#This Row],[RTH(nom) (kΩ)]])</f>
        <v>11.3044806817726</v>
      </c>
      <c r="AI120" s="80" t="n">
        <f aca="false">Table9[[#This Row],[RTH(max) (kΩ)]]*RT2_TH_S_MAX/(RT2_TH_S_MAX+Table9[[#This Row],[RTH(max) (kΩ)]])</f>
        <v>11.4229600007987</v>
      </c>
      <c r="AJ120" s="80" t="n">
        <f aca="false">Table9[[#This Row],[RLower(min) (kΩ)]]/(Table9[[#This Row],[RLower(min) (kΩ)]]+RT1_TH_S_MAX)*100</f>
        <v>68.1043708070211</v>
      </c>
      <c r="AK120" s="80" t="n">
        <f aca="false">Table9[[#This Row],[RLower(nom) (kΩ)]]/(Table9[[#This Row],[RLower(nom) (kΩ)]]+RT1_TH_S)*100</f>
        <v>68.3567645583594</v>
      </c>
      <c r="AL120" s="80" t="n">
        <f aca="false">Table9[[#This Row],[RLower(max) (kΩ)]]/(Table9[[#This Row],[RLower(max) (kΩ)]]+RT1_TH_S_MIN)*100</f>
        <v>68.6034073332881</v>
      </c>
      <c r="AM120" s="80" t="n">
        <f aca="false">IF(Table9[[#This Row],[Vmin (%)]]&lt;$BA$14, 0, IF(Table9[[#This Row],[Vmin (%)]]&lt;$BA$12, 4, IF(Table9[[#This Row],[Vmin (%)]]&lt;$BA$9, 3, IF(Table9[[#This Row],[Vmin (%)]]&lt;$BA$7, 2, 0))))</f>
        <v>3</v>
      </c>
      <c r="AN120" s="80" t="n">
        <f aca="false">IF(Table9[[#This Row],[Vmin (%)]]&lt;$BA$13, 0, IF(Table9[[#This Row],[Vmin (%)]]&lt;$BA$11, 4, IF(Table9[[#This Row],[Vmin (%)]]&lt;$BA$10, 3, IF(Table9[[#This Row],[Vmin (%)]]&lt;$BA$8, 2, 0))))</f>
        <v>2</v>
      </c>
      <c r="AO120" s="217" t="str">
        <f aca="false">IF(Table9[[#This Row],[Vmin (%)]]&lt;$BA$14, "Hot", IF(Table9[[#This Row],[Vmin (%)]]&lt;$BA$12, "Warm", IF(Table9[[#This Row],[Vmin (%)]]&lt;$BA$9, "Normal", IF(Table9[[#This Row],[Vmin (%)]]&lt;$BA$7, "Cool", "Cold"))))</f>
        <v>Normal</v>
      </c>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row>
    <row r="121" customFormat="false" ht="16.4" hidden="false" customHeight="false" outlineLevel="0" collapsed="false">
      <c r="A121" s="218" t="n">
        <f aca="false">A120-1</f>
        <v>9</v>
      </c>
      <c r="B121" s="191"/>
      <c r="C121" s="219" t="str">
        <f aca="false">_xlfn.CONCAT("RTH at ",A121, " °C")</f>
        <v>RTH at 9 °C</v>
      </c>
      <c r="D121" s="220" t="n">
        <f aca="false">$D$105+(ROW(D121)-ROW($D$105))*($D$180-$D$105)/(ROW($D$180)-ROW($D$105))</f>
        <v>1.69333333333333</v>
      </c>
      <c r="E121" s="221" t="n">
        <v>18.39</v>
      </c>
      <c r="F121" s="222" t="n">
        <v>18.7</v>
      </c>
      <c r="G121" s="223" t="n">
        <v>19.01</v>
      </c>
      <c r="H121" s="57" t="s">
        <v>18</v>
      </c>
      <c r="I121" s="24"/>
      <c r="J121" s="24" t="n">
        <v>19.01</v>
      </c>
      <c r="K121" s="24" t="n">
        <v>18.7</v>
      </c>
      <c r="L121" s="24" t="n">
        <v>18.39</v>
      </c>
      <c r="M121" s="24"/>
      <c r="N121" s="24"/>
      <c r="O121" s="24"/>
      <c r="P121" s="24"/>
      <c r="Q121" s="24"/>
      <c r="R121" s="24"/>
      <c r="S121" s="24"/>
      <c r="T121" s="24"/>
      <c r="U121" s="24"/>
      <c r="V121" s="24"/>
      <c r="W121" s="24"/>
      <c r="X121" s="24"/>
      <c r="Y121" s="25"/>
      <c r="Z121" s="6"/>
      <c r="AA121" s="7"/>
      <c r="AB121" s="7"/>
      <c r="AC121" s="80" t="n">
        <f aca="false">A121</f>
        <v>9</v>
      </c>
      <c r="AD121" s="80" t="n">
        <f aca="false">E121</f>
        <v>18.39</v>
      </c>
      <c r="AE121" s="80" t="n">
        <f aca="false">F121</f>
        <v>18.7</v>
      </c>
      <c r="AF121" s="80" t="n">
        <f aca="false">G121</f>
        <v>19.01</v>
      </c>
      <c r="AG121" s="80" t="n">
        <f aca="false">Table9[[#This Row],[RTH(min) (kΩ)]]*RT2_TH_MIN/(RT2_TH_MIN+Table9[[#This Row],[RTH(min) (kΩ)]])</f>
        <v>11.4690204288288</v>
      </c>
      <c r="AH121" s="80" t="n">
        <f aca="false">Table9[[#This Row],[RTH(nom) (kΩ)]]*RT2_TH_S/(RT2_TH_S+Table9[[#This Row],[RTH(nom) (kΩ)]])</f>
        <v>11.5932421927391</v>
      </c>
      <c r="AI121" s="80" t="n">
        <f aca="false">Table9[[#This Row],[RTH(max) (kΩ)]]*RT2_TH_S_MAX/(RT2_TH_S_MAX+Table9[[#This Row],[RTH(max) (kΩ)]])</f>
        <v>11.7161382523358</v>
      </c>
      <c r="AJ121" s="80" t="n">
        <f aca="false">Table9[[#This Row],[RLower(min) (kΩ)]]/(Table9[[#This Row],[RLower(min) (kΩ)]]+RT1_TH_S_MAX)*100</f>
        <v>68.646989531871</v>
      </c>
      <c r="AK121" s="80" t="n">
        <f aca="false">Table9[[#This Row],[RLower(nom) (kΩ)]]/(Table9[[#This Row],[RLower(nom) (kΩ)]]+RT1_TH_S)*100</f>
        <v>68.8998063843941</v>
      </c>
      <c r="AL121" s="80" t="n">
        <f aca="false">Table9[[#This Row],[RLower(max) (kΩ)]]/(Table9[[#This Row],[RLower(max) (kΩ)]]+RT1_TH_S_MIN)*100</f>
        <v>69.1466588924691</v>
      </c>
      <c r="AM121" s="80" t="n">
        <f aca="false">IF(Table9[[#This Row],[Vmin (%)]]&lt;$BA$14, 0, IF(Table9[[#This Row],[Vmin (%)]]&lt;$BA$12, 4, IF(Table9[[#This Row],[Vmin (%)]]&lt;$BA$9, 3, IF(Table9[[#This Row],[Vmin (%)]]&lt;$BA$7, 2, 0))))</f>
        <v>2</v>
      </c>
      <c r="AN121" s="80" t="n">
        <f aca="false">IF(Table9[[#This Row],[Vmin (%)]]&lt;$BA$13, 0, IF(Table9[[#This Row],[Vmin (%)]]&lt;$BA$11, 4, IF(Table9[[#This Row],[Vmin (%)]]&lt;$BA$10, 3, IF(Table9[[#This Row],[Vmin (%)]]&lt;$BA$8, 2, 0))))</f>
        <v>2</v>
      </c>
      <c r="AO121" s="217" t="str">
        <f aca="false">IF(Table9[[#This Row],[Vmin (%)]]&lt;$BA$14, "Hot", IF(Table9[[#This Row],[Vmin (%)]]&lt;$BA$12, "Warm", IF(Table9[[#This Row],[Vmin (%)]]&lt;$BA$9, "Normal", IF(Table9[[#This Row],[Vmin (%)]]&lt;$BA$7, "Cool", "Cold"))))</f>
        <v>Cool</v>
      </c>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7"/>
    </row>
    <row r="122" customFormat="false" ht="16.4" hidden="false" customHeight="false" outlineLevel="0" collapsed="false">
      <c r="A122" s="218" t="n">
        <f aca="false">A121-1</f>
        <v>8</v>
      </c>
      <c r="B122" s="191"/>
      <c r="C122" s="219" t="str">
        <f aca="false">_xlfn.CONCAT("RTH at ",A122, " °C")</f>
        <v>RTH at 8 °C</v>
      </c>
      <c r="D122" s="220" t="n">
        <f aca="false">$D$105+(ROW(D122)-ROW($D$105))*($D$180-$D$105)/(ROW($D$180)-ROW($D$105))</f>
        <v>1.73666666666667</v>
      </c>
      <c r="E122" s="221" t="n">
        <v>19.15</v>
      </c>
      <c r="F122" s="222" t="n">
        <v>19.48</v>
      </c>
      <c r="G122" s="223" t="n">
        <v>19.81</v>
      </c>
      <c r="H122" s="57" t="s">
        <v>18</v>
      </c>
      <c r="I122" s="24"/>
      <c r="J122" s="24" t="n">
        <v>19.81</v>
      </c>
      <c r="K122" s="24" t="n">
        <v>19.48</v>
      </c>
      <c r="L122" s="24" t="n">
        <v>19.15</v>
      </c>
      <c r="M122" s="24"/>
      <c r="N122" s="24"/>
      <c r="O122" s="24"/>
      <c r="P122" s="24"/>
      <c r="Q122" s="24"/>
      <c r="R122" s="24"/>
      <c r="S122" s="24"/>
      <c r="T122" s="24"/>
      <c r="U122" s="24"/>
      <c r="V122" s="24"/>
      <c r="W122" s="24"/>
      <c r="X122" s="24"/>
      <c r="Y122" s="25"/>
      <c r="Z122" s="6"/>
      <c r="AA122" s="7"/>
      <c r="AB122" s="7"/>
      <c r="AC122" s="80" t="n">
        <f aca="false">A122</f>
        <v>8</v>
      </c>
      <c r="AD122" s="80" t="n">
        <f aca="false">E122</f>
        <v>19.15</v>
      </c>
      <c r="AE122" s="80" t="n">
        <f aca="false">F122</f>
        <v>19.48</v>
      </c>
      <c r="AF122" s="80" t="n">
        <f aca="false">G122</f>
        <v>19.81</v>
      </c>
      <c r="AG122" s="80" t="n">
        <f aca="false">Table9[[#This Row],[RTH(min) (kΩ)]]*RT2_TH_MIN/(RT2_TH_MIN+Table9[[#This Row],[RTH(min) (kΩ)]])</f>
        <v>11.7600922337637</v>
      </c>
      <c r="AH122" s="80" t="n">
        <f aca="false">Table9[[#This Row],[RTH(nom) (kΩ)]]*RT2_TH_S/(RT2_TH_S+Table9[[#This Row],[RTH(nom) (kΩ)]])</f>
        <v>11.888356853647</v>
      </c>
      <c r="AI122" s="80" t="n">
        <f aca="false">Table9[[#This Row],[RTH(max) (kΩ)]]*RT2_TH_S_MAX/(RT2_TH_S_MAX+Table9[[#This Row],[RTH(max) (kΩ)]])</f>
        <v>12.0151844781149</v>
      </c>
      <c r="AJ122" s="80" t="n">
        <f aca="false">Table9[[#This Row],[RLower(min) (kΩ)]]/(Table9[[#This Row],[RLower(min) (kΩ)]]+RT1_TH_S_MAX)*100</f>
        <v>69.1838648992621</v>
      </c>
      <c r="AK122" s="80" t="n">
        <f aca="false">Table9[[#This Row],[RLower(nom) (kΩ)]]/(Table9[[#This Row],[RLower(nom) (kΩ)]]+RT1_TH_S)*100</f>
        <v>69.435869496527</v>
      </c>
      <c r="AL122" s="80" t="n">
        <f aca="false">Table9[[#This Row],[RLower(max) (kΩ)]]/(Table9[[#This Row],[RLower(max) (kΩ)]]+RT1_TH_S_MIN)*100</f>
        <v>69.6817517363556</v>
      </c>
      <c r="AM122" s="80" t="n">
        <f aca="false">IF(Table9[[#This Row],[Vmin (%)]]&lt;$BA$14, 0, IF(Table9[[#This Row],[Vmin (%)]]&lt;$BA$12, 4, IF(Table9[[#This Row],[Vmin (%)]]&lt;$BA$9, 3, IF(Table9[[#This Row],[Vmin (%)]]&lt;$BA$7, 2, 0))))</f>
        <v>2</v>
      </c>
      <c r="AN122" s="80" t="n">
        <f aca="false">IF(Table9[[#This Row],[Vmin (%)]]&lt;$BA$13, 0, IF(Table9[[#This Row],[Vmin (%)]]&lt;$BA$11, 4, IF(Table9[[#This Row],[Vmin (%)]]&lt;$BA$10, 3, IF(Table9[[#This Row],[Vmin (%)]]&lt;$BA$8, 2, 0))))</f>
        <v>2</v>
      </c>
      <c r="AO122" s="217" t="str">
        <f aca="false">IF(Table9[[#This Row],[Vmin (%)]]&lt;$BA$14, "Hot", IF(Table9[[#This Row],[Vmin (%)]]&lt;$BA$12, "Warm", IF(Table9[[#This Row],[Vmin (%)]]&lt;$BA$9, "Normal", IF(Table9[[#This Row],[Vmin (%)]]&lt;$BA$7, "Cool", "Cold"))))</f>
        <v>Cool</v>
      </c>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c r="FV122" s="7"/>
      <c r="FW122" s="7"/>
      <c r="FX122" s="7"/>
      <c r="FY122" s="7"/>
      <c r="FZ122" s="7"/>
      <c r="GA122" s="7"/>
      <c r="GB122" s="7"/>
      <c r="GC122" s="7"/>
      <c r="GD122" s="7"/>
      <c r="GE122" s="7"/>
      <c r="GF122" s="7"/>
      <c r="GG122" s="7"/>
      <c r="GH122" s="7"/>
      <c r="GI122" s="7"/>
      <c r="GJ122" s="7"/>
      <c r="GK122" s="7"/>
      <c r="GL122" s="7"/>
      <c r="GM122" s="7"/>
      <c r="GN122" s="7"/>
      <c r="GO122" s="7"/>
      <c r="GP122" s="7"/>
      <c r="GQ122" s="7"/>
      <c r="GR122" s="7"/>
      <c r="GS122" s="7"/>
      <c r="GT122" s="7"/>
      <c r="GU122" s="7"/>
      <c r="GV122" s="7"/>
      <c r="GW122" s="7"/>
      <c r="GX122" s="7"/>
      <c r="GY122" s="7"/>
      <c r="GZ122" s="7"/>
      <c r="HA122" s="7"/>
      <c r="HB122" s="7"/>
    </row>
    <row r="123" customFormat="false" ht="16.4" hidden="false" customHeight="false" outlineLevel="0" collapsed="false">
      <c r="A123" s="218" t="n">
        <f aca="false">A122-1</f>
        <v>7</v>
      </c>
      <c r="B123" s="191"/>
      <c r="C123" s="219" t="str">
        <f aca="false">_xlfn.CONCAT("RTH at ",A123, " °C")</f>
        <v>RTH at 7 °C</v>
      </c>
      <c r="D123" s="220" t="n">
        <f aca="false">$D$105+(ROW(D123)-ROW($D$105))*($D$180-$D$105)/(ROW($D$180)-ROW($D$105))</f>
        <v>1.78</v>
      </c>
      <c r="E123" s="221" t="n">
        <v>19.95</v>
      </c>
      <c r="F123" s="222" t="n">
        <v>20.3</v>
      </c>
      <c r="G123" s="223" t="n">
        <v>20.64</v>
      </c>
      <c r="H123" s="57" t="s">
        <v>18</v>
      </c>
      <c r="I123" s="24"/>
      <c r="J123" s="24" t="n">
        <v>20.64</v>
      </c>
      <c r="K123" s="24" t="n">
        <v>20.3</v>
      </c>
      <c r="L123" s="24" t="n">
        <v>19.95</v>
      </c>
      <c r="M123" s="24"/>
      <c r="N123" s="24"/>
      <c r="O123" s="24"/>
      <c r="P123" s="24"/>
      <c r="Q123" s="24"/>
      <c r="R123" s="24"/>
      <c r="S123" s="24"/>
      <c r="T123" s="24"/>
      <c r="U123" s="24"/>
      <c r="V123" s="24"/>
      <c r="W123" s="24"/>
      <c r="X123" s="24"/>
      <c r="Y123" s="25"/>
      <c r="Z123" s="6"/>
      <c r="AA123" s="7"/>
      <c r="AB123" s="7"/>
      <c r="AC123" s="80" t="n">
        <f aca="false">A123</f>
        <v>7</v>
      </c>
      <c r="AD123" s="80" t="n">
        <f aca="false">E123</f>
        <v>19.95</v>
      </c>
      <c r="AE123" s="80" t="n">
        <f aca="false">F123</f>
        <v>20.3</v>
      </c>
      <c r="AF123" s="80" t="n">
        <f aca="false">G123</f>
        <v>20.64</v>
      </c>
      <c r="AG123" s="80" t="n">
        <f aca="false">Table9[[#This Row],[RTH(min) (kΩ)]]*RT2_TH_MIN/(RT2_TH_MIN+Table9[[#This Row],[RTH(min) (kΩ)]])</f>
        <v>12.0570047241144</v>
      </c>
      <c r="AH123" s="80" t="n">
        <f aca="false">Table9[[#This Row],[RTH(nom) (kΩ)]]*RT2_TH_S/(RT2_TH_S+Table9[[#This Row],[RTH(nom) (kΩ)]])</f>
        <v>12.1888350009955</v>
      </c>
      <c r="AI123" s="80" t="n">
        <f aca="false">Table9[[#This Row],[RTH(max) (kΩ)]]*RT2_TH_S_MAX/(RT2_TH_S_MAX+Table9[[#This Row],[RTH(max) (kΩ)]])</f>
        <v>12.315562830879</v>
      </c>
      <c r="AJ123" s="80" t="n">
        <f aca="false">Table9[[#This Row],[RLower(min) (kΩ)]]/(Table9[[#This Row],[RLower(min) (kΩ)]]+RT1_TH_S_MAX)*100</f>
        <v>69.7128949276421</v>
      </c>
      <c r="AK123" s="80" t="n">
        <f aca="false">Table9[[#This Row],[RLower(nom) (kΩ)]]/(Table9[[#This Row],[RLower(nom) (kΩ)]]+RT1_TH_S)*100</f>
        <v>69.9630159179805</v>
      </c>
      <c r="AL123" s="80" t="n">
        <f aca="false">Table9[[#This Row],[RLower(max) (kΩ)]]/(Table9[[#This Row],[RLower(max) (kΩ)]]+RT1_TH_S_MIN)*100</f>
        <v>70.2008635669554</v>
      </c>
      <c r="AM123" s="80" t="n">
        <f aca="false">IF(Table9[[#This Row],[Vmin (%)]]&lt;$BA$14, 0, IF(Table9[[#This Row],[Vmin (%)]]&lt;$BA$12, 4, IF(Table9[[#This Row],[Vmin (%)]]&lt;$BA$9, 3, IF(Table9[[#This Row],[Vmin (%)]]&lt;$BA$7, 2, 0))))</f>
        <v>2</v>
      </c>
      <c r="AN123" s="80" t="n">
        <f aca="false">IF(Table9[[#This Row],[Vmin (%)]]&lt;$BA$13, 0, IF(Table9[[#This Row],[Vmin (%)]]&lt;$BA$11, 4, IF(Table9[[#This Row],[Vmin (%)]]&lt;$BA$10, 3, IF(Table9[[#This Row],[Vmin (%)]]&lt;$BA$8, 2, 0))))</f>
        <v>2</v>
      </c>
      <c r="AO123" s="217" t="str">
        <f aca="false">IF(Table9[[#This Row],[Vmin (%)]]&lt;$BA$14, "Hot", IF(Table9[[#This Row],[Vmin (%)]]&lt;$BA$12, "Warm", IF(Table9[[#This Row],[Vmin (%)]]&lt;$BA$9, "Normal", IF(Table9[[#This Row],[Vmin (%)]]&lt;$BA$7, "Cool", "Cold"))))</f>
        <v>Cool</v>
      </c>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c r="FV123" s="7"/>
      <c r="FW123" s="7"/>
      <c r="FX123" s="7"/>
      <c r="FY123" s="7"/>
      <c r="FZ123" s="7"/>
      <c r="GA123" s="7"/>
      <c r="GB123" s="7"/>
      <c r="GC123" s="7"/>
      <c r="GD123" s="7"/>
      <c r="GE123" s="7"/>
      <c r="GF123" s="7"/>
      <c r="GG123" s="7"/>
      <c r="GH123" s="7"/>
      <c r="GI123" s="7"/>
      <c r="GJ123" s="7"/>
      <c r="GK123" s="7"/>
      <c r="GL123" s="7"/>
      <c r="GM123" s="7"/>
      <c r="GN123" s="7"/>
      <c r="GO123" s="7"/>
      <c r="GP123" s="7"/>
      <c r="GQ123" s="7"/>
      <c r="GR123" s="7"/>
      <c r="GS123" s="7"/>
      <c r="GT123" s="7"/>
      <c r="GU123" s="7"/>
      <c r="GV123" s="7"/>
      <c r="GW123" s="7"/>
      <c r="GX123" s="7"/>
      <c r="GY123" s="7"/>
      <c r="GZ123" s="7"/>
      <c r="HA123" s="7"/>
      <c r="HB123" s="7"/>
    </row>
    <row r="124" customFormat="false" ht="16.4" hidden="false" customHeight="false" outlineLevel="0" collapsed="false">
      <c r="A124" s="218" t="n">
        <f aca="false">A123-1</f>
        <v>6</v>
      </c>
      <c r="B124" s="191"/>
      <c r="C124" s="219" t="str">
        <f aca="false">_xlfn.CONCAT("RTH at ",A124, " °C")</f>
        <v>RTH at 6 °C</v>
      </c>
      <c r="D124" s="220" t="n">
        <f aca="false">$D$105+(ROW(D124)-ROW($D$105))*($D$180-$D$105)/(ROW($D$180)-ROW($D$105))</f>
        <v>1.82333333333333</v>
      </c>
      <c r="E124" s="221" t="n">
        <v>20.78</v>
      </c>
      <c r="F124" s="222" t="n">
        <v>21.15</v>
      </c>
      <c r="G124" s="223" t="n">
        <v>21.53</v>
      </c>
      <c r="H124" s="57" t="s">
        <v>18</v>
      </c>
      <c r="I124" s="24"/>
      <c r="J124" s="24" t="n">
        <v>21.53</v>
      </c>
      <c r="K124" s="24" t="n">
        <v>21.15</v>
      </c>
      <c r="L124" s="24" t="n">
        <v>20.78</v>
      </c>
      <c r="M124" s="24"/>
      <c r="N124" s="24"/>
      <c r="O124" s="24"/>
      <c r="P124" s="24"/>
      <c r="Q124" s="24"/>
      <c r="R124" s="24"/>
      <c r="S124" s="24"/>
      <c r="T124" s="24"/>
      <c r="U124" s="24"/>
      <c r="V124" s="24"/>
      <c r="W124" s="24"/>
      <c r="X124" s="24"/>
      <c r="Y124" s="25"/>
      <c r="Z124" s="6"/>
      <c r="AA124" s="7"/>
      <c r="AB124" s="7"/>
      <c r="AC124" s="80" t="n">
        <f aca="false">A124</f>
        <v>6</v>
      </c>
      <c r="AD124" s="80" t="n">
        <f aca="false">E124</f>
        <v>20.78</v>
      </c>
      <c r="AE124" s="80" t="n">
        <f aca="false">F124</f>
        <v>21.15</v>
      </c>
      <c r="AF124" s="80" t="n">
        <f aca="false">G124</f>
        <v>21.53</v>
      </c>
      <c r="AG124" s="80" t="n">
        <f aca="false">Table9[[#This Row],[RTH(min) (kΩ)]]*RT2_TH_MIN/(RT2_TH_MIN+Table9[[#This Row],[RTH(min) (kΩ)]])</f>
        <v>12.3552549573302</v>
      </c>
      <c r="AH124" s="80" t="n">
        <f aca="false">Table9[[#This Row],[RTH(nom) (kΩ)]]*RT2_TH_S/(RT2_TH_S+Table9[[#This Row],[RTH(nom) (kΩ)]])</f>
        <v>12.4902364772272</v>
      </c>
      <c r="AI124" s="80" t="n">
        <f aca="false">Table9[[#This Row],[RTH(max) (kΩ)]]*RT2_TH_S_MAX/(RT2_TH_S_MAX+Table9[[#This Row],[RTH(max) (kΩ)]])</f>
        <v>12.6270149151416</v>
      </c>
      <c r="AJ124" s="80" t="n">
        <f aca="false">Table9[[#This Row],[RLower(min) (kΩ)]]/(Table9[[#This Row],[RLower(min) (kΩ)]]+RT1_TH_S_MAX)*100</f>
        <v>70.2263315311892</v>
      </c>
      <c r="AK124" s="80" t="n">
        <f aca="false">Table9[[#This Row],[RLower(nom) (kΩ)]]/(Table9[[#This Row],[RLower(nom) (kΩ)]]+RT1_TH_S)*100</f>
        <v>70.4738253222217</v>
      </c>
      <c r="AL124" s="80" t="n">
        <f aca="false">Table9[[#This Row],[RLower(max) (kΩ)]]/(Table9[[#This Row],[RLower(max) (kΩ)]]+RT1_TH_S_MIN)*100</f>
        <v>70.7206687257491</v>
      </c>
      <c r="AM124" s="80" t="n">
        <f aca="false">IF(Table9[[#This Row],[Vmin (%)]]&lt;$BA$14, 0, IF(Table9[[#This Row],[Vmin (%)]]&lt;$BA$12, 4, IF(Table9[[#This Row],[Vmin (%)]]&lt;$BA$9, 3, IF(Table9[[#This Row],[Vmin (%)]]&lt;$BA$7, 2, 0))))</f>
        <v>2</v>
      </c>
      <c r="AN124" s="80" t="n">
        <f aca="false">IF(Table9[[#This Row],[Vmin (%)]]&lt;$BA$13, 0, IF(Table9[[#This Row],[Vmin (%)]]&lt;$BA$11, 4, IF(Table9[[#This Row],[Vmin (%)]]&lt;$BA$10, 3, IF(Table9[[#This Row],[Vmin (%)]]&lt;$BA$8, 2, 0))))</f>
        <v>2</v>
      </c>
      <c r="AO124" s="217" t="str">
        <f aca="false">IF(Table9[[#This Row],[Vmin (%)]]&lt;$BA$14, "Hot", IF(Table9[[#This Row],[Vmin (%)]]&lt;$BA$12, "Warm", IF(Table9[[#This Row],[Vmin (%)]]&lt;$BA$9, "Normal", IF(Table9[[#This Row],[Vmin (%)]]&lt;$BA$7, "Cool", "Cold"))))</f>
        <v>Cool</v>
      </c>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c r="FV124" s="7"/>
      <c r="FW124" s="7"/>
      <c r="FX124" s="7"/>
      <c r="FY124" s="7"/>
      <c r="FZ124" s="7"/>
      <c r="GA124" s="7"/>
      <c r="GB124" s="7"/>
      <c r="GC124" s="7"/>
      <c r="GD124" s="7"/>
      <c r="GE124" s="7"/>
      <c r="GF124" s="7"/>
      <c r="GG124" s="7"/>
      <c r="GH124" s="7"/>
      <c r="GI124" s="7"/>
      <c r="GJ124" s="7"/>
      <c r="GK124" s="7"/>
      <c r="GL124" s="7"/>
      <c r="GM124" s="7"/>
      <c r="GN124" s="7"/>
      <c r="GO124" s="7"/>
      <c r="GP124" s="7"/>
      <c r="GQ124" s="7"/>
      <c r="GR124" s="7"/>
      <c r="GS124" s="7"/>
      <c r="GT124" s="7"/>
      <c r="GU124" s="7"/>
      <c r="GV124" s="7"/>
      <c r="GW124" s="7"/>
      <c r="GX124" s="7"/>
      <c r="GY124" s="7"/>
      <c r="GZ124" s="7"/>
      <c r="HA124" s="7"/>
      <c r="HB124" s="7"/>
    </row>
    <row r="125" customFormat="false" ht="16.4" hidden="false" customHeight="false" outlineLevel="0" collapsed="false">
      <c r="A125" s="218" t="n">
        <f aca="false">A124-1</f>
        <v>5</v>
      </c>
      <c r="B125" s="191"/>
      <c r="C125" s="219" t="str">
        <f aca="false">_xlfn.CONCAT("RTH at ",A125, " °C")</f>
        <v>RTH at 5 °C</v>
      </c>
      <c r="D125" s="220" t="n">
        <f aca="false">$D$105+(ROW(D125)-ROW($D$105))*($D$180-$D$105)/(ROW($D$180)-ROW($D$105))</f>
        <v>1.86666666666667</v>
      </c>
      <c r="E125" s="221" t="n">
        <v>21.66</v>
      </c>
      <c r="F125" s="222" t="n">
        <v>22.05</v>
      </c>
      <c r="G125" s="223" t="n">
        <v>22.45</v>
      </c>
      <c r="H125" s="57" t="s">
        <v>18</v>
      </c>
      <c r="I125" s="24"/>
      <c r="J125" s="24" t="n">
        <v>22.45</v>
      </c>
      <c r="K125" s="24" t="n">
        <v>22.05</v>
      </c>
      <c r="L125" s="24" t="n">
        <v>21.66</v>
      </c>
      <c r="M125" s="24"/>
      <c r="N125" s="24"/>
      <c r="O125" s="24"/>
      <c r="P125" s="24"/>
      <c r="Q125" s="24"/>
      <c r="R125" s="24"/>
      <c r="S125" s="24"/>
      <c r="T125" s="24"/>
      <c r="U125" s="24"/>
      <c r="V125" s="24"/>
      <c r="W125" s="24"/>
      <c r="X125" s="24"/>
      <c r="Y125" s="25"/>
      <c r="Z125" s="6"/>
      <c r="AA125" s="7"/>
      <c r="AB125" s="7"/>
      <c r="AC125" s="80" t="n">
        <f aca="false">A125</f>
        <v>5</v>
      </c>
      <c r="AD125" s="80" t="n">
        <f aca="false">E125</f>
        <v>21.66</v>
      </c>
      <c r="AE125" s="80" t="n">
        <f aca="false">F125</f>
        <v>22.05</v>
      </c>
      <c r="AF125" s="80" t="n">
        <f aca="false">G125</f>
        <v>22.45</v>
      </c>
      <c r="AG125" s="80" t="n">
        <f aca="false">Table9[[#This Row],[RTH(min) (kΩ)]]*RT2_TH_MIN/(RT2_TH_MIN+Table9[[#This Row],[RTH(min) (kΩ)]])</f>
        <v>12.661100275496</v>
      </c>
      <c r="AH125" s="80" t="n">
        <f aca="false">Table9[[#This Row],[RTH(nom) (kΩ)]]*RT2_TH_S/(RT2_TH_S+Table9[[#This Row],[RTH(nom) (kΩ)]])</f>
        <v>12.7987409418867</v>
      </c>
      <c r="AI125" s="80" t="n">
        <f aca="false">Table9[[#This Row],[RTH(max) (kΩ)]]*RT2_TH_S_MAX/(RT2_TH_S_MAX+Table9[[#This Row],[RTH(max) (kΩ)]])</f>
        <v>12.93796752214</v>
      </c>
      <c r="AJ125" s="80" t="n">
        <f aca="false">Table9[[#This Row],[RLower(min) (kΩ)]]/(Table9[[#This Row],[RLower(min) (kΩ)]]+RT1_TH_S_MAX)*100</f>
        <v>70.7350734756036</v>
      </c>
      <c r="AK125" s="80" t="n">
        <f aca="false">Table9[[#This Row],[RLower(nom) (kΩ)]]/(Table9[[#This Row],[RLower(nom) (kΩ)]]+RT1_TH_S)*100</f>
        <v>70.9789879248825</v>
      </c>
      <c r="AL125" s="80" t="n">
        <f aca="false">Table9[[#This Row],[RLower(max) (kΩ)]]/(Table9[[#This Row],[RLower(max) (kΩ)]]+RT1_TH_S_MIN)*100</f>
        <v>71.2218589645746</v>
      </c>
      <c r="AM125" s="80" t="n">
        <f aca="false">IF(Table9[[#This Row],[Vmin (%)]]&lt;$BA$14, 0, IF(Table9[[#This Row],[Vmin (%)]]&lt;$BA$12, 4, IF(Table9[[#This Row],[Vmin (%)]]&lt;$BA$9, 3, IF(Table9[[#This Row],[Vmin (%)]]&lt;$BA$7, 2, 0))))</f>
        <v>2</v>
      </c>
      <c r="AN125" s="80" t="n">
        <f aca="false">IF(Table9[[#This Row],[Vmin (%)]]&lt;$BA$13, 0, IF(Table9[[#This Row],[Vmin (%)]]&lt;$BA$11, 4, IF(Table9[[#This Row],[Vmin (%)]]&lt;$BA$10, 3, IF(Table9[[#This Row],[Vmin (%)]]&lt;$BA$8, 2, 0))))</f>
        <v>2</v>
      </c>
      <c r="AO125" s="217" t="str">
        <f aca="false">IF(Table9[[#This Row],[Vmin (%)]]&lt;$BA$14, "Hot", IF(Table9[[#This Row],[Vmin (%)]]&lt;$BA$12, "Warm", IF(Table9[[#This Row],[Vmin (%)]]&lt;$BA$9, "Normal", IF(Table9[[#This Row],[Vmin (%)]]&lt;$BA$7, "Cool", "Cold"))))</f>
        <v>Cool</v>
      </c>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c r="FV125" s="7"/>
      <c r="FW125" s="7"/>
      <c r="FX125" s="7"/>
      <c r="FY125" s="7"/>
      <c r="FZ125" s="7"/>
      <c r="GA125" s="7"/>
      <c r="GB125" s="7"/>
      <c r="GC125" s="7"/>
      <c r="GD125" s="7"/>
      <c r="GE125" s="7"/>
      <c r="GF125" s="7"/>
      <c r="GG125" s="7"/>
      <c r="GH125" s="7"/>
      <c r="GI125" s="7"/>
      <c r="GJ125" s="7"/>
      <c r="GK125" s="7"/>
      <c r="GL125" s="7"/>
      <c r="GM125" s="7"/>
      <c r="GN125" s="7"/>
      <c r="GO125" s="7"/>
      <c r="GP125" s="7"/>
      <c r="GQ125" s="7"/>
      <c r="GR125" s="7"/>
      <c r="GS125" s="7"/>
      <c r="GT125" s="7"/>
      <c r="GU125" s="7"/>
      <c r="GV125" s="7"/>
      <c r="GW125" s="7"/>
      <c r="GX125" s="7"/>
      <c r="GY125" s="7"/>
      <c r="GZ125" s="7"/>
      <c r="HA125" s="7"/>
      <c r="HB125" s="7"/>
    </row>
    <row r="126" customFormat="false" ht="16.4" hidden="false" customHeight="false" outlineLevel="0" collapsed="false">
      <c r="A126" s="218" t="n">
        <f aca="false">A125-1</f>
        <v>4</v>
      </c>
      <c r="B126" s="191"/>
      <c r="C126" s="219" t="str">
        <f aca="false">_xlfn.CONCAT("RTH at ",A126, " °C")</f>
        <v>RTH at 4 °C</v>
      </c>
      <c r="D126" s="220" t="n">
        <f aca="false">$D$105+(ROW(D126)-ROW($D$105))*($D$180-$D$105)/(ROW($D$180)-ROW($D$105))</f>
        <v>1.91</v>
      </c>
      <c r="E126" s="221" t="n">
        <v>22.57</v>
      </c>
      <c r="F126" s="222" t="n">
        <v>23</v>
      </c>
      <c r="G126" s="223" t="n">
        <v>23.42</v>
      </c>
      <c r="H126" s="57" t="s">
        <v>18</v>
      </c>
      <c r="I126" s="24"/>
      <c r="J126" s="24" t="n">
        <v>23.42</v>
      </c>
      <c r="K126" s="24" t="n">
        <v>23</v>
      </c>
      <c r="L126" s="24" t="n">
        <v>22.57</v>
      </c>
      <c r="M126" s="24"/>
      <c r="N126" s="24"/>
      <c r="O126" s="24"/>
      <c r="P126" s="24"/>
      <c r="Q126" s="24"/>
      <c r="R126" s="24"/>
      <c r="S126" s="24"/>
      <c r="T126" s="24"/>
      <c r="U126" s="24"/>
      <c r="V126" s="24"/>
      <c r="W126" s="24"/>
      <c r="X126" s="24"/>
      <c r="Y126" s="25"/>
      <c r="Z126" s="6"/>
      <c r="AA126" s="7"/>
      <c r="AB126" s="7"/>
      <c r="AC126" s="80" t="n">
        <f aca="false">A126</f>
        <v>4</v>
      </c>
      <c r="AD126" s="80" t="n">
        <f aca="false">E126</f>
        <v>22.57</v>
      </c>
      <c r="AE126" s="80" t="n">
        <f aca="false">F126</f>
        <v>23</v>
      </c>
      <c r="AF126" s="80" t="n">
        <f aca="false">G126</f>
        <v>23.42</v>
      </c>
      <c r="AG126" s="80" t="n">
        <f aca="false">Table9[[#This Row],[RTH(min) (kΩ)]]*RT2_TH_MIN/(RT2_TH_MIN+Table9[[#This Row],[RTH(min) (kΩ)]])</f>
        <v>12.9666995200494</v>
      </c>
      <c r="AH126" s="80" t="n">
        <f aca="false">Table9[[#This Row],[RTH(nom) (kΩ)]]*RT2_TH_S/(RT2_TH_S+Table9[[#This Row],[RTH(nom) (kΩ)]])</f>
        <v>13.1131250813161</v>
      </c>
      <c r="AI126" s="80" t="n">
        <f aca="false">Table9[[#This Row],[RTH(max) (kΩ)]]*RT2_TH_S_MAX/(RT2_TH_S_MAX+Table9[[#This Row],[RTH(max) (kΩ)]])</f>
        <v>13.2543354967432</v>
      </c>
      <c r="AJ126" s="80" t="n">
        <f aca="false">Table9[[#This Row],[RLower(min) (kΩ)]]/(Table9[[#This Row],[RLower(min) (kΩ)]]+RT1_TH_S_MAX)*100</f>
        <v>71.2263328516807</v>
      </c>
      <c r="AK126" s="80" t="n">
        <f aca="false">Table9[[#This Row],[RLower(nom) (kΩ)]]/(Table9[[#This Row],[RLower(nom) (kΩ)]]+RT1_TH_S)*100</f>
        <v>71.4763000422348</v>
      </c>
      <c r="AL126" s="80" t="n">
        <f aca="false">Table9[[#This Row],[RLower(max) (kΩ)]]/(Table9[[#This Row],[RLower(max) (kΩ)]]+RT1_TH_S_MIN)*100</f>
        <v>71.7144699405521</v>
      </c>
      <c r="AM126" s="80" t="n">
        <f aca="false">IF(Table9[[#This Row],[Vmin (%)]]&lt;$BA$14, 0, IF(Table9[[#This Row],[Vmin (%)]]&lt;$BA$12, 4, IF(Table9[[#This Row],[Vmin (%)]]&lt;$BA$9, 3, IF(Table9[[#This Row],[Vmin (%)]]&lt;$BA$7, 2, 0))))</f>
        <v>2</v>
      </c>
      <c r="AN126" s="80" t="n">
        <f aca="false">IF(Table9[[#This Row],[Vmin (%)]]&lt;$BA$13, 0, IF(Table9[[#This Row],[Vmin (%)]]&lt;$BA$11, 4, IF(Table9[[#This Row],[Vmin (%)]]&lt;$BA$10, 3, IF(Table9[[#This Row],[Vmin (%)]]&lt;$BA$8, 2, 0))))</f>
        <v>2</v>
      </c>
      <c r="AO126" s="217" t="str">
        <f aca="false">IF(Table9[[#This Row],[Vmin (%)]]&lt;$BA$14, "Hot", IF(Table9[[#This Row],[Vmin (%)]]&lt;$BA$12, "Warm", IF(Table9[[#This Row],[Vmin (%)]]&lt;$BA$9, "Normal", IF(Table9[[#This Row],[Vmin (%)]]&lt;$BA$7, "Cool", "Cold"))))</f>
        <v>Cool</v>
      </c>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c r="GZ126" s="7"/>
      <c r="HA126" s="7"/>
      <c r="HB126" s="7"/>
    </row>
    <row r="127" customFormat="false" ht="16.4" hidden="false" customHeight="false" outlineLevel="0" collapsed="false">
      <c r="A127" s="218" t="n">
        <f aca="false">A126-1</f>
        <v>3</v>
      </c>
      <c r="B127" s="191"/>
      <c r="C127" s="219" t="str">
        <f aca="false">_xlfn.CONCAT("RTH at ",A127, " °C")</f>
        <v>RTH at 3 °C</v>
      </c>
      <c r="D127" s="220" t="n">
        <f aca="false">$D$105+(ROW(D127)-ROW($D$105))*($D$180-$D$105)/(ROW($D$180)-ROW($D$105))</f>
        <v>1.95333333333333</v>
      </c>
      <c r="E127" s="221" t="n">
        <v>23.54</v>
      </c>
      <c r="F127" s="222" t="n">
        <v>23.99</v>
      </c>
      <c r="G127" s="223" t="n">
        <v>24.44</v>
      </c>
      <c r="H127" s="57" t="s">
        <v>18</v>
      </c>
      <c r="I127" s="24"/>
      <c r="J127" s="24" t="n">
        <v>24.44</v>
      </c>
      <c r="K127" s="24" t="n">
        <v>23.99</v>
      </c>
      <c r="L127" s="24" t="n">
        <v>23.54</v>
      </c>
      <c r="M127" s="24"/>
      <c r="N127" s="24"/>
      <c r="O127" s="24"/>
      <c r="P127" s="24"/>
      <c r="Q127" s="24"/>
      <c r="R127" s="24"/>
      <c r="S127" s="24"/>
      <c r="T127" s="24"/>
      <c r="U127" s="24"/>
      <c r="V127" s="24"/>
      <c r="W127" s="24"/>
      <c r="X127" s="24"/>
      <c r="Y127" s="25"/>
      <c r="Z127" s="6"/>
      <c r="AA127" s="7"/>
      <c r="AB127" s="7"/>
      <c r="AC127" s="80" t="n">
        <f aca="false">A127</f>
        <v>3</v>
      </c>
      <c r="AD127" s="80" t="n">
        <f aca="false">E127</f>
        <v>23.54</v>
      </c>
      <c r="AE127" s="80" t="n">
        <f aca="false">F127</f>
        <v>23.99</v>
      </c>
      <c r="AF127" s="80" t="n">
        <f aca="false">G127</f>
        <v>24.44</v>
      </c>
      <c r="AG127" s="80" t="n">
        <f aca="false">Table9[[#This Row],[RTH(min) (kΩ)]]*RT2_TH_MIN/(RT2_TH_MIN+Table9[[#This Row],[RTH(min) (kΩ)]])</f>
        <v>13.2811103884332</v>
      </c>
      <c r="AH127" s="80" t="n">
        <f aca="false">Table9[[#This Row],[RTH(nom) (kΩ)]]*RT2_TH_S/(RT2_TH_S+Table9[[#This Row],[RTH(nom) (kΩ)]])</f>
        <v>13.4290833189809</v>
      </c>
      <c r="AI127" s="80" t="n">
        <f aca="false">Table9[[#This Row],[RTH(max) (kΩ)]]*RT2_TH_S_MAX/(RT2_TH_S_MAX+Table9[[#This Row],[RTH(max) (kΩ)]])</f>
        <v>13.5749689887605</v>
      </c>
      <c r="AJ127" s="80" t="n">
        <f aca="false">Table9[[#This Row],[RLower(min) (kΩ)]]/(Table9[[#This Row],[RLower(min) (kΩ)]]+RT1_TH_S_MAX)*100</f>
        <v>71.7148360245024</v>
      </c>
      <c r="AK127" s="80" t="n">
        <f aca="false">Table9[[#This Row],[RLower(nom) (kΩ)]]/(Table9[[#This Row],[RLower(nom) (kΩ)]]+RT1_TH_S)*100</f>
        <v>71.959220522852</v>
      </c>
      <c r="AL127" s="80" t="n">
        <f aca="false">Table9[[#This Row],[RLower(max) (kΩ)]]/(Table9[[#This Row],[RLower(max) (kΩ)]]+RT1_TH_S_MIN)*100</f>
        <v>72.1968089229165</v>
      </c>
      <c r="AM127" s="80" t="n">
        <f aca="false">IF(Table9[[#This Row],[Vmin (%)]]&lt;$BA$14, 0, IF(Table9[[#This Row],[Vmin (%)]]&lt;$BA$12, 4, IF(Table9[[#This Row],[Vmin (%)]]&lt;$BA$9, 3, IF(Table9[[#This Row],[Vmin (%)]]&lt;$BA$7, 2, 0))))</f>
        <v>2</v>
      </c>
      <c r="AN127" s="80" t="n">
        <f aca="false">IF(Table9[[#This Row],[Vmin (%)]]&lt;$BA$13, 0, IF(Table9[[#This Row],[Vmin (%)]]&lt;$BA$11, 4, IF(Table9[[#This Row],[Vmin (%)]]&lt;$BA$10, 3, IF(Table9[[#This Row],[Vmin (%)]]&lt;$BA$8, 2, 0))))</f>
        <v>2</v>
      </c>
      <c r="AO127" s="217" t="str">
        <f aca="false">IF(Table9[[#This Row],[Vmin (%)]]&lt;$BA$14, "Hot", IF(Table9[[#This Row],[Vmin (%)]]&lt;$BA$12, "Warm", IF(Table9[[#This Row],[Vmin (%)]]&lt;$BA$9, "Normal", IF(Table9[[#This Row],[Vmin (%)]]&lt;$BA$7, "Cool", "Cold"))))</f>
        <v>Cool</v>
      </c>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row>
    <row r="128" customFormat="false" ht="16.4" hidden="false" customHeight="false" outlineLevel="0" collapsed="false">
      <c r="A128" s="218" t="n">
        <f aca="false">A127-1</f>
        <v>2</v>
      </c>
      <c r="B128" s="191"/>
      <c r="C128" s="219" t="str">
        <f aca="false">_xlfn.CONCAT("RTH at ",A128, " °C")</f>
        <v>RTH at 2 °C</v>
      </c>
      <c r="D128" s="220" t="n">
        <f aca="false">$D$105+(ROW(D128)-ROW($D$105))*($D$180-$D$105)/(ROW($D$180)-ROW($D$105))</f>
        <v>1.99666666666667</v>
      </c>
      <c r="E128" s="221" t="n">
        <v>24.55</v>
      </c>
      <c r="F128" s="222" t="n">
        <v>25.03</v>
      </c>
      <c r="G128" s="223" t="n">
        <v>25.52</v>
      </c>
      <c r="H128" s="57" t="s">
        <v>18</v>
      </c>
      <c r="I128" s="24"/>
      <c r="J128" s="24" t="n">
        <v>25.52</v>
      </c>
      <c r="K128" s="24" t="n">
        <v>25.03</v>
      </c>
      <c r="L128" s="24" t="n">
        <v>24.55</v>
      </c>
      <c r="M128" s="24"/>
      <c r="N128" s="24"/>
      <c r="O128" s="24"/>
      <c r="P128" s="24"/>
      <c r="Q128" s="24"/>
      <c r="R128" s="24"/>
      <c r="S128" s="24"/>
      <c r="T128" s="24"/>
      <c r="U128" s="24"/>
      <c r="V128" s="24"/>
      <c r="W128" s="24"/>
      <c r="X128" s="24"/>
      <c r="Y128" s="25"/>
      <c r="Z128" s="6"/>
      <c r="AA128" s="7"/>
      <c r="AB128" s="7"/>
      <c r="AC128" s="80" t="n">
        <f aca="false">A128</f>
        <v>2</v>
      </c>
      <c r="AD128" s="80" t="n">
        <f aca="false">E128</f>
        <v>24.55</v>
      </c>
      <c r="AE128" s="80" t="n">
        <f aca="false">F128</f>
        <v>25.03</v>
      </c>
      <c r="AF128" s="80" t="n">
        <f aca="false">G128</f>
        <v>25.52</v>
      </c>
      <c r="AG128" s="80" t="n">
        <f aca="false">Table9[[#This Row],[RTH(min) (kΩ)]]*RT2_TH_MIN/(RT2_TH_MIN+Table9[[#This Row],[RTH(min) (kΩ)]])</f>
        <v>13.5967064140784</v>
      </c>
      <c r="AH128" s="80" t="n">
        <f aca="false">Table9[[#This Row],[RTH(nom) (kΩ)]]*RT2_TH_S/(RT2_TH_S+Table9[[#This Row],[RTH(nom) (kΩ)]])</f>
        <v>13.7488664146625</v>
      </c>
      <c r="AI128" s="80" t="n">
        <f aca="false">Table9[[#This Row],[RTH(max) (kΩ)]]*RT2_TH_S_MAX/(RT2_TH_S_MAX+Table9[[#This Row],[RTH(max) (kΩ)]])</f>
        <v>13.9017449080644</v>
      </c>
      <c r="AJ128" s="80" t="n">
        <f aca="false">Table9[[#This Row],[RLower(min) (kΩ)]]/(Table9[[#This Row],[RLower(min) (kΩ)]]+RT1_TH_S_MAX)*100</f>
        <v>72.1887791224462</v>
      </c>
      <c r="AK128" s="80" t="n">
        <f aca="false">Table9[[#This Row],[RLower(nom) (kΩ)]]/(Table9[[#This Row],[RLower(nom) (kΩ)]]+RT1_TH_S)*100</f>
        <v>72.4316172436411</v>
      </c>
      <c r="AL128" s="80" t="n">
        <f aca="false">Table9[[#This Row],[RLower(max) (kΩ)]]/(Table9[[#This Row],[RLower(max) (kΩ)]]+RT1_TH_S_MIN)*100</f>
        <v>72.6717513871054</v>
      </c>
      <c r="AM128" s="80" t="n">
        <f aca="false">IF(Table9[[#This Row],[Vmin (%)]]&lt;$BA$14, 0, IF(Table9[[#This Row],[Vmin (%)]]&lt;$BA$12, 4, IF(Table9[[#This Row],[Vmin (%)]]&lt;$BA$9, 3, IF(Table9[[#This Row],[Vmin (%)]]&lt;$BA$7, 2, 0))))</f>
        <v>2</v>
      </c>
      <c r="AN128" s="80" t="n">
        <f aca="false">IF(Table9[[#This Row],[Vmin (%)]]&lt;$BA$13, 0, IF(Table9[[#This Row],[Vmin (%)]]&lt;$BA$11, 4, IF(Table9[[#This Row],[Vmin (%)]]&lt;$BA$10, 3, IF(Table9[[#This Row],[Vmin (%)]]&lt;$BA$8, 2, 0))))</f>
        <v>2</v>
      </c>
      <c r="AO128" s="217" t="str">
        <f aca="false">IF(Table9[[#This Row],[Vmin (%)]]&lt;$BA$14, "Hot", IF(Table9[[#This Row],[Vmin (%)]]&lt;$BA$12, "Warm", IF(Table9[[#This Row],[Vmin (%)]]&lt;$BA$9, "Normal", IF(Table9[[#This Row],[Vmin (%)]]&lt;$BA$7, "Cool", "Cold"))))</f>
        <v>Cool</v>
      </c>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row>
    <row r="129" customFormat="false" ht="16.4" hidden="false" customHeight="false" outlineLevel="0" collapsed="false">
      <c r="A129" s="218" t="n">
        <f aca="false">A128-1</f>
        <v>1</v>
      </c>
      <c r="B129" s="191"/>
      <c r="C129" s="219" t="str">
        <f aca="false">_xlfn.CONCAT("RTH at ",A129, " °C")</f>
        <v>RTH at 1 °C</v>
      </c>
      <c r="D129" s="220" t="n">
        <f aca="false">$D$105+(ROW(D129)-ROW($D$105))*($D$180-$D$105)/(ROW($D$180)-ROW($D$105))</f>
        <v>2.04</v>
      </c>
      <c r="E129" s="221" t="n">
        <v>25.62</v>
      </c>
      <c r="F129" s="222" t="n">
        <v>26.13</v>
      </c>
      <c r="G129" s="223" t="n">
        <v>26.65</v>
      </c>
      <c r="H129" s="57" t="s">
        <v>18</v>
      </c>
      <c r="I129" s="24"/>
      <c r="J129" s="24" t="n">
        <v>26.65</v>
      </c>
      <c r="K129" s="24" t="n">
        <v>26.13</v>
      </c>
      <c r="L129" s="24" t="n">
        <v>25.62</v>
      </c>
      <c r="M129" s="24"/>
      <c r="N129" s="24"/>
      <c r="O129" s="24"/>
      <c r="P129" s="24"/>
      <c r="Q129" s="24"/>
      <c r="R129" s="24"/>
      <c r="S129" s="24"/>
      <c r="T129" s="24"/>
      <c r="U129" s="24"/>
      <c r="V129" s="24"/>
      <c r="W129" s="24"/>
      <c r="X129" s="24"/>
      <c r="Y129" s="25"/>
      <c r="Z129" s="6"/>
      <c r="AA129" s="7"/>
      <c r="AB129" s="7"/>
      <c r="AC129" s="80" t="n">
        <f aca="false">A129</f>
        <v>1</v>
      </c>
      <c r="AD129" s="80" t="n">
        <f aca="false">E129</f>
        <v>25.62</v>
      </c>
      <c r="AE129" s="80" t="n">
        <f aca="false">F129</f>
        <v>26.13</v>
      </c>
      <c r="AF129" s="80" t="n">
        <f aca="false">G129</f>
        <v>26.65</v>
      </c>
      <c r="AG129" s="80" t="n">
        <f aca="false">Table9[[#This Row],[RTH(min) (kΩ)]]*RT2_TH_MIN/(RT2_TH_MIN+Table9[[#This Row],[RTH(min) (kΩ)]])</f>
        <v>13.9186531971334</v>
      </c>
      <c r="AH129" s="80" t="n">
        <f aca="false">Table9[[#This Row],[RTH(nom) (kΩ)]]*RT2_TH_S/(RT2_TH_S+Table9[[#This Row],[RTH(nom) (kΩ)]])</f>
        <v>14.0743182195081</v>
      </c>
      <c r="AI129" s="80" t="n">
        <f aca="false">Table9[[#This Row],[RTH(max) (kΩ)]]*RT2_TH_S_MAX/(RT2_TH_S_MAX+Table9[[#This Row],[RTH(max) (kΩ)]])</f>
        <v>14.2304361142457</v>
      </c>
      <c r="AJ129" s="80" t="n">
        <f aca="false">Table9[[#This Row],[RLower(min) (kΩ)]]/(Table9[[#This Row],[RLower(min) (kΩ)]]+RT1_TH_S_MAX)*100</f>
        <v>72.6561691327145</v>
      </c>
      <c r="AK129" s="80" t="n">
        <f aca="false">Table9[[#This Row],[RLower(nom) (kΩ)]]/(Table9[[#This Row],[RLower(nom) (kΩ)]]+RT1_TH_S)*100</f>
        <v>72.896321038173</v>
      </c>
      <c r="AL129" s="80" t="n">
        <f aca="false">Table9[[#This Row],[RLower(max) (kΩ)]]/(Table9[[#This Row],[RLower(max) (kΩ)]]+RT1_TH_S_MIN)*100</f>
        <v>73.1333849217897</v>
      </c>
      <c r="AM129" s="80" t="n">
        <f aca="false">IF(Table9[[#This Row],[Vmin (%)]]&lt;$BA$14, 0, IF(Table9[[#This Row],[Vmin (%)]]&lt;$BA$12, 4, IF(Table9[[#This Row],[Vmin (%)]]&lt;$BA$9, 3, IF(Table9[[#This Row],[Vmin (%)]]&lt;$BA$7, 2, 0))))</f>
        <v>2</v>
      </c>
      <c r="AN129" s="80" t="n">
        <f aca="false">IF(Table9[[#This Row],[Vmin (%)]]&lt;$BA$13, 0, IF(Table9[[#This Row],[Vmin (%)]]&lt;$BA$11, 4, IF(Table9[[#This Row],[Vmin (%)]]&lt;$BA$10, 3, IF(Table9[[#This Row],[Vmin (%)]]&lt;$BA$8, 2, 0))))</f>
        <v>2</v>
      </c>
      <c r="AO129" s="217" t="str">
        <f aca="false">IF(Table9[[#This Row],[Vmin (%)]]&lt;$BA$14, "Hot", IF(Table9[[#This Row],[Vmin (%)]]&lt;$BA$12, "Warm", IF(Table9[[#This Row],[Vmin (%)]]&lt;$BA$9, "Normal", IF(Table9[[#This Row],[Vmin (%)]]&lt;$BA$7, "Cool", "Cold"))))</f>
        <v>Cool</v>
      </c>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A129" s="7"/>
      <c r="HB129" s="7"/>
    </row>
    <row r="130" customFormat="false" ht="16.4" hidden="false" customHeight="false" outlineLevel="0" collapsed="false">
      <c r="A130" s="218" t="n">
        <f aca="false">A129-1</f>
        <v>0</v>
      </c>
      <c r="B130" s="191"/>
      <c r="C130" s="219" t="str">
        <f aca="false">_xlfn.CONCAT("RTH at ",A130, " °C")</f>
        <v>RTH at 0 °C</v>
      </c>
      <c r="D130" s="220" t="n">
        <f aca="false">$D$105+(ROW(D130)-ROW($D$105))*($D$180-$D$105)/(ROW($D$180)-ROW($D$105))</f>
        <v>2.08333333333333</v>
      </c>
      <c r="E130" s="221" t="n">
        <v>26.74</v>
      </c>
      <c r="F130" s="222" t="n">
        <v>27.28</v>
      </c>
      <c r="G130" s="223" t="n">
        <v>27.83</v>
      </c>
      <c r="H130" s="57" t="s">
        <v>18</v>
      </c>
      <c r="I130" s="24"/>
      <c r="J130" s="24" t="n">
        <v>27.83</v>
      </c>
      <c r="K130" s="24" t="n">
        <v>27.28</v>
      </c>
      <c r="L130" s="24" t="n">
        <v>26.74</v>
      </c>
      <c r="M130" s="24"/>
      <c r="N130" s="24"/>
      <c r="O130" s="24"/>
      <c r="P130" s="24"/>
      <c r="Q130" s="24"/>
      <c r="R130" s="24"/>
      <c r="S130" s="24"/>
      <c r="T130" s="24"/>
      <c r="U130" s="24"/>
      <c r="V130" s="24"/>
      <c r="W130" s="24"/>
      <c r="X130" s="24"/>
      <c r="Y130" s="25"/>
      <c r="Z130" s="6"/>
      <c r="AA130" s="7"/>
      <c r="AB130" s="7"/>
      <c r="AC130" s="80" t="n">
        <f aca="false">A130</f>
        <v>0</v>
      </c>
      <c r="AD130" s="80" t="n">
        <f aca="false">E130</f>
        <v>26.74</v>
      </c>
      <c r="AE130" s="80" t="n">
        <f aca="false">F130</f>
        <v>27.28</v>
      </c>
      <c r="AF130" s="80" t="n">
        <f aca="false">G130</f>
        <v>27.83</v>
      </c>
      <c r="AG130" s="80" t="n">
        <f aca="false">Table9[[#This Row],[RTH(min) (kΩ)]]*RT2_TH_MIN/(RT2_TH_MIN+Table9[[#This Row],[RTH(min) (kΩ)]])</f>
        <v>14.2427452751649</v>
      </c>
      <c r="AH130" s="80" t="n">
        <f aca="false">Table9[[#This Row],[RTH(nom) (kΩ)]]*RT2_TH_S/(RT2_TH_S+Table9[[#This Row],[RTH(nom) (kΩ)]])</f>
        <v>14.4013150800314</v>
      </c>
      <c r="AI130" s="80" t="n">
        <f aca="false">Table9[[#This Row],[RTH(max) (kΩ)]]*RT2_TH_S_MAX/(RT2_TH_S_MAX+Table9[[#This Row],[RTH(max) (kΩ)]])</f>
        <v>14.5600866276286</v>
      </c>
      <c r="AJ130" s="80" t="n">
        <f aca="false">Table9[[#This Row],[RLower(min) (kΩ)]]/(Table9[[#This Row],[RLower(min) (kΩ)]]+RT1_TH_S_MAX)*100</f>
        <v>73.1110704663796</v>
      </c>
      <c r="AK130" s="80" t="n">
        <f aca="false">Table9[[#This Row],[RLower(nom) (kΩ)]]/(Table9[[#This Row],[RLower(nom) (kΩ)]]+RT1_TH_S)*100</f>
        <v>73.3477155426058</v>
      </c>
      <c r="AL130" s="80" t="n">
        <f aca="false">Table9[[#This Row],[RLower(max) (kΩ)]]/(Table9[[#This Row],[RLower(max) (kΩ)]]+RT1_TH_S_MIN)*100</f>
        <v>73.5809623891886</v>
      </c>
      <c r="AM130" s="80" t="n">
        <f aca="false">IF(Table9[[#This Row],[Vmin (%)]]&lt;$BA$14, 0, IF(Table9[[#This Row],[Vmin (%)]]&lt;$BA$12, 4, IF(Table9[[#This Row],[Vmin (%)]]&lt;$BA$9, 3, IF(Table9[[#This Row],[Vmin (%)]]&lt;$BA$7, 2, 0))))</f>
        <v>2</v>
      </c>
      <c r="AN130" s="80" t="n">
        <f aca="false">IF(Table9[[#This Row],[Vmin (%)]]&lt;$BA$13, 0, IF(Table9[[#This Row],[Vmin (%)]]&lt;$BA$11, 4, IF(Table9[[#This Row],[Vmin (%)]]&lt;$BA$10, 3, IF(Table9[[#This Row],[Vmin (%)]]&lt;$BA$8, 2, 0))))</f>
        <v>2</v>
      </c>
      <c r="AO130" s="217" t="str">
        <f aca="false">IF(Table9[[#This Row],[Vmin (%)]]&lt;$BA$14, "Hot", IF(Table9[[#This Row],[Vmin (%)]]&lt;$BA$12, "Warm", IF(Table9[[#This Row],[Vmin (%)]]&lt;$BA$9, "Normal", IF(Table9[[#This Row],[Vmin (%)]]&lt;$BA$7, "Cool", "Cold"))))</f>
        <v>Cool</v>
      </c>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row>
    <row r="131" customFormat="false" ht="16.4" hidden="false" customHeight="false" outlineLevel="0" collapsed="false">
      <c r="A131" s="218" t="n">
        <f aca="false">A130-1</f>
        <v>-1</v>
      </c>
      <c r="B131" s="191"/>
      <c r="C131" s="219" t="str">
        <f aca="false">_xlfn.CONCAT("RTH at ",A131, " °C")</f>
        <v>RTH at -1 °C</v>
      </c>
      <c r="D131" s="220" t="n">
        <f aca="false">$D$105+(ROW(D131)-ROW($D$105))*($D$180-$D$105)/(ROW($D$180)-ROW($D$105))</f>
        <v>2.12666666666667</v>
      </c>
      <c r="E131" s="221" t="n">
        <v>27.89</v>
      </c>
      <c r="F131" s="222" t="n">
        <v>28.48</v>
      </c>
      <c r="G131" s="223" t="n">
        <v>29.06</v>
      </c>
      <c r="H131" s="57" t="s">
        <v>18</v>
      </c>
      <c r="I131" s="24"/>
      <c r="J131" s="24" t="n">
        <v>29.06</v>
      </c>
      <c r="K131" s="24" t="n">
        <v>28.48</v>
      </c>
      <c r="L131" s="24" t="n">
        <v>27.89</v>
      </c>
      <c r="M131" s="24"/>
      <c r="N131" s="24"/>
      <c r="O131" s="24"/>
      <c r="P131" s="24"/>
      <c r="Q131" s="24"/>
      <c r="R131" s="24"/>
      <c r="S131" s="24"/>
      <c r="T131" s="24"/>
      <c r="U131" s="24"/>
      <c r="V131" s="24"/>
      <c r="W131" s="24"/>
      <c r="X131" s="24"/>
      <c r="Y131" s="25"/>
      <c r="Z131" s="6"/>
      <c r="AA131" s="7"/>
      <c r="AB131" s="7"/>
      <c r="AC131" s="80" t="n">
        <f aca="false">A131</f>
        <v>-1</v>
      </c>
      <c r="AD131" s="80" t="n">
        <f aca="false">E131</f>
        <v>27.89</v>
      </c>
      <c r="AE131" s="80" t="n">
        <f aca="false">F131</f>
        <v>28.48</v>
      </c>
      <c r="AF131" s="80" t="n">
        <f aca="false">G131</f>
        <v>29.06</v>
      </c>
      <c r="AG131" s="80" t="n">
        <f aca="false">Table9[[#This Row],[RTH(min) (kΩ)]]*RT2_TH_MIN/(RT2_TH_MIN+Table9[[#This Row],[RTH(min) (kΩ)]])</f>
        <v>14.5625757386774</v>
      </c>
      <c r="AH131" s="80" t="n">
        <f aca="false">Table9[[#This Row],[RTH(nom) (kΩ)]]*RT2_TH_S/(RT2_TH_S+Table9[[#This Row],[RTH(nom) (kΩ)]])</f>
        <v>14.7289350717763</v>
      </c>
      <c r="AI131" s="80" t="n">
        <f aca="false">Table9[[#This Row],[RTH(max) (kΩ)]]*RT2_TH_S_MAX/(RT2_TH_S_MAX+Table9[[#This Row],[RTH(max) (kΩ)]])</f>
        <v>14.8898097491749</v>
      </c>
      <c r="AJ131" s="80" t="n">
        <f aca="false">Table9[[#This Row],[RLower(min) (kΩ)]]/(Table9[[#This Row],[RLower(min) (kΩ)]]+RT1_TH_S_MAX)*100</f>
        <v>73.5453912438064</v>
      </c>
      <c r="AK131" s="80" t="n">
        <f aca="false">Table9[[#This Row],[RLower(nom) (kΩ)]]/(Table9[[#This Row],[RLower(nom) (kΩ)]]+RT1_TH_S)*100</f>
        <v>73.7851393221699</v>
      </c>
      <c r="AL131" s="80" t="n">
        <f aca="false">Table9[[#This Row],[RLower(max) (kΩ)]]/(Table9[[#This Row],[RLower(max) (kΩ)]]+RT1_TH_S_MIN)*100</f>
        <v>74.0139654037921</v>
      </c>
      <c r="AM131" s="80" t="n">
        <f aca="false">IF(Table9[[#This Row],[Vmin (%)]]&lt;$BA$14, 0, IF(Table9[[#This Row],[Vmin (%)]]&lt;$BA$12, 4, IF(Table9[[#This Row],[Vmin (%)]]&lt;$BA$9, 3, IF(Table9[[#This Row],[Vmin (%)]]&lt;$BA$7, 2, 0))))</f>
        <v>2</v>
      </c>
      <c r="AN131" s="80" t="n">
        <f aca="false">IF(Table9[[#This Row],[Vmin (%)]]&lt;$BA$13, 0, IF(Table9[[#This Row],[Vmin (%)]]&lt;$BA$11, 4, IF(Table9[[#This Row],[Vmin (%)]]&lt;$BA$10, 3, IF(Table9[[#This Row],[Vmin (%)]]&lt;$BA$8, 2, 0))))</f>
        <v>2</v>
      </c>
      <c r="AO131" s="217" t="str">
        <f aca="false">IF(Table9[[#This Row],[Vmin (%)]]&lt;$BA$14, "Hot", IF(Table9[[#This Row],[Vmin (%)]]&lt;$BA$12, "Warm", IF(Table9[[#This Row],[Vmin (%)]]&lt;$BA$9, "Normal", IF(Table9[[#This Row],[Vmin (%)]]&lt;$BA$7, "Cool", "Cold"))))</f>
        <v>Cool</v>
      </c>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c r="FK131" s="7"/>
      <c r="FL131" s="7"/>
      <c r="FM131" s="7"/>
      <c r="FN131" s="7"/>
      <c r="FO131" s="7"/>
      <c r="FP131" s="7"/>
      <c r="FQ131" s="7"/>
      <c r="FR131" s="7"/>
      <c r="FS131" s="7"/>
      <c r="FT131" s="7"/>
      <c r="FU131" s="7"/>
      <c r="FV131" s="7"/>
      <c r="FW131" s="7"/>
      <c r="FX131" s="7"/>
      <c r="FY131" s="7"/>
      <c r="FZ131" s="7"/>
      <c r="GA131" s="7"/>
      <c r="GB131" s="7"/>
      <c r="GC131" s="7"/>
      <c r="GD131" s="7"/>
      <c r="GE131" s="7"/>
      <c r="GF131" s="7"/>
      <c r="GG131" s="7"/>
      <c r="GH131" s="7"/>
      <c r="GI131" s="7"/>
      <c r="GJ131" s="7"/>
      <c r="GK131" s="7"/>
      <c r="GL131" s="7"/>
      <c r="GM131" s="7"/>
      <c r="GN131" s="7"/>
      <c r="GO131" s="7"/>
      <c r="GP131" s="7"/>
      <c r="GQ131" s="7"/>
      <c r="GR131" s="7"/>
      <c r="GS131" s="7"/>
      <c r="GT131" s="7"/>
      <c r="GU131" s="7"/>
      <c r="GV131" s="7"/>
      <c r="GW131" s="7"/>
      <c r="GX131" s="7"/>
      <c r="GY131" s="7"/>
      <c r="GZ131" s="7"/>
      <c r="HA131" s="7"/>
      <c r="HB131" s="7"/>
    </row>
    <row r="132" customFormat="false" ht="16.4" hidden="false" customHeight="false" outlineLevel="0" collapsed="false">
      <c r="A132" s="218" t="n">
        <f aca="false">A131-1</f>
        <v>-2</v>
      </c>
      <c r="B132" s="191"/>
      <c r="C132" s="219" t="str">
        <f aca="false">_xlfn.CONCAT("RTH at ",A132, " °C")</f>
        <v>RTH at -2 °C</v>
      </c>
      <c r="D132" s="220" t="n">
        <f aca="false">$D$105+(ROW(D132)-ROW($D$105))*($D$180-$D$105)/(ROW($D$180)-ROW($D$105))</f>
        <v>2.17</v>
      </c>
      <c r="E132" s="221" t="n">
        <v>29.11</v>
      </c>
      <c r="F132" s="222" t="n">
        <v>29.73</v>
      </c>
      <c r="G132" s="223" t="n">
        <v>30.36</v>
      </c>
      <c r="H132" s="57" t="s">
        <v>18</v>
      </c>
      <c r="I132" s="24"/>
      <c r="J132" s="24" t="n">
        <v>30.36</v>
      </c>
      <c r="K132" s="24" t="n">
        <v>29.73</v>
      </c>
      <c r="L132" s="24" t="n">
        <v>29.11</v>
      </c>
      <c r="M132" s="24"/>
      <c r="N132" s="24"/>
      <c r="O132" s="24"/>
      <c r="P132" s="24"/>
      <c r="Q132" s="24"/>
      <c r="R132" s="24"/>
      <c r="S132" s="24"/>
      <c r="T132" s="24"/>
      <c r="U132" s="24"/>
      <c r="V132" s="24"/>
      <c r="W132" s="24"/>
      <c r="X132" s="24"/>
      <c r="Y132" s="25"/>
      <c r="Z132" s="6"/>
      <c r="AA132" s="7"/>
      <c r="AB132" s="7"/>
      <c r="AC132" s="80" t="n">
        <f aca="false">A132</f>
        <v>-2</v>
      </c>
      <c r="AD132" s="80" t="n">
        <f aca="false">E132</f>
        <v>29.11</v>
      </c>
      <c r="AE132" s="80" t="n">
        <f aca="false">F132</f>
        <v>29.73</v>
      </c>
      <c r="AF132" s="80" t="n">
        <f aca="false">G132</f>
        <v>30.36</v>
      </c>
      <c r="AG132" s="80" t="n">
        <f aca="false">Table9[[#This Row],[RTH(min) (kΩ)]]*RT2_TH_MIN/(RT2_TH_MIN+Table9[[#This Row],[RTH(min) (kΩ)]])</f>
        <v>14.8883784603994</v>
      </c>
      <c r="AH132" s="80" t="n">
        <f aca="false">Table9[[#This Row],[RTH(nom) (kΩ)]]*RT2_TH_S/(RT2_TH_S+Table9[[#This Row],[RTH(nom) (kΩ)]])</f>
        <v>15.0563251021352</v>
      </c>
      <c r="AI132" s="80" t="n">
        <f aca="false">Table9[[#This Row],[RTH(max) (kΩ)]]*RT2_TH_S_MAX/(RT2_TH_S_MAX+Table9[[#This Row],[RTH(max) (kΩ)]])</f>
        <v>15.2238191889987</v>
      </c>
      <c r="AJ132" s="80" t="n">
        <f aca="false">Table9[[#This Row],[RLower(min) (kΩ)]]/(Table9[[#This Row],[RLower(min) (kΩ)]]+RT1_TH_S_MAX)*100</f>
        <v>73.9736296160173</v>
      </c>
      <c r="AK132" s="80" t="n">
        <f aca="false">Table9[[#This Row],[RLower(nom) (kΩ)]]/(Table9[[#This Row],[RLower(nom) (kΩ)]]+RT1_TH_S)*100</f>
        <v>74.2081444115411</v>
      </c>
      <c r="AL132" s="80" t="n">
        <f aca="false">Table9[[#This Row],[RLower(max) (kΩ)]]/(Table9[[#This Row],[RLower(max) (kΩ)]]+RT1_TH_S_MIN)*100</f>
        <v>74.4383620511727</v>
      </c>
      <c r="AM132" s="80" t="n">
        <f aca="false">IF(Table9[[#This Row],[Vmin (%)]]&lt;$BA$14, 0, IF(Table9[[#This Row],[Vmin (%)]]&lt;$BA$12, 4, IF(Table9[[#This Row],[Vmin (%)]]&lt;$BA$9, 3, IF(Table9[[#This Row],[Vmin (%)]]&lt;$BA$7, 2, 0))))</f>
        <v>2</v>
      </c>
      <c r="AN132" s="80" t="n">
        <f aca="false">IF(Table9[[#This Row],[Vmin (%)]]&lt;$BA$13, 0, IF(Table9[[#This Row],[Vmin (%)]]&lt;$BA$11, 4, IF(Table9[[#This Row],[Vmin (%)]]&lt;$BA$10, 3, IF(Table9[[#This Row],[Vmin (%)]]&lt;$BA$8, 2, 0))))</f>
        <v>2</v>
      </c>
      <c r="AO132" s="217" t="str">
        <f aca="false">IF(Table9[[#This Row],[Vmin (%)]]&lt;$BA$14, "Hot", IF(Table9[[#This Row],[Vmin (%)]]&lt;$BA$12, "Warm", IF(Table9[[#This Row],[Vmin (%)]]&lt;$BA$9, "Normal", IF(Table9[[#This Row],[Vmin (%)]]&lt;$BA$7, "Cool", "Cold"))))</f>
        <v>Cool</v>
      </c>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row>
    <row r="133" customFormat="false" ht="16.4" hidden="false" customHeight="false" outlineLevel="0" collapsed="false">
      <c r="A133" s="218" t="n">
        <f aca="false">A132-1</f>
        <v>-3</v>
      </c>
      <c r="B133" s="191"/>
      <c r="C133" s="219" t="str">
        <f aca="false">_xlfn.CONCAT("RTH at ",A133, " °C")</f>
        <v>RTH at -3 °C</v>
      </c>
      <c r="D133" s="220" t="n">
        <f aca="false">$D$105+(ROW(D133)-ROW($D$105))*($D$180-$D$105)/(ROW($D$180)-ROW($D$105))</f>
        <v>2.21333333333333</v>
      </c>
      <c r="E133" s="221" t="n">
        <v>30.39</v>
      </c>
      <c r="F133" s="222" t="n">
        <v>31.05</v>
      </c>
      <c r="G133" s="223" t="n">
        <v>31.72</v>
      </c>
      <c r="H133" s="57" t="s">
        <v>18</v>
      </c>
      <c r="I133" s="24"/>
      <c r="J133" s="24" t="n">
        <v>31.72</v>
      </c>
      <c r="K133" s="24" t="n">
        <v>31.05</v>
      </c>
      <c r="L133" s="24" t="n">
        <v>30.39</v>
      </c>
      <c r="M133" s="24"/>
      <c r="N133" s="24"/>
      <c r="O133" s="24"/>
      <c r="P133" s="24"/>
      <c r="Q133" s="24"/>
      <c r="R133" s="24"/>
      <c r="S133" s="24"/>
      <c r="T133" s="24"/>
      <c r="U133" s="24"/>
      <c r="V133" s="24"/>
      <c r="W133" s="24"/>
      <c r="X133" s="24"/>
      <c r="Y133" s="25"/>
      <c r="Z133" s="6"/>
      <c r="AA133" s="7"/>
      <c r="AB133" s="7"/>
      <c r="AC133" s="80" t="n">
        <f aca="false">A133</f>
        <v>-3</v>
      </c>
      <c r="AD133" s="80" t="n">
        <f aca="false">E133</f>
        <v>30.39</v>
      </c>
      <c r="AE133" s="80" t="n">
        <f aca="false">F133</f>
        <v>31.05</v>
      </c>
      <c r="AF133" s="80" t="n">
        <f aca="false">G133</f>
        <v>31.72</v>
      </c>
      <c r="AG133" s="80" t="n">
        <f aca="false">Table9[[#This Row],[RTH(min) (kΩ)]]*RT2_TH_MIN/(RT2_TH_MIN+Table9[[#This Row],[RTH(min) (kΩ)]])</f>
        <v>15.2161638873597</v>
      </c>
      <c r="AH133" s="80" t="n">
        <f aca="false">Table9[[#This Row],[RTH(nom) (kΩ)]]*RT2_TH_S/(RT2_TH_S+Table9[[#This Row],[RTH(nom) (kΩ)]])</f>
        <v>15.3876146256373</v>
      </c>
      <c r="AI133" s="80" t="n">
        <f aca="false">Table9[[#This Row],[RTH(max) (kΩ)]]*RT2_TH_S_MAX/(RT2_TH_S_MAX+Table9[[#This Row],[RTH(max) (kΩ)]])</f>
        <v>15.5583145722576</v>
      </c>
      <c r="AJ133" s="80" t="n">
        <f aca="false">Table9[[#This Row],[RLower(min) (kΩ)]]/(Table9[[#This Row],[RLower(min) (kΩ)]]+RT1_TH_S_MAX)*100</f>
        <v>74.3907071114662</v>
      </c>
      <c r="AK133" s="80" t="n">
        <f aca="false">Table9[[#This Row],[RLower(nom) (kΩ)]]/(Table9[[#This Row],[RLower(nom) (kΩ)]]+RT1_TH_S)*100</f>
        <v>74.6225149514964</v>
      </c>
      <c r="AL133" s="80" t="n">
        <f aca="false">Table9[[#This Row],[RLower(max) (kΩ)]]/(Table9[[#This Row],[RLower(max) (kΩ)]]+RT1_TH_S_MIN)*100</f>
        <v>74.8497071856931</v>
      </c>
      <c r="AM133" s="80" t="n">
        <f aca="false">IF(Table9[[#This Row],[Vmin (%)]]&lt;$BA$14, 0, IF(Table9[[#This Row],[Vmin (%)]]&lt;$BA$12, 4, IF(Table9[[#This Row],[Vmin (%)]]&lt;$BA$9, 3, IF(Table9[[#This Row],[Vmin (%)]]&lt;$BA$7, 2, 0))))</f>
        <v>2</v>
      </c>
      <c r="AN133" s="80" t="n">
        <f aca="false">IF(Table9[[#This Row],[Vmin (%)]]&lt;$BA$13, 0, IF(Table9[[#This Row],[Vmin (%)]]&lt;$BA$11, 4, IF(Table9[[#This Row],[Vmin (%)]]&lt;$BA$10, 3, IF(Table9[[#This Row],[Vmin (%)]]&lt;$BA$8, 2, 0))))</f>
        <v>2</v>
      </c>
      <c r="AO133" s="217" t="str">
        <f aca="false">IF(Table9[[#This Row],[Vmin (%)]]&lt;$BA$14, "Hot", IF(Table9[[#This Row],[Vmin (%)]]&lt;$BA$12, "Warm", IF(Table9[[#This Row],[Vmin (%)]]&lt;$BA$9, "Normal", IF(Table9[[#This Row],[Vmin (%)]]&lt;$BA$7, "Cool", "Cold"))))</f>
        <v>Cool</v>
      </c>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c r="GR133" s="7"/>
      <c r="GS133" s="7"/>
      <c r="GT133" s="7"/>
      <c r="GU133" s="7"/>
      <c r="GV133" s="7"/>
      <c r="GW133" s="7"/>
      <c r="GX133" s="7"/>
      <c r="GY133" s="7"/>
      <c r="GZ133" s="7"/>
      <c r="HA133" s="7"/>
      <c r="HB133" s="7"/>
    </row>
    <row r="134" customFormat="false" ht="16.4" hidden="false" customHeight="false" outlineLevel="0" collapsed="false">
      <c r="A134" s="218" t="n">
        <f aca="false">A133-1</f>
        <v>-4</v>
      </c>
      <c r="B134" s="191"/>
      <c r="C134" s="219" t="str">
        <f aca="false">_xlfn.CONCAT("RTH at ",A134, " °C")</f>
        <v>RTH at -4 °C</v>
      </c>
      <c r="D134" s="220" t="n">
        <f aca="false">$D$105+(ROW(D134)-ROW($D$105))*($D$180-$D$105)/(ROW($D$180)-ROW($D$105))</f>
        <v>2.25666666666667</v>
      </c>
      <c r="E134" s="221" t="n">
        <v>31.73</v>
      </c>
      <c r="F134" s="222" t="n">
        <v>32.44</v>
      </c>
      <c r="G134" s="223" t="n">
        <v>33.15</v>
      </c>
      <c r="H134" s="57" t="s">
        <v>18</v>
      </c>
      <c r="I134" s="24"/>
      <c r="J134" s="24" t="n">
        <v>33.15</v>
      </c>
      <c r="K134" s="24" t="n">
        <v>32.44</v>
      </c>
      <c r="L134" s="24" t="n">
        <v>31.73</v>
      </c>
      <c r="M134" s="24"/>
      <c r="N134" s="24"/>
      <c r="O134" s="24"/>
      <c r="P134" s="24"/>
      <c r="Q134" s="24"/>
      <c r="R134" s="24"/>
      <c r="S134" s="24"/>
      <c r="T134" s="24"/>
      <c r="U134" s="24"/>
      <c r="V134" s="24"/>
      <c r="W134" s="24"/>
      <c r="X134" s="24"/>
      <c r="Y134" s="25"/>
      <c r="Z134" s="6"/>
      <c r="AA134" s="7"/>
      <c r="AB134" s="7"/>
      <c r="AC134" s="80" t="n">
        <f aca="false">A134</f>
        <v>-4</v>
      </c>
      <c r="AD134" s="80" t="n">
        <f aca="false">E134</f>
        <v>31.73</v>
      </c>
      <c r="AE134" s="80" t="n">
        <f aca="false">F134</f>
        <v>32.44</v>
      </c>
      <c r="AF134" s="80" t="n">
        <f aca="false">G134</f>
        <v>33.15</v>
      </c>
      <c r="AG134" s="80" t="n">
        <f aca="false">Table9[[#This Row],[RTH(min) (kΩ)]]*RT2_TH_MIN/(RT2_TH_MIN+Table9[[#This Row],[RTH(min) (kΩ)]])</f>
        <v>15.5448611216018</v>
      </c>
      <c r="AH134" s="80" t="n">
        <f aca="false">Table9[[#This Row],[RTH(nom) (kΩ)]]*RT2_TH_S/(RT2_TH_S+Table9[[#This Row],[RTH(nom) (kΩ)]])</f>
        <v>15.7214530597726</v>
      </c>
      <c r="AI134" s="80" t="n">
        <f aca="false">Table9[[#This Row],[RTH(max) (kΩ)]]*RT2_TH_S_MAX/(RT2_TH_S_MAX+Table9[[#This Row],[RTH(max) (kΩ)]])</f>
        <v>15.8946185342259</v>
      </c>
      <c r="AJ134" s="80" t="n">
        <f aca="false">Table9[[#This Row],[RLower(min) (kΩ)]]/(Table9[[#This Row],[RLower(min) (kΩ)]]+RT1_TH_S_MAX)*100</f>
        <v>74.7957337780187</v>
      </c>
      <c r="AK134" s="80" t="n">
        <f aca="false">Table9[[#This Row],[RLower(nom) (kΩ)]]/(Table9[[#This Row],[RLower(nom) (kΩ)]]+RT1_TH_S)*100</f>
        <v>75.0268196320386</v>
      </c>
      <c r="AL134" s="80" t="n">
        <f aca="false">Table9[[#This Row],[RLower(max) (kΩ)]]/(Table9[[#This Row],[RLower(max) (kΩ)]]+RT1_TH_S_MIN)*100</f>
        <v>75.2501423849271</v>
      </c>
      <c r="AM134" s="80" t="n">
        <f aca="false">IF(Table9[[#This Row],[Vmin (%)]]&lt;$BA$14, 0, IF(Table9[[#This Row],[Vmin (%)]]&lt;$BA$12, 4, IF(Table9[[#This Row],[Vmin (%)]]&lt;$BA$9, 3, IF(Table9[[#This Row],[Vmin (%)]]&lt;$BA$7, 2, 0))))</f>
        <v>2</v>
      </c>
      <c r="AN134" s="80" t="n">
        <f aca="false">IF(Table9[[#This Row],[Vmin (%)]]&lt;$BA$13, 0, IF(Table9[[#This Row],[Vmin (%)]]&lt;$BA$11, 4, IF(Table9[[#This Row],[Vmin (%)]]&lt;$BA$10, 3, IF(Table9[[#This Row],[Vmin (%)]]&lt;$BA$8, 2, 0))))</f>
        <v>2</v>
      </c>
      <c r="AO134" s="217" t="str">
        <f aca="false">IF(Table9[[#This Row],[Vmin (%)]]&lt;$BA$14, "Hot", IF(Table9[[#This Row],[Vmin (%)]]&lt;$BA$12, "Warm", IF(Table9[[#This Row],[Vmin (%)]]&lt;$BA$9, "Normal", IF(Table9[[#This Row],[Vmin (%)]]&lt;$BA$7, "Cool", "Cold"))))</f>
        <v>Cool</v>
      </c>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c r="FJ134" s="7"/>
      <c r="FK134" s="7"/>
      <c r="FL134" s="7"/>
      <c r="FM134" s="7"/>
      <c r="FN134" s="7"/>
      <c r="FO134" s="7"/>
      <c r="FP134" s="7"/>
      <c r="FQ134" s="7"/>
      <c r="FR134" s="7"/>
      <c r="FS134" s="7"/>
      <c r="FT134" s="7"/>
      <c r="FU134" s="7"/>
      <c r="FV134" s="7"/>
      <c r="FW134" s="7"/>
      <c r="FX134" s="7"/>
      <c r="FY134" s="7"/>
      <c r="FZ134" s="7"/>
      <c r="GA134" s="7"/>
      <c r="GB134" s="7"/>
      <c r="GC134" s="7"/>
      <c r="GD134" s="7"/>
      <c r="GE134" s="7"/>
      <c r="GF134" s="7"/>
      <c r="GG134" s="7"/>
      <c r="GH134" s="7"/>
      <c r="GI134" s="7"/>
      <c r="GJ134" s="7"/>
      <c r="GK134" s="7"/>
      <c r="GL134" s="7"/>
      <c r="GM134" s="7"/>
      <c r="GN134" s="7"/>
      <c r="GO134" s="7"/>
      <c r="GP134" s="7"/>
      <c r="GQ134" s="7"/>
      <c r="GR134" s="7"/>
      <c r="GS134" s="7"/>
      <c r="GT134" s="7"/>
      <c r="GU134" s="7"/>
      <c r="GV134" s="7"/>
      <c r="GW134" s="7"/>
      <c r="GX134" s="7"/>
      <c r="GY134" s="7"/>
      <c r="GZ134" s="7"/>
      <c r="HA134" s="7"/>
      <c r="HB134" s="7"/>
    </row>
    <row r="135" customFormat="false" ht="16.4" hidden="false" customHeight="false" outlineLevel="0" collapsed="false">
      <c r="A135" s="218" t="n">
        <f aca="false">A134-1</f>
        <v>-5</v>
      </c>
      <c r="B135" s="191"/>
      <c r="C135" s="219" t="str">
        <f aca="false">_xlfn.CONCAT("RTH at ",A135, " °C")</f>
        <v>RTH at -5 °C</v>
      </c>
      <c r="D135" s="220" t="n">
        <f aca="false">$D$105+(ROW(D135)-ROW($D$105))*($D$180-$D$105)/(ROW($D$180)-ROW($D$105))</f>
        <v>2.3</v>
      </c>
      <c r="E135" s="221" t="n">
        <v>33.15</v>
      </c>
      <c r="F135" s="222" t="n">
        <v>33.9</v>
      </c>
      <c r="G135" s="223" t="n">
        <v>34.66</v>
      </c>
      <c r="H135" s="57" t="s">
        <v>18</v>
      </c>
      <c r="I135" s="24"/>
      <c r="J135" s="24" t="n">
        <v>34.66</v>
      </c>
      <c r="K135" s="24" t="n">
        <v>33.9</v>
      </c>
      <c r="L135" s="24" t="n">
        <v>33.15</v>
      </c>
      <c r="M135" s="24"/>
      <c r="N135" s="24"/>
      <c r="O135" s="24"/>
      <c r="P135" s="24"/>
      <c r="Q135" s="24"/>
      <c r="R135" s="24"/>
      <c r="S135" s="24"/>
      <c r="T135" s="24"/>
      <c r="U135" s="24"/>
      <c r="V135" s="24"/>
      <c r="W135" s="24"/>
      <c r="X135" s="24"/>
      <c r="Y135" s="25"/>
      <c r="Z135" s="6"/>
      <c r="AA135" s="7"/>
      <c r="AB135" s="7"/>
      <c r="AC135" s="80" t="n">
        <f aca="false">A135</f>
        <v>-5</v>
      </c>
      <c r="AD135" s="80" t="n">
        <f aca="false">E135</f>
        <v>33.15</v>
      </c>
      <c r="AE135" s="80" t="n">
        <f aca="false">F135</f>
        <v>33.9</v>
      </c>
      <c r="AF135" s="80" t="n">
        <f aca="false">G135</f>
        <v>34.66</v>
      </c>
      <c r="AG135" s="80" t="n">
        <f aca="false">Table9[[#This Row],[RTH(min) (kΩ)]]*RT2_TH_MIN/(RT2_TH_MIN+Table9[[#This Row],[RTH(min) (kΩ)]])</f>
        <v>15.8780721421775</v>
      </c>
      <c r="AH135" s="80" t="n">
        <f aca="false">Table9[[#This Row],[RTH(nom) (kΩ)]]*RT2_TH_S/(RT2_TH_S+Table9[[#This Row],[RTH(nom) (kΩ)]])</f>
        <v>16.0565868577839</v>
      </c>
      <c r="AI135" s="80" t="n">
        <f aca="false">Table9[[#This Row],[RTH(max) (kΩ)]]*RT2_TH_S_MAX/(RT2_TH_S_MAX+Table9[[#This Row],[RTH(max) (kΩ)]])</f>
        <v>16.2337226711732</v>
      </c>
      <c r="AJ135" s="80" t="n">
        <f aca="false">Table9[[#This Row],[RLower(min) (kΩ)]]/(Table9[[#This Row],[RLower(min) (kΩ)]]+RT1_TH_S_MAX)*100</f>
        <v>75.1934521638223</v>
      </c>
      <c r="AK135" s="80" t="n">
        <f aca="false">Table9[[#This Row],[RLower(nom) (kΩ)]]/(Table9[[#This Row],[RLower(nom) (kΩ)]]+RT1_TH_S)*100</f>
        <v>75.4199395324579</v>
      </c>
      <c r="AL135" s="80" t="n">
        <f aca="false">Table9[[#This Row],[RLower(max) (kΩ)]]/(Table9[[#This Row],[RLower(max) (kΩ)]]+RT1_TH_S_MIN)*100</f>
        <v>75.6412048271622</v>
      </c>
      <c r="AM135" s="80" t="n">
        <f aca="false">IF(Table9[[#This Row],[Vmin (%)]]&lt;$BA$14, 0, IF(Table9[[#This Row],[Vmin (%)]]&lt;$BA$12, 4, IF(Table9[[#This Row],[Vmin (%)]]&lt;$BA$9, 3, IF(Table9[[#This Row],[Vmin (%)]]&lt;$BA$7, 2, 0))))</f>
        <v>2</v>
      </c>
      <c r="AN135" s="80" t="n">
        <f aca="false">IF(Table9[[#This Row],[Vmin (%)]]&lt;$BA$13, 0, IF(Table9[[#This Row],[Vmin (%)]]&lt;$BA$11, 4, IF(Table9[[#This Row],[Vmin (%)]]&lt;$BA$10, 3, IF(Table9[[#This Row],[Vmin (%)]]&lt;$BA$8, 2, 0))))</f>
        <v>2</v>
      </c>
      <c r="AO135" s="217" t="str">
        <f aca="false">IF(Table9[[#This Row],[Vmin (%)]]&lt;$BA$14, "Hot", IF(Table9[[#This Row],[Vmin (%)]]&lt;$BA$12, "Warm", IF(Table9[[#This Row],[Vmin (%)]]&lt;$BA$9, "Normal", IF(Table9[[#This Row],[Vmin (%)]]&lt;$BA$7, "Cool", "Cold"))))</f>
        <v>Cool</v>
      </c>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c r="FL135" s="7"/>
      <c r="FM135" s="7"/>
      <c r="FN135" s="7"/>
      <c r="FO135" s="7"/>
      <c r="FP135" s="7"/>
      <c r="FQ135" s="7"/>
      <c r="FR135" s="7"/>
      <c r="FS135" s="7"/>
      <c r="FT135" s="7"/>
      <c r="FU135" s="7"/>
      <c r="FV135" s="7"/>
      <c r="FW135" s="7"/>
      <c r="FX135" s="7"/>
      <c r="FY135" s="7"/>
      <c r="FZ135" s="7"/>
      <c r="GA135" s="7"/>
      <c r="GB135" s="7"/>
      <c r="GC135" s="7"/>
      <c r="GD135" s="7"/>
      <c r="GE135" s="7"/>
      <c r="GF135" s="7"/>
      <c r="GG135" s="7"/>
      <c r="GH135" s="7"/>
      <c r="GI135" s="7"/>
      <c r="GJ135" s="7"/>
      <c r="GK135" s="7"/>
      <c r="GL135" s="7"/>
      <c r="GM135" s="7"/>
      <c r="GN135" s="7"/>
      <c r="GO135" s="7"/>
      <c r="GP135" s="7"/>
      <c r="GQ135" s="7"/>
      <c r="GR135" s="7"/>
      <c r="GS135" s="7"/>
      <c r="GT135" s="7"/>
      <c r="GU135" s="7"/>
      <c r="GV135" s="7"/>
      <c r="GW135" s="7"/>
      <c r="GX135" s="7"/>
      <c r="GY135" s="7"/>
      <c r="GZ135" s="7"/>
      <c r="HA135" s="7"/>
      <c r="HB135" s="7"/>
    </row>
    <row r="136" customFormat="false" ht="16.4" hidden="false" customHeight="false" outlineLevel="0" collapsed="false">
      <c r="A136" s="218" t="n">
        <f aca="false">A135-1</f>
        <v>-6</v>
      </c>
      <c r="B136" s="191"/>
      <c r="C136" s="219" t="str">
        <f aca="false">_xlfn.CONCAT("RTH at ",A136, " °C")</f>
        <v>RTH at -6 °C</v>
      </c>
      <c r="D136" s="220" t="n">
        <f aca="false">$D$105+(ROW(D136)-ROW($D$105))*($D$180-$D$105)/(ROW($D$180)-ROW($D$105))</f>
        <v>2.34333333333333</v>
      </c>
      <c r="E136" s="221" t="n">
        <v>34.64</v>
      </c>
      <c r="F136" s="222" t="n">
        <v>35.44</v>
      </c>
      <c r="G136" s="223" t="n">
        <v>36.25</v>
      </c>
      <c r="H136" s="57" t="s">
        <v>18</v>
      </c>
      <c r="I136" s="24"/>
      <c r="J136" s="24" t="n">
        <v>36.25</v>
      </c>
      <c r="K136" s="24" t="n">
        <v>35.44</v>
      </c>
      <c r="L136" s="24" t="n">
        <v>34.64</v>
      </c>
      <c r="M136" s="24"/>
      <c r="N136" s="24"/>
      <c r="O136" s="24"/>
      <c r="P136" s="24"/>
      <c r="Q136" s="24"/>
      <c r="R136" s="24"/>
      <c r="S136" s="24"/>
      <c r="T136" s="24"/>
      <c r="U136" s="24"/>
      <c r="V136" s="24"/>
      <c r="W136" s="24"/>
      <c r="X136" s="24"/>
      <c r="Y136" s="25"/>
      <c r="Z136" s="6"/>
      <c r="AA136" s="7"/>
      <c r="AB136" s="7"/>
      <c r="AC136" s="80" t="n">
        <f aca="false">A136</f>
        <v>-6</v>
      </c>
      <c r="AD136" s="80" t="n">
        <f aca="false">E136</f>
        <v>34.64</v>
      </c>
      <c r="AE136" s="80" t="n">
        <f aca="false">F136</f>
        <v>35.44</v>
      </c>
      <c r="AF136" s="80" t="n">
        <f aca="false">G136</f>
        <v>36.25</v>
      </c>
      <c r="AG136" s="80" t="n">
        <f aca="false">Table9[[#This Row],[RTH(min) (kΩ)]]*RT2_TH_MIN/(RT2_TH_MIN+Table9[[#This Row],[RTH(min) (kΩ)]])</f>
        <v>16.2120836728516</v>
      </c>
      <c r="AH136" s="80" t="n">
        <f aca="false">Table9[[#This Row],[RTH(nom) (kΩ)]]*RT2_TH_S/(RT2_TH_S+Table9[[#This Row],[RTH(nom) (kΩ)]])</f>
        <v>16.3940027595646</v>
      </c>
      <c r="AI136" s="80" t="n">
        <f aca="false">Table9[[#This Row],[RTH(max) (kΩ)]]*RT2_TH_S_MAX/(RT2_TH_S_MAX+Table9[[#This Row],[RTH(max) (kΩ)]])</f>
        <v>16.5742184530257</v>
      </c>
      <c r="AJ136" s="80" t="n">
        <f aca="false">Table9[[#This Row],[RLower(min) (kΩ)]]/(Table9[[#This Row],[RLower(min) (kΩ)]]+RT1_TH_S_MAX)*100</f>
        <v>75.5797250829141</v>
      </c>
      <c r="AK136" s="80" t="n">
        <f aca="false">Table9[[#This Row],[RLower(nom) (kΩ)]]/(Table9[[#This Row],[RLower(nom) (kΩ)]]+RT1_TH_S)*100</f>
        <v>75.8034280239414</v>
      </c>
      <c r="AL136" s="80" t="n">
        <f aca="false">Table9[[#This Row],[RLower(max) (kΩ)]]/(Table9[[#This Row],[RLower(max) (kΩ)]]+RT1_TH_S_MIN)*100</f>
        <v>76.0216321231007</v>
      </c>
      <c r="AM136" s="80" t="n">
        <f aca="false">IF(Table9[[#This Row],[Vmin (%)]]&lt;$BA$14, 0, IF(Table9[[#This Row],[Vmin (%)]]&lt;$BA$12, 4, IF(Table9[[#This Row],[Vmin (%)]]&lt;$BA$9, 3, IF(Table9[[#This Row],[Vmin (%)]]&lt;$BA$7, 2, 0))))</f>
        <v>2</v>
      </c>
      <c r="AN136" s="80" t="n">
        <f aca="false">IF(Table9[[#This Row],[Vmin (%)]]&lt;$BA$13, 0, IF(Table9[[#This Row],[Vmin (%)]]&lt;$BA$11, 4, IF(Table9[[#This Row],[Vmin (%)]]&lt;$BA$10, 3, IF(Table9[[#This Row],[Vmin (%)]]&lt;$BA$8, 2, 0))))</f>
        <v>2</v>
      </c>
      <c r="AO136" s="217" t="str">
        <f aca="false">IF(Table9[[#This Row],[Vmin (%)]]&lt;$BA$14, "Hot", IF(Table9[[#This Row],[Vmin (%)]]&lt;$BA$12, "Warm", IF(Table9[[#This Row],[Vmin (%)]]&lt;$BA$9, "Normal", IF(Table9[[#This Row],[Vmin (%)]]&lt;$BA$7, "Cool", "Cold"))))</f>
        <v>Cool</v>
      </c>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c r="FL136" s="7"/>
      <c r="FM136" s="7"/>
      <c r="FN136" s="7"/>
      <c r="FO136" s="7"/>
      <c r="FP136" s="7"/>
      <c r="FQ136" s="7"/>
      <c r="FR136" s="7"/>
      <c r="FS136" s="7"/>
      <c r="FT136" s="7"/>
      <c r="FU136" s="7"/>
      <c r="FV136" s="7"/>
      <c r="FW136" s="7"/>
      <c r="FX136" s="7"/>
      <c r="FY136" s="7"/>
      <c r="FZ136" s="7"/>
      <c r="GA136" s="7"/>
      <c r="GB136" s="7"/>
      <c r="GC136" s="7"/>
      <c r="GD136" s="7"/>
      <c r="GE136" s="7"/>
      <c r="GF136" s="7"/>
      <c r="GG136" s="7"/>
      <c r="GH136" s="7"/>
      <c r="GI136" s="7"/>
      <c r="GJ136" s="7"/>
      <c r="GK136" s="7"/>
      <c r="GL136" s="7"/>
      <c r="GM136" s="7"/>
      <c r="GN136" s="7"/>
      <c r="GO136" s="7"/>
      <c r="GP136" s="7"/>
      <c r="GQ136" s="7"/>
      <c r="GR136" s="7"/>
      <c r="GS136" s="7"/>
      <c r="GT136" s="7"/>
      <c r="GU136" s="7"/>
      <c r="GV136" s="7"/>
      <c r="GW136" s="7"/>
      <c r="GX136" s="7"/>
      <c r="GY136" s="7"/>
      <c r="GZ136" s="7"/>
      <c r="HA136" s="7"/>
      <c r="HB136" s="7"/>
    </row>
    <row r="137" customFormat="false" ht="16.4" hidden="false" customHeight="false" outlineLevel="0" collapsed="false">
      <c r="A137" s="218" t="n">
        <f aca="false">A136-1</f>
        <v>-7</v>
      </c>
      <c r="B137" s="191"/>
      <c r="C137" s="219" t="str">
        <f aca="false">_xlfn.CONCAT("RTH at ",A137, " °C")</f>
        <v>RTH at -7 °C</v>
      </c>
      <c r="D137" s="220" t="n">
        <f aca="false">$D$105+(ROW(D137)-ROW($D$105))*($D$180-$D$105)/(ROW($D$180)-ROW($D$105))</f>
        <v>2.38666666666667</v>
      </c>
      <c r="E137" s="221" t="n">
        <v>36.21</v>
      </c>
      <c r="F137" s="222" t="n">
        <v>37.06</v>
      </c>
      <c r="G137" s="223" t="n">
        <v>37.92</v>
      </c>
      <c r="H137" s="57" t="s">
        <v>18</v>
      </c>
      <c r="I137" s="24"/>
      <c r="J137" s="24" t="n">
        <v>37.92</v>
      </c>
      <c r="K137" s="24" t="n">
        <v>37.06</v>
      </c>
      <c r="L137" s="24" t="n">
        <v>36.21</v>
      </c>
      <c r="M137" s="24"/>
      <c r="N137" s="24"/>
      <c r="O137" s="24"/>
      <c r="P137" s="24"/>
      <c r="Q137" s="24"/>
      <c r="R137" s="24"/>
      <c r="S137" s="24"/>
      <c r="T137" s="24"/>
      <c r="U137" s="24"/>
      <c r="V137" s="24"/>
      <c r="W137" s="24"/>
      <c r="X137" s="24"/>
      <c r="Y137" s="25"/>
      <c r="Z137" s="6"/>
      <c r="AA137" s="7"/>
      <c r="AB137" s="7"/>
      <c r="AC137" s="80" t="n">
        <f aca="false">A137</f>
        <v>-7</v>
      </c>
      <c r="AD137" s="80" t="n">
        <f aca="false">E137</f>
        <v>36.21</v>
      </c>
      <c r="AE137" s="80" t="n">
        <f aca="false">F137</f>
        <v>37.06</v>
      </c>
      <c r="AF137" s="80" t="n">
        <f aca="false">G137</f>
        <v>37.92</v>
      </c>
      <c r="AG137" s="80" t="n">
        <f aca="false">Table9[[#This Row],[RTH(min) (kΩ)]]*RT2_TH_MIN/(RT2_TH_MIN+Table9[[#This Row],[RTH(min) (kΩ)]])</f>
        <v>16.5478788177714</v>
      </c>
      <c r="AH137" s="80" t="n">
        <f aca="false">Table9[[#This Row],[RTH(nom) (kΩ)]]*RT2_TH_S/(RT2_TH_S+Table9[[#This Row],[RTH(nom) (kΩ)]])</f>
        <v>16.7323461768213</v>
      </c>
      <c r="AI137" s="80" t="n">
        <f aca="false">Table9[[#This Row],[RTH(max) (kΩ)]]*RT2_TH_S_MAX/(RT2_TH_S_MAX+Table9[[#This Row],[RTH(max) (kΩ)]])</f>
        <v>16.9148151614767</v>
      </c>
      <c r="AJ137" s="80" t="n">
        <f aca="false">Table9[[#This Row],[RLower(min) (kΩ)]]/(Table9[[#This Row],[RLower(min) (kΩ)]]+RT1_TH_S_MAX)*100</f>
        <v>75.9561214384912</v>
      </c>
      <c r="AK137" s="80" t="n">
        <f aca="false">Table9[[#This Row],[RLower(nom) (kΩ)]]/(Table9[[#This Row],[RLower(nom) (kΩ)]]+RT1_TH_S)*100</f>
        <v>76.176140299089</v>
      </c>
      <c r="AL137" s="80" t="n">
        <f aca="false">Table9[[#This Row],[RLower(max) (kΩ)]]/(Table9[[#This Row],[RLower(max) (kΩ)]]+RT1_TH_S_MIN)*100</f>
        <v>76.3904669940945</v>
      </c>
      <c r="AM137" s="80" t="n">
        <f aca="false">IF(Table9[[#This Row],[Vmin (%)]]&lt;$BA$14, 0, IF(Table9[[#This Row],[Vmin (%)]]&lt;$BA$12, 4, IF(Table9[[#This Row],[Vmin (%)]]&lt;$BA$9, 3, IF(Table9[[#This Row],[Vmin (%)]]&lt;$BA$7, 2, 0))))</f>
        <v>2</v>
      </c>
      <c r="AN137" s="80" t="n">
        <f aca="false">IF(Table9[[#This Row],[Vmin (%)]]&lt;$BA$13, 0, IF(Table9[[#This Row],[Vmin (%)]]&lt;$BA$11, 4, IF(Table9[[#This Row],[Vmin (%)]]&lt;$BA$10, 3, IF(Table9[[#This Row],[Vmin (%)]]&lt;$BA$8, 2, 0))))</f>
        <v>2</v>
      </c>
      <c r="AO137" s="217" t="str">
        <f aca="false">IF(Table9[[#This Row],[Vmin (%)]]&lt;$BA$14, "Hot", IF(Table9[[#This Row],[Vmin (%)]]&lt;$BA$12, "Warm", IF(Table9[[#This Row],[Vmin (%)]]&lt;$BA$9, "Normal", IF(Table9[[#This Row],[Vmin (%)]]&lt;$BA$7, "Cool", "Cold"))))</f>
        <v>Cool</v>
      </c>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c r="FV137" s="7"/>
      <c r="FW137" s="7"/>
      <c r="FX137" s="7"/>
      <c r="FY137" s="7"/>
      <c r="FZ137" s="7"/>
      <c r="GA137" s="7"/>
      <c r="GB137" s="7"/>
      <c r="GC137" s="7"/>
      <c r="GD137" s="7"/>
      <c r="GE137" s="7"/>
      <c r="GF137" s="7"/>
      <c r="GG137" s="7"/>
      <c r="GH137" s="7"/>
      <c r="GI137" s="7"/>
      <c r="GJ137" s="7"/>
      <c r="GK137" s="7"/>
      <c r="GL137" s="7"/>
      <c r="GM137" s="7"/>
      <c r="GN137" s="7"/>
      <c r="GO137" s="7"/>
      <c r="GP137" s="7"/>
      <c r="GQ137" s="7"/>
      <c r="GR137" s="7"/>
      <c r="GS137" s="7"/>
      <c r="GT137" s="7"/>
      <c r="GU137" s="7"/>
      <c r="GV137" s="7"/>
      <c r="GW137" s="7"/>
      <c r="GX137" s="7"/>
      <c r="GY137" s="7"/>
      <c r="GZ137" s="7"/>
      <c r="HA137" s="7"/>
      <c r="HB137" s="7"/>
    </row>
    <row r="138" customFormat="false" ht="16.4" hidden="false" customHeight="false" outlineLevel="0" collapsed="false">
      <c r="A138" s="218" t="n">
        <f aca="false">A137-1</f>
        <v>-8</v>
      </c>
      <c r="B138" s="191"/>
      <c r="C138" s="219" t="str">
        <f aca="false">_xlfn.CONCAT("RTH at ",A138, " °C")</f>
        <v>RTH at -8 °C</v>
      </c>
      <c r="D138" s="220" t="n">
        <f aca="false">$D$105+(ROW(D138)-ROW($D$105))*($D$180-$D$105)/(ROW($D$180)-ROW($D$105))</f>
        <v>2.43</v>
      </c>
      <c r="E138" s="221" t="n">
        <v>37.86</v>
      </c>
      <c r="F138" s="222" t="n">
        <v>38.77</v>
      </c>
      <c r="G138" s="223" t="n">
        <v>39.69</v>
      </c>
      <c r="H138" s="57" t="s">
        <v>18</v>
      </c>
      <c r="I138" s="24"/>
      <c r="J138" s="24" t="n">
        <v>39.69</v>
      </c>
      <c r="K138" s="24" t="n">
        <v>38.77</v>
      </c>
      <c r="L138" s="24" t="n">
        <v>37.86</v>
      </c>
      <c r="M138" s="24"/>
      <c r="N138" s="24"/>
      <c r="O138" s="24"/>
      <c r="P138" s="24"/>
      <c r="Q138" s="24"/>
      <c r="R138" s="24"/>
      <c r="S138" s="24"/>
      <c r="T138" s="24"/>
      <c r="U138" s="24"/>
      <c r="V138" s="24"/>
      <c r="W138" s="24"/>
      <c r="X138" s="24"/>
      <c r="Y138" s="25"/>
      <c r="Z138" s="6"/>
      <c r="AA138" s="7"/>
      <c r="AB138" s="7"/>
      <c r="AC138" s="80" t="n">
        <f aca="false">A138</f>
        <v>-8</v>
      </c>
      <c r="AD138" s="80" t="n">
        <f aca="false">E138</f>
        <v>37.86</v>
      </c>
      <c r="AE138" s="80" t="n">
        <f aca="false">F138</f>
        <v>38.77</v>
      </c>
      <c r="AF138" s="80" t="n">
        <f aca="false">G138</f>
        <v>39.69</v>
      </c>
      <c r="AG138" s="80" t="n">
        <f aca="false">Table9[[#This Row],[RTH(min) (kΩ)]]*RT2_TH_MIN/(RT2_TH_MIN+Table9[[#This Row],[RTH(min) (kΩ)]])</f>
        <v>16.8841552874413</v>
      </c>
      <c r="AH138" s="80" t="n">
        <f aca="false">Table9[[#This Row],[RTH(nom) (kΩ)]]*RT2_TH_S/(RT2_TH_S+Table9[[#This Row],[RTH(nom) (kΩ)]])</f>
        <v>17.0723190406519</v>
      </c>
      <c r="AI138" s="80" t="n">
        <f aca="false">Table9[[#This Row],[RTH(max) (kΩ)]]*RT2_TH_S_MAX/(RT2_TH_S_MAX+Table9[[#This Row],[RTH(max) (kΩ)]])</f>
        <v>17.2581237545603</v>
      </c>
      <c r="AJ138" s="80" t="n">
        <f aca="false">Table9[[#This Row],[RLower(min) (kΩ)]]/(Table9[[#This Row],[RLower(min) (kΩ)]]+RT1_TH_S_MAX)*100</f>
        <v>76.3216061110193</v>
      </c>
      <c r="AK138" s="80" t="n">
        <f aca="false">Table9[[#This Row],[RLower(nom) (kΩ)]]/(Table9[[#This Row],[RLower(nom) (kΩ)]]+RT1_TH_S)*100</f>
        <v>76.5392585763935</v>
      </c>
      <c r="AL138" s="80" t="n">
        <f aca="false">Table9[[#This Row],[RLower(max) (kΩ)]]/(Table9[[#This Row],[RLower(max) (kΩ)]]+RT1_TH_S_MIN)*100</f>
        <v>76.7509311996782</v>
      </c>
      <c r="AM138" s="80" t="n">
        <f aca="false">IF(Table9[[#This Row],[Vmin (%)]]&lt;$BA$14, 0, IF(Table9[[#This Row],[Vmin (%)]]&lt;$BA$12, 4, IF(Table9[[#This Row],[Vmin (%)]]&lt;$BA$9, 3, IF(Table9[[#This Row],[Vmin (%)]]&lt;$BA$7, 2, 0))))</f>
        <v>2</v>
      </c>
      <c r="AN138" s="80" t="n">
        <f aca="false">IF(Table9[[#This Row],[Vmin (%)]]&lt;$BA$13, 0, IF(Table9[[#This Row],[Vmin (%)]]&lt;$BA$11, 4, IF(Table9[[#This Row],[Vmin (%)]]&lt;$BA$10, 3, IF(Table9[[#This Row],[Vmin (%)]]&lt;$BA$8, 2, 0))))</f>
        <v>0</v>
      </c>
      <c r="AO138" s="217" t="str">
        <f aca="false">IF(Table9[[#This Row],[Vmin (%)]]&lt;$BA$14, "Hot", IF(Table9[[#This Row],[Vmin (%)]]&lt;$BA$12, "Warm", IF(Table9[[#This Row],[Vmin (%)]]&lt;$BA$9, "Normal", IF(Table9[[#This Row],[Vmin (%)]]&lt;$BA$7, "Cool", "Cold"))))</f>
        <v>Cool</v>
      </c>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row>
    <row r="139" customFormat="false" ht="16.4" hidden="false" customHeight="false" outlineLevel="0" collapsed="false">
      <c r="A139" s="218" t="n">
        <f aca="false">A138-1</f>
        <v>-9</v>
      </c>
      <c r="B139" s="191"/>
      <c r="C139" s="219" t="str">
        <f aca="false">_xlfn.CONCAT("RTH at ",A139, " °C")</f>
        <v>RTH at -9 °C</v>
      </c>
      <c r="D139" s="220" t="n">
        <f aca="false">$D$105+(ROW(D139)-ROW($D$105))*($D$180-$D$105)/(ROW($D$180)-ROW($D$105))</f>
        <v>2.47333333333333</v>
      </c>
      <c r="E139" s="221" t="n">
        <v>39.6</v>
      </c>
      <c r="F139" s="222" t="n">
        <v>40.57</v>
      </c>
      <c r="G139" s="223" t="n">
        <v>41.55</v>
      </c>
      <c r="H139" s="57" t="s">
        <v>18</v>
      </c>
      <c r="I139" s="24"/>
      <c r="J139" s="24" t="n">
        <v>41.55</v>
      </c>
      <c r="K139" s="24" t="n">
        <v>40.57</v>
      </c>
      <c r="L139" s="24" t="n">
        <v>39.6</v>
      </c>
      <c r="M139" s="24"/>
      <c r="N139" s="24"/>
      <c r="O139" s="24"/>
      <c r="P139" s="24"/>
      <c r="Q139" s="24"/>
      <c r="R139" s="24"/>
      <c r="S139" s="24"/>
      <c r="T139" s="24"/>
      <c r="U139" s="24"/>
      <c r="V139" s="24"/>
      <c r="W139" s="24"/>
      <c r="X139" s="24"/>
      <c r="Y139" s="25"/>
      <c r="Z139" s="6"/>
      <c r="AA139" s="7"/>
      <c r="AB139" s="7"/>
      <c r="AC139" s="80" t="n">
        <f aca="false">A139</f>
        <v>-9</v>
      </c>
      <c r="AD139" s="80" t="n">
        <f aca="false">E139</f>
        <v>39.6</v>
      </c>
      <c r="AE139" s="80" t="n">
        <f aca="false">F139</f>
        <v>40.57</v>
      </c>
      <c r="AF139" s="80" t="n">
        <f aca="false">G139</f>
        <v>41.55</v>
      </c>
      <c r="AG139" s="80" t="n">
        <f aca="false">Table9[[#This Row],[RTH(min) (kΩ)]]*RT2_TH_MIN/(RT2_TH_MIN+Table9[[#This Row],[RTH(min) (kΩ)]])</f>
        <v>17.2216187522849</v>
      </c>
      <c r="AH139" s="80" t="n">
        <f aca="false">Table9[[#This Row],[RTH(nom) (kΩ)]]*RT2_TH_S/(RT2_TH_S+Table9[[#This Row],[RTH(nom) (kΩ)]])</f>
        <v>17.4125122572658</v>
      </c>
      <c r="AI139" s="80" t="n">
        <f aca="false">Table9[[#This Row],[RTH(max) (kΩ)]]*RT2_TH_S_MAX/(RT2_TH_S_MAX+Table9[[#This Row],[RTH(max) (kΩ)]])</f>
        <v>17.6007217948624</v>
      </c>
      <c r="AJ139" s="80" t="n">
        <f aca="false">Table9[[#This Row],[RLower(min) (kΩ)]]/(Table9[[#This Row],[RLower(min) (kΩ)]]+RT1_TH_S_MAX)*100</f>
        <v>76.677378539293</v>
      </c>
      <c r="AK139" s="80" t="n">
        <f aca="false">Table9[[#This Row],[RLower(nom) (kΩ)]]/(Table9[[#This Row],[RLower(nom) (kΩ)]]+RT1_TH_S)*100</f>
        <v>76.8916987472579</v>
      </c>
      <c r="AL139" s="80" t="n">
        <f aca="false">Table9[[#This Row],[RLower(max) (kΩ)]]/(Table9[[#This Row],[RLower(max) (kΩ)]]+RT1_TH_S_MIN)*100</f>
        <v>77.0998412202795</v>
      </c>
      <c r="AM139" s="80" t="n">
        <f aca="false">IF(Table9[[#This Row],[Vmin (%)]]&lt;$BA$14, 0, IF(Table9[[#This Row],[Vmin (%)]]&lt;$BA$12, 4, IF(Table9[[#This Row],[Vmin (%)]]&lt;$BA$9, 3, IF(Table9[[#This Row],[Vmin (%)]]&lt;$BA$7, 2, 0))))</f>
        <v>2</v>
      </c>
      <c r="AN139" s="80" t="n">
        <f aca="false">IF(Table9[[#This Row],[Vmin (%)]]&lt;$BA$13, 0, IF(Table9[[#This Row],[Vmin (%)]]&lt;$BA$11, 4, IF(Table9[[#This Row],[Vmin (%)]]&lt;$BA$10, 3, IF(Table9[[#This Row],[Vmin (%)]]&lt;$BA$8, 2, 0))))</f>
        <v>0</v>
      </c>
      <c r="AO139" s="217" t="str">
        <f aca="false">IF(Table9[[#This Row],[Vmin (%)]]&lt;$BA$14, "Hot", IF(Table9[[#This Row],[Vmin (%)]]&lt;$BA$12, "Warm", IF(Table9[[#This Row],[Vmin (%)]]&lt;$BA$9, "Normal", IF(Table9[[#This Row],[Vmin (%)]]&lt;$BA$7, "Cool", "Cold"))))</f>
        <v>Cool</v>
      </c>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c r="GT139" s="7"/>
      <c r="GU139" s="7"/>
      <c r="GV139" s="7"/>
      <c r="GW139" s="7"/>
      <c r="GX139" s="7"/>
      <c r="GY139" s="7"/>
      <c r="GZ139" s="7"/>
      <c r="HA139" s="7"/>
      <c r="HB139" s="7"/>
    </row>
    <row r="140" customFormat="false" ht="16.4" hidden="false" customHeight="false" outlineLevel="0" collapsed="false">
      <c r="A140" s="218" t="n">
        <f aca="false">A139-1</f>
        <v>-10</v>
      </c>
      <c r="B140" s="191"/>
      <c r="C140" s="219" t="str">
        <f aca="false">_xlfn.CONCAT("RTH at ",A140, " °C")</f>
        <v>RTH at -10 °C</v>
      </c>
      <c r="D140" s="220" t="n">
        <f aca="false">$D$105+(ROW(D140)-ROW($D$105))*($D$180-$D$105)/(ROW($D$180)-ROW($D$105))</f>
        <v>2.51666666666667</v>
      </c>
      <c r="E140" s="221" t="n">
        <v>41.43</v>
      </c>
      <c r="F140" s="222" t="n">
        <v>42.47</v>
      </c>
      <c r="G140" s="223" t="n">
        <v>43.52</v>
      </c>
      <c r="H140" s="57" t="s">
        <v>18</v>
      </c>
      <c r="I140" s="24"/>
      <c r="J140" s="24" t="n">
        <v>43.52</v>
      </c>
      <c r="K140" s="24" t="n">
        <v>42.47</v>
      </c>
      <c r="L140" s="24" t="n">
        <v>41.43</v>
      </c>
      <c r="M140" s="24"/>
      <c r="N140" s="24"/>
      <c r="O140" s="24"/>
      <c r="P140" s="24"/>
      <c r="Q140" s="24"/>
      <c r="R140" s="24"/>
      <c r="S140" s="24"/>
      <c r="T140" s="24"/>
      <c r="U140" s="24"/>
      <c r="V140" s="24"/>
      <c r="W140" s="24"/>
      <c r="X140" s="24"/>
      <c r="Y140" s="25"/>
      <c r="Z140" s="6"/>
      <c r="AA140" s="7"/>
      <c r="AB140" s="7"/>
      <c r="AC140" s="80" t="n">
        <f aca="false">A140</f>
        <v>-10</v>
      </c>
      <c r="AD140" s="80" t="n">
        <f aca="false">E140</f>
        <v>41.43</v>
      </c>
      <c r="AE140" s="80" t="n">
        <f aca="false">F140</f>
        <v>42.47</v>
      </c>
      <c r="AF140" s="80" t="n">
        <f aca="false">G140</f>
        <v>43.52</v>
      </c>
      <c r="AG140" s="80" t="n">
        <f aca="false">Table9[[#This Row],[RTH(min) (kΩ)]]*RT2_TH_MIN/(RT2_TH_MIN+Table9[[#This Row],[RTH(min) (kΩ)]])</f>
        <v>17.5589158772535</v>
      </c>
      <c r="AH140" s="80" t="n">
        <f aca="false">Table9[[#This Row],[RTH(nom) (kΩ)]]*RT2_TH_S/(RT2_TH_S+Table9[[#This Row],[RTH(nom) (kΩ)]])</f>
        <v>17.7533983354053</v>
      </c>
      <c r="AI140" s="80" t="n">
        <f aca="false">Table9[[#This Row],[RTH(max) (kΩ)]]*RT2_TH_S_MAX/(RT2_TH_S_MAX+Table9[[#This Row],[RTH(max) (kΩ)]])</f>
        <v>17.9448147402472</v>
      </c>
      <c r="AJ140" s="80" t="n">
        <f aca="false">Table9[[#This Row],[RLower(min) (kΩ)]]/(Table9[[#This Row],[RLower(min) (kΩ)]]+RT1_TH_S_MAX)*100</f>
        <v>77.022450472008</v>
      </c>
      <c r="AK140" s="80" t="n">
        <f aca="false">Table9[[#This Row],[RLower(nom) (kΩ)]]/(Table9[[#This Row],[RLower(nom) (kΩ)]]+RT1_TH_S)*100</f>
        <v>77.2343927659339</v>
      </c>
      <c r="AL140" s="80" t="n">
        <f aca="false">Table9[[#This Row],[RLower(max) (kΩ)]]/(Table9[[#This Row],[RLower(max) (kΩ)]]+RT1_TH_S_MIN)*100</f>
        <v>77.4398890483601</v>
      </c>
      <c r="AM140" s="80" t="n">
        <f aca="false">IF(Table9[[#This Row],[Vmin (%)]]&lt;$BA$14, 0, IF(Table9[[#This Row],[Vmin (%)]]&lt;$BA$12, 4, IF(Table9[[#This Row],[Vmin (%)]]&lt;$BA$9, 3, IF(Table9[[#This Row],[Vmin (%)]]&lt;$BA$7, 2, 0))))</f>
        <v>2</v>
      </c>
      <c r="AN140" s="80" t="n">
        <f aca="false">IF(Table9[[#This Row],[Vmin (%)]]&lt;$BA$13, 0, IF(Table9[[#This Row],[Vmin (%)]]&lt;$BA$11, 4, IF(Table9[[#This Row],[Vmin (%)]]&lt;$BA$10, 3, IF(Table9[[#This Row],[Vmin (%)]]&lt;$BA$8, 2, 0))))</f>
        <v>0</v>
      </c>
      <c r="AO140" s="217" t="str">
        <f aca="false">IF(Table9[[#This Row],[Vmin (%)]]&lt;$BA$14, "Hot", IF(Table9[[#This Row],[Vmin (%)]]&lt;$BA$12, "Warm", IF(Table9[[#This Row],[Vmin (%)]]&lt;$BA$9, "Normal", IF(Table9[[#This Row],[Vmin (%)]]&lt;$BA$7, "Cool", "Cold"))))</f>
        <v>Cool</v>
      </c>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row>
    <row r="141" customFormat="false" ht="16.4" hidden="false" customHeight="false" outlineLevel="0" collapsed="false">
      <c r="A141" s="218" t="n">
        <f aca="false">A140-1</f>
        <v>-11</v>
      </c>
      <c r="B141" s="191"/>
      <c r="C141" s="219" t="str">
        <f aca="false">_xlfn.CONCAT("RTH at ",A141, " °C")</f>
        <v>RTH at -11 °C</v>
      </c>
      <c r="D141" s="220" t="n">
        <f aca="false">$D$105+(ROW(D141)-ROW($D$105))*($D$180-$D$105)/(ROW($D$180)-ROW($D$105))</f>
        <v>2.56</v>
      </c>
      <c r="E141" s="221" t="n">
        <v>43.33</v>
      </c>
      <c r="F141" s="222" t="n">
        <v>44.43</v>
      </c>
      <c r="G141" s="223" t="n">
        <v>45.55</v>
      </c>
      <c r="H141" s="57" t="s">
        <v>18</v>
      </c>
      <c r="I141" s="24"/>
      <c r="J141" s="24" t="n">
        <v>45.55</v>
      </c>
      <c r="K141" s="24" t="n">
        <v>44.43</v>
      </c>
      <c r="L141" s="24" t="n">
        <v>43.33</v>
      </c>
      <c r="M141" s="24"/>
      <c r="N141" s="24"/>
      <c r="O141" s="24"/>
      <c r="P141" s="24"/>
      <c r="Q141" s="24"/>
      <c r="R141" s="24"/>
      <c r="S141" s="24"/>
      <c r="T141" s="24"/>
      <c r="U141" s="24"/>
      <c r="V141" s="24"/>
      <c r="W141" s="24"/>
      <c r="X141" s="24"/>
      <c r="Y141" s="25"/>
      <c r="Z141" s="6"/>
      <c r="AA141" s="7"/>
      <c r="AB141" s="7"/>
      <c r="AC141" s="80" t="n">
        <f aca="false">A141</f>
        <v>-11</v>
      </c>
      <c r="AD141" s="80" t="n">
        <f aca="false">E141</f>
        <v>43.33</v>
      </c>
      <c r="AE141" s="80" t="n">
        <f aca="false">F141</f>
        <v>44.43</v>
      </c>
      <c r="AF141" s="80" t="n">
        <f aca="false">G141</f>
        <v>45.55</v>
      </c>
      <c r="AG141" s="80" t="n">
        <f aca="false">Table9[[#This Row],[RTH(min) (kΩ)]]*RT2_TH_MIN/(RT2_TH_MIN+Table9[[#This Row],[RTH(min) (kΩ)]])</f>
        <v>17.8914164529408</v>
      </c>
      <c r="AH141" s="80" t="n">
        <f aca="false">Table9[[#This Row],[RTH(nom) (kΩ)]]*RT2_TH_S/(RT2_TH_S+Table9[[#This Row],[RTH(nom) (kΩ)]])</f>
        <v>18.0869353059463</v>
      </c>
      <c r="AI141" s="80" t="n">
        <f aca="false">Table9[[#This Row],[RTH(max) (kΩ)]]*RT2_TH_S_MAX/(RT2_TH_S_MAX+Table9[[#This Row],[RTH(max) (kΩ)]])</f>
        <v>18.2807469809519</v>
      </c>
      <c r="AJ141" s="80" t="n">
        <f aca="false">Table9[[#This Row],[RLower(min) (kΩ)]]/(Table9[[#This Row],[RLower(min) (kΩ)]]+RT1_TH_S_MAX)*100</f>
        <v>77.3527646598103</v>
      </c>
      <c r="AK141" s="80" t="n">
        <f aca="false">Table9[[#This Row],[RLower(nom) (kΩ)]]/(Table9[[#This Row],[RLower(nom) (kΩ)]]+RT1_TH_S)*100</f>
        <v>77.5600014973661</v>
      </c>
      <c r="AL141" s="80" t="n">
        <f aca="false">Table9[[#This Row],[RLower(max) (kΩ)]]/(Table9[[#This Row],[RLower(max) (kΩ)]]+RT1_TH_S_MIN)*100</f>
        <v>77.7622689095417</v>
      </c>
      <c r="AM141" s="80" t="n">
        <f aca="false">IF(Table9[[#This Row],[Vmin (%)]]&lt;$BA$14, 0, IF(Table9[[#This Row],[Vmin (%)]]&lt;$BA$12, 4, IF(Table9[[#This Row],[Vmin (%)]]&lt;$BA$9, 3, IF(Table9[[#This Row],[Vmin (%)]]&lt;$BA$7, 2, 0))))</f>
        <v>0</v>
      </c>
      <c r="AN141" s="80" t="n">
        <f aca="false">IF(Table9[[#This Row],[Vmin (%)]]&lt;$BA$13, 0, IF(Table9[[#This Row],[Vmin (%)]]&lt;$BA$11, 4, IF(Table9[[#This Row],[Vmin (%)]]&lt;$BA$10, 3, IF(Table9[[#This Row],[Vmin (%)]]&lt;$BA$8, 2, 0))))</f>
        <v>0</v>
      </c>
      <c r="AO141" s="217" t="str">
        <f aca="false">IF(Table9[[#This Row],[Vmin (%)]]&lt;$BA$14, "Hot", IF(Table9[[#This Row],[Vmin (%)]]&lt;$BA$12, "Warm", IF(Table9[[#This Row],[Vmin (%)]]&lt;$BA$9, "Normal", IF(Table9[[#This Row],[Vmin (%)]]&lt;$BA$7, "Cool", "Cold"))))</f>
        <v>Cold</v>
      </c>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row>
    <row r="142" customFormat="false" ht="16.4" hidden="false" customHeight="false" outlineLevel="0" collapsed="false">
      <c r="A142" s="218" t="n">
        <f aca="false">A141-1</f>
        <v>-12</v>
      </c>
      <c r="B142" s="191"/>
      <c r="C142" s="219" t="str">
        <f aca="false">_xlfn.CONCAT("RTH at ",A142, " °C")</f>
        <v>RTH at -12 °C</v>
      </c>
      <c r="D142" s="220" t="n">
        <f aca="false">$D$105+(ROW(D142)-ROW($D$105))*($D$180-$D$105)/(ROW($D$180)-ROW($D$105))</f>
        <v>2.60333333333333</v>
      </c>
      <c r="E142" s="221" t="n">
        <v>45.32</v>
      </c>
      <c r="F142" s="222" t="n">
        <v>46.5</v>
      </c>
      <c r="G142" s="223" t="n">
        <v>47.69</v>
      </c>
      <c r="H142" s="57" t="s">
        <v>18</v>
      </c>
      <c r="I142" s="24"/>
      <c r="J142" s="24" t="n">
        <v>47.69</v>
      </c>
      <c r="K142" s="24" t="n">
        <v>46.5</v>
      </c>
      <c r="L142" s="24" t="n">
        <v>45.32</v>
      </c>
      <c r="M142" s="24"/>
      <c r="N142" s="24"/>
      <c r="O142" s="24"/>
      <c r="P142" s="24"/>
      <c r="Q142" s="24"/>
      <c r="R142" s="24"/>
      <c r="S142" s="24"/>
      <c r="T142" s="24"/>
      <c r="U142" s="24"/>
      <c r="V142" s="24"/>
      <c r="W142" s="24"/>
      <c r="X142" s="24"/>
      <c r="Y142" s="25"/>
      <c r="Z142" s="6"/>
      <c r="AA142" s="7"/>
      <c r="AB142" s="7"/>
      <c r="AC142" s="80" t="n">
        <f aca="false">A142</f>
        <v>-12</v>
      </c>
      <c r="AD142" s="80" t="n">
        <f aca="false">E142</f>
        <v>45.32</v>
      </c>
      <c r="AE142" s="80" t="n">
        <f aca="false">F142</f>
        <v>46.5</v>
      </c>
      <c r="AF142" s="80" t="n">
        <f aca="false">G142</f>
        <v>47.69</v>
      </c>
      <c r="AG142" s="80" t="n">
        <f aca="false">Table9[[#This Row],[RTH(min) (kΩ)]]*RT2_TH_MIN/(RT2_TH_MIN+Table9[[#This Row],[RTH(min) (kΩ)]])</f>
        <v>18.2217938598877</v>
      </c>
      <c r="AH142" s="80" t="n">
        <f aca="false">Table9[[#This Row],[RTH(nom) (kΩ)]]*RT2_TH_S/(RT2_TH_S+Table9[[#This Row],[RTH(nom) (kΩ)]])</f>
        <v>18.4207562025333</v>
      </c>
      <c r="AI142" s="80" t="n">
        <f aca="false">Table9[[#This Row],[RTH(max) (kΩ)]]*RT2_TH_S_MAX/(RT2_TH_S_MAX+Table9[[#This Row],[RTH(max) (kΩ)]])</f>
        <v>18.6160044652164</v>
      </c>
      <c r="AJ142" s="80" t="n">
        <f aca="false">Table9[[#This Row],[RLower(min) (kΩ)]]/(Table9[[#This Row],[RLower(min) (kΩ)]]+RT1_TH_S_MAX)*100</f>
        <v>77.6716959959624</v>
      </c>
      <c r="AK142" s="80" t="n">
        <f aca="false">Table9[[#This Row],[RLower(nom) (kΩ)]]/(Table9[[#This Row],[RLower(nom) (kΩ)]]+RT1_TH_S)*100</f>
        <v>77.8766929842973</v>
      </c>
      <c r="AL142" s="80" t="n">
        <f aca="false">Table9[[#This Row],[RLower(max) (kΩ)]]/(Table9[[#This Row],[RLower(max) (kΩ)]]+RT1_TH_S_MIN)*100</f>
        <v>78.0749446352515</v>
      </c>
      <c r="AM142" s="80" t="n">
        <f aca="false">IF(Table9[[#This Row],[Vmin (%)]]&lt;$BA$14, 0, IF(Table9[[#This Row],[Vmin (%)]]&lt;$BA$12, 4, IF(Table9[[#This Row],[Vmin (%)]]&lt;$BA$9, 3, IF(Table9[[#This Row],[Vmin (%)]]&lt;$BA$7, 2, 0))))</f>
        <v>0</v>
      </c>
      <c r="AN142" s="80" t="n">
        <f aca="false">IF(Table9[[#This Row],[Vmin (%)]]&lt;$BA$13, 0, IF(Table9[[#This Row],[Vmin (%)]]&lt;$BA$11, 4, IF(Table9[[#This Row],[Vmin (%)]]&lt;$BA$10, 3, IF(Table9[[#This Row],[Vmin (%)]]&lt;$BA$8, 2, 0))))</f>
        <v>0</v>
      </c>
      <c r="AO142" s="217" t="str">
        <f aca="false">IF(Table9[[#This Row],[Vmin (%)]]&lt;$BA$14, "Hot", IF(Table9[[#This Row],[Vmin (%)]]&lt;$BA$12, "Warm", IF(Table9[[#This Row],[Vmin (%)]]&lt;$BA$9, "Normal", IF(Table9[[#This Row],[Vmin (%)]]&lt;$BA$7, "Cool", "Cold"))))</f>
        <v>Cold</v>
      </c>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c r="GZ142" s="7"/>
      <c r="HA142" s="7"/>
      <c r="HB142" s="7"/>
    </row>
    <row r="143" customFormat="false" ht="16.4" hidden="false" customHeight="false" outlineLevel="0" collapsed="false">
      <c r="A143" s="218" t="n">
        <f aca="false">A142-1</f>
        <v>-13</v>
      </c>
      <c r="B143" s="191"/>
      <c r="C143" s="219" t="str">
        <f aca="false">_xlfn.CONCAT("RTH at ",A143, " °C")</f>
        <v>RTH at -13 °C</v>
      </c>
      <c r="D143" s="220" t="n">
        <f aca="false">$D$105+(ROW(D143)-ROW($D$105))*($D$180-$D$105)/(ROW($D$180)-ROW($D$105))</f>
        <v>2.64666666666667</v>
      </c>
      <c r="E143" s="221" t="n">
        <v>47.43</v>
      </c>
      <c r="F143" s="222" t="n">
        <v>48.68</v>
      </c>
      <c r="G143" s="223" t="n">
        <v>49.95</v>
      </c>
      <c r="H143" s="57" t="s">
        <v>18</v>
      </c>
      <c r="I143" s="24"/>
      <c r="J143" s="24" t="n">
        <v>49.95</v>
      </c>
      <c r="K143" s="24" t="n">
        <v>48.68</v>
      </c>
      <c r="L143" s="24" t="n">
        <v>47.43</v>
      </c>
      <c r="M143" s="24"/>
      <c r="N143" s="24"/>
      <c r="O143" s="24"/>
      <c r="P143" s="24"/>
      <c r="Q143" s="24"/>
      <c r="R143" s="24"/>
      <c r="S143" s="24"/>
      <c r="T143" s="24"/>
      <c r="U143" s="24"/>
      <c r="V143" s="24"/>
      <c r="W143" s="24"/>
      <c r="X143" s="24"/>
      <c r="Y143" s="25"/>
      <c r="Z143" s="6"/>
      <c r="AA143" s="7"/>
      <c r="AB143" s="7"/>
      <c r="AC143" s="80" t="n">
        <f aca="false">A143</f>
        <v>-13</v>
      </c>
      <c r="AD143" s="80" t="n">
        <f aca="false">E143</f>
        <v>47.43</v>
      </c>
      <c r="AE143" s="80" t="n">
        <f aca="false">F143</f>
        <v>48.68</v>
      </c>
      <c r="AF143" s="80" t="n">
        <f aca="false">G143</f>
        <v>49.95</v>
      </c>
      <c r="AG143" s="80" t="n">
        <f aca="false">Table9[[#This Row],[RTH(min) (kΩ)]]*RT2_TH_MIN/(RT2_TH_MIN+Table9[[#This Row],[RTH(min) (kΩ)]])</f>
        <v>18.5536578278988</v>
      </c>
      <c r="AH143" s="80" t="n">
        <f aca="false">Table9[[#This Row],[RTH(nom) (kΩ)]]*RT2_TH_S/(RT2_TH_S+Table9[[#This Row],[RTH(nom) (kΩ)]])</f>
        <v>18.7534475796601</v>
      </c>
      <c r="AI143" s="80" t="n">
        <f aca="false">Table9[[#This Row],[RTH(max) (kΩ)]]*RT2_TH_S_MAX/(RT2_TH_S_MAX+Table9[[#This Row],[RTH(max) (kΩ)]])</f>
        <v>18.9507058343202</v>
      </c>
      <c r="AJ143" s="80" t="n">
        <f aca="false">Table9[[#This Row],[RLower(min) (kΩ)]]/(Table9[[#This Row],[RLower(min) (kΩ)]]+RT1_TH_S_MAX)*100</f>
        <v>77.9831450682287</v>
      </c>
      <c r="AK143" s="80" t="n">
        <f aca="false">Table9[[#This Row],[RLower(nom) (kΩ)]]/(Table9[[#This Row],[RLower(nom) (kΩ)]]+RT1_TH_S)*100</f>
        <v>78.1835427656085</v>
      </c>
      <c r="AL143" s="80" t="n">
        <f aca="false">Table9[[#This Row],[RLower(max) (kΩ)]]/(Table9[[#This Row],[RLower(max) (kΩ)]]+RT1_TH_S_MIN)*100</f>
        <v>78.3784521720122</v>
      </c>
      <c r="AM143" s="80" t="n">
        <f aca="false">IF(Table9[[#This Row],[Vmin (%)]]&lt;$BA$14, 0, IF(Table9[[#This Row],[Vmin (%)]]&lt;$BA$12, 4, IF(Table9[[#This Row],[Vmin (%)]]&lt;$BA$9, 3, IF(Table9[[#This Row],[Vmin (%)]]&lt;$BA$7, 2, 0))))</f>
        <v>0</v>
      </c>
      <c r="AN143" s="80" t="n">
        <f aca="false">IF(Table9[[#This Row],[Vmin (%)]]&lt;$BA$13, 0, IF(Table9[[#This Row],[Vmin (%)]]&lt;$BA$11, 4, IF(Table9[[#This Row],[Vmin (%)]]&lt;$BA$10, 3, IF(Table9[[#This Row],[Vmin (%)]]&lt;$BA$8, 2, 0))))</f>
        <v>0</v>
      </c>
      <c r="AO143" s="217" t="str">
        <f aca="false">IF(Table9[[#This Row],[Vmin (%)]]&lt;$BA$14, "Hot", IF(Table9[[#This Row],[Vmin (%)]]&lt;$BA$12, "Warm", IF(Table9[[#This Row],[Vmin (%)]]&lt;$BA$9, "Normal", IF(Table9[[#This Row],[Vmin (%)]]&lt;$BA$7, "Cool", "Cold"))))</f>
        <v>Cold</v>
      </c>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row>
    <row r="144" customFormat="false" ht="16.4" hidden="false" customHeight="false" outlineLevel="0" collapsed="false">
      <c r="A144" s="218" t="n">
        <f aca="false">A143-1</f>
        <v>-14</v>
      </c>
      <c r="B144" s="191"/>
      <c r="C144" s="219" t="str">
        <f aca="false">_xlfn.CONCAT("RTH at ",A144, " °C")</f>
        <v>RTH at -14 °C</v>
      </c>
      <c r="D144" s="220" t="n">
        <f aca="false">$D$105+(ROW(D144)-ROW($D$105))*($D$180-$D$105)/(ROW($D$180)-ROW($D$105))</f>
        <v>2.69</v>
      </c>
      <c r="E144" s="221" t="n">
        <v>49.65</v>
      </c>
      <c r="F144" s="222" t="n">
        <v>50.98</v>
      </c>
      <c r="G144" s="223" t="n">
        <v>52.33</v>
      </c>
      <c r="H144" s="57" t="s">
        <v>18</v>
      </c>
      <c r="I144" s="24"/>
      <c r="J144" s="24" t="n">
        <v>52.33</v>
      </c>
      <c r="K144" s="24" t="n">
        <v>50.98</v>
      </c>
      <c r="L144" s="24" t="n">
        <v>49.65</v>
      </c>
      <c r="M144" s="24"/>
      <c r="N144" s="24"/>
      <c r="O144" s="24"/>
      <c r="P144" s="24"/>
      <c r="Q144" s="24"/>
      <c r="R144" s="24"/>
      <c r="S144" s="24"/>
      <c r="T144" s="24"/>
      <c r="U144" s="24"/>
      <c r="V144" s="24"/>
      <c r="W144" s="24"/>
      <c r="X144" s="24"/>
      <c r="Y144" s="25"/>
      <c r="Z144" s="6"/>
      <c r="AA144" s="7"/>
      <c r="AB144" s="7"/>
      <c r="AC144" s="80" t="n">
        <f aca="false">A144</f>
        <v>-14</v>
      </c>
      <c r="AD144" s="80" t="n">
        <f aca="false">E144</f>
        <v>49.65</v>
      </c>
      <c r="AE144" s="80" t="n">
        <f aca="false">F144</f>
        <v>50.98</v>
      </c>
      <c r="AF144" s="80" t="n">
        <f aca="false">G144</f>
        <v>52.33</v>
      </c>
      <c r="AG144" s="80" t="n">
        <f aca="false">Table9[[#This Row],[RTH(min) (kΩ)]]*RT2_TH_MIN/(RT2_TH_MIN+Table9[[#This Row],[RTH(min) (kΩ)]])</f>
        <v>18.8839536386688</v>
      </c>
      <c r="AH144" s="80" t="n">
        <f aca="false">Table9[[#This Row],[RTH(nom) (kΩ)]]*RT2_TH_S/(RT2_TH_S+Table9[[#This Row],[RTH(nom) (kΩ)]])</f>
        <v>19.085154268364</v>
      </c>
      <c r="AI144" s="80" t="n">
        <f aca="false">Table9[[#This Row],[RTH(max) (kΩ)]]*RT2_TH_S_MAX/(RT2_TH_S_MAX+Table9[[#This Row],[RTH(max) (kΩ)]])</f>
        <v>19.283442520985</v>
      </c>
      <c r="AJ144" s="80" t="n">
        <f aca="false">Table9[[#This Row],[RLower(min) (kΩ)]]/(Table9[[#This Row],[RLower(min) (kΩ)]]+RT1_TH_S_MAX)*100</f>
        <v>78.2846134935772</v>
      </c>
      <c r="AK144" s="80" t="n">
        <f aca="false">Table9[[#This Row],[RLower(nom) (kΩ)]]/(Table9[[#This Row],[RLower(nom) (kΩ)]]+RT1_TH_S)*100</f>
        <v>78.4811256883569</v>
      </c>
      <c r="AL144" s="80" t="n">
        <f aca="false">Table9[[#This Row],[RLower(max) (kΩ)]]/(Table9[[#This Row],[RLower(max) (kΩ)]]+RT1_TH_S_MIN)*100</f>
        <v>78.6719621587222</v>
      </c>
      <c r="AM144" s="80" t="n">
        <f aca="false">IF(Table9[[#This Row],[Vmin (%)]]&lt;$BA$14, 0, IF(Table9[[#This Row],[Vmin (%)]]&lt;$BA$12, 4, IF(Table9[[#This Row],[Vmin (%)]]&lt;$BA$9, 3, IF(Table9[[#This Row],[Vmin (%)]]&lt;$BA$7, 2, 0))))</f>
        <v>0</v>
      </c>
      <c r="AN144" s="80" t="n">
        <f aca="false">IF(Table9[[#This Row],[Vmin (%)]]&lt;$BA$13, 0, IF(Table9[[#This Row],[Vmin (%)]]&lt;$BA$11, 4, IF(Table9[[#This Row],[Vmin (%)]]&lt;$BA$10, 3, IF(Table9[[#This Row],[Vmin (%)]]&lt;$BA$8, 2, 0))))</f>
        <v>0</v>
      </c>
      <c r="AO144" s="217" t="str">
        <f aca="false">IF(Table9[[#This Row],[Vmin (%)]]&lt;$BA$14, "Hot", IF(Table9[[#This Row],[Vmin (%)]]&lt;$BA$12, "Warm", IF(Table9[[#This Row],[Vmin (%)]]&lt;$BA$9, "Normal", IF(Table9[[#This Row],[Vmin (%)]]&lt;$BA$7, "Cool", "Cold"))))</f>
        <v>Cold</v>
      </c>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A144" s="7"/>
      <c r="HB144" s="7"/>
    </row>
    <row r="145" customFormat="false" ht="16.4" hidden="false" customHeight="false" outlineLevel="0" collapsed="false">
      <c r="A145" s="218" t="n">
        <f aca="false">A144-1</f>
        <v>-15</v>
      </c>
      <c r="B145" s="191"/>
      <c r="C145" s="219" t="str">
        <f aca="false">_xlfn.CONCAT("RTH at ",A145, " °C")</f>
        <v>RTH at -15 °C</v>
      </c>
      <c r="D145" s="220" t="n">
        <f aca="false">$D$105+(ROW(D145)-ROW($D$105))*($D$180-$D$105)/(ROW($D$180)-ROW($D$105))</f>
        <v>2.73333333333333</v>
      </c>
      <c r="E145" s="221" t="n">
        <v>51.99</v>
      </c>
      <c r="F145" s="222" t="n">
        <v>53.41</v>
      </c>
      <c r="G145" s="223" t="n">
        <v>54.85</v>
      </c>
      <c r="H145" s="57" t="s">
        <v>18</v>
      </c>
      <c r="I145" s="24"/>
      <c r="J145" s="24" t="n">
        <v>54.85</v>
      </c>
      <c r="K145" s="24" t="n">
        <v>53.41</v>
      </c>
      <c r="L145" s="24" t="n">
        <v>51.99</v>
      </c>
      <c r="M145" s="24"/>
      <c r="N145" s="24"/>
      <c r="O145" s="24"/>
      <c r="P145" s="24"/>
      <c r="Q145" s="24"/>
      <c r="R145" s="24"/>
      <c r="S145" s="24"/>
      <c r="T145" s="24"/>
      <c r="U145" s="24"/>
      <c r="V145" s="24"/>
      <c r="W145" s="24"/>
      <c r="X145" s="24"/>
      <c r="Y145" s="25"/>
      <c r="Z145" s="6"/>
      <c r="AA145" s="7"/>
      <c r="AB145" s="7"/>
      <c r="AC145" s="80" t="n">
        <f aca="false">A145</f>
        <v>-15</v>
      </c>
      <c r="AD145" s="80" t="n">
        <f aca="false">E145</f>
        <v>51.99</v>
      </c>
      <c r="AE145" s="80" t="n">
        <f aca="false">F145</f>
        <v>53.41</v>
      </c>
      <c r="AF145" s="80" t="n">
        <f aca="false">G145</f>
        <v>54.85</v>
      </c>
      <c r="AG145" s="80" t="n">
        <f aca="false">Table9[[#This Row],[RTH(min) (kΩ)]]*RT2_TH_MIN/(RT2_TH_MIN+Table9[[#This Row],[RTH(min) (kΩ)]])</f>
        <v>19.2128518769502</v>
      </c>
      <c r="AH145" s="80" t="n">
        <f aca="false">Table9[[#This Row],[RTH(nom) (kΩ)]]*RT2_TH_S/(RT2_TH_S+Table9[[#This Row],[RTH(nom) (kΩ)]])</f>
        <v>19.4158556999061</v>
      </c>
      <c r="AI145" s="80" t="n">
        <f aca="false">Table9[[#This Row],[RTH(max) (kΩ)]]*RT2_TH_S_MAX/(RT2_TH_S_MAX+Table9[[#This Row],[RTH(max) (kΩ)]])</f>
        <v>19.6155341127702</v>
      </c>
      <c r="AJ145" s="80" t="n">
        <f aca="false">Table9[[#This Row],[RLower(min) (kΩ)]]/(Table9[[#This Row],[RLower(min) (kΩ)]]+RT1_TH_S_MAX)*100</f>
        <v>78.5767132098108</v>
      </c>
      <c r="AK145" s="80" t="n">
        <f aca="false">Table9[[#This Row],[RLower(nom) (kΩ)]]/(Table9[[#This Row],[RLower(nom) (kΩ)]]+RT1_TH_S)*100</f>
        <v>78.7698338208017</v>
      </c>
      <c r="AL145" s="80" t="n">
        <f aca="false">Table9[[#This Row],[RLower(max) (kΩ)]]/(Table9[[#This Row],[RLower(max) (kΩ)]]+RT1_TH_S_MIN)*100</f>
        <v>78.9570637450913</v>
      </c>
      <c r="AM145" s="80" t="n">
        <f aca="false">IF(Table9[[#This Row],[Vmin (%)]]&lt;$BA$14, 0, IF(Table9[[#This Row],[Vmin (%)]]&lt;$BA$12, 4, IF(Table9[[#This Row],[Vmin (%)]]&lt;$BA$9, 3, IF(Table9[[#This Row],[Vmin (%)]]&lt;$BA$7, 2, 0))))</f>
        <v>0</v>
      </c>
      <c r="AN145" s="80" t="n">
        <f aca="false">IF(Table9[[#This Row],[Vmin (%)]]&lt;$BA$13, 0, IF(Table9[[#This Row],[Vmin (%)]]&lt;$BA$11, 4, IF(Table9[[#This Row],[Vmin (%)]]&lt;$BA$10, 3, IF(Table9[[#This Row],[Vmin (%)]]&lt;$BA$8, 2, 0))))</f>
        <v>0</v>
      </c>
      <c r="AO145" s="217" t="str">
        <f aca="false">IF(Table9[[#This Row],[Vmin (%)]]&lt;$BA$14, "Hot", IF(Table9[[#This Row],[Vmin (%)]]&lt;$BA$12, "Warm", IF(Table9[[#This Row],[Vmin (%)]]&lt;$BA$9, "Normal", IF(Table9[[#This Row],[Vmin (%)]]&lt;$BA$7, "Cool", "Cold"))))</f>
        <v>Cold</v>
      </c>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c r="HB145" s="7"/>
    </row>
    <row r="146" customFormat="false" ht="16.4" hidden="false" customHeight="false" outlineLevel="0" collapsed="false">
      <c r="A146" s="218" t="n">
        <f aca="false">A145-1</f>
        <v>-16</v>
      </c>
      <c r="B146" s="191"/>
      <c r="C146" s="219" t="str">
        <f aca="false">_xlfn.CONCAT("RTH at ",A146, " °C")</f>
        <v>RTH at -16 °C</v>
      </c>
      <c r="D146" s="220" t="n">
        <f aca="false">$D$105+(ROW(D146)-ROW($D$105))*($D$180-$D$105)/(ROW($D$180)-ROW($D$105))</f>
        <v>2.77666666666667</v>
      </c>
      <c r="E146" s="221" t="n">
        <v>54.46</v>
      </c>
      <c r="F146" s="222" t="n">
        <v>55.97</v>
      </c>
      <c r="G146" s="223" t="n">
        <v>57.51</v>
      </c>
      <c r="H146" s="57" t="s">
        <v>18</v>
      </c>
      <c r="I146" s="24"/>
      <c r="J146" s="24" t="n">
        <v>57.51</v>
      </c>
      <c r="K146" s="24" t="n">
        <v>55.97</v>
      </c>
      <c r="L146" s="24" t="n">
        <v>54.46</v>
      </c>
      <c r="M146" s="24"/>
      <c r="N146" s="24"/>
      <c r="O146" s="24"/>
      <c r="P146" s="24"/>
      <c r="Q146" s="24"/>
      <c r="R146" s="24"/>
      <c r="S146" s="24"/>
      <c r="T146" s="24"/>
      <c r="U146" s="24"/>
      <c r="V146" s="24"/>
      <c r="W146" s="24"/>
      <c r="X146" s="24"/>
      <c r="Y146" s="25"/>
      <c r="Z146" s="6"/>
      <c r="AA146" s="7"/>
      <c r="AB146" s="7"/>
      <c r="AC146" s="80" t="n">
        <f aca="false">A146</f>
        <v>-16</v>
      </c>
      <c r="AD146" s="80" t="n">
        <f aca="false">E146</f>
        <v>54.46</v>
      </c>
      <c r="AE146" s="80" t="n">
        <f aca="false">F146</f>
        <v>55.97</v>
      </c>
      <c r="AF146" s="80" t="n">
        <f aca="false">G146</f>
        <v>57.51</v>
      </c>
      <c r="AG146" s="80" t="n">
        <f aca="false">Table9[[#This Row],[RTH(min) (kΩ)]]*RT2_TH_MIN/(RT2_TH_MIN+Table9[[#This Row],[RTH(min) (kΩ)]])</f>
        <v>19.5403613942871</v>
      </c>
      <c r="AH146" s="80" t="n">
        <f aca="false">Table9[[#This Row],[RTH(nom) (kΩ)]]*RT2_TH_S/(RT2_TH_S+Table9[[#This Row],[RTH(nom) (kΩ)]])</f>
        <v>19.7441451689812</v>
      </c>
      <c r="AI146" s="80" t="n">
        <f aca="false">Table9[[#This Row],[RTH(max) (kΩ)]]*RT2_TH_S_MAX/(RT2_TH_S_MAX+Table9[[#This Row],[RTH(max) (kΩ)]])</f>
        <v>19.9454518419724</v>
      </c>
      <c r="AJ146" s="80" t="n">
        <f aca="false">Table9[[#This Row],[RLower(min) (kΩ)]]/(Table9[[#This Row],[RLower(min) (kΩ)]]+RT1_TH_S_MAX)*100</f>
        <v>78.8598742606017</v>
      </c>
      <c r="AK146" s="80" t="n">
        <f aca="false">Table9[[#This Row],[RLower(nom) (kΩ)]]/(Table9[[#This Row],[RLower(nom) (kΩ)]]+RT1_TH_S)*100</f>
        <v>79.0488746161605</v>
      </c>
      <c r="AL146" s="80" t="n">
        <f aca="false">Table9[[#This Row],[RLower(max) (kΩ)]]/(Table9[[#This Row],[RLower(max) (kΩ)]]+RT1_TH_S_MIN)*100</f>
        <v>79.2328504940048</v>
      </c>
      <c r="AM146" s="80" t="n">
        <f aca="false">IF(Table9[[#This Row],[Vmin (%)]]&lt;$BA$14, 0, IF(Table9[[#This Row],[Vmin (%)]]&lt;$BA$12, 4, IF(Table9[[#This Row],[Vmin (%)]]&lt;$BA$9, 3, IF(Table9[[#This Row],[Vmin (%)]]&lt;$BA$7, 2, 0))))</f>
        <v>0</v>
      </c>
      <c r="AN146" s="80" t="n">
        <f aca="false">IF(Table9[[#This Row],[Vmin (%)]]&lt;$BA$13, 0, IF(Table9[[#This Row],[Vmin (%)]]&lt;$BA$11, 4, IF(Table9[[#This Row],[Vmin (%)]]&lt;$BA$10, 3, IF(Table9[[#This Row],[Vmin (%)]]&lt;$BA$8, 2, 0))))</f>
        <v>0</v>
      </c>
      <c r="AO146" s="217" t="str">
        <f aca="false">IF(Table9[[#This Row],[Vmin (%)]]&lt;$BA$14, "Hot", IF(Table9[[#This Row],[Vmin (%)]]&lt;$BA$12, "Warm", IF(Table9[[#This Row],[Vmin (%)]]&lt;$BA$9, "Normal", IF(Table9[[#This Row],[Vmin (%)]]&lt;$BA$7, "Cool", "Cold"))))</f>
        <v>Cold</v>
      </c>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c r="GZ146" s="7"/>
      <c r="HA146" s="7"/>
      <c r="HB146" s="7"/>
    </row>
    <row r="147" customFormat="false" ht="16.4" hidden="false" customHeight="false" outlineLevel="0" collapsed="false">
      <c r="A147" s="218" t="n">
        <f aca="false">A146-1</f>
        <v>-17</v>
      </c>
      <c r="B147" s="191"/>
      <c r="C147" s="219" t="str">
        <f aca="false">_xlfn.CONCAT("RTH at ",A147, " °C")</f>
        <v>RTH at -17 °C</v>
      </c>
      <c r="D147" s="220" t="n">
        <f aca="false">$D$105+(ROW(D147)-ROW($D$105))*($D$180-$D$105)/(ROW($D$180)-ROW($D$105))</f>
        <v>2.82</v>
      </c>
      <c r="E147" s="221" t="n">
        <v>57.07</v>
      </c>
      <c r="F147" s="222" t="n">
        <v>58.68</v>
      </c>
      <c r="G147" s="223" t="n">
        <v>60.32</v>
      </c>
      <c r="H147" s="57" t="s">
        <v>18</v>
      </c>
      <c r="I147" s="24"/>
      <c r="J147" s="24" t="n">
        <v>60.32</v>
      </c>
      <c r="K147" s="24" t="n">
        <v>58.68</v>
      </c>
      <c r="L147" s="24" t="n">
        <v>57.07</v>
      </c>
      <c r="M147" s="24"/>
      <c r="N147" s="24"/>
      <c r="O147" s="24"/>
      <c r="P147" s="24"/>
      <c r="Q147" s="24"/>
      <c r="R147" s="24"/>
      <c r="S147" s="24"/>
      <c r="T147" s="24"/>
      <c r="U147" s="24"/>
      <c r="V147" s="24"/>
      <c r="W147" s="24"/>
      <c r="X147" s="24"/>
      <c r="Y147" s="25"/>
      <c r="Z147" s="6"/>
      <c r="AA147" s="7"/>
      <c r="AB147" s="7"/>
      <c r="AC147" s="80" t="n">
        <f aca="false">A147</f>
        <v>-17</v>
      </c>
      <c r="AD147" s="80" t="n">
        <f aca="false">E147</f>
        <v>57.07</v>
      </c>
      <c r="AE147" s="80" t="n">
        <f aca="false">F147</f>
        <v>58.68</v>
      </c>
      <c r="AF147" s="80" t="n">
        <f aca="false">G147</f>
        <v>60.32</v>
      </c>
      <c r="AG147" s="80" t="n">
        <f aca="false">Table9[[#This Row],[RTH(min) (kΩ)]]*RT2_TH_MIN/(RT2_TH_MIN+Table9[[#This Row],[RTH(min) (kΩ)]])</f>
        <v>19.8663524813347</v>
      </c>
      <c r="AH147" s="80" t="n">
        <f aca="false">Table9[[#This Row],[RTH(nom) (kΩ)]]*RT2_TH_S/(RT2_TH_S+Table9[[#This Row],[RTH(nom) (kΩ)]])</f>
        <v>20.0711349230876</v>
      </c>
      <c r="AI147" s="80" t="n">
        <f aca="false">Table9[[#This Row],[RTH(max) (kΩ)]]*RT2_TH_S_MAX/(RT2_TH_S_MAX+Table9[[#This Row],[RTH(max) (kΩ)]])</f>
        <v>20.2729910750806</v>
      </c>
      <c r="AJ147" s="80" t="n">
        <f aca="false">Table9[[#This Row],[RLower(min) (kΩ)]]/(Table9[[#This Row],[RLower(min) (kΩ)]]+RT1_TH_S_MAX)*100</f>
        <v>79.1343856644233</v>
      </c>
      <c r="AK147" s="80" t="n">
        <f aca="false">Table9[[#This Row],[RLower(nom) (kΩ)]]/(Table9[[#This Row],[RLower(nom) (kΩ)]]+RT1_TH_S)*100</f>
        <v>79.3196132031636</v>
      </c>
      <c r="AL147" s="80" t="n">
        <f aca="false">Table9[[#This Row],[RLower(max) (kΩ)]]/(Table9[[#This Row],[RLower(max) (kΩ)]]+RT1_TH_S_MIN)*100</f>
        <v>79.4995899596373</v>
      </c>
      <c r="AM147" s="80" t="n">
        <f aca="false">IF(Table9[[#This Row],[Vmin (%)]]&lt;$BA$14, 0, IF(Table9[[#This Row],[Vmin (%)]]&lt;$BA$12, 4, IF(Table9[[#This Row],[Vmin (%)]]&lt;$BA$9, 3, IF(Table9[[#This Row],[Vmin (%)]]&lt;$BA$7, 2, 0))))</f>
        <v>0</v>
      </c>
      <c r="AN147" s="80" t="n">
        <f aca="false">IF(Table9[[#This Row],[Vmin (%)]]&lt;$BA$13, 0, IF(Table9[[#This Row],[Vmin (%)]]&lt;$BA$11, 4, IF(Table9[[#This Row],[Vmin (%)]]&lt;$BA$10, 3, IF(Table9[[#This Row],[Vmin (%)]]&lt;$BA$8, 2, 0))))</f>
        <v>0</v>
      </c>
      <c r="AO147" s="217" t="str">
        <f aca="false">IF(Table9[[#This Row],[Vmin (%)]]&lt;$BA$14, "Hot", IF(Table9[[#This Row],[Vmin (%)]]&lt;$BA$12, "Warm", IF(Table9[[#This Row],[Vmin (%)]]&lt;$BA$9, "Normal", IF(Table9[[#This Row],[Vmin (%)]]&lt;$BA$7, "Cool", "Cold"))))</f>
        <v>Cold</v>
      </c>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row>
    <row r="148" customFormat="false" ht="16.4" hidden="false" customHeight="false" outlineLevel="0" collapsed="false">
      <c r="A148" s="218" t="n">
        <f aca="false">A147-1</f>
        <v>-18</v>
      </c>
      <c r="B148" s="191"/>
      <c r="C148" s="219" t="str">
        <f aca="false">_xlfn.CONCAT("RTH at ",A148, " °C")</f>
        <v>RTH at -18 °C</v>
      </c>
      <c r="D148" s="220" t="n">
        <f aca="false">$D$105+(ROW(D148)-ROW($D$105))*($D$180-$D$105)/(ROW($D$180)-ROW($D$105))</f>
        <v>2.86333333333333</v>
      </c>
      <c r="E148" s="221" t="n">
        <v>59.83</v>
      </c>
      <c r="F148" s="222" t="n">
        <v>61.54</v>
      </c>
      <c r="G148" s="223" t="n">
        <v>63.3</v>
      </c>
      <c r="H148" s="57" t="s">
        <v>18</v>
      </c>
      <c r="I148" s="24"/>
      <c r="J148" s="24" t="n">
        <v>63.3</v>
      </c>
      <c r="K148" s="24" t="n">
        <v>61.54</v>
      </c>
      <c r="L148" s="24" t="n">
        <v>59.83</v>
      </c>
      <c r="M148" s="24"/>
      <c r="N148" s="24"/>
      <c r="O148" s="24"/>
      <c r="P148" s="24"/>
      <c r="Q148" s="24"/>
      <c r="R148" s="24"/>
      <c r="S148" s="24"/>
      <c r="T148" s="24"/>
      <c r="U148" s="24"/>
      <c r="V148" s="24"/>
      <c r="W148" s="24"/>
      <c r="X148" s="24"/>
      <c r="Y148" s="25"/>
      <c r="Z148" s="6"/>
      <c r="AA148" s="7"/>
      <c r="AB148" s="7"/>
      <c r="AC148" s="80" t="n">
        <f aca="false">A148</f>
        <v>-18</v>
      </c>
      <c r="AD148" s="80" t="n">
        <f aca="false">E148</f>
        <v>59.83</v>
      </c>
      <c r="AE148" s="80" t="n">
        <f aca="false">F148</f>
        <v>61.54</v>
      </c>
      <c r="AF148" s="80" t="n">
        <f aca="false">G148</f>
        <v>63.3</v>
      </c>
      <c r="AG148" s="80" t="n">
        <f aca="false">Table9[[#This Row],[RTH(min) (kΩ)]]*RT2_TH_MIN/(RT2_TH_MIN+Table9[[#This Row],[RTH(min) (kΩ)]])</f>
        <v>20.1905794427476</v>
      </c>
      <c r="AH148" s="80" t="n">
        <f aca="false">Table9[[#This Row],[RTH(nom) (kΩ)]]*RT2_TH_S/(RT2_TH_S+Table9[[#This Row],[RTH(nom) (kΩ)]])</f>
        <v>20.3953411413463</v>
      </c>
      <c r="AI148" s="80" t="n">
        <f aca="false">Table9[[#This Row],[RTH(max) (kΩ)]]*RT2_TH_S_MAX/(RT2_TH_S_MAX+Table9[[#This Row],[RTH(max) (kΩ)]])</f>
        <v>20.5989128300283</v>
      </c>
      <c r="AJ148" s="80" t="n">
        <f aca="false">Table9[[#This Row],[RLower(min) (kΩ)]]/(Table9[[#This Row],[RLower(min) (kΩ)]]+RT1_TH_S_MAX)*100</f>
        <v>79.4004302194715</v>
      </c>
      <c r="AK148" s="80" t="n">
        <f aca="false">Table9[[#This Row],[RLower(nom) (kΩ)]]/(Table9[[#This Row],[RLower(nom) (kΩ)]]+RT1_TH_S)*100</f>
        <v>79.5812264021866</v>
      </c>
      <c r="AL148" s="80" t="n">
        <f aca="false">Table9[[#This Row],[RLower(max) (kΩ)]]/(Table9[[#This Row],[RLower(max) (kΩ)]]+RT1_TH_S_MIN)*100</f>
        <v>79.7582965355333</v>
      </c>
      <c r="AM148" s="80" t="n">
        <f aca="false">IF(Table9[[#This Row],[Vmin (%)]]&lt;$BA$14, 0, IF(Table9[[#This Row],[Vmin (%)]]&lt;$BA$12, 4, IF(Table9[[#This Row],[Vmin (%)]]&lt;$BA$9, 3, IF(Table9[[#This Row],[Vmin (%)]]&lt;$BA$7, 2, 0))))</f>
        <v>0</v>
      </c>
      <c r="AN148" s="80" t="n">
        <f aca="false">IF(Table9[[#This Row],[Vmin (%)]]&lt;$BA$13, 0, IF(Table9[[#This Row],[Vmin (%)]]&lt;$BA$11, 4, IF(Table9[[#This Row],[Vmin (%)]]&lt;$BA$10, 3, IF(Table9[[#This Row],[Vmin (%)]]&lt;$BA$8, 2, 0))))</f>
        <v>0</v>
      </c>
      <c r="AO148" s="217" t="str">
        <f aca="false">IF(Table9[[#This Row],[Vmin (%)]]&lt;$BA$14, "Hot", IF(Table9[[#This Row],[Vmin (%)]]&lt;$BA$12, "Warm", IF(Table9[[#This Row],[Vmin (%)]]&lt;$BA$9, "Normal", IF(Table9[[#This Row],[Vmin (%)]]&lt;$BA$7, "Cool", "Cold"))))</f>
        <v>Cold</v>
      </c>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row>
    <row r="149" customFormat="false" ht="16.4" hidden="false" customHeight="false" outlineLevel="0" collapsed="false">
      <c r="A149" s="218" t="n">
        <f aca="false">A148-1</f>
        <v>-19</v>
      </c>
      <c r="B149" s="191"/>
      <c r="C149" s="219" t="str">
        <f aca="false">_xlfn.CONCAT("RTH at ",A149, " °C")</f>
        <v>RTH at -19 °C</v>
      </c>
      <c r="D149" s="220" t="n">
        <f aca="false">$D$105+(ROW(D149)-ROW($D$105))*($D$180-$D$105)/(ROW($D$180)-ROW($D$105))</f>
        <v>2.90666666666667</v>
      </c>
      <c r="E149" s="221" t="n">
        <v>62.74</v>
      </c>
      <c r="F149" s="222" t="n">
        <v>64.57</v>
      </c>
      <c r="G149" s="223" t="n">
        <v>66.44</v>
      </c>
      <c r="H149" s="57" t="s">
        <v>18</v>
      </c>
      <c r="I149" s="24"/>
      <c r="J149" s="24" t="n">
        <v>66.44</v>
      </c>
      <c r="K149" s="24" t="n">
        <v>64.57</v>
      </c>
      <c r="L149" s="24" t="n">
        <v>62.74</v>
      </c>
      <c r="M149" s="24"/>
      <c r="N149" s="24"/>
      <c r="O149" s="24"/>
      <c r="P149" s="24"/>
      <c r="Q149" s="24"/>
      <c r="R149" s="24"/>
      <c r="S149" s="24"/>
      <c r="T149" s="24"/>
      <c r="U149" s="24"/>
      <c r="V149" s="24"/>
      <c r="W149" s="24"/>
      <c r="X149" s="24"/>
      <c r="Y149" s="25"/>
      <c r="Z149" s="6"/>
      <c r="AA149" s="7"/>
      <c r="AB149" s="7"/>
      <c r="AC149" s="80" t="n">
        <f aca="false">A149</f>
        <v>-19</v>
      </c>
      <c r="AD149" s="80" t="n">
        <f aca="false">E149</f>
        <v>62.74</v>
      </c>
      <c r="AE149" s="80" t="n">
        <f aca="false">F149</f>
        <v>64.57</v>
      </c>
      <c r="AF149" s="80" t="n">
        <f aca="false">G149</f>
        <v>66.44</v>
      </c>
      <c r="AG149" s="80" t="n">
        <f aca="false">Table9[[#This Row],[RTH(min) (kΩ)]]*RT2_TH_MIN/(RT2_TH_MIN+Table9[[#This Row],[RTH(min) (kΩ)]])</f>
        <v>20.5116337553135</v>
      </c>
      <c r="AH149" s="80" t="n">
        <f aca="false">Table9[[#This Row],[RTH(nom) (kΩ)]]*RT2_TH_S/(RT2_TH_S+Table9[[#This Row],[RTH(nom) (kΩ)]])</f>
        <v>20.7175396325879</v>
      </c>
      <c r="AI149" s="80" t="n">
        <f aca="false">Table9[[#This Row],[RTH(max) (kΩ)]]*RT2_TH_S_MAX/(RT2_TH_S_MAX+Table9[[#This Row],[RTH(max) (kΩ)]])</f>
        <v>20.9206609479443</v>
      </c>
      <c r="AJ149" s="80" t="n">
        <f aca="false">Table9[[#This Row],[RLower(min) (kΩ)]]/(Table9[[#This Row],[RLower(min) (kΩ)]]+RT1_TH_S_MAX)*100</f>
        <v>79.6572697229147</v>
      </c>
      <c r="AK149" s="80" t="n">
        <f aca="false">Table9[[#This Row],[RLower(nom) (kΩ)]]/(Table9[[#This Row],[RLower(nom) (kΩ)]]+RT1_TH_S)*100</f>
        <v>79.8347432994765</v>
      </c>
      <c r="AL149" s="80" t="n">
        <f aca="false">Table9[[#This Row],[RLower(max) (kΩ)]]/(Table9[[#This Row],[RLower(max) (kΩ)]]+RT1_TH_S_MIN)*100</f>
        <v>80.0073643651141</v>
      </c>
      <c r="AM149" s="80" t="n">
        <f aca="false">IF(Table9[[#This Row],[Vmin (%)]]&lt;$BA$14, 0, IF(Table9[[#This Row],[Vmin (%)]]&lt;$BA$12, 4, IF(Table9[[#This Row],[Vmin (%)]]&lt;$BA$9, 3, IF(Table9[[#This Row],[Vmin (%)]]&lt;$BA$7, 2, 0))))</f>
        <v>0</v>
      </c>
      <c r="AN149" s="80" t="n">
        <f aca="false">IF(Table9[[#This Row],[Vmin (%)]]&lt;$BA$13, 0, IF(Table9[[#This Row],[Vmin (%)]]&lt;$BA$11, 4, IF(Table9[[#This Row],[Vmin (%)]]&lt;$BA$10, 3, IF(Table9[[#This Row],[Vmin (%)]]&lt;$BA$8, 2, 0))))</f>
        <v>0</v>
      </c>
      <c r="AO149" s="217" t="str">
        <f aca="false">IF(Table9[[#This Row],[Vmin (%)]]&lt;$BA$14, "Hot", IF(Table9[[#This Row],[Vmin (%)]]&lt;$BA$12, "Warm", IF(Table9[[#This Row],[Vmin (%)]]&lt;$BA$9, "Normal", IF(Table9[[#This Row],[Vmin (%)]]&lt;$BA$7, "Cool", "Cold"))))</f>
        <v>Cold</v>
      </c>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row>
    <row r="150" customFormat="false" ht="16.4" hidden="false" customHeight="false" outlineLevel="0" collapsed="false">
      <c r="A150" s="218" t="n">
        <f aca="false">A149-1</f>
        <v>-20</v>
      </c>
      <c r="B150" s="191"/>
      <c r="C150" s="219" t="str">
        <f aca="false">_xlfn.CONCAT("RTH at ",A150, " °C")</f>
        <v>RTH at -20 °C</v>
      </c>
      <c r="D150" s="220" t="n">
        <f aca="false">$D$105+(ROW(D150)-ROW($D$105))*($D$180-$D$105)/(ROW($D$180)-ROW($D$105))</f>
        <v>2.95</v>
      </c>
      <c r="E150" s="221" t="n">
        <v>65.82</v>
      </c>
      <c r="F150" s="222" t="n">
        <v>67.77</v>
      </c>
      <c r="G150" s="223" t="n">
        <v>69.77</v>
      </c>
      <c r="H150" s="57" t="s">
        <v>18</v>
      </c>
      <c r="I150" s="24"/>
      <c r="J150" s="24" t="n">
        <v>69.77</v>
      </c>
      <c r="K150" s="24" t="n">
        <v>67.77</v>
      </c>
      <c r="L150" s="24" t="n">
        <v>65.82</v>
      </c>
      <c r="M150" s="24"/>
      <c r="N150" s="24"/>
      <c r="O150" s="24"/>
      <c r="P150" s="24"/>
      <c r="Q150" s="24"/>
      <c r="R150" s="24"/>
      <c r="S150" s="24"/>
      <c r="T150" s="24"/>
      <c r="U150" s="24"/>
      <c r="V150" s="24"/>
      <c r="W150" s="24"/>
      <c r="X150" s="24"/>
      <c r="Y150" s="25"/>
      <c r="Z150" s="6"/>
      <c r="AA150" s="7"/>
      <c r="AB150" s="7"/>
      <c r="AC150" s="80" t="n">
        <f aca="false">A150</f>
        <v>-20</v>
      </c>
      <c r="AD150" s="80" t="n">
        <f aca="false">E150</f>
        <v>65.82</v>
      </c>
      <c r="AE150" s="80" t="n">
        <f aca="false">F150</f>
        <v>67.77</v>
      </c>
      <c r="AF150" s="80" t="n">
        <f aca="false">G150</f>
        <v>69.77</v>
      </c>
      <c r="AG150" s="80" t="n">
        <f aca="false">Table9[[#This Row],[RTH(min) (kΩ)]]*RT2_TH_MIN/(RT2_TH_MIN+Table9[[#This Row],[RTH(min) (kΩ)]])</f>
        <v>20.830305990992</v>
      </c>
      <c r="AH150" s="80" t="n">
        <f aca="false">Table9[[#This Row],[RTH(nom) (kΩ)]]*RT2_TH_S/(RT2_TH_S+Table9[[#This Row],[RTH(nom) (kΩ)]])</f>
        <v>21.0362440515831</v>
      </c>
      <c r="AI150" s="80" t="n">
        <f aca="false">Table9[[#This Row],[RTH(max) (kΩ)]]*RT2_TH_S_MAX/(RT2_TH_S_MAX+Table9[[#This Row],[RTH(max) (kΩ)]])</f>
        <v>21.2398684655289</v>
      </c>
      <c r="AJ150" s="80" t="n">
        <f aca="false">Table9[[#This Row],[RLower(min) (kΩ)]]/(Table9[[#This Row],[RLower(min) (kΩ)]]+RT1_TH_S_MAX)*100</f>
        <v>79.9059474698047</v>
      </c>
      <c r="AK150" s="80" t="n">
        <f aca="false">Table9[[#This Row],[RLower(nom) (kΩ)]]/(Table9[[#This Row],[RLower(nom) (kΩ)]]+RT1_TH_S)*100</f>
        <v>80.0793928437853</v>
      </c>
      <c r="AL150" s="80" t="n">
        <f aca="false">Table9[[#This Row],[RLower(max) (kΩ)]]/(Table9[[#This Row],[RLower(max) (kΩ)]]+RT1_TH_S_MIN)*100</f>
        <v>80.2484815488466</v>
      </c>
      <c r="AM150" s="80" t="n">
        <f aca="false">IF(Table9[[#This Row],[Vmin (%)]]&lt;$BA$14, 0, IF(Table9[[#This Row],[Vmin (%)]]&lt;$BA$12, 4, IF(Table9[[#This Row],[Vmin (%)]]&lt;$BA$9, 3, IF(Table9[[#This Row],[Vmin (%)]]&lt;$BA$7, 2, 0))))</f>
        <v>0</v>
      </c>
      <c r="AN150" s="80" t="n">
        <f aca="false">IF(Table9[[#This Row],[Vmin (%)]]&lt;$BA$13, 0, IF(Table9[[#This Row],[Vmin (%)]]&lt;$BA$11, 4, IF(Table9[[#This Row],[Vmin (%)]]&lt;$BA$10, 3, IF(Table9[[#This Row],[Vmin (%)]]&lt;$BA$8, 2, 0))))</f>
        <v>0</v>
      </c>
      <c r="AO150" s="217" t="str">
        <f aca="false">IF(Table9[[#This Row],[Vmin (%)]]&lt;$BA$14, "Hot", IF(Table9[[#This Row],[Vmin (%)]]&lt;$BA$12, "Warm", IF(Table9[[#This Row],[Vmin (%)]]&lt;$BA$9, "Normal", IF(Table9[[#This Row],[Vmin (%)]]&lt;$BA$7, "Cool", "Cold"))))</f>
        <v>Cold</v>
      </c>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c r="GZ150" s="7"/>
      <c r="HA150" s="7"/>
      <c r="HB150" s="7"/>
    </row>
    <row r="151" customFormat="false" ht="16.4" hidden="false" customHeight="false" outlineLevel="0" collapsed="false">
      <c r="A151" s="218" t="n">
        <f aca="false">A150-1</f>
        <v>-21</v>
      </c>
      <c r="B151" s="191"/>
      <c r="C151" s="219" t="str">
        <f aca="false">_xlfn.CONCAT("RTH at ",A151, " °C")</f>
        <v>RTH at -21 °C</v>
      </c>
      <c r="D151" s="220" t="n">
        <f aca="false">$D$105+(ROW(D151)-ROW($D$105))*($D$180-$D$105)/(ROW($D$180)-ROW($D$105))</f>
        <v>2.99333333333333</v>
      </c>
      <c r="E151" s="224" t="n">
        <v>1E+099</v>
      </c>
      <c r="F151" s="225" t="n">
        <v>1E+099</v>
      </c>
      <c r="G151" s="226" t="n">
        <v>1E+099</v>
      </c>
      <c r="H151" s="57" t="s">
        <v>18</v>
      </c>
      <c r="I151" s="24"/>
      <c r="J151" s="24" t="n">
        <v>73.23</v>
      </c>
      <c r="K151" s="24" t="n">
        <v>71.1</v>
      </c>
      <c r="L151" s="24" t="n">
        <v>69.01</v>
      </c>
      <c r="M151" s="24"/>
      <c r="N151" s="24"/>
      <c r="O151" s="24"/>
      <c r="P151" s="24"/>
      <c r="Q151" s="24"/>
      <c r="R151" s="24"/>
      <c r="S151" s="24"/>
      <c r="T151" s="24"/>
      <c r="U151" s="24"/>
      <c r="V151" s="24"/>
      <c r="W151" s="24"/>
      <c r="X151" s="24"/>
      <c r="Y151" s="25"/>
      <c r="Z151" s="6"/>
      <c r="AA151" s="7"/>
      <c r="AB151" s="7"/>
      <c r="AC151" s="80" t="n">
        <f aca="false">A151</f>
        <v>-21</v>
      </c>
      <c r="AD151" s="227" t="n">
        <f aca="false">E151</f>
        <v>1E+099</v>
      </c>
      <c r="AE151" s="227" t="n">
        <f aca="false">F151</f>
        <v>1E+099</v>
      </c>
      <c r="AF151" s="227" t="n">
        <f aca="false">G151</f>
        <v>1E+099</v>
      </c>
      <c r="AG151" s="80" t="n">
        <f aca="false">Table9[[#This Row],[RTH(min) (kΩ)]]*RT2_TH_MIN/(RT2_TH_MIN+Table9[[#This Row],[RTH(min) (kΩ)]])</f>
        <v>30.4747736237676</v>
      </c>
      <c r="AH151" s="80" t="n">
        <f aca="false">Table9[[#This Row],[RTH(nom) (kΩ)]]*RT2_TH_S/(RT2_TH_S+Table9[[#This Row],[RTH(nom) (kΩ)]])</f>
        <v>30.5052789026703</v>
      </c>
      <c r="AI151" s="80" t="n">
        <f aca="false">Table9[[#This Row],[RTH(max) (kΩ)]]*RT2_TH_S_MAX/(RT2_TH_S_MAX+Table9[[#This Row],[RTH(max) (kΩ)]])</f>
        <v>30.5357841815729</v>
      </c>
      <c r="AJ151" s="80" t="n">
        <f aca="false">Table9[[#This Row],[RLower(min) (kΩ)]]/(Table9[[#This Row],[RLower(min) (kΩ)]]+RT1_TH_S_MAX)*100</f>
        <v>85.3324434624328</v>
      </c>
      <c r="AK151" s="80" t="n">
        <f aca="false">Table9[[#This Row],[RLower(nom) (kΩ)]]/(Table9[[#This Row],[RLower(nom) (kΩ)]]+RT1_TH_S)*100</f>
        <v>85.3574581546083</v>
      </c>
      <c r="AL151" s="80" t="n">
        <f aca="false">Table9[[#This Row],[RLower(max) (kΩ)]]/(Table9[[#This Row],[RLower(max) (kΩ)]]+RT1_TH_S_MIN)*100</f>
        <v>85.3824374935466</v>
      </c>
      <c r="AM151" s="80" t="n">
        <f aca="false">IF(Table9[[#This Row],[Vmin (%)]]&lt;$BA$14, 0, IF(Table9[[#This Row],[Vmin (%)]]&lt;$BA$12, 4, IF(Table9[[#This Row],[Vmin (%)]]&lt;$BA$9, 3, IF(Table9[[#This Row],[Vmin (%)]]&lt;$BA$7, 2, 0))))</f>
        <v>0</v>
      </c>
      <c r="AN151" s="80" t="n">
        <f aca="false">IF(Table9[[#This Row],[Vmin (%)]]&lt;$BA$13, 0, IF(Table9[[#This Row],[Vmin (%)]]&lt;$BA$11, 4, IF(Table9[[#This Row],[Vmin (%)]]&lt;$BA$10, 3, IF(Table9[[#This Row],[Vmin (%)]]&lt;$BA$8, 2, 0))))</f>
        <v>0</v>
      </c>
      <c r="AO151" s="217" t="str">
        <f aca="false">IF(Table9[[#This Row],[Vmin (%)]]&lt;$BA$14, "Hot", IF(Table9[[#This Row],[Vmin (%)]]&lt;$BA$12, "Warm", IF(Table9[[#This Row],[Vmin (%)]]&lt;$BA$9, "Normal", IF(Table9[[#This Row],[Vmin (%)]]&lt;$BA$7, "Cool", "Cold"))))</f>
        <v>Cold</v>
      </c>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c r="GZ151" s="7"/>
      <c r="HA151" s="7"/>
      <c r="HB151" s="7"/>
    </row>
    <row r="152" customFormat="false" ht="16.4" hidden="false" customHeight="false" outlineLevel="0" collapsed="false">
      <c r="A152" s="218" t="n">
        <f aca="false">A151-1</f>
        <v>-22</v>
      </c>
      <c r="B152" s="191"/>
      <c r="C152" s="219" t="str">
        <f aca="false">_xlfn.CONCAT("RTH at ",A152, " °C")</f>
        <v>RTH at -22 °C</v>
      </c>
      <c r="D152" s="220" t="n">
        <f aca="false">$D$105+(ROW(D152)-ROW($D$105))*($D$180-$D$105)/(ROW($D$180)-ROW($D$105))</f>
        <v>3.03666666666667</v>
      </c>
      <c r="E152" s="224" t="n">
        <v>1E+099</v>
      </c>
      <c r="F152" s="225" t="n">
        <v>1E+099</v>
      </c>
      <c r="G152" s="226" t="n">
        <v>1E+099</v>
      </c>
      <c r="H152" s="57" t="s">
        <v>18</v>
      </c>
      <c r="I152" s="24"/>
      <c r="J152" s="24" t="n">
        <v>76.89</v>
      </c>
      <c r="K152" s="24" t="n">
        <v>74.61</v>
      </c>
      <c r="L152" s="24" t="n">
        <v>72.39</v>
      </c>
      <c r="M152" s="24"/>
      <c r="N152" s="24"/>
      <c r="O152" s="24"/>
      <c r="P152" s="24"/>
      <c r="Q152" s="24"/>
      <c r="R152" s="24"/>
      <c r="S152" s="24"/>
      <c r="T152" s="24"/>
      <c r="U152" s="24"/>
      <c r="V152" s="24"/>
      <c r="W152" s="24"/>
      <c r="X152" s="24"/>
      <c r="Y152" s="25"/>
      <c r="Z152" s="6"/>
      <c r="AA152" s="7"/>
      <c r="AB152" s="7"/>
      <c r="AC152" s="80" t="n">
        <f aca="false">A152</f>
        <v>-22</v>
      </c>
      <c r="AD152" s="227" t="n">
        <f aca="false">E152</f>
        <v>1E+099</v>
      </c>
      <c r="AE152" s="227" t="n">
        <f aca="false">F152</f>
        <v>1E+099</v>
      </c>
      <c r="AF152" s="227" t="n">
        <f aca="false">G152</f>
        <v>1E+099</v>
      </c>
      <c r="AG152" s="80" t="n">
        <f aca="false">Table9[[#This Row],[RTH(min) (kΩ)]]*RT2_TH_MIN/(RT2_TH_MIN+Table9[[#This Row],[RTH(min) (kΩ)]])</f>
        <v>30.4747736237676</v>
      </c>
      <c r="AH152" s="80" t="n">
        <f aca="false">Table9[[#This Row],[RTH(nom) (kΩ)]]*RT2_TH_S/(RT2_TH_S+Table9[[#This Row],[RTH(nom) (kΩ)]])</f>
        <v>30.5052789026703</v>
      </c>
      <c r="AI152" s="80" t="n">
        <f aca="false">Table9[[#This Row],[RTH(max) (kΩ)]]*RT2_TH_S_MAX/(RT2_TH_S_MAX+Table9[[#This Row],[RTH(max) (kΩ)]])</f>
        <v>30.5357841815729</v>
      </c>
      <c r="AJ152" s="80" t="n">
        <f aca="false">Table9[[#This Row],[RLower(min) (kΩ)]]/(Table9[[#This Row],[RLower(min) (kΩ)]]+RT1_TH_S_MAX)*100</f>
        <v>85.3324434624328</v>
      </c>
      <c r="AK152" s="80" t="n">
        <f aca="false">Table9[[#This Row],[RLower(nom) (kΩ)]]/(Table9[[#This Row],[RLower(nom) (kΩ)]]+RT1_TH_S)*100</f>
        <v>85.3574581546083</v>
      </c>
      <c r="AL152" s="80" t="n">
        <f aca="false">Table9[[#This Row],[RLower(max) (kΩ)]]/(Table9[[#This Row],[RLower(max) (kΩ)]]+RT1_TH_S_MIN)*100</f>
        <v>85.3824374935466</v>
      </c>
      <c r="AM152" s="80" t="n">
        <f aca="false">IF(Table9[[#This Row],[Vmin (%)]]&lt;$BA$14, 0, IF(Table9[[#This Row],[Vmin (%)]]&lt;$BA$12, 4, IF(Table9[[#This Row],[Vmin (%)]]&lt;$BA$9, 3, IF(Table9[[#This Row],[Vmin (%)]]&lt;$BA$7, 2, 0))))</f>
        <v>0</v>
      </c>
      <c r="AN152" s="80" t="n">
        <f aca="false">IF(Table9[[#This Row],[Vmin (%)]]&lt;$BA$13, 0, IF(Table9[[#This Row],[Vmin (%)]]&lt;$BA$11, 4, IF(Table9[[#This Row],[Vmin (%)]]&lt;$BA$10, 3, IF(Table9[[#This Row],[Vmin (%)]]&lt;$BA$8, 2, 0))))</f>
        <v>0</v>
      </c>
      <c r="AO152" s="217" t="str">
        <f aca="false">IF(Table9[[#This Row],[Vmin (%)]]&lt;$BA$14, "Hot", IF(Table9[[#This Row],[Vmin (%)]]&lt;$BA$12, "Warm", IF(Table9[[#This Row],[Vmin (%)]]&lt;$BA$9, "Normal", IF(Table9[[#This Row],[Vmin (%)]]&lt;$BA$7, "Cool", "Cold"))))</f>
        <v>Cold</v>
      </c>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row>
    <row r="153" customFormat="false" ht="16.4" hidden="false" customHeight="false" outlineLevel="0" collapsed="false">
      <c r="A153" s="218" t="n">
        <f aca="false">A152-1</f>
        <v>-23</v>
      </c>
      <c r="B153" s="191"/>
      <c r="C153" s="219" t="str">
        <f aca="false">_xlfn.CONCAT("RTH at ",A153, " °C")</f>
        <v>RTH at -23 °C</v>
      </c>
      <c r="D153" s="220" t="n">
        <f aca="false">$D$105+(ROW(D153)-ROW($D$105))*($D$180-$D$105)/(ROW($D$180)-ROW($D$105))</f>
        <v>3.08</v>
      </c>
      <c r="E153" s="224" t="n">
        <v>1E+099</v>
      </c>
      <c r="F153" s="225" t="n">
        <v>1E+099</v>
      </c>
      <c r="G153" s="226" t="n">
        <v>1E+099</v>
      </c>
      <c r="H153" s="57" t="s">
        <v>18</v>
      </c>
      <c r="I153" s="24"/>
      <c r="J153" s="24" t="n">
        <v>80.76</v>
      </c>
      <c r="K153" s="24" t="n">
        <v>78.33</v>
      </c>
      <c r="L153" s="24" t="n">
        <v>75.96</v>
      </c>
      <c r="M153" s="24"/>
      <c r="N153" s="24"/>
      <c r="O153" s="24"/>
      <c r="P153" s="24"/>
      <c r="Q153" s="24"/>
      <c r="R153" s="24"/>
      <c r="S153" s="24"/>
      <c r="T153" s="24"/>
      <c r="U153" s="24"/>
      <c r="V153" s="24"/>
      <c r="W153" s="24"/>
      <c r="X153" s="24"/>
      <c r="Y153" s="25"/>
      <c r="Z153" s="6"/>
      <c r="AA153" s="7"/>
      <c r="AB153" s="7"/>
      <c r="AC153" s="80" t="n">
        <f aca="false">A153</f>
        <v>-23</v>
      </c>
      <c r="AD153" s="227" t="n">
        <f aca="false">E153</f>
        <v>1E+099</v>
      </c>
      <c r="AE153" s="227" t="n">
        <f aca="false">F153</f>
        <v>1E+099</v>
      </c>
      <c r="AF153" s="227" t="n">
        <f aca="false">G153</f>
        <v>1E+099</v>
      </c>
      <c r="AG153" s="80" t="n">
        <f aca="false">Table9[[#This Row],[RTH(min) (kΩ)]]*RT2_TH_MIN/(RT2_TH_MIN+Table9[[#This Row],[RTH(min) (kΩ)]])</f>
        <v>30.4747736237676</v>
      </c>
      <c r="AH153" s="80" t="n">
        <f aca="false">Table9[[#This Row],[RTH(nom) (kΩ)]]*RT2_TH_S/(RT2_TH_S+Table9[[#This Row],[RTH(nom) (kΩ)]])</f>
        <v>30.5052789026703</v>
      </c>
      <c r="AI153" s="80" t="n">
        <f aca="false">Table9[[#This Row],[RTH(max) (kΩ)]]*RT2_TH_S_MAX/(RT2_TH_S_MAX+Table9[[#This Row],[RTH(max) (kΩ)]])</f>
        <v>30.5357841815729</v>
      </c>
      <c r="AJ153" s="80" t="n">
        <f aca="false">Table9[[#This Row],[RLower(min) (kΩ)]]/(Table9[[#This Row],[RLower(min) (kΩ)]]+RT1_TH_S_MAX)*100</f>
        <v>85.3324434624328</v>
      </c>
      <c r="AK153" s="80" t="n">
        <f aca="false">Table9[[#This Row],[RLower(nom) (kΩ)]]/(Table9[[#This Row],[RLower(nom) (kΩ)]]+RT1_TH_S)*100</f>
        <v>85.3574581546083</v>
      </c>
      <c r="AL153" s="80" t="n">
        <f aca="false">Table9[[#This Row],[RLower(max) (kΩ)]]/(Table9[[#This Row],[RLower(max) (kΩ)]]+RT1_TH_S_MIN)*100</f>
        <v>85.3824374935466</v>
      </c>
      <c r="AM153" s="80" t="n">
        <f aca="false">IF(Table9[[#This Row],[Vmin (%)]]&lt;$BA$14, 0, IF(Table9[[#This Row],[Vmin (%)]]&lt;$BA$12, 4, IF(Table9[[#This Row],[Vmin (%)]]&lt;$BA$9, 3, IF(Table9[[#This Row],[Vmin (%)]]&lt;$BA$7, 2, 0))))</f>
        <v>0</v>
      </c>
      <c r="AN153" s="80" t="n">
        <f aca="false">IF(Table9[[#This Row],[Vmin (%)]]&lt;$BA$13, 0, IF(Table9[[#This Row],[Vmin (%)]]&lt;$BA$11, 4, IF(Table9[[#This Row],[Vmin (%)]]&lt;$BA$10, 3, IF(Table9[[#This Row],[Vmin (%)]]&lt;$BA$8, 2, 0))))</f>
        <v>0</v>
      </c>
      <c r="AO153" s="217" t="str">
        <f aca="false">IF(Table9[[#This Row],[Vmin (%)]]&lt;$BA$14, "Hot", IF(Table9[[#This Row],[Vmin (%)]]&lt;$BA$12, "Warm", IF(Table9[[#This Row],[Vmin (%)]]&lt;$BA$9, "Normal", IF(Table9[[#This Row],[Vmin (%)]]&lt;$BA$7, "Cool", "Cold"))))</f>
        <v>Cold</v>
      </c>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c r="GZ153" s="7"/>
      <c r="HA153" s="7"/>
      <c r="HB153" s="7"/>
    </row>
    <row r="154" customFormat="false" ht="16.4" hidden="false" customHeight="false" outlineLevel="0" collapsed="false">
      <c r="A154" s="218" t="n">
        <f aca="false">A153-1</f>
        <v>-24</v>
      </c>
      <c r="B154" s="191"/>
      <c r="C154" s="219" t="str">
        <f aca="false">_xlfn.CONCAT("RTH at ",A154, " °C")</f>
        <v>RTH at -24 °C</v>
      </c>
      <c r="D154" s="220" t="n">
        <f aca="false">$D$105+(ROW(D154)-ROW($D$105))*($D$180-$D$105)/(ROW($D$180)-ROW($D$105))</f>
        <v>3.12333333333333</v>
      </c>
      <c r="E154" s="224" t="n">
        <v>1E+099</v>
      </c>
      <c r="F154" s="225" t="n">
        <v>1E+099</v>
      </c>
      <c r="G154" s="226" t="n">
        <v>1E+099</v>
      </c>
      <c r="H154" s="57" t="s">
        <v>18</v>
      </c>
      <c r="I154" s="24"/>
      <c r="J154" s="24" t="n">
        <v>84.85</v>
      </c>
      <c r="K154" s="24" t="n">
        <v>82.26</v>
      </c>
      <c r="L154" s="24" t="n">
        <v>79.74</v>
      </c>
      <c r="M154" s="24"/>
      <c r="N154" s="24"/>
      <c r="O154" s="24"/>
      <c r="P154" s="24"/>
      <c r="Q154" s="24"/>
      <c r="R154" s="24"/>
      <c r="S154" s="24"/>
      <c r="T154" s="24"/>
      <c r="U154" s="24"/>
      <c r="V154" s="24"/>
      <c r="W154" s="24"/>
      <c r="X154" s="24"/>
      <c r="Y154" s="25"/>
      <c r="Z154" s="6"/>
      <c r="AA154" s="7"/>
      <c r="AB154" s="7"/>
      <c r="AC154" s="80" t="n">
        <f aca="false">A154</f>
        <v>-24</v>
      </c>
      <c r="AD154" s="227" t="n">
        <f aca="false">E154</f>
        <v>1E+099</v>
      </c>
      <c r="AE154" s="227" t="n">
        <f aca="false">F154</f>
        <v>1E+099</v>
      </c>
      <c r="AF154" s="227" t="n">
        <f aca="false">G154</f>
        <v>1E+099</v>
      </c>
      <c r="AG154" s="80" t="n">
        <f aca="false">Table9[[#This Row],[RTH(min) (kΩ)]]*RT2_TH_MIN/(RT2_TH_MIN+Table9[[#This Row],[RTH(min) (kΩ)]])</f>
        <v>30.4747736237676</v>
      </c>
      <c r="AH154" s="80" t="n">
        <f aca="false">Table9[[#This Row],[RTH(nom) (kΩ)]]*RT2_TH_S/(RT2_TH_S+Table9[[#This Row],[RTH(nom) (kΩ)]])</f>
        <v>30.5052789026703</v>
      </c>
      <c r="AI154" s="80" t="n">
        <f aca="false">Table9[[#This Row],[RTH(max) (kΩ)]]*RT2_TH_S_MAX/(RT2_TH_S_MAX+Table9[[#This Row],[RTH(max) (kΩ)]])</f>
        <v>30.5357841815729</v>
      </c>
      <c r="AJ154" s="80" t="n">
        <f aca="false">Table9[[#This Row],[RLower(min) (kΩ)]]/(Table9[[#This Row],[RLower(min) (kΩ)]]+RT1_TH_S_MAX)*100</f>
        <v>85.3324434624328</v>
      </c>
      <c r="AK154" s="80" t="n">
        <f aca="false">Table9[[#This Row],[RLower(nom) (kΩ)]]/(Table9[[#This Row],[RLower(nom) (kΩ)]]+RT1_TH_S)*100</f>
        <v>85.3574581546083</v>
      </c>
      <c r="AL154" s="80" t="n">
        <f aca="false">Table9[[#This Row],[RLower(max) (kΩ)]]/(Table9[[#This Row],[RLower(max) (kΩ)]]+RT1_TH_S_MIN)*100</f>
        <v>85.3824374935466</v>
      </c>
      <c r="AM154" s="80" t="n">
        <f aca="false">IF(Table9[[#This Row],[Vmin (%)]]&lt;$BA$14, 0, IF(Table9[[#This Row],[Vmin (%)]]&lt;$BA$12, 4, IF(Table9[[#This Row],[Vmin (%)]]&lt;$BA$9, 3, IF(Table9[[#This Row],[Vmin (%)]]&lt;$BA$7, 2, 0))))</f>
        <v>0</v>
      </c>
      <c r="AN154" s="80" t="n">
        <f aca="false">IF(Table9[[#This Row],[Vmin (%)]]&lt;$BA$13, 0, IF(Table9[[#This Row],[Vmin (%)]]&lt;$BA$11, 4, IF(Table9[[#This Row],[Vmin (%)]]&lt;$BA$10, 3, IF(Table9[[#This Row],[Vmin (%)]]&lt;$BA$8, 2, 0))))</f>
        <v>0</v>
      </c>
      <c r="AO154" s="217" t="str">
        <f aca="false">IF(Table9[[#This Row],[Vmin (%)]]&lt;$BA$14, "Hot", IF(Table9[[#This Row],[Vmin (%)]]&lt;$BA$12, "Warm", IF(Table9[[#This Row],[Vmin (%)]]&lt;$BA$9, "Normal", IF(Table9[[#This Row],[Vmin (%)]]&lt;$BA$7, "Cool", "Cold"))))</f>
        <v>Cold</v>
      </c>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c r="GZ154" s="7"/>
      <c r="HA154" s="7"/>
      <c r="HB154" s="7"/>
    </row>
    <row r="155" customFormat="false" ht="16.4" hidden="false" customHeight="false" outlineLevel="0" collapsed="false">
      <c r="A155" s="218" t="n">
        <f aca="false">A154-1</f>
        <v>-25</v>
      </c>
      <c r="B155" s="191"/>
      <c r="C155" s="219" t="str">
        <f aca="false">_xlfn.CONCAT("RTH at ",A155, " °C")</f>
        <v>RTH at -25 °C</v>
      </c>
      <c r="D155" s="220" t="n">
        <f aca="false">$D$105+(ROW(D155)-ROW($D$105))*($D$180-$D$105)/(ROW($D$180)-ROW($D$105))</f>
        <v>3.16666666666667</v>
      </c>
      <c r="E155" s="224" t="n">
        <v>1E+099</v>
      </c>
      <c r="F155" s="225" t="n">
        <v>1E+099</v>
      </c>
      <c r="G155" s="226" t="n">
        <v>1E+099</v>
      </c>
      <c r="H155" s="57" t="s">
        <v>18</v>
      </c>
      <c r="I155" s="24"/>
      <c r="J155" s="24" t="n">
        <v>89.2</v>
      </c>
      <c r="K155" s="24" t="n">
        <v>86.43</v>
      </c>
      <c r="L155" s="24" t="n">
        <v>83.73</v>
      </c>
      <c r="M155" s="24"/>
      <c r="N155" s="24"/>
      <c r="O155" s="24"/>
      <c r="P155" s="24"/>
      <c r="Q155" s="24"/>
      <c r="R155" s="24"/>
      <c r="S155" s="24"/>
      <c r="T155" s="24"/>
      <c r="U155" s="24"/>
      <c r="V155" s="24"/>
      <c r="W155" s="24"/>
      <c r="X155" s="24"/>
      <c r="Y155" s="25"/>
      <c r="Z155" s="6"/>
      <c r="AA155" s="7"/>
      <c r="AB155" s="7"/>
      <c r="AC155" s="80" t="n">
        <f aca="false">A155</f>
        <v>-25</v>
      </c>
      <c r="AD155" s="227" t="n">
        <f aca="false">E155</f>
        <v>1E+099</v>
      </c>
      <c r="AE155" s="227" t="n">
        <f aca="false">F155</f>
        <v>1E+099</v>
      </c>
      <c r="AF155" s="227" t="n">
        <f aca="false">G155</f>
        <v>1E+099</v>
      </c>
      <c r="AG155" s="80" t="n">
        <f aca="false">Table9[[#This Row],[RTH(min) (kΩ)]]*RT2_TH_MIN/(RT2_TH_MIN+Table9[[#This Row],[RTH(min) (kΩ)]])</f>
        <v>30.4747736237676</v>
      </c>
      <c r="AH155" s="80" t="n">
        <f aca="false">Table9[[#This Row],[RTH(nom) (kΩ)]]*RT2_TH_S/(RT2_TH_S+Table9[[#This Row],[RTH(nom) (kΩ)]])</f>
        <v>30.5052789026703</v>
      </c>
      <c r="AI155" s="80" t="n">
        <f aca="false">Table9[[#This Row],[RTH(max) (kΩ)]]*RT2_TH_S_MAX/(RT2_TH_S_MAX+Table9[[#This Row],[RTH(max) (kΩ)]])</f>
        <v>30.5357841815729</v>
      </c>
      <c r="AJ155" s="80" t="n">
        <f aca="false">Table9[[#This Row],[RLower(min) (kΩ)]]/(Table9[[#This Row],[RLower(min) (kΩ)]]+RT1_TH_S_MAX)*100</f>
        <v>85.3324434624328</v>
      </c>
      <c r="AK155" s="80" t="n">
        <f aca="false">Table9[[#This Row],[RLower(nom) (kΩ)]]/(Table9[[#This Row],[RLower(nom) (kΩ)]]+RT1_TH_S)*100</f>
        <v>85.3574581546083</v>
      </c>
      <c r="AL155" s="80" t="n">
        <f aca="false">Table9[[#This Row],[RLower(max) (kΩ)]]/(Table9[[#This Row],[RLower(max) (kΩ)]]+RT1_TH_S_MIN)*100</f>
        <v>85.3824374935466</v>
      </c>
      <c r="AM155" s="80" t="n">
        <f aca="false">IF(Table9[[#This Row],[Vmin (%)]]&lt;$BA$14, 0, IF(Table9[[#This Row],[Vmin (%)]]&lt;$BA$12, 4, IF(Table9[[#This Row],[Vmin (%)]]&lt;$BA$9, 3, IF(Table9[[#This Row],[Vmin (%)]]&lt;$BA$7, 2, 0))))</f>
        <v>0</v>
      </c>
      <c r="AN155" s="80" t="n">
        <f aca="false">IF(Table9[[#This Row],[Vmin (%)]]&lt;$BA$13, 0, IF(Table9[[#This Row],[Vmin (%)]]&lt;$BA$11, 4, IF(Table9[[#This Row],[Vmin (%)]]&lt;$BA$10, 3, IF(Table9[[#This Row],[Vmin (%)]]&lt;$BA$8, 2, 0))))</f>
        <v>0</v>
      </c>
      <c r="AO155" s="217" t="str">
        <f aca="false">IF(Table9[[#This Row],[Vmin (%)]]&lt;$BA$14, "Hot", IF(Table9[[#This Row],[Vmin (%)]]&lt;$BA$12, "Warm", IF(Table9[[#This Row],[Vmin (%)]]&lt;$BA$9, "Normal", IF(Table9[[#This Row],[Vmin (%)]]&lt;$BA$7, "Cool", "Cold"))))</f>
        <v>Cold</v>
      </c>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A155" s="7"/>
      <c r="HB155" s="7"/>
    </row>
    <row r="156" customFormat="false" ht="16.4" hidden="true" customHeight="false" outlineLevel="0" collapsed="false">
      <c r="A156" s="218" t="n">
        <f aca="false">A155-1</f>
        <v>-26</v>
      </c>
      <c r="B156" s="191"/>
      <c r="C156" s="219" t="str">
        <f aca="false">_xlfn.CONCAT("RTH at ",A156, " °C")</f>
        <v>RTH at -26 °C</v>
      </c>
      <c r="D156" s="220" t="n">
        <f aca="false">$D$105+(ROW(D156)-ROW($D$105))*($D$180-$D$105)/(ROW($D$180)-ROW($D$105))</f>
        <v>3.21</v>
      </c>
      <c r="E156" s="224" t="n">
        <v>1E+099</v>
      </c>
      <c r="F156" s="225" t="n">
        <v>1E+099</v>
      </c>
      <c r="G156" s="226" t="n">
        <v>1E+099</v>
      </c>
      <c r="H156" s="57" t="s">
        <v>18</v>
      </c>
      <c r="I156" s="24"/>
      <c r="J156" s="24" t="n">
        <v>93.8</v>
      </c>
      <c r="K156" s="24" t="n">
        <v>90.84</v>
      </c>
      <c r="L156" s="24" t="n">
        <v>87.97</v>
      </c>
      <c r="M156" s="24"/>
      <c r="N156" s="24"/>
      <c r="O156" s="24"/>
      <c r="P156" s="24"/>
      <c r="Q156" s="24"/>
      <c r="R156" s="24"/>
      <c r="S156" s="24"/>
      <c r="T156" s="24"/>
      <c r="U156" s="24"/>
      <c r="V156" s="24"/>
      <c r="W156" s="24"/>
      <c r="X156" s="24"/>
      <c r="Y156" s="25"/>
      <c r="Z156" s="6"/>
      <c r="AA156" s="7"/>
      <c r="AB156" s="7"/>
      <c r="AC156" s="80" t="n">
        <f aca="false">A156</f>
        <v>-26</v>
      </c>
      <c r="AD156" s="227" t="n">
        <f aca="false">E156</f>
        <v>1E+099</v>
      </c>
      <c r="AE156" s="227" t="n">
        <f aca="false">F156</f>
        <v>1E+099</v>
      </c>
      <c r="AF156" s="227" t="n">
        <f aca="false">G156</f>
        <v>1E+099</v>
      </c>
      <c r="AG156" s="80" t="n">
        <f aca="false">Table9[[#This Row],[RTH(min) (kΩ)]]*RT2_TH_MIN/(RT2_TH_MIN+Table9[[#This Row],[RTH(min) (kΩ)]])</f>
        <v>30.4747736237676</v>
      </c>
      <c r="AH156" s="80" t="n">
        <f aca="false">Table9[[#This Row],[RTH(nom) (kΩ)]]*RT2_TH_S/(RT2_TH_S+Table9[[#This Row],[RTH(nom) (kΩ)]])</f>
        <v>30.5052789026703</v>
      </c>
      <c r="AI156" s="80" t="n">
        <f aca="false">Table9[[#This Row],[RTH(max) (kΩ)]]*RT2_TH_S_MAX/(RT2_TH_S_MAX+Table9[[#This Row],[RTH(max) (kΩ)]])</f>
        <v>30.5357841815729</v>
      </c>
      <c r="AJ156" s="80" t="n">
        <f aca="false">Table9[[#This Row],[RLower(min) (kΩ)]]/(Table9[[#This Row],[RLower(min) (kΩ)]]+RT1_TH_S_MAX)*100</f>
        <v>85.3324434624328</v>
      </c>
      <c r="AK156" s="80" t="n">
        <f aca="false">Table9[[#This Row],[RLower(nom) (kΩ)]]/(Table9[[#This Row],[RLower(nom) (kΩ)]]+RT1_TH_S)*100</f>
        <v>85.3574581546083</v>
      </c>
      <c r="AL156" s="80" t="n">
        <f aca="false">Table9[[#This Row],[RLower(max) (kΩ)]]/(Table9[[#This Row],[RLower(max) (kΩ)]]+RT1_TH_S_MIN)*100</f>
        <v>85.3824374935466</v>
      </c>
      <c r="AM156" s="80" t="n">
        <f aca="false">IF(Table9[[#This Row],[Vmin (%)]]&lt;$BA$14, 0, IF(Table9[[#This Row],[Vmin (%)]]&lt;$BA$12, 4, IF(Table9[[#This Row],[Vmin (%)]]&lt;$BA$9, 3, IF(Table9[[#This Row],[Vmin (%)]]&lt;$BA$7, 2, 0))))</f>
        <v>0</v>
      </c>
      <c r="AN156" s="80" t="n">
        <f aca="false">IF(Table9[[#This Row],[Vmin (%)]]&lt;$BA$13, 0, IF(Table9[[#This Row],[Vmin (%)]]&lt;$BA$11, 4, IF(Table9[[#This Row],[Vmin (%)]]&lt;$BA$10, 3, IF(Table9[[#This Row],[Vmin (%)]]&lt;$BA$8, 2, 0))))</f>
        <v>0</v>
      </c>
      <c r="AO156" s="217" t="str">
        <f aca="false">IF(Table9[[#This Row],[Vmin (%)]]&lt;$BA$14, "Hot", IF(Table9[[#This Row],[Vmin (%)]]&lt;$BA$12, "Warm", IF(Table9[[#This Row],[Vmin (%)]]&lt;$BA$9, "Normal", IF(Table9[[#This Row],[Vmin (%)]]&lt;$BA$7, "Cool", "Cold"))))</f>
        <v>Cold</v>
      </c>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7"/>
      <c r="GK156" s="7"/>
      <c r="GL156" s="7"/>
      <c r="GM156" s="7"/>
      <c r="GN156" s="7"/>
      <c r="GO156" s="7"/>
      <c r="GP156" s="7"/>
      <c r="GQ156" s="7"/>
      <c r="GR156" s="7"/>
      <c r="GS156" s="7"/>
      <c r="GT156" s="7"/>
      <c r="GU156" s="7"/>
      <c r="GV156" s="7"/>
      <c r="GW156" s="7"/>
      <c r="GX156" s="7"/>
      <c r="GY156" s="7"/>
      <c r="GZ156" s="7"/>
      <c r="HA156" s="7"/>
      <c r="HB156" s="7"/>
    </row>
    <row r="157" customFormat="false" ht="16.4" hidden="true" customHeight="false" outlineLevel="0" collapsed="false">
      <c r="A157" s="218" t="n">
        <f aca="false">A156-1</f>
        <v>-27</v>
      </c>
      <c r="B157" s="191"/>
      <c r="C157" s="219" t="str">
        <f aca="false">_xlfn.CONCAT("RTH at ",A157, " °C")</f>
        <v>RTH at -27 °C</v>
      </c>
      <c r="D157" s="220" t="n">
        <f aca="false">$D$105+(ROW(D157)-ROW($D$105))*($D$180-$D$105)/(ROW($D$180)-ROW($D$105))</f>
        <v>3.25333333333333</v>
      </c>
      <c r="E157" s="224" t="n">
        <v>1E+099</v>
      </c>
      <c r="F157" s="225" t="n">
        <v>1E+099</v>
      </c>
      <c r="G157" s="226" t="n">
        <v>1E+099</v>
      </c>
      <c r="H157" s="57" t="s">
        <v>18</v>
      </c>
      <c r="I157" s="24"/>
      <c r="J157" s="24" t="n">
        <v>98.68</v>
      </c>
      <c r="K157" s="24" t="n">
        <v>95.52</v>
      </c>
      <c r="L157" s="24" t="n">
        <v>92.45</v>
      </c>
      <c r="M157" s="24"/>
      <c r="N157" s="24"/>
      <c r="O157" s="24"/>
      <c r="P157" s="24"/>
      <c r="Q157" s="24"/>
      <c r="R157" s="24"/>
      <c r="S157" s="24"/>
      <c r="T157" s="24"/>
      <c r="U157" s="24"/>
      <c r="V157" s="24"/>
      <c r="W157" s="24"/>
      <c r="X157" s="24"/>
      <c r="Y157" s="25"/>
      <c r="Z157" s="6"/>
      <c r="AA157" s="7"/>
      <c r="AB157" s="7"/>
      <c r="AC157" s="80" t="n">
        <f aca="false">A157</f>
        <v>-27</v>
      </c>
      <c r="AD157" s="227" t="n">
        <f aca="false">E157</f>
        <v>1E+099</v>
      </c>
      <c r="AE157" s="227" t="n">
        <f aca="false">F157</f>
        <v>1E+099</v>
      </c>
      <c r="AF157" s="227" t="n">
        <f aca="false">G157</f>
        <v>1E+099</v>
      </c>
      <c r="AG157" s="80" t="n">
        <f aca="false">Table9[[#This Row],[RTH(min) (kΩ)]]*RT2_TH_MIN/(RT2_TH_MIN+Table9[[#This Row],[RTH(min) (kΩ)]])</f>
        <v>30.4747736237676</v>
      </c>
      <c r="AH157" s="80" t="n">
        <f aca="false">Table9[[#This Row],[RTH(nom) (kΩ)]]*RT2_TH_S/(RT2_TH_S+Table9[[#This Row],[RTH(nom) (kΩ)]])</f>
        <v>30.5052789026703</v>
      </c>
      <c r="AI157" s="80" t="n">
        <f aca="false">Table9[[#This Row],[RTH(max) (kΩ)]]*RT2_TH_S_MAX/(RT2_TH_S_MAX+Table9[[#This Row],[RTH(max) (kΩ)]])</f>
        <v>30.5357841815729</v>
      </c>
      <c r="AJ157" s="80" t="n">
        <f aca="false">Table9[[#This Row],[RLower(min) (kΩ)]]/(Table9[[#This Row],[RLower(min) (kΩ)]]+RT1_TH_S_MAX)*100</f>
        <v>85.3324434624328</v>
      </c>
      <c r="AK157" s="80" t="n">
        <f aca="false">Table9[[#This Row],[RLower(nom) (kΩ)]]/(Table9[[#This Row],[RLower(nom) (kΩ)]]+RT1_TH_S)*100</f>
        <v>85.3574581546083</v>
      </c>
      <c r="AL157" s="80" t="n">
        <f aca="false">Table9[[#This Row],[RLower(max) (kΩ)]]/(Table9[[#This Row],[RLower(max) (kΩ)]]+RT1_TH_S_MIN)*100</f>
        <v>85.3824374935466</v>
      </c>
      <c r="AM157" s="80" t="n">
        <f aca="false">IF(Table9[[#This Row],[Vmin (%)]]&lt;$BA$14, 0, IF(Table9[[#This Row],[Vmin (%)]]&lt;$BA$12, 4, IF(Table9[[#This Row],[Vmin (%)]]&lt;$BA$9, 3, IF(Table9[[#This Row],[Vmin (%)]]&lt;$BA$7, 2, 0))))</f>
        <v>0</v>
      </c>
      <c r="AN157" s="80" t="n">
        <f aca="false">IF(Table9[[#This Row],[Vmin (%)]]&lt;$BA$13, 0, IF(Table9[[#This Row],[Vmin (%)]]&lt;$BA$11, 4, IF(Table9[[#This Row],[Vmin (%)]]&lt;$BA$10, 3, IF(Table9[[#This Row],[Vmin (%)]]&lt;$BA$8, 2, 0))))</f>
        <v>0</v>
      </c>
      <c r="AO157" s="217" t="str">
        <f aca="false">IF(Table9[[#This Row],[Vmin (%)]]&lt;$BA$14, "Hot", IF(Table9[[#This Row],[Vmin (%)]]&lt;$BA$12, "Warm", IF(Table9[[#This Row],[Vmin (%)]]&lt;$BA$9, "Normal", IF(Table9[[#This Row],[Vmin (%)]]&lt;$BA$7, "Cool", "Cold"))))</f>
        <v>Cold</v>
      </c>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row>
    <row r="158" customFormat="false" ht="16.4" hidden="true" customHeight="false" outlineLevel="0" collapsed="false">
      <c r="A158" s="218" t="n">
        <f aca="false">A157-1</f>
        <v>-28</v>
      </c>
      <c r="B158" s="191"/>
      <c r="C158" s="219" t="str">
        <f aca="false">_xlfn.CONCAT("RTH at ",A158, " °C")</f>
        <v>RTH at -28 °C</v>
      </c>
      <c r="D158" s="220" t="n">
        <f aca="false">$D$105+(ROW(D158)-ROW($D$105))*($D$180-$D$105)/(ROW($D$180)-ROW($D$105))</f>
        <v>3.29666666666667</v>
      </c>
      <c r="E158" s="224" t="n">
        <v>1E+099</v>
      </c>
      <c r="F158" s="225" t="n">
        <v>1E+099</v>
      </c>
      <c r="G158" s="226" t="n">
        <v>1E+099</v>
      </c>
      <c r="H158" s="57" t="s">
        <v>18</v>
      </c>
      <c r="I158" s="24"/>
      <c r="J158" s="24" t="n">
        <v>103.9</v>
      </c>
      <c r="K158" s="24" t="n">
        <v>100.5</v>
      </c>
      <c r="L158" s="24" t="n">
        <v>97.2</v>
      </c>
      <c r="M158" s="24"/>
      <c r="N158" s="24"/>
      <c r="O158" s="24"/>
      <c r="P158" s="24"/>
      <c r="Q158" s="24"/>
      <c r="R158" s="24"/>
      <c r="S158" s="24"/>
      <c r="T158" s="24"/>
      <c r="U158" s="24"/>
      <c r="V158" s="24"/>
      <c r="W158" s="24"/>
      <c r="X158" s="24"/>
      <c r="Y158" s="25"/>
      <c r="Z158" s="6"/>
      <c r="AA158" s="7"/>
      <c r="AB158" s="7"/>
      <c r="AC158" s="80" t="n">
        <f aca="false">A158</f>
        <v>-28</v>
      </c>
      <c r="AD158" s="227" t="n">
        <f aca="false">E158</f>
        <v>1E+099</v>
      </c>
      <c r="AE158" s="227" t="n">
        <f aca="false">F158</f>
        <v>1E+099</v>
      </c>
      <c r="AF158" s="227" t="n">
        <f aca="false">G158</f>
        <v>1E+099</v>
      </c>
      <c r="AG158" s="80" t="n">
        <f aca="false">Table9[[#This Row],[RTH(min) (kΩ)]]*RT2_TH_MIN/(RT2_TH_MIN+Table9[[#This Row],[RTH(min) (kΩ)]])</f>
        <v>30.4747736237676</v>
      </c>
      <c r="AH158" s="80" t="n">
        <f aca="false">Table9[[#This Row],[RTH(nom) (kΩ)]]*RT2_TH_S/(RT2_TH_S+Table9[[#This Row],[RTH(nom) (kΩ)]])</f>
        <v>30.5052789026703</v>
      </c>
      <c r="AI158" s="80" t="n">
        <f aca="false">Table9[[#This Row],[RTH(max) (kΩ)]]*RT2_TH_S_MAX/(RT2_TH_S_MAX+Table9[[#This Row],[RTH(max) (kΩ)]])</f>
        <v>30.5357841815729</v>
      </c>
      <c r="AJ158" s="80" t="n">
        <f aca="false">Table9[[#This Row],[RLower(min) (kΩ)]]/(Table9[[#This Row],[RLower(min) (kΩ)]]+RT1_TH_S_MAX)*100</f>
        <v>85.3324434624328</v>
      </c>
      <c r="AK158" s="80" t="n">
        <f aca="false">Table9[[#This Row],[RLower(nom) (kΩ)]]/(Table9[[#This Row],[RLower(nom) (kΩ)]]+RT1_TH_S)*100</f>
        <v>85.3574581546083</v>
      </c>
      <c r="AL158" s="80" t="n">
        <f aca="false">Table9[[#This Row],[RLower(max) (kΩ)]]/(Table9[[#This Row],[RLower(max) (kΩ)]]+RT1_TH_S_MIN)*100</f>
        <v>85.3824374935466</v>
      </c>
      <c r="AM158" s="80" t="n">
        <f aca="false">IF(Table9[[#This Row],[Vmin (%)]]&lt;$BA$14, 0, IF(Table9[[#This Row],[Vmin (%)]]&lt;$BA$12, 4, IF(Table9[[#This Row],[Vmin (%)]]&lt;$BA$9, 3, IF(Table9[[#This Row],[Vmin (%)]]&lt;$BA$7, 2, 0))))</f>
        <v>0</v>
      </c>
      <c r="AN158" s="80" t="n">
        <f aca="false">IF(Table9[[#This Row],[Vmin (%)]]&lt;$BA$13, 0, IF(Table9[[#This Row],[Vmin (%)]]&lt;$BA$11, 4, IF(Table9[[#This Row],[Vmin (%)]]&lt;$BA$10, 3, IF(Table9[[#This Row],[Vmin (%)]]&lt;$BA$8, 2, 0))))</f>
        <v>0</v>
      </c>
      <c r="AO158" s="217" t="str">
        <f aca="false">IF(Table9[[#This Row],[Vmin (%)]]&lt;$BA$14, "Hot", IF(Table9[[#This Row],[Vmin (%)]]&lt;$BA$12, "Warm", IF(Table9[[#This Row],[Vmin (%)]]&lt;$BA$9, "Normal", IF(Table9[[#This Row],[Vmin (%)]]&lt;$BA$7, "Cool", "Cold"))))</f>
        <v>Cold</v>
      </c>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c r="GZ158" s="7"/>
      <c r="HA158" s="7"/>
      <c r="HB158" s="7"/>
    </row>
    <row r="159" customFormat="false" ht="16.4" hidden="true" customHeight="false" outlineLevel="0" collapsed="false">
      <c r="A159" s="218" t="n">
        <f aca="false">A158-1</f>
        <v>-29</v>
      </c>
      <c r="B159" s="191"/>
      <c r="C159" s="219" t="str">
        <f aca="false">_xlfn.CONCAT("RTH at ",A159, " °C")</f>
        <v>RTH at -29 °C</v>
      </c>
      <c r="D159" s="220" t="n">
        <f aca="false">$D$105+(ROW(D159)-ROW($D$105))*($D$180-$D$105)/(ROW($D$180)-ROW($D$105))</f>
        <v>3.34</v>
      </c>
      <c r="E159" s="224" t="n">
        <v>1E+099</v>
      </c>
      <c r="F159" s="225" t="n">
        <v>1E+099</v>
      </c>
      <c r="G159" s="226" t="n">
        <v>1E+099</v>
      </c>
      <c r="H159" s="57" t="s">
        <v>18</v>
      </c>
      <c r="I159" s="24"/>
      <c r="J159" s="24" t="n">
        <v>109.4</v>
      </c>
      <c r="K159" s="24" t="n">
        <v>105.7</v>
      </c>
      <c r="L159" s="24" t="n">
        <v>102.2</v>
      </c>
      <c r="M159" s="24"/>
      <c r="N159" s="24"/>
      <c r="O159" s="24"/>
      <c r="P159" s="24"/>
      <c r="Q159" s="24"/>
      <c r="R159" s="24"/>
      <c r="S159" s="24"/>
      <c r="T159" s="24"/>
      <c r="U159" s="24"/>
      <c r="V159" s="24"/>
      <c r="W159" s="24"/>
      <c r="X159" s="24"/>
      <c r="Y159" s="25"/>
      <c r="Z159" s="6"/>
      <c r="AA159" s="7"/>
      <c r="AB159" s="7"/>
      <c r="AC159" s="80" t="n">
        <f aca="false">A159</f>
        <v>-29</v>
      </c>
      <c r="AD159" s="227" t="n">
        <f aca="false">E159</f>
        <v>1E+099</v>
      </c>
      <c r="AE159" s="227" t="n">
        <f aca="false">F159</f>
        <v>1E+099</v>
      </c>
      <c r="AF159" s="227" t="n">
        <f aca="false">G159</f>
        <v>1E+099</v>
      </c>
      <c r="AG159" s="80" t="n">
        <f aca="false">Table9[[#This Row],[RTH(min) (kΩ)]]*RT2_TH_MIN/(RT2_TH_MIN+Table9[[#This Row],[RTH(min) (kΩ)]])</f>
        <v>30.4747736237676</v>
      </c>
      <c r="AH159" s="80" t="n">
        <f aca="false">Table9[[#This Row],[RTH(nom) (kΩ)]]*RT2_TH_S/(RT2_TH_S+Table9[[#This Row],[RTH(nom) (kΩ)]])</f>
        <v>30.5052789026703</v>
      </c>
      <c r="AI159" s="80" t="n">
        <f aca="false">Table9[[#This Row],[RTH(max) (kΩ)]]*RT2_TH_S_MAX/(RT2_TH_S_MAX+Table9[[#This Row],[RTH(max) (kΩ)]])</f>
        <v>30.5357841815729</v>
      </c>
      <c r="AJ159" s="80" t="n">
        <f aca="false">Table9[[#This Row],[RLower(min) (kΩ)]]/(Table9[[#This Row],[RLower(min) (kΩ)]]+RT1_TH_S_MAX)*100</f>
        <v>85.3324434624328</v>
      </c>
      <c r="AK159" s="80" t="n">
        <f aca="false">Table9[[#This Row],[RLower(nom) (kΩ)]]/(Table9[[#This Row],[RLower(nom) (kΩ)]]+RT1_TH_S)*100</f>
        <v>85.3574581546083</v>
      </c>
      <c r="AL159" s="80" t="n">
        <f aca="false">Table9[[#This Row],[RLower(max) (kΩ)]]/(Table9[[#This Row],[RLower(max) (kΩ)]]+RT1_TH_S_MIN)*100</f>
        <v>85.3824374935466</v>
      </c>
      <c r="AM159" s="80" t="n">
        <f aca="false">IF(Table9[[#This Row],[Vmin (%)]]&lt;$BA$14, 0, IF(Table9[[#This Row],[Vmin (%)]]&lt;$BA$12, 4, IF(Table9[[#This Row],[Vmin (%)]]&lt;$BA$9, 3, IF(Table9[[#This Row],[Vmin (%)]]&lt;$BA$7, 2, 0))))</f>
        <v>0</v>
      </c>
      <c r="AN159" s="80" t="n">
        <f aca="false">IF(Table9[[#This Row],[Vmin (%)]]&lt;$BA$13, 0, IF(Table9[[#This Row],[Vmin (%)]]&lt;$BA$11, 4, IF(Table9[[#This Row],[Vmin (%)]]&lt;$BA$10, 3, IF(Table9[[#This Row],[Vmin (%)]]&lt;$BA$8, 2, 0))))</f>
        <v>0</v>
      </c>
      <c r="AO159" s="217" t="str">
        <f aca="false">IF(Table9[[#This Row],[Vmin (%)]]&lt;$BA$14, "Hot", IF(Table9[[#This Row],[Vmin (%)]]&lt;$BA$12, "Warm", IF(Table9[[#This Row],[Vmin (%)]]&lt;$BA$9, "Normal", IF(Table9[[#This Row],[Vmin (%)]]&lt;$BA$7, "Cool", "Cold"))))</f>
        <v>Cold</v>
      </c>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c r="GZ159" s="7"/>
      <c r="HA159" s="7"/>
      <c r="HB159" s="7"/>
    </row>
    <row r="160" customFormat="false" ht="16.4" hidden="true" customHeight="false" outlineLevel="0" collapsed="false">
      <c r="A160" s="218" t="n">
        <f aca="false">A159-1</f>
        <v>-30</v>
      </c>
      <c r="B160" s="191"/>
      <c r="C160" s="219" t="str">
        <f aca="false">_xlfn.CONCAT("RTH at ",A160, " °C")</f>
        <v>RTH at -30 °C</v>
      </c>
      <c r="D160" s="220" t="n">
        <f aca="false">$D$105+(ROW(D160)-ROW($D$105))*($D$180-$D$105)/(ROW($D$180)-ROW($D$105))</f>
        <v>3.38333333333333</v>
      </c>
      <c r="E160" s="224" t="n">
        <v>1E+099</v>
      </c>
      <c r="F160" s="225" t="n">
        <v>1E+099</v>
      </c>
      <c r="G160" s="226" t="n">
        <v>1E+099</v>
      </c>
      <c r="H160" s="57" t="s">
        <v>18</v>
      </c>
      <c r="I160" s="24"/>
      <c r="J160" s="24" t="n">
        <v>115.2</v>
      </c>
      <c r="K160" s="24" t="n">
        <v>111.3</v>
      </c>
      <c r="L160" s="24" t="n">
        <v>107.5</v>
      </c>
      <c r="M160" s="24"/>
      <c r="N160" s="24"/>
      <c r="O160" s="24"/>
      <c r="P160" s="24"/>
      <c r="Q160" s="24"/>
      <c r="R160" s="24"/>
      <c r="S160" s="24"/>
      <c r="T160" s="24"/>
      <c r="U160" s="24"/>
      <c r="V160" s="24"/>
      <c r="W160" s="24"/>
      <c r="X160" s="24"/>
      <c r="Y160" s="25"/>
      <c r="Z160" s="6"/>
      <c r="AA160" s="7"/>
      <c r="AB160" s="7"/>
      <c r="AC160" s="80" t="n">
        <f aca="false">A160</f>
        <v>-30</v>
      </c>
      <c r="AD160" s="227" t="n">
        <f aca="false">E160</f>
        <v>1E+099</v>
      </c>
      <c r="AE160" s="227" t="n">
        <f aca="false">F160</f>
        <v>1E+099</v>
      </c>
      <c r="AF160" s="227" t="n">
        <f aca="false">G160</f>
        <v>1E+099</v>
      </c>
      <c r="AG160" s="80" t="n">
        <f aca="false">Table9[[#This Row],[RTH(min) (kΩ)]]*RT2_TH_MIN/(RT2_TH_MIN+Table9[[#This Row],[RTH(min) (kΩ)]])</f>
        <v>30.4747736237676</v>
      </c>
      <c r="AH160" s="80" t="n">
        <f aca="false">Table9[[#This Row],[RTH(nom) (kΩ)]]*RT2_TH_S/(RT2_TH_S+Table9[[#This Row],[RTH(nom) (kΩ)]])</f>
        <v>30.5052789026703</v>
      </c>
      <c r="AI160" s="80" t="n">
        <f aca="false">Table9[[#This Row],[RTH(max) (kΩ)]]*RT2_TH_S_MAX/(RT2_TH_S_MAX+Table9[[#This Row],[RTH(max) (kΩ)]])</f>
        <v>30.5357841815729</v>
      </c>
      <c r="AJ160" s="80" t="n">
        <f aca="false">Table9[[#This Row],[RLower(min) (kΩ)]]/(Table9[[#This Row],[RLower(min) (kΩ)]]+RT1_TH_S_MAX)*100</f>
        <v>85.3324434624328</v>
      </c>
      <c r="AK160" s="80" t="n">
        <f aca="false">Table9[[#This Row],[RLower(nom) (kΩ)]]/(Table9[[#This Row],[RLower(nom) (kΩ)]]+RT1_TH_S)*100</f>
        <v>85.3574581546083</v>
      </c>
      <c r="AL160" s="80" t="n">
        <f aca="false">Table9[[#This Row],[RLower(max) (kΩ)]]/(Table9[[#This Row],[RLower(max) (kΩ)]]+RT1_TH_S_MIN)*100</f>
        <v>85.3824374935466</v>
      </c>
      <c r="AM160" s="80" t="n">
        <f aca="false">IF(Table9[[#This Row],[Vmin (%)]]&lt;$BA$14, 0, IF(Table9[[#This Row],[Vmin (%)]]&lt;$BA$12, 4, IF(Table9[[#This Row],[Vmin (%)]]&lt;$BA$9, 3, IF(Table9[[#This Row],[Vmin (%)]]&lt;$BA$7, 2, 0))))</f>
        <v>0</v>
      </c>
      <c r="AN160" s="80" t="n">
        <f aca="false">IF(Table9[[#This Row],[Vmin (%)]]&lt;$BA$13, 0, IF(Table9[[#This Row],[Vmin (%)]]&lt;$BA$11, 4, IF(Table9[[#This Row],[Vmin (%)]]&lt;$BA$10, 3, IF(Table9[[#This Row],[Vmin (%)]]&lt;$BA$8, 2, 0))))</f>
        <v>0</v>
      </c>
      <c r="AO160" s="217" t="str">
        <f aca="false">IF(Table9[[#This Row],[Vmin (%)]]&lt;$BA$14, "Hot", IF(Table9[[#This Row],[Vmin (%)]]&lt;$BA$12, "Warm", IF(Table9[[#This Row],[Vmin (%)]]&lt;$BA$9, "Normal", IF(Table9[[#This Row],[Vmin (%)]]&lt;$BA$7, "Cool", "Cold"))))</f>
        <v>Cold</v>
      </c>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row>
    <row r="161" customFormat="false" ht="16.4" hidden="true" customHeight="false" outlineLevel="0" collapsed="false">
      <c r="A161" s="218" t="n">
        <f aca="false">A160-1</f>
        <v>-31</v>
      </c>
      <c r="B161" s="191"/>
      <c r="C161" s="219" t="str">
        <f aca="false">_xlfn.CONCAT("RTH at ",A161, " °C")</f>
        <v>RTH at -31 °C</v>
      </c>
      <c r="D161" s="220" t="n">
        <f aca="false">$D$105+(ROW(D161)-ROW($D$105))*($D$180-$D$105)/(ROW($D$180)-ROW($D$105))</f>
        <v>3.42666666666667</v>
      </c>
      <c r="E161" s="224" t="n">
        <v>1E+099</v>
      </c>
      <c r="F161" s="225" t="n">
        <v>1E+099</v>
      </c>
      <c r="G161" s="226" t="n">
        <v>1E+099</v>
      </c>
      <c r="H161" s="57" t="s">
        <v>18</v>
      </c>
      <c r="I161" s="24"/>
      <c r="J161" s="24" t="n">
        <v>121.2</v>
      </c>
      <c r="K161" s="24" t="n">
        <v>117.1</v>
      </c>
      <c r="L161" s="24" t="n">
        <v>113.1</v>
      </c>
      <c r="M161" s="24"/>
      <c r="N161" s="24"/>
      <c r="O161" s="24"/>
      <c r="P161" s="24"/>
      <c r="Q161" s="24"/>
      <c r="R161" s="24"/>
      <c r="S161" s="24"/>
      <c r="T161" s="24"/>
      <c r="U161" s="24"/>
      <c r="V161" s="24"/>
      <c r="W161" s="24"/>
      <c r="X161" s="24"/>
      <c r="Y161" s="25"/>
      <c r="Z161" s="6"/>
      <c r="AA161" s="7"/>
      <c r="AB161" s="7"/>
      <c r="AC161" s="80" t="n">
        <f aca="false">A161</f>
        <v>-31</v>
      </c>
      <c r="AD161" s="227" t="n">
        <f aca="false">E161</f>
        <v>1E+099</v>
      </c>
      <c r="AE161" s="227" t="n">
        <f aca="false">F161</f>
        <v>1E+099</v>
      </c>
      <c r="AF161" s="227" t="n">
        <f aca="false">G161</f>
        <v>1E+099</v>
      </c>
      <c r="AG161" s="80" t="n">
        <f aca="false">Table9[[#This Row],[RTH(min) (kΩ)]]*RT2_TH_MIN/(RT2_TH_MIN+Table9[[#This Row],[RTH(min) (kΩ)]])</f>
        <v>30.4747736237676</v>
      </c>
      <c r="AH161" s="80" t="n">
        <f aca="false">Table9[[#This Row],[RTH(nom) (kΩ)]]*RT2_TH_S/(RT2_TH_S+Table9[[#This Row],[RTH(nom) (kΩ)]])</f>
        <v>30.5052789026703</v>
      </c>
      <c r="AI161" s="80" t="n">
        <f aca="false">Table9[[#This Row],[RTH(max) (kΩ)]]*RT2_TH_S_MAX/(RT2_TH_S_MAX+Table9[[#This Row],[RTH(max) (kΩ)]])</f>
        <v>30.5357841815729</v>
      </c>
      <c r="AJ161" s="80" t="n">
        <f aca="false">Table9[[#This Row],[RLower(min) (kΩ)]]/(Table9[[#This Row],[RLower(min) (kΩ)]]+RT1_TH_S_MAX)*100</f>
        <v>85.3324434624328</v>
      </c>
      <c r="AK161" s="80" t="n">
        <f aca="false">Table9[[#This Row],[RLower(nom) (kΩ)]]/(Table9[[#This Row],[RLower(nom) (kΩ)]]+RT1_TH_S)*100</f>
        <v>85.3574581546083</v>
      </c>
      <c r="AL161" s="80" t="n">
        <f aca="false">Table9[[#This Row],[RLower(max) (kΩ)]]/(Table9[[#This Row],[RLower(max) (kΩ)]]+RT1_TH_S_MIN)*100</f>
        <v>85.3824374935466</v>
      </c>
      <c r="AM161" s="80" t="n">
        <f aca="false">IF(Table9[[#This Row],[Vmin (%)]]&lt;$BA$14, 0, IF(Table9[[#This Row],[Vmin (%)]]&lt;$BA$12, 4, IF(Table9[[#This Row],[Vmin (%)]]&lt;$BA$9, 3, IF(Table9[[#This Row],[Vmin (%)]]&lt;$BA$7, 2, 0))))</f>
        <v>0</v>
      </c>
      <c r="AN161" s="80" t="n">
        <f aca="false">IF(Table9[[#This Row],[Vmin (%)]]&lt;$BA$13, 0, IF(Table9[[#This Row],[Vmin (%)]]&lt;$BA$11, 4, IF(Table9[[#This Row],[Vmin (%)]]&lt;$BA$10, 3, IF(Table9[[#This Row],[Vmin (%)]]&lt;$BA$8, 2, 0))))</f>
        <v>0</v>
      </c>
      <c r="AO161" s="217" t="str">
        <f aca="false">IF(Table9[[#This Row],[Vmin (%)]]&lt;$BA$14, "Hot", IF(Table9[[#This Row],[Vmin (%)]]&lt;$BA$12, "Warm", IF(Table9[[#This Row],[Vmin (%)]]&lt;$BA$9, "Normal", IF(Table9[[#This Row],[Vmin (%)]]&lt;$BA$7, "Cool", "Cold"))))</f>
        <v>Cold</v>
      </c>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c r="GZ161" s="7"/>
      <c r="HA161" s="7"/>
      <c r="HB161" s="7"/>
    </row>
    <row r="162" customFormat="false" ht="16.4" hidden="true" customHeight="false" outlineLevel="0" collapsed="false">
      <c r="A162" s="218" t="n">
        <f aca="false">A161-1</f>
        <v>-32</v>
      </c>
      <c r="B162" s="191"/>
      <c r="C162" s="219" t="str">
        <f aca="false">_xlfn.CONCAT("RTH at ",A162, " °C")</f>
        <v>RTH at -32 °C</v>
      </c>
      <c r="D162" s="220" t="n">
        <f aca="false">$D$105+(ROW(D162)-ROW($D$105))*($D$180-$D$105)/(ROW($D$180)-ROW($D$105))</f>
        <v>3.47</v>
      </c>
      <c r="E162" s="224" t="n">
        <v>1E+099</v>
      </c>
      <c r="F162" s="225" t="n">
        <v>1E+099</v>
      </c>
      <c r="G162" s="226" t="n">
        <v>1E+099</v>
      </c>
      <c r="H162" s="57" t="s">
        <v>18</v>
      </c>
      <c r="I162" s="24"/>
      <c r="J162" s="24" t="n">
        <v>127.7</v>
      </c>
      <c r="K162" s="24" t="n">
        <v>123.3</v>
      </c>
      <c r="L162" s="24" t="n">
        <v>119</v>
      </c>
      <c r="M162" s="24"/>
      <c r="N162" s="24"/>
      <c r="O162" s="24"/>
      <c r="P162" s="24"/>
      <c r="Q162" s="24"/>
      <c r="R162" s="24"/>
      <c r="S162" s="24"/>
      <c r="T162" s="24"/>
      <c r="U162" s="24"/>
      <c r="V162" s="24"/>
      <c r="W162" s="24"/>
      <c r="X162" s="24"/>
      <c r="Y162" s="25"/>
      <c r="Z162" s="6"/>
      <c r="AA162" s="7"/>
      <c r="AB162" s="7"/>
      <c r="AC162" s="80" t="n">
        <f aca="false">A162</f>
        <v>-32</v>
      </c>
      <c r="AD162" s="227" t="n">
        <f aca="false">E162</f>
        <v>1E+099</v>
      </c>
      <c r="AE162" s="227" t="n">
        <f aca="false">F162</f>
        <v>1E+099</v>
      </c>
      <c r="AF162" s="227" t="n">
        <f aca="false">G162</f>
        <v>1E+099</v>
      </c>
      <c r="AG162" s="80" t="n">
        <f aca="false">Table9[[#This Row],[RTH(min) (kΩ)]]*RT2_TH_MIN/(RT2_TH_MIN+Table9[[#This Row],[RTH(min) (kΩ)]])</f>
        <v>30.4747736237676</v>
      </c>
      <c r="AH162" s="80" t="n">
        <f aca="false">Table9[[#This Row],[RTH(nom) (kΩ)]]*RT2_TH_S/(RT2_TH_S+Table9[[#This Row],[RTH(nom) (kΩ)]])</f>
        <v>30.5052789026703</v>
      </c>
      <c r="AI162" s="80" t="n">
        <f aca="false">Table9[[#This Row],[RTH(max) (kΩ)]]*RT2_TH_S_MAX/(RT2_TH_S_MAX+Table9[[#This Row],[RTH(max) (kΩ)]])</f>
        <v>30.5357841815729</v>
      </c>
      <c r="AJ162" s="80" t="n">
        <f aca="false">Table9[[#This Row],[RLower(min) (kΩ)]]/(Table9[[#This Row],[RLower(min) (kΩ)]]+RT1_TH_S_MAX)*100</f>
        <v>85.3324434624328</v>
      </c>
      <c r="AK162" s="80" t="n">
        <f aca="false">Table9[[#This Row],[RLower(nom) (kΩ)]]/(Table9[[#This Row],[RLower(nom) (kΩ)]]+RT1_TH_S)*100</f>
        <v>85.3574581546083</v>
      </c>
      <c r="AL162" s="80" t="n">
        <f aca="false">Table9[[#This Row],[RLower(max) (kΩ)]]/(Table9[[#This Row],[RLower(max) (kΩ)]]+RT1_TH_S_MIN)*100</f>
        <v>85.3824374935466</v>
      </c>
      <c r="AM162" s="80" t="n">
        <f aca="false">IF(Table9[[#This Row],[Vmin (%)]]&lt;$BA$14, 0, IF(Table9[[#This Row],[Vmin (%)]]&lt;$BA$12, 4, IF(Table9[[#This Row],[Vmin (%)]]&lt;$BA$9, 3, IF(Table9[[#This Row],[Vmin (%)]]&lt;$BA$7, 2, 0))))</f>
        <v>0</v>
      </c>
      <c r="AN162" s="80" t="n">
        <f aca="false">IF(Table9[[#This Row],[Vmin (%)]]&lt;$BA$13, 0, IF(Table9[[#This Row],[Vmin (%)]]&lt;$BA$11, 4, IF(Table9[[#This Row],[Vmin (%)]]&lt;$BA$10, 3, IF(Table9[[#This Row],[Vmin (%)]]&lt;$BA$8, 2, 0))))</f>
        <v>0</v>
      </c>
      <c r="AO162" s="217" t="str">
        <f aca="false">IF(Table9[[#This Row],[Vmin (%)]]&lt;$BA$14, "Hot", IF(Table9[[#This Row],[Vmin (%)]]&lt;$BA$12, "Warm", IF(Table9[[#This Row],[Vmin (%)]]&lt;$BA$9, "Normal", IF(Table9[[#This Row],[Vmin (%)]]&lt;$BA$7, "Cool", "Cold"))))</f>
        <v>Cold</v>
      </c>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c r="FL162" s="7"/>
      <c r="FM162" s="7"/>
      <c r="FN162" s="7"/>
      <c r="FO162" s="7"/>
      <c r="FP162" s="7"/>
      <c r="FQ162" s="7"/>
      <c r="FR162" s="7"/>
      <c r="FS162" s="7"/>
      <c r="FT162" s="7"/>
      <c r="FU162" s="7"/>
      <c r="FV162" s="7"/>
      <c r="FW162" s="7"/>
      <c r="FX162" s="7"/>
      <c r="FY162" s="7"/>
      <c r="FZ162" s="7"/>
      <c r="GA162" s="7"/>
      <c r="GB162" s="7"/>
      <c r="GC162" s="7"/>
      <c r="GD162" s="7"/>
      <c r="GE162" s="7"/>
      <c r="GF162" s="7"/>
      <c r="GG162" s="7"/>
      <c r="GH162" s="7"/>
      <c r="GI162" s="7"/>
      <c r="GJ162" s="7"/>
      <c r="GK162" s="7"/>
      <c r="GL162" s="7"/>
      <c r="GM162" s="7"/>
      <c r="GN162" s="7"/>
      <c r="GO162" s="7"/>
      <c r="GP162" s="7"/>
      <c r="GQ162" s="7"/>
      <c r="GR162" s="7"/>
      <c r="GS162" s="7"/>
      <c r="GT162" s="7"/>
      <c r="GU162" s="7"/>
      <c r="GV162" s="7"/>
      <c r="GW162" s="7"/>
      <c r="GX162" s="7"/>
      <c r="GY162" s="7"/>
      <c r="GZ162" s="7"/>
      <c r="HA162" s="7"/>
      <c r="HB162" s="7"/>
    </row>
    <row r="163" customFormat="false" ht="16.4" hidden="true" customHeight="false" outlineLevel="0" collapsed="false">
      <c r="A163" s="218" t="n">
        <f aca="false">A162-1</f>
        <v>-33</v>
      </c>
      <c r="B163" s="191"/>
      <c r="C163" s="219" t="str">
        <f aca="false">_xlfn.CONCAT("RTH at ",A163, " °C")</f>
        <v>RTH at -33 °C</v>
      </c>
      <c r="D163" s="220" t="n">
        <f aca="false">$D$105+(ROW(D163)-ROW($D$105))*($D$180-$D$105)/(ROW($D$180)-ROW($D$105))</f>
        <v>3.51333333333333</v>
      </c>
      <c r="E163" s="224" t="n">
        <v>1E+099</v>
      </c>
      <c r="F163" s="225" t="n">
        <v>1E+099</v>
      </c>
      <c r="G163" s="226" t="n">
        <v>1E+099</v>
      </c>
      <c r="H163" s="57" t="s">
        <v>18</v>
      </c>
      <c r="I163" s="24"/>
      <c r="J163" s="24" t="n">
        <v>134.5</v>
      </c>
      <c r="K163" s="24" t="n">
        <v>129.8</v>
      </c>
      <c r="L163" s="24" t="n">
        <v>125.2</v>
      </c>
      <c r="M163" s="24"/>
      <c r="N163" s="24"/>
      <c r="O163" s="24"/>
      <c r="P163" s="24"/>
      <c r="Q163" s="24"/>
      <c r="R163" s="24"/>
      <c r="S163" s="24"/>
      <c r="T163" s="24"/>
      <c r="U163" s="24"/>
      <c r="V163" s="24"/>
      <c r="W163" s="24"/>
      <c r="X163" s="24"/>
      <c r="Y163" s="25"/>
      <c r="Z163" s="6"/>
      <c r="AA163" s="7"/>
      <c r="AB163" s="7"/>
      <c r="AC163" s="80" t="n">
        <f aca="false">A163</f>
        <v>-33</v>
      </c>
      <c r="AD163" s="227" t="n">
        <f aca="false">E163</f>
        <v>1E+099</v>
      </c>
      <c r="AE163" s="227" t="n">
        <f aca="false">F163</f>
        <v>1E+099</v>
      </c>
      <c r="AF163" s="227" t="n">
        <f aca="false">G163</f>
        <v>1E+099</v>
      </c>
      <c r="AG163" s="80" t="n">
        <f aca="false">Table9[[#This Row],[RTH(min) (kΩ)]]*RT2_TH_MIN/(RT2_TH_MIN+Table9[[#This Row],[RTH(min) (kΩ)]])</f>
        <v>30.4747736237676</v>
      </c>
      <c r="AH163" s="80" t="n">
        <f aca="false">Table9[[#This Row],[RTH(nom) (kΩ)]]*RT2_TH_S/(RT2_TH_S+Table9[[#This Row],[RTH(nom) (kΩ)]])</f>
        <v>30.5052789026703</v>
      </c>
      <c r="AI163" s="80" t="n">
        <f aca="false">Table9[[#This Row],[RTH(max) (kΩ)]]*RT2_TH_S_MAX/(RT2_TH_S_MAX+Table9[[#This Row],[RTH(max) (kΩ)]])</f>
        <v>30.5357841815729</v>
      </c>
      <c r="AJ163" s="80" t="n">
        <f aca="false">Table9[[#This Row],[RLower(min) (kΩ)]]/(Table9[[#This Row],[RLower(min) (kΩ)]]+RT1_TH_S_MAX)*100</f>
        <v>85.3324434624328</v>
      </c>
      <c r="AK163" s="80" t="n">
        <f aca="false">Table9[[#This Row],[RLower(nom) (kΩ)]]/(Table9[[#This Row],[RLower(nom) (kΩ)]]+RT1_TH_S)*100</f>
        <v>85.3574581546083</v>
      </c>
      <c r="AL163" s="80" t="n">
        <f aca="false">Table9[[#This Row],[RLower(max) (kΩ)]]/(Table9[[#This Row],[RLower(max) (kΩ)]]+RT1_TH_S_MIN)*100</f>
        <v>85.3824374935466</v>
      </c>
      <c r="AM163" s="80" t="n">
        <f aca="false">IF(Table9[[#This Row],[Vmin (%)]]&lt;$BA$14, 0, IF(Table9[[#This Row],[Vmin (%)]]&lt;$BA$12, 4, IF(Table9[[#This Row],[Vmin (%)]]&lt;$BA$9, 3, IF(Table9[[#This Row],[Vmin (%)]]&lt;$BA$7, 2, 0))))</f>
        <v>0</v>
      </c>
      <c r="AN163" s="80" t="n">
        <f aca="false">IF(Table9[[#This Row],[Vmin (%)]]&lt;$BA$13, 0, IF(Table9[[#This Row],[Vmin (%)]]&lt;$BA$11, 4, IF(Table9[[#This Row],[Vmin (%)]]&lt;$BA$10, 3, IF(Table9[[#This Row],[Vmin (%)]]&lt;$BA$8, 2, 0))))</f>
        <v>0</v>
      </c>
      <c r="AO163" s="217" t="str">
        <f aca="false">IF(Table9[[#This Row],[Vmin (%)]]&lt;$BA$14, "Hot", IF(Table9[[#This Row],[Vmin (%)]]&lt;$BA$12, "Warm", IF(Table9[[#This Row],[Vmin (%)]]&lt;$BA$9, "Normal", IF(Table9[[#This Row],[Vmin (%)]]&lt;$BA$7, "Cool", "Cold"))))</f>
        <v>Cold</v>
      </c>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row>
    <row r="164" customFormat="false" ht="16.4" hidden="true" customHeight="false" outlineLevel="0" collapsed="false">
      <c r="A164" s="218" t="n">
        <f aca="false">A163-1</f>
        <v>-34</v>
      </c>
      <c r="B164" s="191"/>
      <c r="C164" s="219" t="str">
        <f aca="false">_xlfn.CONCAT("RTH at ",A164, " °C")</f>
        <v>RTH at -34 °C</v>
      </c>
      <c r="D164" s="220" t="n">
        <f aca="false">$D$105+(ROW(D164)-ROW($D$105))*($D$180-$D$105)/(ROW($D$180)-ROW($D$105))</f>
        <v>3.55666666666667</v>
      </c>
      <c r="E164" s="224" t="n">
        <v>1E+099</v>
      </c>
      <c r="F164" s="225" t="n">
        <v>1E+099</v>
      </c>
      <c r="G164" s="226" t="n">
        <v>1E+099</v>
      </c>
      <c r="H164" s="57" t="s">
        <v>18</v>
      </c>
      <c r="I164" s="24"/>
      <c r="J164" s="24" t="n">
        <v>141.7</v>
      </c>
      <c r="K164" s="24" t="n">
        <v>136.7</v>
      </c>
      <c r="L164" s="24" t="n">
        <v>131.8</v>
      </c>
      <c r="M164" s="24"/>
      <c r="N164" s="24"/>
      <c r="O164" s="24"/>
      <c r="P164" s="24"/>
      <c r="Q164" s="24"/>
      <c r="R164" s="24"/>
      <c r="S164" s="24"/>
      <c r="T164" s="24"/>
      <c r="U164" s="24"/>
      <c r="V164" s="24"/>
      <c r="W164" s="24"/>
      <c r="X164" s="24"/>
      <c r="Y164" s="25"/>
      <c r="Z164" s="6"/>
      <c r="AA164" s="7"/>
      <c r="AB164" s="7"/>
      <c r="AC164" s="80" t="n">
        <f aca="false">A164</f>
        <v>-34</v>
      </c>
      <c r="AD164" s="227" t="n">
        <f aca="false">E164</f>
        <v>1E+099</v>
      </c>
      <c r="AE164" s="227" t="n">
        <f aca="false">F164</f>
        <v>1E+099</v>
      </c>
      <c r="AF164" s="227" t="n">
        <f aca="false">G164</f>
        <v>1E+099</v>
      </c>
      <c r="AG164" s="80" t="n">
        <f aca="false">Table9[[#This Row],[RTH(min) (kΩ)]]*RT2_TH_MIN/(RT2_TH_MIN+Table9[[#This Row],[RTH(min) (kΩ)]])</f>
        <v>30.4747736237676</v>
      </c>
      <c r="AH164" s="80" t="n">
        <f aca="false">Table9[[#This Row],[RTH(nom) (kΩ)]]*RT2_TH_S/(RT2_TH_S+Table9[[#This Row],[RTH(nom) (kΩ)]])</f>
        <v>30.5052789026703</v>
      </c>
      <c r="AI164" s="80" t="n">
        <f aca="false">Table9[[#This Row],[RTH(max) (kΩ)]]*RT2_TH_S_MAX/(RT2_TH_S_MAX+Table9[[#This Row],[RTH(max) (kΩ)]])</f>
        <v>30.5357841815729</v>
      </c>
      <c r="AJ164" s="80" t="n">
        <f aca="false">Table9[[#This Row],[RLower(min) (kΩ)]]/(Table9[[#This Row],[RLower(min) (kΩ)]]+RT1_TH_S_MAX)*100</f>
        <v>85.3324434624328</v>
      </c>
      <c r="AK164" s="80" t="n">
        <f aca="false">Table9[[#This Row],[RLower(nom) (kΩ)]]/(Table9[[#This Row],[RLower(nom) (kΩ)]]+RT1_TH_S)*100</f>
        <v>85.3574581546083</v>
      </c>
      <c r="AL164" s="80" t="n">
        <f aca="false">Table9[[#This Row],[RLower(max) (kΩ)]]/(Table9[[#This Row],[RLower(max) (kΩ)]]+RT1_TH_S_MIN)*100</f>
        <v>85.3824374935466</v>
      </c>
      <c r="AM164" s="80" t="n">
        <f aca="false">IF(Table9[[#This Row],[Vmin (%)]]&lt;$BA$14, 0, IF(Table9[[#This Row],[Vmin (%)]]&lt;$BA$12, 4, IF(Table9[[#This Row],[Vmin (%)]]&lt;$BA$9, 3, IF(Table9[[#This Row],[Vmin (%)]]&lt;$BA$7, 2, 0))))</f>
        <v>0</v>
      </c>
      <c r="AN164" s="80" t="n">
        <f aca="false">IF(Table9[[#This Row],[Vmin (%)]]&lt;$BA$13, 0, IF(Table9[[#This Row],[Vmin (%)]]&lt;$BA$11, 4, IF(Table9[[#This Row],[Vmin (%)]]&lt;$BA$10, 3, IF(Table9[[#This Row],[Vmin (%)]]&lt;$BA$8, 2, 0))))</f>
        <v>0</v>
      </c>
      <c r="AO164" s="217" t="str">
        <f aca="false">IF(Table9[[#This Row],[Vmin (%)]]&lt;$BA$14, "Hot", IF(Table9[[#This Row],[Vmin (%)]]&lt;$BA$12, "Warm", IF(Table9[[#This Row],[Vmin (%)]]&lt;$BA$9, "Normal", IF(Table9[[#This Row],[Vmin (%)]]&lt;$BA$7, "Cool", "Cold"))))</f>
        <v>Cold</v>
      </c>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A164" s="7"/>
      <c r="HB164" s="7"/>
    </row>
    <row r="165" customFormat="false" ht="16.4" hidden="true" customHeight="false" outlineLevel="0" collapsed="false">
      <c r="A165" s="218" t="n">
        <f aca="false">A164-1</f>
        <v>-35</v>
      </c>
      <c r="B165" s="191"/>
      <c r="C165" s="219" t="str">
        <f aca="false">_xlfn.CONCAT("RTH at ",A165, " °C")</f>
        <v>RTH at -35 °C</v>
      </c>
      <c r="D165" s="220" t="n">
        <f aca="false">$D$105+(ROW(D165)-ROW($D$105))*($D$180-$D$105)/(ROW($D$180)-ROW($D$105))</f>
        <v>3.6</v>
      </c>
      <c r="E165" s="224" t="n">
        <v>1E+099</v>
      </c>
      <c r="F165" s="225" t="n">
        <v>1E+099</v>
      </c>
      <c r="G165" s="226" t="n">
        <v>1E+099</v>
      </c>
      <c r="H165" s="57" t="s">
        <v>18</v>
      </c>
      <c r="I165" s="24"/>
      <c r="J165" s="24" t="n">
        <v>149.4</v>
      </c>
      <c r="K165" s="24" t="n">
        <v>144.1</v>
      </c>
      <c r="L165" s="24" t="n">
        <v>138.8</v>
      </c>
      <c r="M165" s="24"/>
      <c r="N165" s="24"/>
      <c r="O165" s="24"/>
      <c r="P165" s="24"/>
      <c r="Q165" s="24"/>
      <c r="R165" s="24"/>
      <c r="S165" s="24"/>
      <c r="T165" s="24"/>
      <c r="U165" s="24"/>
      <c r="V165" s="24"/>
      <c r="W165" s="24"/>
      <c r="X165" s="24"/>
      <c r="Y165" s="25"/>
      <c r="Z165" s="6"/>
      <c r="AA165" s="7"/>
      <c r="AB165" s="7"/>
      <c r="AC165" s="80" t="n">
        <f aca="false">A165</f>
        <v>-35</v>
      </c>
      <c r="AD165" s="227" t="n">
        <f aca="false">E165</f>
        <v>1E+099</v>
      </c>
      <c r="AE165" s="227" t="n">
        <f aca="false">F165</f>
        <v>1E+099</v>
      </c>
      <c r="AF165" s="227" t="n">
        <f aca="false">G165</f>
        <v>1E+099</v>
      </c>
      <c r="AG165" s="80" t="n">
        <f aca="false">Table9[[#This Row],[RTH(min) (kΩ)]]*RT2_TH_MIN/(RT2_TH_MIN+Table9[[#This Row],[RTH(min) (kΩ)]])</f>
        <v>30.4747736237676</v>
      </c>
      <c r="AH165" s="80" t="n">
        <f aca="false">Table9[[#This Row],[RTH(nom) (kΩ)]]*RT2_TH_S/(RT2_TH_S+Table9[[#This Row],[RTH(nom) (kΩ)]])</f>
        <v>30.5052789026703</v>
      </c>
      <c r="AI165" s="80" t="n">
        <f aca="false">Table9[[#This Row],[RTH(max) (kΩ)]]*RT2_TH_S_MAX/(RT2_TH_S_MAX+Table9[[#This Row],[RTH(max) (kΩ)]])</f>
        <v>30.5357841815729</v>
      </c>
      <c r="AJ165" s="80" t="n">
        <f aca="false">Table9[[#This Row],[RLower(min) (kΩ)]]/(Table9[[#This Row],[RLower(min) (kΩ)]]+RT1_TH_S_MAX)*100</f>
        <v>85.3324434624328</v>
      </c>
      <c r="AK165" s="80" t="n">
        <f aca="false">Table9[[#This Row],[RLower(nom) (kΩ)]]/(Table9[[#This Row],[RLower(nom) (kΩ)]]+RT1_TH_S)*100</f>
        <v>85.3574581546083</v>
      </c>
      <c r="AL165" s="80" t="n">
        <f aca="false">Table9[[#This Row],[RLower(max) (kΩ)]]/(Table9[[#This Row],[RLower(max) (kΩ)]]+RT1_TH_S_MIN)*100</f>
        <v>85.3824374935466</v>
      </c>
      <c r="AM165" s="80" t="n">
        <f aca="false">IF(Table9[[#This Row],[Vmin (%)]]&lt;$BA$14, 0, IF(Table9[[#This Row],[Vmin (%)]]&lt;$BA$12, 4, IF(Table9[[#This Row],[Vmin (%)]]&lt;$BA$9, 3, IF(Table9[[#This Row],[Vmin (%)]]&lt;$BA$7, 2, 0))))</f>
        <v>0</v>
      </c>
      <c r="AN165" s="80" t="n">
        <f aca="false">IF(Table9[[#This Row],[Vmin (%)]]&lt;$BA$13, 0, IF(Table9[[#This Row],[Vmin (%)]]&lt;$BA$11, 4, IF(Table9[[#This Row],[Vmin (%)]]&lt;$BA$10, 3, IF(Table9[[#This Row],[Vmin (%)]]&lt;$BA$8, 2, 0))))</f>
        <v>0</v>
      </c>
      <c r="AO165" s="217" t="str">
        <f aca="false">IF(Table9[[#This Row],[Vmin (%)]]&lt;$BA$14, "Hot", IF(Table9[[#This Row],[Vmin (%)]]&lt;$BA$12, "Warm", IF(Table9[[#This Row],[Vmin (%)]]&lt;$BA$9, "Normal", IF(Table9[[#This Row],[Vmin (%)]]&lt;$BA$7, "Cool", "Cold"))))</f>
        <v>Cold</v>
      </c>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row>
    <row r="166" customFormat="false" ht="16.4" hidden="true" customHeight="false" outlineLevel="0" collapsed="false">
      <c r="A166" s="218" t="n">
        <f aca="false">A165-1</f>
        <v>-36</v>
      </c>
      <c r="B166" s="191"/>
      <c r="C166" s="219" t="str">
        <f aca="false">_xlfn.CONCAT("RTH at ",A166, " °C")</f>
        <v>RTH at -36 °C</v>
      </c>
      <c r="D166" s="220" t="n">
        <f aca="false">$D$105+(ROW(D166)-ROW($D$105))*($D$180-$D$105)/(ROW($D$180)-ROW($D$105))</f>
        <v>3.64333333333333</v>
      </c>
      <c r="E166" s="224" t="n">
        <v>1E+099</v>
      </c>
      <c r="F166" s="225" t="n">
        <v>1E+099</v>
      </c>
      <c r="G166" s="226" t="n">
        <v>1E+099</v>
      </c>
      <c r="H166" s="57" t="s">
        <v>18</v>
      </c>
      <c r="I166" s="24"/>
      <c r="J166" s="24" t="n">
        <v>157.6</v>
      </c>
      <c r="K166" s="24" t="n">
        <v>151.9</v>
      </c>
      <c r="L166" s="24" t="n">
        <v>146.3</v>
      </c>
      <c r="M166" s="24"/>
      <c r="N166" s="24"/>
      <c r="O166" s="24"/>
      <c r="P166" s="24"/>
      <c r="Q166" s="24"/>
      <c r="R166" s="24"/>
      <c r="S166" s="24"/>
      <c r="T166" s="24"/>
      <c r="U166" s="24"/>
      <c r="V166" s="24"/>
      <c r="W166" s="24"/>
      <c r="X166" s="24"/>
      <c r="Y166" s="25"/>
      <c r="Z166" s="6"/>
      <c r="AA166" s="7"/>
      <c r="AB166" s="7"/>
      <c r="AC166" s="80" t="n">
        <f aca="false">A166</f>
        <v>-36</v>
      </c>
      <c r="AD166" s="227" t="n">
        <f aca="false">E166</f>
        <v>1E+099</v>
      </c>
      <c r="AE166" s="227" t="n">
        <f aca="false">F166</f>
        <v>1E+099</v>
      </c>
      <c r="AF166" s="227" t="n">
        <f aca="false">G166</f>
        <v>1E+099</v>
      </c>
      <c r="AG166" s="80" t="n">
        <f aca="false">Table9[[#This Row],[RTH(min) (kΩ)]]*RT2_TH_MIN/(RT2_TH_MIN+Table9[[#This Row],[RTH(min) (kΩ)]])</f>
        <v>30.4747736237676</v>
      </c>
      <c r="AH166" s="80" t="n">
        <f aca="false">Table9[[#This Row],[RTH(nom) (kΩ)]]*RT2_TH_S/(RT2_TH_S+Table9[[#This Row],[RTH(nom) (kΩ)]])</f>
        <v>30.5052789026703</v>
      </c>
      <c r="AI166" s="80" t="n">
        <f aca="false">Table9[[#This Row],[RTH(max) (kΩ)]]*RT2_TH_S_MAX/(RT2_TH_S_MAX+Table9[[#This Row],[RTH(max) (kΩ)]])</f>
        <v>30.5357841815729</v>
      </c>
      <c r="AJ166" s="80" t="n">
        <f aca="false">Table9[[#This Row],[RLower(min) (kΩ)]]/(Table9[[#This Row],[RLower(min) (kΩ)]]+RT1_TH_S_MAX)*100</f>
        <v>85.3324434624328</v>
      </c>
      <c r="AK166" s="80" t="n">
        <f aca="false">Table9[[#This Row],[RLower(nom) (kΩ)]]/(Table9[[#This Row],[RLower(nom) (kΩ)]]+RT1_TH_S)*100</f>
        <v>85.3574581546083</v>
      </c>
      <c r="AL166" s="80" t="n">
        <f aca="false">Table9[[#This Row],[RLower(max) (kΩ)]]/(Table9[[#This Row],[RLower(max) (kΩ)]]+RT1_TH_S_MIN)*100</f>
        <v>85.3824374935466</v>
      </c>
      <c r="AM166" s="80" t="n">
        <f aca="false">IF(Table9[[#This Row],[Vmin (%)]]&lt;$BA$14, 0, IF(Table9[[#This Row],[Vmin (%)]]&lt;$BA$12, 4, IF(Table9[[#This Row],[Vmin (%)]]&lt;$BA$9, 3, IF(Table9[[#This Row],[Vmin (%)]]&lt;$BA$7, 2, 0))))</f>
        <v>0</v>
      </c>
      <c r="AN166" s="80" t="n">
        <f aca="false">IF(Table9[[#This Row],[Vmin (%)]]&lt;$BA$13, 0, IF(Table9[[#This Row],[Vmin (%)]]&lt;$BA$11, 4, IF(Table9[[#This Row],[Vmin (%)]]&lt;$BA$10, 3, IF(Table9[[#This Row],[Vmin (%)]]&lt;$BA$8, 2, 0))))</f>
        <v>0</v>
      </c>
      <c r="AO166" s="217" t="str">
        <f aca="false">IF(Table9[[#This Row],[Vmin (%)]]&lt;$BA$14, "Hot", IF(Table9[[#This Row],[Vmin (%)]]&lt;$BA$12, "Warm", IF(Table9[[#This Row],[Vmin (%)]]&lt;$BA$9, "Normal", IF(Table9[[#This Row],[Vmin (%)]]&lt;$BA$7, "Cool", "Cold"))))</f>
        <v>Cold</v>
      </c>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A166" s="7"/>
      <c r="HB166" s="7"/>
    </row>
    <row r="167" customFormat="false" ht="16.4" hidden="true" customHeight="false" outlineLevel="0" collapsed="false">
      <c r="A167" s="218" t="n">
        <f aca="false">A166-1</f>
        <v>-37</v>
      </c>
      <c r="B167" s="191"/>
      <c r="C167" s="219" t="str">
        <f aca="false">_xlfn.CONCAT("RTH at ",A167, " °C")</f>
        <v>RTH at -37 °C</v>
      </c>
      <c r="D167" s="220" t="n">
        <f aca="false">$D$105+(ROW(D167)-ROW($D$105))*($D$180-$D$105)/(ROW($D$180)-ROW($D$105))</f>
        <v>3.68666666666667</v>
      </c>
      <c r="E167" s="224" t="n">
        <v>1E+099</v>
      </c>
      <c r="F167" s="225" t="n">
        <v>1E+099</v>
      </c>
      <c r="G167" s="226" t="n">
        <v>1E+099</v>
      </c>
      <c r="H167" s="57" t="s">
        <v>18</v>
      </c>
      <c r="I167" s="24"/>
      <c r="J167" s="24" t="n">
        <v>166.3</v>
      </c>
      <c r="K167" s="24" t="n">
        <v>160.2</v>
      </c>
      <c r="L167" s="24" t="n">
        <v>154.2</v>
      </c>
      <c r="M167" s="24"/>
      <c r="N167" s="24"/>
      <c r="O167" s="24"/>
      <c r="P167" s="24"/>
      <c r="Q167" s="24"/>
      <c r="R167" s="24"/>
      <c r="S167" s="24"/>
      <c r="T167" s="24"/>
      <c r="U167" s="24"/>
      <c r="V167" s="24"/>
      <c r="W167" s="24"/>
      <c r="X167" s="24"/>
      <c r="Y167" s="25"/>
      <c r="Z167" s="6"/>
      <c r="AA167" s="7"/>
      <c r="AB167" s="7"/>
      <c r="AC167" s="80" t="n">
        <f aca="false">A167</f>
        <v>-37</v>
      </c>
      <c r="AD167" s="227" t="n">
        <f aca="false">E167</f>
        <v>1E+099</v>
      </c>
      <c r="AE167" s="227" t="n">
        <f aca="false">F167</f>
        <v>1E+099</v>
      </c>
      <c r="AF167" s="227" t="n">
        <f aca="false">G167</f>
        <v>1E+099</v>
      </c>
      <c r="AG167" s="80" t="n">
        <f aca="false">Table9[[#This Row],[RTH(min) (kΩ)]]*RT2_TH_MIN/(RT2_TH_MIN+Table9[[#This Row],[RTH(min) (kΩ)]])</f>
        <v>30.4747736237676</v>
      </c>
      <c r="AH167" s="80" t="n">
        <f aca="false">Table9[[#This Row],[RTH(nom) (kΩ)]]*RT2_TH_S/(RT2_TH_S+Table9[[#This Row],[RTH(nom) (kΩ)]])</f>
        <v>30.5052789026703</v>
      </c>
      <c r="AI167" s="80" t="n">
        <f aca="false">Table9[[#This Row],[RTH(max) (kΩ)]]*RT2_TH_S_MAX/(RT2_TH_S_MAX+Table9[[#This Row],[RTH(max) (kΩ)]])</f>
        <v>30.5357841815729</v>
      </c>
      <c r="AJ167" s="80" t="n">
        <f aca="false">Table9[[#This Row],[RLower(min) (kΩ)]]/(Table9[[#This Row],[RLower(min) (kΩ)]]+RT1_TH_S_MAX)*100</f>
        <v>85.3324434624328</v>
      </c>
      <c r="AK167" s="80" t="n">
        <f aca="false">Table9[[#This Row],[RLower(nom) (kΩ)]]/(Table9[[#This Row],[RLower(nom) (kΩ)]]+RT1_TH_S)*100</f>
        <v>85.3574581546083</v>
      </c>
      <c r="AL167" s="80" t="n">
        <f aca="false">Table9[[#This Row],[RLower(max) (kΩ)]]/(Table9[[#This Row],[RLower(max) (kΩ)]]+RT1_TH_S_MIN)*100</f>
        <v>85.3824374935466</v>
      </c>
      <c r="AM167" s="80" t="n">
        <f aca="false">IF(Table9[[#This Row],[Vmin (%)]]&lt;$BA$14, 0, IF(Table9[[#This Row],[Vmin (%)]]&lt;$BA$12, 4, IF(Table9[[#This Row],[Vmin (%)]]&lt;$BA$9, 3, IF(Table9[[#This Row],[Vmin (%)]]&lt;$BA$7, 2, 0))))</f>
        <v>0</v>
      </c>
      <c r="AN167" s="80" t="n">
        <f aca="false">IF(Table9[[#This Row],[Vmin (%)]]&lt;$BA$13, 0, IF(Table9[[#This Row],[Vmin (%)]]&lt;$BA$11, 4, IF(Table9[[#This Row],[Vmin (%)]]&lt;$BA$10, 3, IF(Table9[[#This Row],[Vmin (%)]]&lt;$BA$8, 2, 0))))</f>
        <v>0</v>
      </c>
      <c r="AO167" s="217" t="str">
        <f aca="false">IF(Table9[[#This Row],[Vmin (%)]]&lt;$BA$14, "Hot", IF(Table9[[#This Row],[Vmin (%)]]&lt;$BA$12, "Warm", IF(Table9[[#This Row],[Vmin (%)]]&lt;$BA$9, "Normal", IF(Table9[[#This Row],[Vmin (%)]]&lt;$BA$7, "Cool", "Cold"))))</f>
        <v>Cold</v>
      </c>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row>
    <row r="168" customFormat="false" ht="16.4" hidden="true" customHeight="false" outlineLevel="0" collapsed="false">
      <c r="A168" s="218" t="n">
        <f aca="false">A167-1</f>
        <v>-38</v>
      </c>
      <c r="B168" s="191"/>
      <c r="C168" s="219" t="str">
        <f aca="false">_xlfn.CONCAT("RTH at ",A168, " °C")</f>
        <v>RTH at -38 °C</v>
      </c>
      <c r="D168" s="220" t="n">
        <f aca="false">$D$105+(ROW(D168)-ROW($D$105))*($D$180-$D$105)/(ROW($D$180)-ROW($D$105))</f>
        <v>3.73</v>
      </c>
      <c r="E168" s="224" t="n">
        <v>1E+099</v>
      </c>
      <c r="F168" s="225" t="n">
        <v>1E+099</v>
      </c>
      <c r="G168" s="226" t="n">
        <v>1E+099</v>
      </c>
      <c r="H168" s="57" t="s">
        <v>18</v>
      </c>
      <c r="I168" s="24"/>
      <c r="J168" s="24" t="n">
        <v>175.6</v>
      </c>
      <c r="K168" s="24" t="n">
        <v>169</v>
      </c>
      <c r="L168" s="24" t="n">
        <v>162.6</v>
      </c>
      <c r="M168" s="24"/>
      <c r="N168" s="24"/>
      <c r="O168" s="24"/>
      <c r="P168" s="24"/>
      <c r="Q168" s="24"/>
      <c r="R168" s="24"/>
      <c r="S168" s="24"/>
      <c r="T168" s="24"/>
      <c r="U168" s="24"/>
      <c r="V168" s="24"/>
      <c r="W168" s="24"/>
      <c r="X168" s="24"/>
      <c r="Y168" s="25"/>
      <c r="Z168" s="6"/>
      <c r="AA168" s="7"/>
      <c r="AB168" s="7"/>
      <c r="AC168" s="80" t="n">
        <f aca="false">A168</f>
        <v>-38</v>
      </c>
      <c r="AD168" s="227" t="n">
        <f aca="false">E168</f>
        <v>1E+099</v>
      </c>
      <c r="AE168" s="227" t="n">
        <f aca="false">F168</f>
        <v>1E+099</v>
      </c>
      <c r="AF168" s="227" t="n">
        <f aca="false">G168</f>
        <v>1E+099</v>
      </c>
      <c r="AG168" s="80" t="n">
        <f aca="false">Table9[[#This Row],[RTH(min) (kΩ)]]*RT2_TH_MIN/(RT2_TH_MIN+Table9[[#This Row],[RTH(min) (kΩ)]])</f>
        <v>30.4747736237676</v>
      </c>
      <c r="AH168" s="80" t="n">
        <f aca="false">Table9[[#This Row],[RTH(nom) (kΩ)]]*RT2_TH_S/(RT2_TH_S+Table9[[#This Row],[RTH(nom) (kΩ)]])</f>
        <v>30.5052789026703</v>
      </c>
      <c r="AI168" s="80" t="n">
        <f aca="false">Table9[[#This Row],[RTH(max) (kΩ)]]*RT2_TH_S_MAX/(RT2_TH_S_MAX+Table9[[#This Row],[RTH(max) (kΩ)]])</f>
        <v>30.5357841815729</v>
      </c>
      <c r="AJ168" s="80" t="n">
        <f aca="false">Table9[[#This Row],[RLower(min) (kΩ)]]/(Table9[[#This Row],[RLower(min) (kΩ)]]+RT1_TH_S_MAX)*100</f>
        <v>85.3324434624328</v>
      </c>
      <c r="AK168" s="80" t="n">
        <f aca="false">Table9[[#This Row],[RLower(nom) (kΩ)]]/(Table9[[#This Row],[RLower(nom) (kΩ)]]+RT1_TH_S)*100</f>
        <v>85.3574581546083</v>
      </c>
      <c r="AL168" s="80" t="n">
        <f aca="false">Table9[[#This Row],[RLower(max) (kΩ)]]/(Table9[[#This Row],[RLower(max) (kΩ)]]+RT1_TH_S_MIN)*100</f>
        <v>85.3824374935466</v>
      </c>
      <c r="AM168" s="80" t="n">
        <f aca="false">IF(Table9[[#This Row],[Vmin (%)]]&lt;$BA$14, 0, IF(Table9[[#This Row],[Vmin (%)]]&lt;$BA$12, 4, IF(Table9[[#This Row],[Vmin (%)]]&lt;$BA$9, 3, IF(Table9[[#This Row],[Vmin (%)]]&lt;$BA$7, 2, 0))))</f>
        <v>0</v>
      </c>
      <c r="AN168" s="80" t="n">
        <f aca="false">IF(Table9[[#This Row],[Vmin (%)]]&lt;$BA$13, 0, IF(Table9[[#This Row],[Vmin (%)]]&lt;$BA$11, 4, IF(Table9[[#This Row],[Vmin (%)]]&lt;$BA$10, 3, IF(Table9[[#This Row],[Vmin (%)]]&lt;$BA$8, 2, 0))))</f>
        <v>0</v>
      </c>
      <c r="AO168" s="217" t="str">
        <f aca="false">IF(Table9[[#This Row],[Vmin (%)]]&lt;$BA$14, "Hot", IF(Table9[[#This Row],[Vmin (%)]]&lt;$BA$12, "Warm", IF(Table9[[#This Row],[Vmin (%)]]&lt;$BA$9, "Normal", IF(Table9[[#This Row],[Vmin (%)]]&lt;$BA$7, "Cool", "Cold"))))</f>
        <v>Cold</v>
      </c>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row>
    <row r="169" customFormat="false" ht="16.4" hidden="true" customHeight="false" outlineLevel="0" collapsed="false">
      <c r="A169" s="218" t="n">
        <f aca="false">A168-1</f>
        <v>-39</v>
      </c>
      <c r="B169" s="191"/>
      <c r="C169" s="219" t="str">
        <f aca="false">_xlfn.CONCAT("RTH at ",A169, " °C")</f>
        <v>RTH at -39 °C</v>
      </c>
      <c r="D169" s="220" t="n">
        <f aca="false">$D$105+(ROW(D169)-ROW($D$105))*($D$180-$D$105)/(ROW($D$180)-ROW($D$105))</f>
        <v>3.77333333333333</v>
      </c>
      <c r="E169" s="224" t="n">
        <v>1E+099</v>
      </c>
      <c r="F169" s="225" t="n">
        <v>1E+099</v>
      </c>
      <c r="G169" s="226" t="n">
        <v>1E+099</v>
      </c>
      <c r="H169" s="57" t="s">
        <v>18</v>
      </c>
      <c r="I169" s="24"/>
      <c r="J169" s="24" t="n">
        <v>185.5</v>
      </c>
      <c r="K169" s="24" t="n">
        <v>178.5</v>
      </c>
      <c r="L169" s="24" t="n">
        <v>171.6</v>
      </c>
      <c r="M169" s="24"/>
      <c r="N169" s="24"/>
      <c r="O169" s="24"/>
      <c r="P169" s="24"/>
      <c r="Q169" s="24"/>
      <c r="R169" s="24"/>
      <c r="S169" s="24"/>
      <c r="T169" s="24"/>
      <c r="U169" s="24"/>
      <c r="V169" s="24"/>
      <c r="W169" s="24"/>
      <c r="X169" s="24"/>
      <c r="Y169" s="25"/>
      <c r="Z169" s="6"/>
      <c r="AA169" s="7"/>
      <c r="AB169" s="7"/>
      <c r="AC169" s="80" t="n">
        <f aca="false">A169</f>
        <v>-39</v>
      </c>
      <c r="AD169" s="227" t="n">
        <f aca="false">E169</f>
        <v>1E+099</v>
      </c>
      <c r="AE169" s="227" t="n">
        <f aca="false">F169</f>
        <v>1E+099</v>
      </c>
      <c r="AF169" s="227" t="n">
        <f aca="false">G169</f>
        <v>1E+099</v>
      </c>
      <c r="AG169" s="80" t="n">
        <f aca="false">Table9[[#This Row],[RTH(min) (kΩ)]]*RT2_TH_MIN/(RT2_TH_MIN+Table9[[#This Row],[RTH(min) (kΩ)]])</f>
        <v>30.4747736237676</v>
      </c>
      <c r="AH169" s="80" t="n">
        <f aca="false">Table9[[#This Row],[RTH(nom) (kΩ)]]*RT2_TH_S/(RT2_TH_S+Table9[[#This Row],[RTH(nom) (kΩ)]])</f>
        <v>30.5052789026703</v>
      </c>
      <c r="AI169" s="80" t="n">
        <f aca="false">Table9[[#This Row],[RTH(max) (kΩ)]]*RT2_TH_S_MAX/(RT2_TH_S_MAX+Table9[[#This Row],[RTH(max) (kΩ)]])</f>
        <v>30.5357841815729</v>
      </c>
      <c r="AJ169" s="80" t="n">
        <f aca="false">Table9[[#This Row],[RLower(min) (kΩ)]]/(Table9[[#This Row],[RLower(min) (kΩ)]]+RT1_TH_S_MAX)*100</f>
        <v>85.3324434624328</v>
      </c>
      <c r="AK169" s="80" t="n">
        <f aca="false">Table9[[#This Row],[RLower(nom) (kΩ)]]/(Table9[[#This Row],[RLower(nom) (kΩ)]]+RT1_TH_S)*100</f>
        <v>85.3574581546083</v>
      </c>
      <c r="AL169" s="80" t="n">
        <f aca="false">Table9[[#This Row],[RLower(max) (kΩ)]]/(Table9[[#This Row],[RLower(max) (kΩ)]]+RT1_TH_S_MIN)*100</f>
        <v>85.3824374935466</v>
      </c>
      <c r="AM169" s="80" t="n">
        <f aca="false">IF(Table9[[#This Row],[Vmin (%)]]&lt;$BA$14, 0, IF(Table9[[#This Row],[Vmin (%)]]&lt;$BA$12, 4, IF(Table9[[#This Row],[Vmin (%)]]&lt;$BA$9, 3, IF(Table9[[#This Row],[Vmin (%)]]&lt;$BA$7, 2, 0))))</f>
        <v>0</v>
      </c>
      <c r="AN169" s="80" t="n">
        <f aca="false">IF(Table9[[#This Row],[Vmin (%)]]&lt;$BA$13, 0, IF(Table9[[#This Row],[Vmin (%)]]&lt;$BA$11, 4, IF(Table9[[#This Row],[Vmin (%)]]&lt;$BA$10, 3, IF(Table9[[#This Row],[Vmin (%)]]&lt;$BA$8, 2, 0))))</f>
        <v>0</v>
      </c>
      <c r="AO169" s="217" t="str">
        <f aca="false">IF(Table9[[#This Row],[Vmin (%)]]&lt;$BA$14, "Hot", IF(Table9[[#This Row],[Vmin (%)]]&lt;$BA$12, "Warm", IF(Table9[[#This Row],[Vmin (%)]]&lt;$BA$9, "Normal", IF(Table9[[#This Row],[Vmin (%)]]&lt;$BA$7, "Cool", "Cold"))))</f>
        <v>Cold</v>
      </c>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row>
    <row r="170" customFormat="false" ht="16.4" hidden="true" customHeight="false" outlineLevel="0" collapsed="false">
      <c r="A170" s="218" t="n">
        <f aca="false">A169-1</f>
        <v>-40</v>
      </c>
      <c r="B170" s="191"/>
      <c r="C170" s="219" t="str">
        <f aca="false">_xlfn.CONCAT("RTH at ",A170, " °C")</f>
        <v>RTH at -40 °C</v>
      </c>
      <c r="D170" s="220" t="n">
        <f aca="false">$D$105+(ROW(D170)-ROW($D$105))*($D$180-$D$105)/(ROW($D$180)-ROW($D$105))</f>
        <v>3.81666666666667</v>
      </c>
      <c r="E170" s="224" t="n">
        <v>1E+099</v>
      </c>
      <c r="F170" s="225" t="n">
        <v>1E+099</v>
      </c>
      <c r="G170" s="226" t="n">
        <v>1E+099</v>
      </c>
      <c r="H170" s="57" t="s">
        <v>18</v>
      </c>
      <c r="I170" s="24"/>
      <c r="J170" s="24" t="n">
        <v>196</v>
      </c>
      <c r="K170" s="24" t="n">
        <v>188.5</v>
      </c>
      <c r="L170" s="24" t="n">
        <v>181.1</v>
      </c>
      <c r="M170" s="24"/>
      <c r="N170" s="24"/>
      <c r="O170" s="24"/>
      <c r="P170" s="24"/>
      <c r="Q170" s="24"/>
      <c r="R170" s="24"/>
      <c r="S170" s="24"/>
      <c r="T170" s="24"/>
      <c r="U170" s="24"/>
      <c r="V170" s="24"/>
      <c r="W170" s="24"/>
      <c r="X170" s="24"/>
      <c r="Y170" s="25"/>
      <c r="Z170" s="6"/>
      <c r="AA170" s="7"/>
      <c r="AB170" s="7"/>
      <c r="AC170" s="80" t="n">
        <f aca="false">A170</f>
        <v>-40</v>
      </c>
      <c r="AD170" s="227" t="n">
        <f aca="false">E170</f>
        <v>1E+099</v>
      </c>
      <c r="AE170" s="227" t="n">
        <f aca="false">F170</f>
        <v>1E+099</v>
      </c>
      <c r="AF170" s="227" t="n">
        <f aca="false">G170</f>
        <v>1E+099</v>
      </c>
      <c r="AG170" s="80" t="n">
        <f aca="false">Table9[[#This Row],[RTH(min) (kΩ)]]*RT2_TH_MIN/(RT2_TH_MIN+Table9[[#This Row],[RTH(min) (kΩ)]])</f>
        <v>30.4747736237676</v>
      </c>
      <c r="AH170" s="80" t="n">
        <f aca="false">Table9[[#This Row],[RTH(nom) (kΩ)]]*RT2_TH_S/(RT2_TH_S+Table9[[#This Row],[RTH(nom) (kΩ)]])</f>
        <v>30.5052789026703</v>
      </c>
      <c r="AI170" s="80" t="n">
        <f aca="false">Table9[[#This Row],[RTH(max) (kΩ)]]*RT2_TH_S_MAX/(RT2_TH_S_MAX+Table9[[#This Row],[RTH(max) (kΩ)]])</f>
        <v>30.5357841815729</v>
      </c>
      <c r="AJ170" s="80" t="n">
        <f aca="false">Table9[[#This Row],[RLower(min) (kΩ)]]/(Table9[[#This Row],[RLower(min) (kΩ)]]+RT1_TH_S_MAX)*100</f>
        <v>85.3324434624328</v>
      </c>
      <c r="AK170" s="80" t="n">
        <f aca="false">Table9[[#This Row],[RLower(nom) (kΩ)]]/(Table9[[#This Row],[RLower(nom) (kΩ)]]+RT1_TH_S)*100</f>
        <v>85.3574581546083</v>
      </c>
      <c r="AL170" s="80" t="n">
        <f aca="false">Table9[[#This Row],[RLower(max) (kΩ)]]/(Table9[[#This Row],[RLower(max) (kΩ)]]+RT1_TH_S_MIN)*100</f>
        <v>85.3824374935466</v>
      </c>
      <c r="AM170" s="80" t="n">
        <f aca="false">IF(Table9[[#This Row],[Vmin (%)]]&lt;$BA$14, 0, IF(Table9[[#This Row],[Vmin (%)]]&lt;$BA$12, 4, IF(Table9[[#This Row],[Vmin (%)]]&lt;$BA$9, 3, IF(Table9[[#This Row],[Vmin (%)]]&lt;$BA$7, 2, 0))))</f>
        <v>0</v>
      </c>
      <c r="AN170" s="80" t="n">
        <f aca="false">IF(Table9[[#This Row],[Vmin (%)]]&lt;$BA$13, 0, IF(Table9[[#This Row],[Vmin (%)]]&lt;$BA$11, 4, IF(Table9[[#This Row],[Vmin (%)]]&lt;$BA$10, 3, IF(Table9[[#This Row],[Vmin (%)]]&lt;$BA$8, 2, 0))))</f>
        <v>0</v>
      </c>
      <c r="AO170" s="217" t="str">
        <f aca="false">IF(Table9[[#This Row],[Vmin (%)]]&lt;$BA$14, "Hot", IF(Table9[[#This Row],[Vmin (%)]]&lt;$BA$12, "Warm", IF(Table9[[#This Row],[Vmin (%)]]&lt;$BA$9, "Normal", IF(Table9[[#This Row],[Vmin (%)]]&lt;$BA$7, "Cool", "Cold"))))</f>
        <v>Cold</v>
      </c>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row>
    <row r="171" customFormat="false" ht="16.4" hidden="true" customHeight="false" outlineLevel="0" collapsed="false">
      <c r="A171" s="218" t="n">
        <f aca="false">A170-1</f>
        <v>-41</v>
      </c>
      <c r="B171" s="191"/>
      <c r="C171" s="219" t="str">
        <f aca="false">_xlfn.CONCAT("RTH at ",A171, " °C")</f>
        <v>RTH at -41 °C</v>
      </c>
      <c r="D171" s="220" t="n">
        <f aca="false">$D$105+(ROW(D171)-ROW($D$105))*($D$180-$D$105)/(ROW($D$180)-ROW($D$105))</f>
        <v>3.86</v>
      </c>
      <c r="E171" s="224" t="n">
        <v>1E+099</v>
      </c>
      <c r="F171" s="225" t="n">
        <v>1E+099</v>
      </c>
      <c r="G171" s="226" t="n">
        <v>1E+099</v>
      </c>
      <c r="H171" s="57" t="s">
        <v>18</v>
      </c>
      <c r="I171" s="24"/>
      <c r="J171" s="24" t="n">
        <v>207</v>
      </c>
      <c r="K171" s="24" t="n">
        <v>198.9</v>
      </c>
      <c r="L171" s="24" t="n">
        <v>191</v>
      </c>
      <c r="M171" s="24"/>
      <c r="N171" s="24"/>
      <c r="O171" s="24"/>
      <c r="P171" s="24"/>
      <c r="Q171" s="24"/>
      <c r="R171" s="24"/>
      <c r="S171" s="24"/>
      <c r="T171" s="24"/>
      <c r="U171" s="24"/>
      <c r="V171" s="24"/>
      <c r="W171" s="24"/>
      <c r="X171" s="24"/>
      <c r="Y171" s="25"/>
      <c r="Z171" s="6"/>
      <c r="AA171" s="7"/>
      <c r="AB171" s="7"/>
      <c r="AC171" s="80" t="n">
        <f aca="false">A171</f>
        <v>-41</v>
      </c>
      <c r="AD171" s="227" t="n">
        <f aca="false">E171</f>
        <v>1E+099</v>
      </c>
      <c r="AE171" s="227" t="n">
        <f aca="false">F171</f>
        <v>1E+099</v>
      </c>
      <c r="AF171" s="227" t="n">
        <f aca="false">G171</f>
        <v>1E+099</v>
      </c>
      <c r="AG171" s="80" t="n">
        <f aca="false">Table9[[#This Row],[RTH(min) (kΩ)]]*RT2_TH_MIN/(RT2_TH_MIN+Table9[[#This Row],[RTH(min) (kΩ)]])</f>
        <v>30.4747736237676</v>
      </c>
      <c r="AH171" s="80" t="n">
        <f aca="false">Table9[[#This Row],[RTH(nom) (kΩ)]]*RT2_TH_S/(RT2_TH_S+Table9[[#This Row],[RTH(nom) (kΩ)]])</f>
        <v>30.5052789026703</v>
      </c>
      <c r="AI171" s="80" t="n">
        <f aca="false">Table9[[#This Row],[RTH(max) (kΩ)]]*RT2_TH_S_MAX/(RT2_TH_S_MAX+Table9[[#This Row],[RTH(max) (kΩ)]])</f>
        <v>30.5357841815729</v>
      </c>
      <c r="AJ171" s="80" t="n">
        <f aca="false">Table9[[#This Row],[RLower(min) (kΩ)]]/(Table9[[#This Row],[RLower(min) (kΩ)]]+RT1_TH_S_MAX)*100</f>
        <v>85.3324434624328</v>
      </c>
      <c r="AK171" s="80" t="n">
        <f aca="false">Table9[[#This Row],[RLower(nom) (kΩ)]]/(Table9[[#This Row],[RLower(nom) (kΩ)]]+RT1_TH_S)*100</f>
        <v>85.3574581546083</v>
      </c>
      <c r="AL171" s="80" t="n">
        <f aca="false">Table9[[#This Row],[RLower(max) (kΩ)]]/(Table9[[#This Row],[RLower(max) (kΩ)]]+RT1_TH_S_MIN)*100</f>
        <v>85.3824374935466</v>
      </c>
      <c r="AM171" s="80" t="n">
        <f aca="false">IF(Table9[[#This Row],[Vmin (%)]]&lt;$BA$14, 0, IF(Table9[[#This Row],[Vmin (%)]]&lt;$BA$12, 4, IF(Table9[[#This Row],[Vmin (%)]]&lt;$BA$9, 3, IF(Table9[[#This Row],[Vmin (%)]]&lt;$BA$7, 2, 0))))</f>
        <v>0</v>
      </c>
      <c r="AN171" s="80" t="n">
        <f aca="false">IF(Table9[[#This Row],[Vmin (%)]]&lt;$BA$13, 0, IF(Table9[[#This Row],[Vmin (%)]]&lt;$BA$11, 4, IF(Table9[[#This Row],[Vmin (%)]]&lt;$BA$10, 3, IF(Table9[[#This Row],[Vmin (%)]]&lt;$BA$8, 2, 0))))</f>
        <v>0</v>
      </c>
      <c r="AO171" s="217" t="str">
        <f aca="false">IF(Table9[[#This Row],[Vmin (%)]]&lt;$BA$14, "Hot", IF(Table9[[#This Row],[Vmin (%)]]&lt;$BA$12, "Warm", IF(Table9[[#This Row],[Vmin (%)]]&lt;$BA$9, "Normal", IF(Table9[[#This Row],[Vmin (%)]]&lt;$BA$7, "Cool", "Cold"))))</f>
        <v>Cold</v>
      </c>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c r="FL171" s="7"/>
      <c r="FM171" s="7"/>
      <c r="FN171" s="7"/>
      <c r="FO171" s="7"/>
      <c r="FP171" s="7"/>
      <c r="FQ171" s="7"/>
      <c r="FR171" s="7"/>
      <c r="FS171" s="7"/>
      <c r="FT171" s="7"/>
      <c r="FU171" s="7"/>
      <c r="FV171" s="7"/>
      <c r="FW171" s="7"/>
      <c r="FX171" s="7"/>
      <c r="FY171" s="7"/>
      <c r="FZ171" s="7"/>
      <c r="GA171" s="7"/>
      <c r="GB171" s="7"/>
      <c r="GC171" s="7"/>
      <c r="GD171" s="7"/>
      <c r="GE171" s="7"/>
      <c r="GF171" s="7"/>
      <c r="GG171" s="7"/>
      <c r="GH171" s="7"/>
      <c r="GI171" s="7"/>
      <c r="GJ171" s="7"/>
      <c r="GK171" s="7"/>
      <c r="GL171" s="7"/>
      <c r="GM171" s="7"/>
      <c r="GN171" s="7"/>
      <c r="GO171" s="7"/>
      <c r="GP171" s="7"/>
      <c r="GQ171" s="7"/>
      <c r="GR171" s="7"/>
      <c r="GS171" s="7"/>
      <c r="GT171" s="7"/>
      <c r="GU171" s="7"/>
      <c r="GV171" s="7"/>
      <c r="GW171" s="7"/>
      <c r="GX171" s="7"/>
      <c r="GY171" s="7"/>
      <c r="GZ171" s="7"/>
      <c r="HA171" s="7"/>
      <c r="HB171" s="7"/>
    </row>
    <row r="172" customFormat="false" ht="16.4" hidden="true" customHeight="false" outlineLevel="0" collapsed="false">
      <c r="A172" s="218" t="n">
        <f aca="false">A171-1</f>
        <v>-42</v>
      </c>
      <c r="B172" s="191"/>
      <c r="C172" s="219" t="str">
        <f aca="false">_xlfn.CONCAT("RTH at ",A172, " °C")</f>
        <v>RTH at -42 °C</v>
      </c>
      <c r="D172" s="220" t="n">
        <f aca="false">$D$105+(ROW(D172)-ROW($D$105))*($D$180-$D$105)/(ROW($D$180)-ROW($D$105))</f>
        <v>3.90333333333333</v>
      </c>
      <c r="E172" s="224" t="n">
        <v>1E+099</v>
      </c>
      <c r="F172" s="225" t="n">
        <v>1E+099</v>
      </c>
      <c r="G172" s="226" t="n">
        <v>1E+099</v>
      </c>
      <c r="H172" s="57" t="s">
        <v>18</v>
      </c>
      <c r="I172" s="24"/>
      <c r="J172" s="24" t="n">
        <v>218.6</v>
      </c>
      <c r="K172" s="24" t="n">
        <v>209.9</v>
      </c>
      <c r="L172" s="24" t="n">
        <v>201.6</v>
      </c>
      <c r="M172" s="24"/>
      <c r="N172" s="24"/>
      <c r="O172" s="24"/>
      <c r="P172" s="24"/>
      <c r="Q172" s="24"/>
      <c r="R172" s="24"/>
      <c r="S172" s="24"/>
      <c r="T172" s="24"/>
      <c r="U172" s="24"/>
      <c r="V172" s="24"/>
      <c r="W172" s="24"/>
      <c r="X172" s="24"/>
      <c r="Y172" s="25"/>
      <c r="Z172" s="6"/>
      <c r="AA172" s="7"/>
      <c r="AB172" s="7"/>
      <c r="AC172" s="80" t="n">
        <f aca="false">A172</f>
        <v>-42</v>
      </c>
      <c r="AD172" s="227" t="n">
        <f aca="false">E172</f>
        <v>1E+099</v>
      </c>
      <c r="AE172" s="227" t="n">
        <f aca="false">F172</f>
        <v>1E+099</v>
      </c>
      <c r="AF172" s="227" t="n">
        <f aca="false">G172</f>
        <v>1E+099</v>
      </c>
      <c r="AG172" s="80" t="n">
        <f aca="false">Table9[[#This Row],[RTH(min) (kΩ)]]*RT2_TH_MIN/(RT2_TH_MIN+Table9[[#This Row],[RTH(min) (kΩ)]])</f>
        <v>30.4747736237676</v>
      </c>
      <c r="AH172" s="80" t="n">
        <f aca="false">Table9[[#This Row],[RTH(nom) (kΩ)]]*RT2_TH_S/(RT2_TH_S+Table9[[#This Row],[RTH(nom) (kΩ)]])</f>
        <v>30.5052789026703</v>
      </c>
      <c r="AI172" s="80" t="n">
        <f aca="false">Table9[[#This Row],[RTH(max) (kΩ)]]*RT2_TH_S_MAX/(RT2_TH_S_MAX+Table9[[#This Row],[RTH(max) (kΩ)]])</f>
        <v>30.5357841815729</v>
      </c>
      <c r="AJ172" s="80" t="n">
        <f aca="false">Table9[[#This Row],[RLower(min) (kΩ)]]/(Table9[[#This Row],[RLower(min) (kΩ)]]+RT1_TH_S_MAX)*100</f>
        <v>85.3324434624328</v>
      </c>
      <c r="AK172" s="80" t="n">
        <f aca="false">Table9[[#This Row],[RLower(nom) (kΩ)]]/(Table9[[#This Row],[RLower(nom) (kΩ)]]+RT1_TH_S)*100</f>
        <v>85.3574581546083</v>
      </c>
      <c r="AL172" s="80" t="n">
        <f aca="false">Table9[[#This Row],[RLower(max) (kΩ)]]/(Table9[[#This Row],[RLower(max) (kΩ)]]+RT1_TH_S_MIN)*100</f>
        <v>85.3824374935466</v>
      </c>
      <c r="AM172" s="80" t="n">
        <f aca="false">IF(Table9[[#This Row],[Vmin (%)]]&lt;$BA$14, 0, IF(Table9[[#This Row],[Vmin (%)]]&lt;$BA$12, 4, IF(Table9[[#This Row],[Vmin (%)]]&lt;$BA$9, 3, IF(Table9[[#This Row],[Vmin (%)]]&lt;$BA$7, 2, 0))))</f>
        <v>0</v>
      </c>
      <c r="AN172" s="80" t="n">
        <f aca="false">IF(Table9[[#This Row],[Vmin (%)]]&lt;$BA$13, 0, IF(Table9[[#This Row],[Vmin (%)]]&lt;$BA$11, 4, IF(Table9[[#This Row],[Vmin (%)]]&lt;$BA$10, 3, IF(Table9[[#This Row],[Vmin (%)]]&lt;$BA$8, 2, 0))))</f>
        <v>0</v>
      </c>
      <c r="AO172" s="217" t="str">
        <f aca="false">IF(Table9[[#This Row],[Vmin (%)]]&lt;$BA$14, "Hot", IF(Table9[[#This Row],[Vmin (%)]]&lt;$BA$12, "Warm", IF(Table9[[#This Row],[Vmin (%)]]&lt;$BA$9, "Normal", IF(Table9[[#This Row],[Vmin (%)]]&lt;$BA$7, "Cool", "Cold"))))</f>
        <v>Cold</v>
      </c>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c r="FL172" s="7"/>
      <c r="FM172" s="7"/>
      <c r="FN172" s="7"/>
      <c r="FO172" s="7"/>
      <c r="FP172" s="7"/>
      <c r="FQ172" s="7"/>
      <c r="FR172" s="7"/>
      <c r="FS172" s="7"/>
      <c r="FT172" s="7"/>
      <c r="FU172" s="7"/>
      <c r="FV172" s="7"/>
      <c r="FW172" s="7"/>
      <c r="FX172" s="7"/>
      <c r="FY172" s="7"/>
      <c r="FZ172" s="7"/>
      <c r="GA172" s="7"/>
      <c r="GB172" s="7"/>
      <c r="GC172" s="7"/>
      <c r="GD172" s="7"/>
      <c r="GE172" s="7"/>
      <c r="GF172" s="7"/>
      <c r="GG172" s="7"/>
      <c r="GH172" s="7"/>
      <c r="GI172" s="7"/>
      <c r="GJ172" s="7"/>
      <c r="GK172" s="7"/>
      <c r="GL172" s="7"/>
      <c r="GM172" s="7"/>
      <c r="GN172" s="7"/>
      <c r="GO172" s="7"/>
      <c r="GP172" s="7"/>
      <c r="GQ172" s="7"/>
      <c r="GR172" s="7"/>
      <c r="GS172" s="7"/>
      <c r="GT172" s="7"/>
      <c r="GU172" s="7"/>
      <c r="GV172" s="7"/>
      <c r="GW172" s="7"/>
      <c r="GX172" s="7"/>
      <c r="GY172" s="7"/>
      <c r="GZ172" s="7"/>
      <c r="HA172" s="7"/>
      <c r="HB172" s="7"/>
    </row>
    <row r="173" customFormat="false" ht="16.4" hidden="true" customHeight="false" outlineLevel="0" collapsed="false">
      <c r="A173" s="218" t="n">
        <f aca="false">A172-1</f>
        <v>-43</v>
      </c>
      <c r="B173" s="191"/>
      <c r="C173" s="219" t="str">
        <f aca="false">_xlfn.CONCAT("RTH at ",A173, " °C")</f>
        <v>RTH at -43 °C</v>
      </c>
      <c r="D173" s="220" t="n">
        <f aca="false">$D$105+(ROW(D173)-ROW($D$105))*($D$180-$D$105)/(ROW($D$180)-ROW($D$105))</f>
        <v>3.94666666666667</v>
      </c>
      <c r="E173" s="224" t="n">
        <v>1E+099</v>
      </c>
      <c r="F173" s="225" t="n">
        <v>1E+099</v>
      </c>
      <c r="G173" s="226" t="n">
        <v>1E+099</v>
      </c>
      <c r="H173" s="57" t="s">
        <v>18</v>
      </c>
      <c r="I173" s="24"/>
      <c r="J173" s="24" t="n">
        <v>231</v>
      </c>
      <c r="K173" s="24" t="n">
        <v>221.7</v>
      </c>
      <c r="L173" s="24" t="n">
        <v>212.8</v>
      </c>
      <c r="M173" s="24"/>
      <c r="N173" s="24"/>
      <c r="O173" s="24"/>
      <c r="P173" s="24"/>
      <c r="Q173" s="24"/>
      <c r="R173" s="24"/>
      <c r="S173" s="24"/>
      <c r="T173" s="24"/>
      <c r="U173" s="24"/>
      <c r="V173" s="24"/>
      <c r="W173" s="24"/>
      <c r="X173" s="24"/>
      <c r="Y173" s="25"/>
      <c r="Z173" s="6"/>
      <c r="AA173" s="7"/>
      <c r="AB173" s="7"/>
      <c r="AC173" s="80" t="n">
        <f aca="false">A173</f>
        <v>-43</v>
      </c>
      <c r="AD173" s="227" t="n">
        <f aca="false">E173</f>
        <v>1E+099</v>
      </c>
      <c r="AE173" s="227" t="n">
        <f aca="false">F173</f>
        <v>1E+099</v>
      </c>
      <c r="AF173" s="227" t="n">
        <f aca="false">G173</f>
        <v>1E+099</v>
      </c>
      <c r="AG173" s="80" t="n">
        <f aca="false">Table9[[#This Row],[RTH(min) (kΩ)]]*RT2_TH_MIN/(RT2_TH_MIN+Table9[[#This Row],[RTH(min) (kΩ)]])</f>
        <v>30.4747736237676</v>
      </c>
      <c r="AH173" s="80" t="n">
        <f aca="false">Table9[[#This Row],[RTH(nom) (kΩ)]]*RT2_TH_S/(RT2_TH_S+Table9[[#This Row],[RTH(nom) (kΩ)]])</f>
        <v>30.5052789026703</v>
      </c>
      <c r="AI173" s="80" t="n">
        <f aca="false">Table9[[#This Row],[RTH(max) (kΩ)]]*RT2_TH_S_MAX/(RT2_TH_S_MAX+Table9[[#This Row],[RTH(max) (kΩ)]])</f>
        <v>30.5357841815729</v>
      </c>
      <c r="AJ173" s="80" t="n">
        <f aca="false">Table9[[#This Row],[RLower(min) (kΩ)]]/(Table9[[#This Row],[RLower(min) (kΩ)]]+RT1_TH_S_MAX)*100</f>
        <v>85.3324434624328</v>
      </c>
      <c r="AK173" s="80" t="n">
        <f aca="false">Table9[[#This Row],[RLower(nom) (kΩ)]]/(Table9[[#This Row],[RLower(nom) (kΩ)]]+RT1_TH_S)*100</f>
        <v>85.3574581546083</v>
      </c>
      <c r="AL173" s="80" t="n">
        <f aca="false">Table9[[#This Row],[RLower(max) (kΩ)]]/(Table9[[#This Row],[RLower(max) (kΩ)]]+RT1_TH_S_MIN)*100</f>
        <v>85.3824374935466</v>
      </c>
      <c r="AM173" s="80" t="n">
        <f aca="false">IF(Table9[[#This Row],[Vmin (%)]]&lt;$BA$14, 0, IF(Table9[[#This Row],[Vmin (%)]]&lt;$BA$12, 4, IF(Table9[[#This Row],[Vmin (%)]]&lt;$BA$9, 3, IF(Table9[[#This Row],[Vmin (%)]]&lt;$BA$7, 2, 0))))</f>
        <v>0</v>
      </c>
      <c r="AN173" s="80" t="n">
        <f aca="false">IF(Table9[[#This Row],[Vmin (%)]]&lt;$BA$13, 0, IF(Table9[[#This Row],[Vmin (%)]]&lt;$BA$11, 4, IF(Table9[[#This Row],[Vmin (%)]]&lt;$BA$10, 3, IF(Table9[[#This Row],[Vmin (%)]]&lt;$BA$8, 2, 0))))</f>
        <v>0</v>
      </c>
      <c r="AO173" s="217" t="str">
        <f aca="false">IF(Table9[[#This Row],[Vmin (%)]]&lt;$BA$14, "Hot", IF(Table9[[#This Row],[Vmin (%)]]&lt;$BA$12, "Warm", IF(Table9[[#This Row],[Vmin (%)]]&lt;$BA$9, "Normal", IF(Table9[[#This Row],[Vmin (%)]]&lt;$BA$7, "Cool", "Cold"))))</f>
        <v>Cold</v>
      </c>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c r="FV173" s="7"/>
      <c r="FW173" s="7"/>
      <c r="FX173" s="7"/>
      <c r="FY173" s="7"/>
      <c r="FZ173" s="7"/>
      <c r="GA173" s="7"/>
      <c r="GB173" s="7"/>
      <c r="GC173" s="7"/>
      <c r="GD173" s="7"/>
      <c r="GE173" s="7"/>
      <c r="GF173" s="7"/>
      <c r="GG173" s="7"/>
      <c r="GH173" s="7"/>
      <c r="GI173" s="7"/>
      <c r="GJ173" s="7"/>
      <c r="GK173" s="7"/>
      <c r="GL173" s="7"/>
      <c r="GM173" s="7"/>
      <c r="GN173" s="7"/>
      <c r="GO173" s="7"/>
      <c r="GP173" s="7"/>
      <c r="GQ173" s="7"/>
      <c r="GR173" s="7"/>
      <c r="GS173" s="7"/>
      <c r="GT173" s="7"/>
      <c r="GU173" s="7"/>
      <c r="GV173" s="7"/>
      <c r="GW173" s="7"/>
      <c r="GX173" s="7"/>
      <c r="GY173" s="7"/>
      <c r="GZ173" s="7"/>
      <c r="HA173" s="7"/>
      <c r="HB173" s="7"/>
    </row>
    <row r="174" customFormat="false" ht="16.4" hidden="true" customHeight="false" outlineLevel="0" collapsed="false">
      <c r="A174" s="218" t="n">
        <f aca="false">A173-1</f>
        <v>-44</v>
      </c>
      <c r="B174" s="191"/>
      <c r="C174" s="219" t="str">
        <f aca="false">_xlfn.CONCAT("RTH at ",A174, " °C")</f>
        <v>RTH at -44 °C</v>
      </c>
      <c r="D174" s="220" t="n">
        <f aca="false">$D$105+(ROW(D174)-ROW($D$105))*($D$180-$D$105)/(ROW($D$180)-ROW($D$105))</f>
        <v>3.99</v>
      </c>
      <c r="E174" s="224" t="n">
        <v>1E+099</v>
      </c>
      <c r="F174" s="225" t="n">
        <v>1E+099</v>
      </c>
      <c r="G174" s="226" t="n">
        <v>1E+099</v>
      </c>
      <c r="H174" s="57" t="s">
        <v>18</v>
      </c>
      <c r="I174" s="24"/>
      <c r="J174" s="24" t="n">
        <v>244.2</v>
      </c>
      <c r="K174" s="24" t="n">
        <v>234.3</v>
      </c>
      <c r="L174" s="24" t="n">
        <v>224.7</v>
      </c>
      <c r="M174" s="24"/>
      <c r="N174" s="24"/>
      <c r="O174" s="24"/>
      <c r="P174" s="24"/>
      <c r="Q174" s="24"/>
      <c r="R174" s="24"/>
      <c r="S174" s="24"/>
      <c r="T174" s="24"/>
      <c r="U174" s="24"/>
      <c r="V174" s="24"/>
      <c r="W174" s="24"/>
      <c r="X174" s="24"/>
      <c r="Y174" s="25"/>
      <c r="Z174" s="6"/>
      <c r="AA174" s="7"/>
      <c r="AB174" s="7"/>
      <c r="AC174" s="80" t="n">
        <f aca="false">A174</f>
        <v>-44</v>
      </c>
      <c r="AD174" s="227" t="n">
        <f aca="false">E174</f>
        <v>1E+099</v>
      </c>
      <c r="AE174" s="227" t="n">
        <f aca="false">F174</f>
        <v>1E+099</v>
      </c>
      <c r="AF174" s="227" t="n">
        <f aca="false">G174</f>
        <v>1E+099</v>
      </c>
      <c r="AG174" s="80" t="n">
        <f aca="false">Table9[[#This Row],[RTH(min) (kΩ)]]*RT2_TH_MIN/(RT2_TH_MIN+Table9[[#This Row],[RTH(min) (kΩ)]])</f>
        <v>30.4747736237676</v>
      </c>
      <c r="AH174" s="80" t="n">
        <f aca="false">Table9[[#This Row],[RTH(nom) (kΩ)]]*RT2_TH_S/(RT2_TH_S+Table9[[#This Row],[RTH(nom) (kΩ)]])</f>
        <v>30.5052789026703</v>
      </c>
      <c r="AI174" s="80" t="n">
        <f aca="false">Table9[[#This Row],[RTH(max) (kΩ)]]*RT2_TH_S_MAX/(RT2_TH_S_MAX+Table9[[#This Row],[RTH(max) (kΩ)]])</f>
        <v>30.5357841815729</v>
      </c>
      <c r="AJ174" s="80" t="n">
        <f aca="false">Table9[[#This Row],[RLower(min) (kΩ)]]/(Table9[[#This Row],[RLower(min) (kΩ)]]+RT1_TH_S_MAX)*100</f>
        <v>85.3324434624328</v>
      </c>
      <c r="AK174" s="80" t="n">
        <f aca="false">Table9[[#This Row],[RLower(nom) (kΩ)]]/(Table9[[#This Row],[RLower(nom) (kΩ)]]+RT1_TH_S)*100</f>
        <v>85.3574581546083</v>
      </c>
      <c r="AL174" s="80" t="n">
        <f aca="false">Table9[[#This Row],[RLower(max) (kΩ)]]/(Table9[[#This Row],[RLower(max) (kΩ)]]+RT1_TH_S_MIN)*100</f>
        <v>85.3824374935466</v>
      </c>
      <c r="AM174" s="80" t="n">
        <f aca="false">IF(Table9[[#This Row],[Vmin (%)]]&lt;$BA$14, 0, IF(Table9[[#This Row],[Vmin (%)]]&lt;$BA$12, 4, IF(Table9[[#This Row],[Vmin (%)]]&lt;$BA$9, 3, IF(Table9[[#This Row],[Vmin (%)]]&lt;$BA$7, 2, 0))))</f>
        <v>0</v>
      </c>
      <c r="AN174" s="80" t="n">
        <f aca="false">IF(Table9[[#This Row],[Vmin (%)]]&lt;$BA$13, 0, IF(Table9[[#This Row],[Vmin (%)]]&lt;$BA$11, 4, IF(Table9[[#This Row],[Vmin (%)]]&lt;$BA$10, 3, IF(Table9[[#This Row],[Vmin (%)]]&lt;$BA$8, 2, 0))))</f>
        <v>0</v>
      </c>
      <c r="AO174" s="217" t="str">
        <f aca="false">IF(Table9[[#This Row],[Vmin (%)]]&lt;$BA$14, "Hot", IF(Table9[[#This Row],[Vmin (%)]]&lt;$BA$12, "Warm", IF(Table9[[#This Row],[Vmin (%)]]&lt;$BA$9, "Normal", IF(Table9[[#This Row],[Vmin (%)]]&lt;$BA$7, "Cool", "Cold"))))</f>
        <v>Cold</v>
      </c>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row>
    <row r="175" customFormat="false" ht="16.4" hidden="true" customHeight="false" outlineLevel="0" collapsed="false">
      <c r="A175" s="218" t="n">
        <f aca="false">A174-1</f>
        <v>-45</v>
      </c>
      <c r="B175" s="191"/>
      <c r="C175" s="219" t="str">
        <f aca="false">_xlfn.CONCAT("RTH at ",A175, " °C")</f>
        <v>RTH at -45 °C</v>
      </c>
      <c r="D175" s="220" t="n">
        <f aca="false">$D$105+(ROW(D175)-ROW($D$105))*($D$180-$D$105)/(ROW($D$180)-ROW($D$105))</f>
        <v>4.03333333333333</v>
      </c>
      <c r="E175" s="224" t="n">
        <v>1E+099</v>
      </c>
      <c r="F175" s="225" t="n">
        <v>1E+099</v>
      </c>
      <c r="G175" s="226" t="n">
        <v>1E+099</v>
      </c>
      <c r="H175" s="57" t="s">
        <v>18</v>
      </c>
      <c r="I175" s="24"/>
      <c r="J175" s="24" t="n">
        <v>258.3</v>
      </c>
      <c r="K175" s="24" t="n">
        <v>247.7</v>
      </c>
      <c r="L175" s="24" t="n">
        <v>237.4</v>
      </c>
      <c r="M175" s="24"/>
      <c r="N175" s="24"/>
      <c r="O175" s="24"/>
      <c r="P175" s="24"/>
      <c r="Q175" s="24"/>
      <c r="R175" s="24"/>
      <c r="S175" s="24"/>
      <c r="T175" s="24"/>
      <c r="U175" s="24"/>
      <c r="V175" s="24"/>
      <c r="W175" s="24"/>
      <c r="X175" s="24"/>
      <c r="Y175" s="25"/>
      <c r="Z175" s="6"/>
      <c r="AA175" s="7"/>
      <c r="AB175" s="7"/>
      <c r="AC175" s="80" t="n">
        <f aca="false">A175</f>
        <v>-45</v>
      </c>
      <c r="AD175" s="227" t="n">
        <f aca="false">E175</f>
        <v>1E+099</v>
      </c>
      <c r="AE175" s="227" t="n">
        <f aca="false">F175</f>
        <v>1E+099</v>
      </c>
      <c r="AF175" s="227" t="n">
        <f aca="false">G175</f>
        <v>1E+099</v>
      </c>
      <c r="AG175" s="80" t="n">
        <f aca="false">Table9[[#This Row],[RTH(min) (kΩ)]]*RT2_TH_MIN/(RT2_TH_MIN+Table9[[#This Row],[RTH(min) (kΩ)]])</f>
        <v>30.4747736237676</v>
      </c>
      <c r="AH175" s="80" t="n">
        <f aca="false">Table9[[#This Row],[RTH(nom) (kΩ)]]*RT2_TH_S/(RT2_TH_S+Table9[[#This Row],[RTH(nom) (kΩ)]])</f>
        <v>30.5052789026703</v>
      </c>
      <c r="AI175" s="80" t="n">
        <f aca="false">Table9[[#This Row],[RTH(max) (kΩ)]]*RT2_TH_S_MAX/(RT2_TH_S_MAX+Table9[[#This Row],[RTH(max) (kΩ)]])</f>
        <v>30.5357841815729</v>
      </c>
      <c r="AJ175" s="80" t="n">
        <f aca="false">Table9[[#This Row],[RLower(min) (kΩ)]]/(Table9[[#This Row],[RLower(min) (kΩ)]]+RT1_TH_S_MAX)*100</f>
        <v>85.3324434624328</v>
      </c>
      <c r="AK175" s="80" t="n">
        <f aca="false">Table9[[#This Row],[RLower(nom) (kΩ)]]/(Table9[[#This Row],[RLower(nom) (kΩ)]]+RT1_TH_S)*100</f>
        <v>85.3574581546083</v>
      </c>
      <c r="AL175" s="80" t="n">
        <f aca="false">Table9[[#This Row],[RLower(max) (kΩ)]]/(Table9[[#This Row],[RLower(max) (kΩ)]]+RT1_TH_S_MIN)*100</f>
        <v>85.3824374935466</v>
      </c>
      <c r="AM175" s="80" t="n">
        <f aca="false">IF(Table9[[#This Row],[Vmin (%)]]&lt;$BA$14, 0, IF(Table9[[#This Row],[Vmin (%)]]&lt;$BA$12, 4, IF(Table9[[#This Row],[Vmin (%)]]&lt;$BA$9, 3, IF(Table9[[#This Row],[Vmin (%)]]&lt;$BA$7, 2, 0))))</f>
        <v>0</v>
      </c>
      <c r="AN175" s="80" t="n">
        <f aca="false">IF(Table9[[#This Row],[Vmin (%)]]&lt;$BA$13, 0, IF(Table9[[#This Row],[Vmin (%)]]&lt;$BA$11, 4, IF(Table9[[#This Row],[Vmin (%)]]&lt;$BA$10, 3, IF(Table9[[#This Row],[Vmin (%)]]&lt;$BA$8, 2, 0))))</f>
        <v>0</v>
      </c>
      <c r="AO175" s="217" t="str">
        <f aca="false">IF(Table9[[#This Row],[Vmin (%)]]&lt;$BA$14, "Hot", IF(Table9[[#This Row],[Vmin (%)]]&lt;$BA$12, "Warm", IF(Table9[[#This Row],[Vmin (%)]]&lt;$BA$9, "Normal", IF(Table9[[#This Row],[Vmin (%)]]&lt;$BA$7, "Cool", "Cold"))))</f>
        <v>Cold</v>
      </c>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c r="FL175" s="7"/>
      <c r="FM175" s="7"/>
      <c r="FN175" s="7"/>
      <c r="FO175" s="7"/>
      <c r="FP175" s="7"/>
      <c r="FQ175" s="7"/>
      <c r="FR175" s="7"/>
      <c r="FS175" s="7"/>
      <c r="FT175" s="7"/>
      <c r="FU175" s="7"/>
      <c r="FV175" s="7"/>
      <c r="FW175" s="7"/>
      <c r="FX175" s="7"/>
      <c r="FY175" s="7"/>
      <c r="FZ175" s="7"/>
      <c r="GA175" s="7"/>
      <c r="GB175" s="7"/>
      <c r="GC175" s="7"/>
      <c r="GD175" s="7"/>
      <c r="GE175" s="7"/>
      <c r="GF175" s="7"/>
      <c r="GG175" s="7"/>
      <c r="GH175" s="7"/>
      <c r="GI175" s="7"/>
      <c r="GJ175" s="7"/>
      <c r="GK175" s="7"/>
      <c r="GL175" s="7"/>
      <c r="GM175" s="7"/>
      <c r="GN175" s="7"/>
      <c r="GO175" s="7"/>
      <c r="GP175" s="7"/>
      <c r="GQ175" s="7"/>
      <c r="GR175" s="7"/>
      <c r="GS175" s="7"/>
      <c r="GT175" s="7"/>
      <c r="GU175" s="7"/>
      <c r="GV175" s="7"/>
      <c r="GW175" s="7"/>
      <c r="GX175" s="7"/>
      <c r="GY175" s="7"/>
      <c r="GZ175" s="7"/>
      <c r="HA175" s="7"/>
      <c r="HB175" s="7"/>
    </row>
    <row r="176" customFormat="false" ht="16.4" hidden="true" customHeight="false" outlineLevel="0" collapsed="false">
      <c r="A176" s="218" t="n">
        <f aca="false">A175-1</f>
        <v>-46</v>
      </c>
      <c r="B176" s="191"/>
      <c r="C176" s="219" t="str">
        <f aca="false">_xlfn.CONCAT("RTH at ",A176, " °C")</f>
        <v>RTH at -46 °C</v>
      </c>
      <c r="D176" s="220" t="n">
        <f aca="false">$D$105+(ROW(D176)-ROW($D$105))*($D$180-$D$105)/(ROW($D$180)-ROW($D$105))</f>
        <v>4.07666666666667</v>
      </c>
      <c r="E176" s="224" t="n">
        <v>1E+099</v>
      </c>
      <c r="F176" s="225" t="n">
        <v>1E+099</v>
      </c>
      <c r="G176" s="226" t="n">
        <v>1E+099</v>
      </c>
      <c r="H176" s="57" t="s">
        <v>18</v>
      </c>
      <c r="I176" s="24"/>
      <c r="J176" s="24" t="n">
        <v>273.4</v>
      </c>
      <c r="K176" s="24" t="n">
        <v>262</v>
      </c>
      <c r="L176" s="24" t="n">
        <v>251</v>
      </c>
      <c r="M176" s="24"/>
      <c r="N176" s="24"/>
      <c r="O176" s="24"/>
      <c r="P176" s="24"/>
      <c r="Q176" s="24"/>
      <c r="R176" s="24"/>
      <c r="S176" s="24"/>
      <c r="T176" s="24"/>
      <c r="U176" s="24"/>
      <c r="V176" s="24"/>
      <c r="W176" s="24"/>
      <c r="X176" s="24"/>
      <c r="Y176" s="25"/>
      <c r="Z176" s="6"/>
      <c r="AA176" s="7"/>
      <c r="AB176" s="7"/>
      <c r="AC176" s="80" t="n">
        <f aca="false">A176</f>
        <v>-46</v>
      </c>
      <c r="AD176" s="227" t="n">
        <f aca="false">E176</f>
        <v>1E+099</v>
      </c>
      <c r="AE176" s="227" t="n">
        <f aca="false">F176</f>
        <v>1E+099</v>
      </c>
      <c r="AF176" s="227" t="n">
        <f aca="false">G176</f>
        <v>1E+099</v>
      </c>
      <c r="AG176" s="80" t="n">
        <f aca="false">Table9[[#This Row],[RTH(min) (kΩ)]]*RT2_TH_MIN/(RT2_TH_MIN+Table9[[#This Row],[RTH(min) (kΩ)]])</f>
        <v>30.4747736237676</v>
      </c>
      <c r="AH176" s="80" t="n">
        <f aca="false">Table9[[#This Row],[RTH(nom) (kΩ)]]*RT2_TH_S/(RT2_TH_S+Table9[[#This Row],[RTH(nom) (kΩ)]])</f>
        <v>30.5052789026703</v>
      </c>
      <c r="AI176" s="80" t="n">
        <f aca="false">Table9[[#This Row],[RTH(max) (kΩ)]]*RT2_TH_S_MAX/(RT2_TH_S_MAX+Table9[[#This Row],[RTH(max) (kΩ)]])</f>
        <v>30.5357841815729</v>
      </c>
      <c r="AJ176" s="80" t="n">
        <f aca="false">Table9[[#This Row],[RLower(min) (kΩ)]]/(Table9[[#This Row],[RLower(min) (kΩ)]]+RT1_TH_S_MAX)*100</f>
        <v>85.3324434624328</v>
      </c>
      <c r="AK176" s="80" t="n">
        <f aca="false">Table9[[#This Row],[RLower(nom) (kΩ)]]/(Table9[[#This Row],[RLower(nom) (kΩ)]]+RT1_TH_S)*100</f>
        <v>85.3574581546083</v>
      </c>
      <c r="AL176" s="80" t="n">
        <f aca="false">Table9[[#This Row],[RLower(max) (kΩ)]]/(Table9[[#This Row],[RLower(max) (kΩ)]]+RT1_TH_S_MIN)*100</f>
        <v>85.3824374935466</v>
      </c>
      <c r="AM176" s="80" t="n">
        <f aca="false">IF(Table9[[#This Row],[Vmin (%)]]&lt;$BA$14, 0, IF(Table9[[#This Row],[Vmin (%)]]&lt;$BA$12, 4, IF(Table9[[#This Row],[Vmin (%)]]&lt;$BA$9, 3, IF(Table9[[#This Row],[Vmin (%)]]&lt;$BA$7, 2, 0))))</f>
        <v>0</v>
      </c>
      <c r="AN176" s="80" t="n">
        <f aca="false">IF(Table9[[#This Row],[Vmin (%)]]&lt;$BA$13, 0, IF(Table9[[#This Row],[Vmin (%)]]&lt;$BA$11, 4, IF(Table9[[#This Row],[Vmin (%)]]&lt;$BA$10, 3, IF(Table9[[#This Row],[Vmin (%)]]&lt;$BA$8, 2, 0))))</f>
        <v>0</v>
      </c>
      <c r="AO176" s="217" t="str">
        <f aca="false">IF(Table9[[#This Row],[Vmin (%)]]&lt;$BA$14, "Hot", IF(Table9[[#This Row],[Vmin (%)]]&lt;$BA$12, "Warm", IF(Table9[[#This Row],[Vmin (%)]]&lt;$BA$9, "Normal", IF(Table9[[#This Row],[Vmin (%)]]&lt;$BA$7, "Cool", "Cold"))))</f>
        <v>Cold</v>
      </c>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7"/>
      <c r="FV176" s="7"/>
      <c r="FW176" s="7"/>
      <c r="FX176" s="7"/>
      <c r="FY176" s="7"/>
      <c r="FZ176" s="7"/>
      <c r="GA176" s="7"/>
      <c r="GB176" s="7"/>
      <c r="GC176" s="7"/>
      <c r="GD176" s="7"/>
      <c r="GE176" s="7"/>
      <c r="GF176" s="7"/>
      <c r="GG176" s="7"/>
      <c r="GH176" s="7"/>
      <c r="GI176" s="7"/>
      <c r="GJ176" s="7"/>
      <c r="GK176" s="7"/>
      <c r="GL176" s="7"/>
      <c r="GM176" s="7"/>
      <c r="GN176" s="7"/>
      <c r="GO176" s="7"/>
      <c r="GP176" s="7"/>
      <c r="GQ176" s="7"/>
      <c r="GR176" s="7"/>
      <c r="GS176" s="7"/>
      <c r="GT176" s="7"/>
      <c r="GU176" s="7"/>
      <c r="GV176" s="7"/>
      <c r="GW176" s="7"/>
      <c r="GX176" s="7"/>
      <c r="GY176" s="7"/>
      <c r="GZ176" s="7"/>
      <c r="HA176" s="7"/>
      <c r="HB176" s="7"/>
    </row>
    <row r="177" customFormat="false" ht="16.4" hidden="true" customHeight="false" outlineLevel="0" collapsed="false">
      <c r="A177" s="218" t="n">
        <f aca="false">A176-1</f>
        <v>-47</v>
      </c>
      <c r="B177" s="191"/>
      <c r="C177" s="219" t="str">
        <f aca="false">_xlfn.CONCAT("RTH at ",A177, " °C")</f>
        <v>RTH at -47 °C</v>
      </c>
      <c r="D177" s="220" t="n">
        <f aca="false">$D$105+(ROW(D177)-ROW($D$105))*($D$180-$D$105)/(ROW($D$180)-ROW($D$105))</f>
        <v>4.12</v>
      </c>
      <c r="E177" s="224" t="n">
        <v>1E+099</v>
      </c>
      <c r="F177" s="225" t="n">
        <v>1E+099</v>
      </c>
      <c r="G177" s="226" t="n">
        <v>1E+099</v>
      </c>
      <c r="H177" s="57" t="s">
        <v>18</v>
      </c>
      <c r="I177" s="24"/>
      <c r="J177" s="24" t="n">
        <v>289.4</v>
      </c>
      <c r="K177" s="24" t="n">
        <v>277.2</v>
      </c>
      <c r="L177" s="24" t="n">
        <v>265.4</v>
      </c>
      <c r="M177" s="24"/>
      <c r="N177" s="24"/>
      <c r="O177" s="24"/>
      <c r="P177" s="24"/>
      <c r="Q177" s="24"/>
      <c r="R177" s="24"/>
      <c r="S177" s="24"/>
      <c r="T177" s="24"/>
      <c r="U177" s="24"/>
      <c r="V177" s="24"/>
      <c r="W177" s="24"/>
      <c r="X177" s="24"/>
      <c r="Y177" s="25"/>
      <c r="Z177" s="6"/>
      <c r="AA177" s="7"/>
      <c r="AB177" s="7"/>
      <c r="AC177" s="80" t="n">
        <f aca="false">A177</f>
        <v>-47</v>
      </c>
      <c r="AD177" s="227" t="n">
        <f aca="false">E177</f>
        <v>1E+099</v>
      </c>
      <c r="AE177" s="227" t="n">
        <f aca="false">F177</f>
        <v>1E+099</v>
      </c>
      <c r="AF177" s="227" t="n">
        <f aca="false">G177</f>
        <v>1E+099</v>
      </c>
      <c r="AG177" s="80" t="n">
        <f aca="false">Table9[[#This Row],[RTH(min) (kΩ)]]*RT2_TH_MIN/(RT2_TH_MIN+Table9[[#This Row],[RTH(min) (kΩ)]])</f>
        <v>30.4747736237676</v>
      </c>
      <c r="AH177" s="80" t="n">
        <f aca="false">Table9[[#This Row],[RTH(nom) (kΩ)]]*RT2_TH_S/(RT2_TH_S+Table9[[#This Row],[RTH(nom) (kΩ)]])</f>
        <v>30.5052789026703</v>
      </c>
      <c r="AI177" s="80" t="n">
        <f aca="false">Table9[[#This Row],[RTH(max) (kΩ)]]*RT2_TH_S_MAX/(RT2_TH_S_MAX+Table9[[#This Row],[RTH(max) (kΩ)]])</f>
        <v>30.5357841815729</v>
      </c>
      <c r="AJ177" s="80" t="n">
        <f aca="false">Table9[[#This Row],[RLower(min) (kΩ)]]/(Table9[[#This Row],[RLower(min) (kΩ)]]+RT1_TH_S_MAX)*100</f>
        <v>85.3324434624328</v>
      </c>
      <c r="AK177" s="80" t="n">
        <f aca="false">Table9[[#This Row],[RLower(nom) (kΩ)]]/(Table9[[#This Row],[RLower(nom) (kΩ)]]+RT1_TH_S)*100</f>
        <v>85.3574581546083</v>
      </c>
      <c r="AL177" s="80" t="n">
        <f aca="false">Table9[[#This Row],[RLower(max) (kΩ)]]/(Table9[[#This Row],[RLower(max) (kΩ)]]+RT1_TH_S_MIN)*100</f>
        <v>85.3824374935466</v>
      </c>
      <c r="AM177" s="80" t="n">
        <f aca="false">IF(Table9[[#This Row],[Vmin (%)]]&lt;$BA$14, 0, IF(Table9[[#This Row],[Vmin (%)]]&lt;$BA$12, 4, IF(Table9[[#This Row],[Vmin (%)]]&lt;$BA$9, 3, IF(Table9[[#This Row],[Vmin (%)]]&lt;$BA$7, 2, 0))))</f>
        <v>0</v>
      </c>
      <c r="AN177" s="80" t="n">
        <f aca="false">IF(Table9[[#This Row],[Vmin (%)]]&lt;$BA$13, 0, IF(Table9[[#This Row],[Vmin (%)]]&lt;$BA$11, 4, IF(Table9[[#This Row],[Vmin (%)]]&lt;$BA$10, 3, IF(Table9[[#This Row],[Vmin (%)]]&lt;$BA$8, 2, 0))))</f>
        <v>0</v>
      </c>
      <c r="AO177" s="217" t="str">
        <f aca="false">IF(Table9[[#This Row],[Vmin (%)]]&lt;$BA$14, "Hot", IF(Table9[[#This Row],[Vmin (%)]]&lt;$BA$12, "Warm", IF(Table9[[#This Row],[Vmin (%)]]&lt;$BA$9, "Normal", IF(Table9[[#This Row],[Vmin (%)]]&lt;$BA$7, "Cool", "Cold"))))</f>
        <v>Cold</v>
      </c>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c r="FL177" s="7"/>
      <c r="FM177" s="7"/>
      <c r="FN177" s="7"/>
      <c r="FO177" s="7"/>
      <c r="FP177" s="7"/>
      <c r="FQ177" s="7"/>
      <c r="FR177" s="7"/>
      <c r="FS177" s="7"/>
      <c r="FT177" s="7"/>
      <c r="FU177" s="7"/>
      <c r="FV177" s="7"/>
      <c r="FW177" s="7"/>
      <c r="FX177" s="7"/>
      <c r="FY177" s="7"/>
      <c r="FZ177" s="7"/>
      <c r="GA177" s="7"/>
      <c r="GB177" s="7"/>
      <c r="GC177" s="7"/>
      <c r="GD177" s="7"/>
      <c r="GE177" s="7"/>
      <c r="GF177" s="7"/>
      <c r="GG177" s="7"/>
      <c r="GH177" s="7"/>
      <c r="GI177" s="7"/>
      <c r="GJ177" s="7"/>
      <c r="GK177" s="7"/>
      <c r="GL177" s="7"/>
      <c r="GM177" s="7"/>
      <c r="GN177" s="7"/>
      <c r="GO177" s="7"/>
      <c r="GP177" s="7"/>
      <c r="GQ177" s="7"/>
      <c r="GR177" s="7"/>
      <c r="GS177" s="7"/>
      <c r="GT177" s="7"/>
      <c r="GU177" s="7"/>
      <c r="GV177" s="7"/>
      <c r="GW177" s="7"/>
      <c r="GX177" s="7"/>
      <c r="GY177" s="7"/>
      <c r="GZ177" s="7"/>
      <c r="HA177" s="7"/>
      <c r="HB177" s="7"/>
    </row>
    <row r="178" customFormat="false" ht="16.4" hidden="true" customHeight="false" outlineLevel="0" collapsed="false">
      <c r="A178" s="218" t="n">
        <f aca="false">A177-1</f>
        <v>-48</v>
      </c>
      <c r="B178" s="191"/>
      <c r="C178" s="219" t="str">
        <f aca="false">_xlfn.CONCAT("RTH at ",A178, " °C")</f>
        <v>RTH at -48 °C</v>
      </c>
      <c r="D178" s="220" t="n">
        <f aca="false">$D$105+(ROW(D178)-ROW($D$105))*($D$180-$D$105)/(ROW($D$180)-ROW($D$105))</f>
        <v>4.16333333333333</v>
      </c>
      <c r="E178" s="224" t="n">
        <v>1E+099</v>
      </c>
      <c r="F178" s="225" t="n">
        <v>1E+099</v>
      </c>
      <c r="G178" s="226" t="n">
        <v>1E+099</v>
      </c>
      <c r="H178" s="57" t="s">
        <v>18</v>
      </c>
      <c r="I178" s="24"/>
      <c r="J178" s="24" t="n">
        <v>306.6</v>
      </c>
      <c r="K178" s="24" t="n">
        <v>293.5</v>
      </c>
      <c r="L178" s="24" t="n">
        <v>280.9</v>
      </c>
      <c r="M178" s="24"/>
      <c r="N178" s="24"/>
      <c r="O178" s="24"/>
      <c r="P178" s="24"/>
      <c r="Q178" s="24"/>
      <c r="R178" s="24"/>
      <c r="S178" s="24"/>
      <c r="T178" s="24"/>
      <c r="U178" s="24"/>
      <c r="V178" s="24"/>
      <c r="W178" s="24"/>
      <c r="X178" s="24"/>
      <c r="Y178" s="25"/>
      <c r="Z178" s="6"/>
      <c r="AA178" s="7"/>
      <c r="AB178" s="7"/>
      <c r="AC178" s="80" t="n">
        <f aca="false">A178</f>
        <v>-48</v>
      </c>
      <c r="AD178" s="227" t="n">
        <f aca="false">E178</f>
        <v>1E+099</v>
      </c>
      <c r="AE178" s="227" t="n">
        <f aca="false">F178</f>
        <v>1E+099</v>
      </c>
      <c r="AF178" s="227" t="n">
        <f aca="false">G178</f>
        <v>1E+099</v>
      </c>
      <c r="AG178" s="80" t="n">
        <f aca="false">Table9[[#This Row],[RTH(min) (kΩ)]]*RT2_TH_MIN/(RT2_TH_MIN+Table9[[#This Row],[RTH(min) (kΩ)]])</f>
        <v>30.4747736237676</v>
      </c>
      <c r="AH178" s="80" t="n">
        <f aca="false">Table9[[#This Row],[RTH(nom) (kΩ)]]*RT2_TH_S/(RT2_TH_S+Table9[[#This Row],[RTH(nom) (kΩ)]])</f>
        <v>30.5052789026703</v>
      </c>
      <c r="AI178" s="80" t="n">
        <f aca="false">Table9[[#This Row],[RTH(max) (kΩ)]]*RT2_TH_S_MAX/(RT2_TH_S_MAX+Table9[[#This Row],[RTH(max) (kΩ)]])</f>
        <v>30.5357841815729</v>
      </c>
      <c r="AJ178" s="80" t="n">
        <f aca="false">Table9[[#This Row],[RLower(min) (kΩ)]]/(Table9[[#This Row],[RLower(min) (kΩ)]]+RT1_TH_S_MAX)*100</f>
        <v>85.3324434624328</v>
      </c>
      <c r="AK178" s="80" t="n">
        <f aca="false">Table9[[#This Row],[RLower(nom) (kΩ)]]/(Table9[[#This Row],[RLower(nom) (kΩ)]]+RT1_TH_S)*100</f>
        <v>85.3574581546083</v>
      </c>
      <c r="AL178" s="80" t="n">
        <f aca="false">Table9[[#This Row],[RLower(max) (kΩ)]]/(Table9[[#This Row],[RLower(max) (kΩ)]]+RT1_TH_S_MIN)*100</f>
        <v>85.3824374935466</v>
      </c>
      <c r="AM178" s="80" t="n">
        <f aca="false">IF(Table9[[#This Row],[Vmin (%)]]&lt;$BA$14, 0, IF(Table9[[#This Row],[Vmin (%)]]&lt;$BA$12, 4, IF(Table9[[#This Row],[Vmin (%)]]&lt;$BA$9, 3, IF(Table9[[#This Row],[Vmin (%)]]&lt;$BA$7, 2, 0))))</f>
        <v>0</v>
      </c>
      <c r="AN178" s="80" t="n">
        <f aca="false">IF(Table9[[#This Row],[Vmin (%)]]&lt;$BA$13, 0, IF(Table9[[#This Row],[Vmin (%)]]&lt;$BA$11, 4, IF(Table9[[#This Row],[Vmin (%)]]&lt;$BA$10, 3, IF(Table9[[#This Row],[Vmin (%)]]&lt;$BA$8, 2, 0))))</f>
        <v>0</v>
      </c>
      <c r="AO178" s="217" t="str">
        <f aca="false">IF(Table9[[#This Row],[Vmin (%)]]&lt;$BA$14, "Hot", IF(Table9[[#This Row],[Vmin (%)]]&lt;$BA$12, "Warm", IF(Table9[[#This Row],[Vmin (%)]]&lt;$BA$9, "Normal", IF(Table9[[#This Row],[Vmin (%)]]&lt;$BA$7, "Cool", "Cold"))))</f>
        <v>Cold</v>
      </c>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c r="FL178" s="7"/>
      <c r="FM178" s="7"/>
      <c r="FN178" s="7"/>
      <c r="FO178" s="7"/>
      <c r="FP178" s="7"/>
      <c r="FQ178" s="7"/>
      <c r="FR178" s="7"/>
      <c r="FS178" s="7"/>
      <c r="FT178" s="7"/>
      <c r="FU178" s="7"/>
      <c r="FV178" s="7"/>
      <c r="FW178" s="7"/>
      <c r="FX178" s="7"/>
      <c r="FY178" s="7"/>
      <c r="FZ178" s="7"/>
      <c r="GA178" s="7"/>
      <c r="GB178" s="7"/>
      <c r="GC178" s="7"/>
      <c r="GD178" s="7"/>
      <c r="GE178" s="7"/>
      <c r="GF178" s="7"/>
      <c r="GG178" s="7"/>
      <c r="GH178" s="7"/>
      <c r="GI178" s="7"/>
      <c r="GJ178" s="7"/>
      <c r="GK178" s="7"/>
      <c r="GL178" s="7"/>
      <c r="GM178" s="7"/>
      <c r="GN178" s="7"/>
      <c r="GO178" s="7"/>
      <c r="GP178" s="7"/>
      <c r="GQ178" s="7"/>
      <c r="GR178" s="7"/>
      <c r="GS178" s="7"/>
      <c r="GT178" s="7"/>
      <c r="GU178" s="7"/>
      <c r="GV178" s="7"/>
      <c r="GW178" s="7"/>
      <c r="GX178" s="7"/>
      <c r="GY178" s="7"/>
      <c r="GZ178" s="7"/>
      <c r="HA178" s="7"/>
      <c r="HB178" s="7"/>
    </row>
    <row r="179" customFormat="false" ht="16.4" hidden="true" customHeight="false" outlineLevel="0" collapsed="false">
      <c r="A179" s="218" t="n">
        <f aca="false">A178-1</f>
        <v>-49</v>
      </c>
      <c r="B179" s="191"/>
      <c r="C179" s="219" t="str">
        <f aca="false">_xlfn.CONCAT("RTH at ",A179, " °C")</f>
        <v>RTH at -49 °C</v>
      </c>
      <c r="D179" s="220" t="n">
        <f aca="false">$D$105+(ROW(D179)-ROW($D$105))*($D$180-$D$105)/(ROW($D$180)-ROW($D$105))</f>
        <v>4.20666666666667</v>
      </c>
      <c r="E179" s="224" t="n">
        <v>1E+099</v>
      </c>
      <c r="F179" s="225" t="n">
        <v>1E+099</v>
      </c>
      <c r="G179" s="226" t="n">
        <v>1E+099</v>
      </c>
      <c r="H179" s="57" t="s">
        <v>18</v>
      </c>
      <c r="I179" s="24"/>
      <c r="J179" s="24" t="n">
        <v>325</v>
      </c>
      <c r="K179" s="24" t="n">
        <v>310.9</v>
      </c>
      <c r="L179" s="24" t="n">
        <v>297.3</v>
      </c>
      <c r="M179" s="24"/>
      <c r="N179" s="24"/>
      <c r="O179" s="24"/>
      <c r="P179" s="24"/>
      <c r="Q179" s="24"/>
      <c r="R179" s="24"/>
      <c r="S179" s="24"/>
      <c r="T179" s="24"/>
      <c r="U179" s="24"/>
      <c r="V179" s="24"/>
      <c r="W179" s="24"/>
      <c r="X179" s="24"/>
      <c r="Y179" s="25"/>
      <c r="Z179" s="6"/>
      <c r="AA179" s="7"/>
      <c r="AB179" s="7"/>
      <c r="AC179" s="80" t="n">
        <f aca="false">A179</f>
        <v>-49</v>
      </c>
      <c r="AD179" s="227" t="n">
        <f aca="false">E179</f>
        <v>1E+099</v>
      </c>
      <c r="AE179" s="227" t="n">
        <f aca="false">F179</f>
        <v>1E+099</v>
      </c>
      <c r="AF179" s="227" t="n">
        <f aca="false">G179</f>
        <v>1E+099</v>
      </c>
      <c r="AG179" s="80" t="n">
        <f aca="false">Table9[[#This Row],[RTH(min) (kΩ)]]*RT2_TH_MIN/(RT2_TH_MIN+Table9[[#This Row],[RTH(min) (kΩ)]])</f>
        <v>30.4747736237676</v>
      </c>
      <c r="AH179" s="80" t="n">
        <f aca="false">Table9[[#This Row],[RTH(nom) (kΩ)]]*RT2_TH_S/(RT2_TH_S+Table9[[#This Row],[RTH(nom) (kΩ)]])</f>
        <v>30.5052789026703</v>
      </c>
      <c r="AI179" s="80" t="n">
        <f aca="false">Table9[[#This Row],[RTH(max) (kΩ)]]*RT2_TH_S_MAX/(RT2_TH_S_MAX+Table9[[#This Row],[RTH(max) (kΩ)]])</f>
        <v>30.5357841815729</v>
      </c>
      <c r="AJ179" s="80" t="n">
        <f aca="false">Table9[[#This Row],[RLower(min) (kΩ)]]/(Table9[[#This Row],[RLower(min) (kΩ)]]+RT1_TH_S_MAX)*100</f>
        <v>85.3324434624328</v>
      </c>
      <c r="AK179" s="80" t="n">
        <f aca="false">Table9[[#This Row],[RLower(nom) (kΩ)]]/(Table9[[#This Row],[RLower(nom) (kΩ)]]+RT1_TH_S)*100</f>
        <v>85.3574581546083</v>
      </c>
      <c r="AL179" s="80" t="n">
        <f aca="false">Table9[[#This Row],[RLower(max) (kΩ)]]/(Table9[[#This Row],[RLower(max) (kΩ)]]+RT1_TH_S_MIN)*100</f>
        <v>85.3824374935466</v>
      </c>
      <c r="AM179" s="80" t="n">
        <f aca="false">IF(Table9[[#This Row],[Vmin (%)]]&lt;$BA$14, 0, IF(Table9[[#This Row],[Vmin (%)]]&lt;$BA$12, 4, IF(Table9[[#This Row],[Vmin (%)]]&lt;$BA$9, 3, IF(Table9[[#This Row],[Vmin (%)]]&lt;$BA$7, 2, 0))))</f>
        <v>0</v>
      </c>
      <c r="AN179" s="80" t="n">
        <f aca="false">IF(Table9[[#This Row],[Vmin (%)]]&lt;$BA$13, 0, IF(Table9[[#This Row],[Vmin (%)]]&lt;$BA$11, 4, IF(Table9[[#This Row],[Vmin (%)]]&lt;$BA$10, 3, IF(Table9[[#This Row],[Vmin (%)]]&lt;$BA$8, 2, 0))))</f>
        <v>0</v>
      </c>
      <c r="AO179" s="217" t="str">
        <f aca="false">IF(Table9[[#This Row],[Vmin (%)]]&lt;$BA$14, "Hot", IF(Table9[[#This Row],[Vmin (%)]]&lt;$BA$12, "Warm", IF(Table9[[#This Row],[Vmin (%)]]&lt;$BA$9, "Normal", IF(Table9[[#This Row],[Vmin (%)]]&lt;$BA$7, "Cool", "Cold"))))</f>
        <v>Cold</v>
      </c>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c r="FL179" s="7"/>
      <c r="FM179" s="7"/>
      <c r="FN179" s="7"/>
      <c r="FO179" s="7"/>
      <c r="FP179" s="7"/>
      <c r="FQ179" s="7"/>
      <c r="FR179" s="7"/>
      <c r="FS179" s="7"/>
      <c r="FT179" s="7"/>
      <c r="FU179" s="7"/>
      <c r="FV179" s="7"/>
      <c r="FW179" s="7"/>
      <c r="FX179" s="7"/>
      <c r="FY179" s="7"/>
      <c r="FZ179" s="7"/>
      <c r="GA179" s="7"/>
      <c r="GB179" s="7"/>
      <c r="GC179" s="7"/>
      <c r="GD179" s="7"/>
      <c r="GE179" s="7"/>
      <c r="GF179" s="7"/>
      <c r="GG179" s="7"/>
      <c r="GH179" s="7"/>
      <c r="GI179" s="7"/>
      <c r="GJ179" s="7"/>
      <c r="GK179" s="7"/>
      <c r="GL179" s="7"/>
      <c r="GM179" s="7"/>
      <c r="GN179" s="7"/>
      <c r="GO179" s="7"/>
      <c r="GP179" s="7"/>
      <c r="GQ179" s="7"/>
      <c r="GR179" s="7"/>
      <c r="GS179" s="7"/>
      <c r="GT179" s="7"/>
      <c r="GU179" s="7"/>
      <c r="GV179" s="7"/>
      <c r="GW179" s="7"/>
      <c r="GX179" s="7"/>
      <c r="GY179" s="7"/>
      <c r="GZ179" s="7"/>
      <c r="HA179" s="7"/>
      <c r="HB179" s="7"/>
    </row>
    <row r="180" customFormat="false" ht="16.4" hidden="true" customHeight="false" outlineLevel="0" collapsed="false">
      <c r="A180" s="228" t="n">
        <f aca="false">A179-1</f>
        <v>-50</v>
      </c>
      <c r="B180" s="202"/>
      <c r="C180" s="229" t="str">
        <f aca="false">_xlfn.CONCAT("RTH at ",A180, " °C")</f>
        <v>RTH at -50 °C</v>
      </c>
      <c r="D180" s="230" t="n">
        <v>4.25</v>
      </c>
      <c r="E180" s="231" t="n">
        <v>1E+099</v>
      </c>
      <c r="F180" s="232" t="n">
        <v>1E+099</v>
      </c>
      <c r="G180" s="233" t="n">
        <v>1E+099</v>
      </c>
      <c r="H180" s="82" t="s">
        <v>18</v>
      </c>
      <c r="I180" s="24"/>
      <c r="J180" s="24" t="n">
        <v>344.6</v>
      </c>
      <c r="K180" s="24" t="n">
        <v>329.5</v>
      </c>
      <c r="L180" s="24" t="n">
        <v>314.9</v>
      </c>
      <c r="M180" s="24"/>
      <c r="N180" s="24"/>
      <c r="O180" s="24"/>
      <c r="P180" s="24"/>
      <c r="Q180" s="24"/>
      <c r="R180" s="24"/>
      <c r="S180" s="24"/>
      <c r="T180" s="24"/>
      <c r="U180" s="24"/>
      <c r="V180" s="24"/>
      <c r="W180" s="24"/>
      <c r="X180" s="24"/>
      <c r="Y180" s="25"/>
      <c r="Z180" s="6"/>
      <c r="AA180" s="7"/>
      <c r="AB180" s="7"/>
      <c r="AC180" s="80" t="n">
        <f aca="false">A180</f>
        <v>-50</v>
      </c>
      <c r="AD180" s="227" t="n">
        <f aca="false">E180</f>
        <v>1E+099</v>
      </c>
      <c r="AE180" s="227" t="n">
        <f aca="false">F180</f>
        <v>1E+099</v>
      </c>
      <c r="AF180" s="227" t="n">
        <f aca="false">G180</f>
        <v>1E+099</v>
      </c>
      <c r="AG180" s="80" t="n">
        <f aca="false">Table9[[#This Row],[RTH(min) (kΩ)]]*RT2_TH_MIN/(RT2_TH_MIN+Table9[[#This Row],[RTH(min) (kΩ)]])</f>
        <v>30.4747736237676</v>
      </c>
      <c r="AH180" s="80" t="n">
        <f aca="false">Table9[[#This Row],[RTH(nom) (kΩ)]]*RT2_TH_S/(RT2_TH_S+Table9[[#This Row],[RTH(nom) (kΩ)]])</f>
        <v>30.5052789026703</v>
      </c>
      <c r="AI180" s="80" t="n">
        <f aca="false">Table9[[#This Row],[RTH(max) (kΩ)]]*RT2_TH_S_MAX/(RT2_TH_S_MAX+Table9[[#This Row],[RTH(max) (kΩ)]])</f>
        <v>30.5357841815729</v>
      </c>
      <c r="AJ180" s="80" t="n">
        <f aca="false">Table9[[#This Row],[RLower(min) (kΩ)]]/(Table9[[#This Row],[RLower(min) (kΩ)]]+RT1_TH_S_MAX)*100</f>
        <v>85.3324434624328</v>
      </c>
      <c r="AK180" s="80" t="n">
        <f aca="false">Table9[[#This Row],[RLower(nom) (kΩ)]]/(Table9[[#This Row],[RLower(nom) (kΩ)]]+RT1_TH_S)*100</f>
        <v>85.3574581546083</v>
      </c>
      <c r="AL180" s="80" t="n">
        <f aca="false">Table9[[#This Row],[RLower(max) (kΩ)]]/(Table9[[#This Row],[RLower(max) (kΩ)]]+RT1_TH_S_MIN)*100</f>
        <v>85.3824374935466</v>
      </c>
      <c r="AM180" s="80" t="n">
        <f aca="false">IF(Table9[[#This Row],[Vmin (%)]]&lt;$BA$14, 0, IF(Table9[[#This Row],[Vmin (%)]]&lt;$BA$12, 4, IF(Table9[[#This Row],[Vmin (%)]]&lt;$BA$9, 3, IF(Table9[[#This Row],[Vmin (%)]]&lt;$BA$7, 2, 0))))</f>
        <v>0</v>
      </c>
      <c r="AN180" s="80" t="n">
        <f aca="false">IF(Table9[[#This Row],[Vmin (%)]]&lt;$BA$13, 0, IF(Table9[[#This Row],[Vmin (%)]]&lt;$BA$11, 4, IF(Table9[[#This Row],[Vmin (%)]]&lt;$BA$10, 3, IF(Table9[[#This Row],[Vmin (%)]]&lt;$BA$8, 2, 0))))</f>
        <v>0</v>
      </c>
      <c r="AO180" s="217" t="str">
        <f aca="false">IF(Table9[[#This Row],[Vmin (%)]]&lt;$BA$14, "Hot", IF(Table9[[#This Row],[Vmin (%)]]&lt;$BA$12, "Warm", IF(Table9[[#This Row],[Vmin (%)]]&lt;$BA$9, "Normal", IF(Table9[[#This Row],[Vmin (%)]]&lt;$BA$7, "Cool", "Cold"))))</f>
        <v>Cold</v>
      </c>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row>
    <row r="181" customFormat="false" ht="15" hidden="false" customHeight="false" outlineLevel="0" collapsed="false">
      <c r="A181" s="166"/>
      <c r="B181" s="197"/>
      <c r="C181" s="197"/>
      <c r="D181" s="197"/>
      <c r="E181" s="197"/>
      <c r="F181" s="197"/>
      <c r="G181" s="16"/>
      <c r="H181" s="16"/>
      <c r="I181" s="24"/>
      <c r="J181" s="24"/>
      <c r="K181" s="24"/>
      <c r="L181" s="24"/>
      <c r="M181" s="24"/>
      <c r="N181" s="24"/>
      <c r="O181" s="24"/>
      <c r="P181" s="24"/>
      <c r="Q181" s="24"/>
      <c r="R181" s="24"/>
      <c r="S181" s="24"/>
      <c r="T181" s="24"/>
      <c r="U181" s="24"/>
      <c r="V181" s="24"/>
      <c r="W181" s="24"/>
      <c r="X181" s="24"/>
      <c r="Y181" s="25"/>
      <c r="Z181" s="6"/>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c r="FL181" s="7"/>
      <c r="FM181" s="7"/>
      <c r="FN181" s="7"/>
      <c r="FO181" s="7"/>
      <c r="FP181" s="7"/>
      <c r="FQ181" s="7"/>
      <c r="FR181" s="7"/>
      <c r="FS181" s="7"/>
      <c r="FT181" s="7"/>
      <c r="FU181" s="7"/>
      <c r="FV181" s="7"/>
      <c r="FW181" s="7"/>
      <c r="FX181" s="7"/>
      <c r="FY181" s="7"/>
      <c r="FZ181" s="7"/>
      <c r="GA181" s="7"/>
      <c r="GB181" s="7"/>
      <c r="GC181" s="7"/>
      <c r="GD181" s="7"/>
      <c r="GE181" s="7"/>
      <c r="GF181" s="7"/>
      <c r="GG181" s="7"/>
      <c r="GH181" s="7"/>
      <c r="GI181" s="7"/>
      <c r="GJ181" s="7"/>
      <c r="GK181" s="7"/>
      <c r="GL181" s="7"/>
      <c r="GM181" s="7"/>
      <c r="GN181" s="7"/>
      <c r="GO181" s="7"/>
      <c r="GP181" s="7"/>
      <c r="GQ181" s="7"/>
      <c r="GR181" s="7"/>
      <c r="GS181" s="7"/>
      <c r="GT181" s="7"/>
      <c r="GU181" s="7"/>
      <c r="GV181" s="7"/>
      <c r="GW181" s="7"/>
      <c r="GX181" s="7"/>
      <c r="GY181" s="7"/>
      <c r="GZ181" s="7"/>
      <c r="HA181" s="7"/>
      <c r="HB181" s="7"/>
    </row>
    <row r="182" customFormat="false" ht="15" hidden="false" customHeight="false" outlineLevel="0" collapsed="false">
      <c r="A182" s="228"/>
      <c r="B182" s="202"/>
      <c r="C182" s="202"/>
      <c r="D182" s="202"/>
      <c r="E182" s="202"/>
      <c r="F182" s="202"/>
      <c r="G182" s="131"/>
      <c r="H182" s="131"/>
      <c r="I182" s="131"/>
      <c r="J182" s="131"/>
      <c r="K182" s="131"/>
      <c r="L182" s="131"/>
      <c r="M182" s="131"/>
      <c r="N182" s="131"/>
      <c r="O182" s="131"/>
      <c r="P182" s="131"/>
      <c r="Q182" s="131"/>
      <c r="R182" s="131"/>
      <c r="S182" s="131"/>
      <c r="T182" s="131"/>
      <c r="U182" s="131"/>
      <c r="V182" s="131"/>
      <c r="W182" s="131"/>
      <c r="X182" s="131"/>
      <c r="Y182" s="173"/>
      <c r="Z182" s="6"/>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c r="FL182" s="7"/>
      <c r="FM182" s="7"/>
      <c r="FN182" s="7"/>
      <c r="FO182" s="7"/>
      <c r="FP182" s="7"/>
      <c r="FQ182" s="7"/>
      <c r="FR182" s="7"/>
      <c r="FS182" s="7"/>
      <c r="FT182" s="7"/>
      <c r="FU182" s="7"/>
      <c r="FV182" s="7"/>
      <c r="FW182" s="7"/>
      <c r="FX182" s="7"/>
      <c r="FY182" s="7"/>
      <c r="FZ182" s="7"/>
      <c r="GA182" s="7"/>
      <c r="GB182" s="7"/>
      <c r="GC182" s="7"/>
      <c r="GD182" s="7"/>
      <c r="GE182" s="7"/>
      <c r="GF182" s="7"/>
      <c r="GG182" s="7"/>
      <c r="GH182" s="7"/>
      <c r="GI182" s="7"/>
      <c r="GJ182" s="7"/>
      <c r="GK182" s="7"/>
      <c r="GL182" s="7"/>
      <c r="GM182" s="7"/>
      <c r="GN182" s="7"/>
      <c r="GO182" s="7"/>
      <c r="GP182" s="7"/>
      <c r="GQ182" s="7"/>
      <c r="GR182" s="7"/>
      <c r="GS182" s="7"/>
      <c r="GT182" s="7"/>
      <c r="GU182" s="7"/>
      <c r="GV182" s="7"/>
      <c r="GW182" s="7"/>
      <c r="GX182" s="7"/>
      <c r="GY182" s="7"/>
      <c r="GZ182" s="7"/>
      <c r="HA182" s="7"/>
      <c r="HB182" s="7"/>
    </row>
    <row r="183" customFormat="false" ht="15" hidden="false" customHeight="false" outlineLevel="0" collapsed="false">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c r="FV183" s="7"/>
      <c r="FW183" s="7"/>
      <c r="FX183" s="7"/>
      <c r="FY183" s="7"/>
      <c r="FZ183" s="7"/>
      <c r="GA183" s="7"/>
      <c r="GB183" s="7"/>
      <c r="GC183" s="7"/>
      <c r="GD183" s="7"/>
      <c r="GE183" s="7"/>
      <c r="GF183" s="7"/>
      <c r="GG183" s="7"/>
      <c r="GH183" s="7"/>
      <c r="GI183" s="7"/>
      <c r="GJ183" s="7"/>
      <c r="GK183" s="7"/>
      <c r="GL183" s="7"/>
      <c r="GM183" s="7"/>
      <c r="GN183" s="7"/>
      <c r="GO183" s="7"/>
      <c r="GP183" s="7"/>
      <c r="GQ183" s="7"/>
      <c r="GR183" s="7"/>
      <c r="GS183" s="7"/>
      <c r="GT183" s="7"/>
      <c r="GU183" s="7"/>
      <c r="GV183" s="7"/>
      <c r="GW183" s="7"/>
      <c r="GX183" s="7"/>
      <c r="GY183" s="7"/>
      <c r="GZ183" s="7"/>
      <c r="HA183" s="7"/>
      <c r="HB183" s="7"/>
    </row>
    <row r="184" customFormat="false" ht="1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7"/>
      <c r="FR184" s="7"/>
      <c r="FS184" s="7"/>
      <c r="FT184" s="7"/>
      <c r="FU184" s="7"/>
      <c r="FV184" s="7"/>
      <c r="FW184" s="7"/>
      <c r="FX184" s="7"/>
      <c r="FY184" s="7"/>
      <c r="FZ184" s="7"/>
      <c r="GA184" s="7"/>
      <c r="GB184" s="7"/>
      <c r="GC184" s="7"/>
      <c r="GD184" s="7"/>
      <c r="GE184" s="7"/>
      <c r="GF184" s="7"/>
      <c r="GG184" s="7"/>
      <c r="GH184" s="7"/>
      <c r="GI184" s="7"/>
      <c r="GJ184" s="7"/>
      <c r="GK184" s="7"/>
      <c r="GL184" s="7"/>
      <c r="GM184" s="7"/>
      <c r="GN184" s="7"/>
      <c r="GO184" s="7"/>
      <c r="GP184" s="7"/>
      <c r="GQ184" s="7"/>
      <c r="GR184" s="7"/>
      <c r="GS184" s="7"/>
      <c r="GT184" s="7"/>
      <c r="GU184" s="7"/>
      <c r="GV184" s="7"/>
      <c r="GW184" s="7"/>
      <c r="GX184" s="7"/>
      <c r="GY184" s="7"/>
      <c r="GZ184" s="7"/>
      <c r="HA184" s="7"/>
      <c r="HB184" s="7"/>
    </row>
    <row r="185" customFormat="false" ht="1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c r="FY185" s="7"/>
      <c r="FZ185" s="7"/>
      <c r="GA185" s="7"/>
      <c r="GB185" s="7"/>
      <c r="GC185" s="7"/>
      <c r="GD185" s="7"/>
      <c r="GE185" s="7"/>
      <c r="GF185" s="7"/>
      <c r="GG185" s="7"/>
      <c r="GH185" s="7"/>
      <c r="GI185" s="7"/>
      <c r="GJ185" s="7"/>
      <c r="GK185" s="7"/>
      <c r="GL185" s="7"/>
      <c r="GM185" s="7"/>
      <c r="GN185" s="7"/>
      <c r="GO185" s="7"/>
      <c r="GP185" s="7"/>
      <c r="GQ185" s="7"/>
      <c r="GR185" s="7"/>
      <c r="GS185" s="7"/>
      <c r="GT185" s="7"/>
      <c r="GU185" s="7"/>
      <c r="GV185" s="7"/>
      <c r="GW185" s="7"/>
      <c r="GX185" s="7"/>
      <c r="GY185" s="7"/>
      <c r="GZ185" s="7"/>
      <c r="HA185" s="7"/>
      <c r="HB185" s="7"/>
    </row>
    <row r="186" customFormat="false" ht="1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c r="FL186" s="7"/>
      <c r="FM186" s="7"/>
      <c r="FN186" s="7"/>
      <c r="FO186" s="7"/>
      <c r="FP186" s="7"/>
      <c r="FQ186" s="7"/>
      <c r="FR186" s="7"/>
      <c r="FS186" s="7"/>
      <c r="FT186" s="7"/>
      <c r="FU186" s="7"/>
      <c r="FV186" s="7"/>
      <c r="FW186" s="7"/>
      <c r="FX186" s="7"/>
      <c r="FY186" s="7"/>
      <c r="FZ186" s="7"/>
      <c r="GA186" s="7"/>
      <c r="GB186" s="7"/>
      <c r="GC186" s="7"/>
      <c r="GD186" s="7"/>
      <c r="GE186" s="7"/>
      <c r="GF186" s="7"/>
      <c r="GG186" s="7"/>
      <c r="GH186" s="7"/>
      <c r="GI186" s="7"/>
      <c r="GJ186" s="7"/>
      <c r="GK186" s="7"/>
      <c r="GL186" s="7"/>
      <c r="GM186" s="7"/>
      <c r="GN186" s="7"/>
      <c r="GO186" s="7"/>
      <c r="GP186" s="7"/>
      <c r="GQ186" s="7"/>
      <c r="GR186" s="7"/>
      <c r="GS186" s="7"/>
      <c r="GT186" s="7"/>
      <c r="GU186" s="7"/>
      <c r="GV186" s="7"/>
      <c r="GW186" s="7"/>
      <c r="GX186" s="7"/>
      <c r="GY186" s="7"/>
      <c r="GZ186" s="7"/>
      <c r="HA186" s="7"/>
      <c r="HB186" s="7"/>
    </row>
    <row r="187" customFormat="false" ht="1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c r="FL187" s="7"/>
      <c r="FM187" s="7"/>
      <c r="FN187" s="7"/>
      <c r="FO187" s="7"/>
      <c r="FP187" s="7"/>
      <c r="FQ187" s="7"/>
      <c r="FR187" s="7"/>
      <c r="FS187" s="7"/>
      <c r="FT187" s="7"/>
      <c r="FU187" s="7"/>
      <c r="FV187" s="7"/>
      <c r="FW187" s="7"/>
      <c r="FX187" s="7"/>
      <c r="FY187" s="7"/>
      <c r="FZ187" s="7"/>
      <c r="GA187" s="7"/>
      <c r="GB187" s="7"/>
      <c r="GC187" s="7"/>
      <c r="GD187" s="7"/>
      <c r="GE187" s="7"/>
      <c r="GF187" s="7"/>
      <c r="GG187" s="7"/>
      <c r="GH187" s="7"/>
      <c r="GI187" s="7"/>
      <c r="GJ187" s="7"/>
      <c r="GK187" s="7"/>
      <c r="GL187" s="7"/>
      <c r="GM187" s="7"/>
      <c r="GN187" s="7"/>
      <c r="GO187" s="7"/>
      <c r="GP187" s="7"/>
      <c r="GQ187" s="7"/>
      <c r="GR187" s="7"/>
      <c r="GS187" s="7"/>
      <c r="GT187" s="7"/>
      <c r="GU187" s="7"/>
      <c r="GV187" s="7"/>
      <c r="GW187" s="7"/>
      <c r="GX187" s="7"/>
      <c r="GY187" s="7"/>
      <c r="GZ187" s="7"/>
      <c r="HA187" s="7"/>
      <c r="HB187" s="7"/>
    </row>
    <row r="188" customFormat="false" ht="1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c r="FL188" s="7"/>
      <c r="FM188" s="7"/>
      <c r="FN188" s="7"/>
      <c r="FO188" s="7"/>
      <c r="FP188" s="7"/>
      <c r="FQ188" s="7"/>
      <c r="FR188" s="7"/>
      <c r="FS188" s="7"/>
      <c r="FT188" s="7"/>
      <c r="FU188" s="7"/>
      <c r="FV188" s="7"/>
      <c r="FW188" s="7"/>
      <c r="FX188" s="7"/>
      <c r="FY188" s="7"/>
      <c r="FZ188" s="7"/>
      <c r="GA188" s="7"/>
      <c r="GB188" s="7"/>
      <c r="GC188" s="7"/>
      <c r="GD188" s="7"/>
      <c r="GE188" s="7"/>
      <c r="GF188" s="7"/>
      <c r="GG188" s="7"/>
      <c r="GH188" s="7"/>
      <c r="GI188" s="7"/>
      <c r="GJ188" s="7"/>
      <c r="GK188" s="7"/>
      <c r="GL188" s="7"/>
      <c r="GM188" s="7"/>
      <c r="GN188" s="7"/>
      <c r="GO188" s="7"/>
      <c r="GP188" s="7"/>
      <c r="GQ188" s="7"/>
      <c r="GR188" s="7"/>
      <c r="GS188" s="7"/>
      <c r="GT188" s="7"/>
      <c r="GU188" s="7"/>
      <c r="GV188" s="7"/>
      <c r="GW188" s="7"/>
      <c r="GX188" s="7"/>
      <c r="GY188" s="7"/>
      <c r="GZ188" s="7"/>
      <c r="HA188" s="7"/>
      <c r="HB188" s="7"/>
    </row>
    <row r="189" customFormat="false" ht="1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row>
    <row r="190" customFormat="false" ht="1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row>
    <row r="191" customFormat="false" ht="1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row>
    <row r="192" customFormat="false" ht="1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c r="GR192" s="7"/>
      <c r="GS192" s="7"/>
      <c r="GT192" s="7"/>
      <c r="GU192" s="7"/>
      <c r="GV192" s="7"/>
      <c r="GW192" s="7"/>
      <c r="GX192" s="7"/>
      <c r="GY192" s="7"/>
      <c r="GZ192" s="7"/>
      <c r="HA192" s="7"/>
      <c r="HB192" s="7"/>
    </row>
    <row r="193" customFormat="false" ht="1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row>
    <row r="194" customFormat="false" ht="1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c r="FV194" s="7"/>
      <c r="FW194" s="7"/>
      <c r="FX194" s="7"/>
      <c r="FY194" s="7"/>
      <c r="FZ194" s="7"/>
      <c r="GA194" s="7"/>
      <c r="GB194" s="7"/>
      <c r="GC194" s="7"/>
      <c r="GD194" s="7"/>
      <c r="GE194" s="7"/>
      <c r="GF194" s="7"/>
      <c r="GG194" s="7"/>
      <c r="GH194" s="7"/>
      <c r="GI194" s="7"/>
      <c r="GJ194" s="7"/>
      <c r="GK194" s="7"/>
      <c r="GL194" s="7"/>
      <c r="GM194" s="7"/>
      <c r="GN194" s="7"/>
      <c r="GO194" s="7"/>
      <c r="GP194" s="7"/>
      <c r="GQ194" s="7"/>
      <c r="GR194" s="7"/>
      <c r="GS194" s="7"/>
      <c r="GT194" s="7"/>
      <c r="GU194" s="7"/>
      <c r="GV194" s="7"/>
      <c r="GW194" s="7"/>
      <c r="GX194" s="7"/>
      <c r="GY194" s="7"/>
      <c r="GZ194" s="7"/>
      <c r="HA194" s="7"/>
      <c r="HB194" s="7"/>
    </row>
    <row r="195" customFormat="false" ht="1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row>
    <row r="196" customFormat="false" ht="1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c r="GZ196" s="7"/>
      <c r="HA196" s="7"/>
      <c r="HB196" s="7"/>
    </row>
    <row r="197" customFormat="false" ht="1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row>
    <row r="198" customFormat="false" ht="1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c r="GE198" s="7"/>
      <c r="GF198" s="7"/>
      <c r="GG198" s="7"/>
      <c r="GH198" s="7"/>
      <c r="GI198" s="7"/>
      <c r="GJ198" s="7"/>
      <c r="GK198" s="7"/>
      <c r="GL198" s="7"/>
      <c r="GM198" s="7"/>
      <c r="GN198" s="7"/>
      <c r="GO198" s="7"/>
      <c r="GP198" s="7"/>
      <c r="GQ198" s="7"/>
      <c r="GR198" s="7"/>
      <c r="GS198" s="7"/>
      <c r="GT198" s="7"/>
      <c r="GU198" s="7"/>
      <c r="GV198" s="7"/>
      <c r="GW198" s="7"/>
      <c r="GX198" s="7"/>
      <c r="GY198" s="7"/>
      <c r="GZ198" s="7"/>
      <c r="HA198" s="7"/>
      <c r="HB198" s="7"/>
    </row>
    <row r="199" customFormat="false" ht="1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c r="FL199" s="7"/>
      <c r="FM199" s="7"/>
      <c r="FN199" s="7"/>
      <c r="FO199" s="7"/>
      <c r="FP199" s="7"/>
      <c r="FQ199" s="7"/>
      <c r="FR199" s="7"/>
      <c r="FS199" s="7"/>
      <c r="FT199" s="7"/>
      <c r="FU199" s="7"/>
      <c r="FV199" s="7"/>
      <c r="FW199" s="7"/>
      <c r="FX199" s="7"/>
      <c r="FY199" s="7"/>
      <c r="FZ199" s="7"/>
      <c r="GA199" s="7"/>
      <c r="GB199" s="7"/>
      <c r="GC199" s="7"/>
      <c r="GD199" s="7"/>
      <c r="GE199" s="7"/>
      <c r="GF199" s="7"/>
      <c r="GG199" s="7"/>
      <c r="GH199" s="7"/>
      <c r="GI199" s="7"/>
      <c r="GJ199" s="7"/>
      <c r="GK199" s="7"/>
      <c r="GL199" s="7"/>
      <c r="GM199" s="7"/>
      <c r="GN199" s="7"/>
      <c r="GO199" s="7"/>
      <c r="GP199" s="7"/>
      <c r="GQ199" s="7"/>
      <c r="GR199" s="7"/>
      <c r="GS199" s="7"/>
      <c r="GT199" s="7"/>
      <c r="GU199" s="7"/>
      <c r="GV199" s="7"/>
      <c r="GW199" s="7"/>
      <c r="GX199" s="7"/>
      <c r="GY199" s="7"/>
      <c r="GZ199" s="7"/>
      <c r="HA199" s="7"/>
      <c r="HB199" s="7"/>
    </row>
    <row r="200" customFormat="false" ht="1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c r="FV200" s="7"/>
      <c r="FW200" s="7"/>
      <c r="FX200" s="7"/>
      <c r="FY200" s="7"/>
      <c r="FZ200" s="7"/>
      <c r="GA200" s="7"/>
      <c r="GB200" s="7"/>
      <c r="GC200" s="7"/>
      <c r="GD200" s="7"/>
      <c r="GE200" s="7"/>
      <c r="GF200" s="7"/>
      <c r="GG200" s="7"/>
      <c r="GH200" s="7"/>
      <c r="GI200" s="7"/>
      <c r="GJ200" s="7"/>
      <c r="GK200" s="7"/>
      <c r="GL200" s="7"/>
      <c r="GM200" s="7"/>
      <c r="GN200" s="7"/>
      <c r="GO200" s="7"/>
      <c r="GP200" s="7"/>
      <c r="GQ200" s="7"/>
      <c r="GR200" s="7"/>
      <c r="GS200" s="7"/>
      <c r="GT200" s="7"/>
      <c r="GU200" s="7"/>
      <c r="GV200" s="7"/>
      <c r="GW200" s="7"/>
      <c r="GX200" s="7"/>
      <c r="GY200" s="7"/>
      <c r="GZ200" s="7"/>
      <c r="HA200" s="7"/>
      <c r="HB200" s="7"/>
    </row>
    <row r="201" customFormat="false" ht="1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c r="FV201" s="7"/>
      <c r="FW201" s="7"/>
      <c r="FX201" s="7"/>
      <c r="FY201" s="7"/>
      <c r="FZ201" s="7"/>
      <c r="GA201" s="7"/>
      <c r="GB201" s="7"/>
      <c r="GC201" s="7"/>
      <c r="GD201" s="7"/>
      <c r="GE201" s="7"/>
      <c r="GF201" s="7"/>
      <c r="GG201" s="7"/>
      <c r="GH201" s="7"/>
      <c r="GI201" s="7"/>
      <c r="GJ201" s="7"/>
      <c r="GK201" s="7"/>
      <c r="GL201" s="7"/>
      <c r="GM201" s="7"/>
      <c r="GN201" s="7"/>
      <c r="GO201" s="7"/>
      <c r="GP201" s="7"/>
      <c r="GQ201" s="7"/>
      <c r="GR201" s="7"/>
      <c r="GS201" s="7"/>
      <c r="GT201" s="7"/>
      <c r="GU201" s="7"/>
      <c r="GV201" s="7"/>
      <c r="GW201" s="7"/>
      <c r="GX201" s="7"/>
      <c r="GY201" s="7"/>
      <c r="GZ201" s="7"/>
      <c r="HA201" s="7"/>
      <c r="HB201" s="7"/>
    </row>
    <row r="202" customFormat="false" ht="1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c r="GY202" s="7"/>
      <c r="GZ202" s="7"/>
      <c r="HA202" s="7"/>
      <c r="HB202" s="7"/>
    </row>
    <row r="203" customFormat="false" ht="1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row>
    <row r="204" customFormat="false" ht="1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row>
    <row r="205" customFormat="false" ht="1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c r="GZ205" s="7"/>
      <c r="HA205" s="7"/>
      <c r="HB205" s="7"/>
    </row>
    <row r="206" customFormat="false" ht="1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c r="GZ206" s="7"/>
      <c r="HA206" s="7"/>
      <c r="HB206" s="7"/>
    </row>
    <row r="207" customFormat="false" ht="1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c r="FJ207" s="7"/>
      <c r="FK207" s="7"/>
      <c r="FL207" s="7"/>
      <c r="FM207" s="7"/>
      <c r="FN207" s="7"/>
      <c r="FO207" s="7"/>
      <c r="FP207" s="7"/>
      <c r="FQ207" s="7"/>
      <c r="FR207" s="7"/>
      <c r="FS207" s="7"/>
      <c r="FT207" s="7"/>
      <c r="FU207" s="7"/>
      <c r="FV207" s="7"/>
      <c r="FW207" s="7"/>
      <c r="FX207" s="7"/>
      <c r="FY207" s="7"/>
      <c r="FZ207" s="7"/>
      <c r="GA207" s="7"/>
      <c r="GB207" s="7"/>
      <c r="GC207" s="7"/>
      <c r="GD207" s="7"/>
      <c r="GE207" s="7"/>
      <c r="GF207" s="7"/>
      <c r="GG207" s="7"/>
      <c r="GH207" s="7"/>
      <c r="GI207" s="7"/>
      <c r="GJ207" s="7"/>
      <c r="GK207" s="7"/>
      <c r="GL207" s="7"/>
      <c r="GM207" s="7"/>
      <c r="GN207" s="7"/>
      <c r="GO207" s="7"/>
      <c r="GP207" s="7"/>
      <c r="GQ207" s="7"/>
      <c r="GR207" s="7"/>
      <c r="GS207" s="7"/>
      <c r="GT207" s="7"/>
      <c r="GU207" s="7"/>
      <c r="GV207" s="7"/>
      <c r="GW207" s="7"/>
      <c r="GX207" s="7"/>
      <c r="GY207" s="7"/>
      <c r="GZ207" s="7"/>
      <c r="HA207" s="7"/>
      <c r="HB207" s="7"/>
    </row>
    <row r="208" customFormat="false" ht="1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c r="FV208" s="7"/>
      <c r="FW208" s="7"/>
      <c r="FX208" s="7"/>
      <c r="FY208" s="7"/>
      <c r="FZ208" s="7"/>
      <c r="GA208" s="7"/>
      <c r="GB208" s="7"/>
      <c r="GC208" s="7"/>
      <c r="GD208" s="7"/>
      <c r="GE208" s="7"/>
      <c r="GF208" s="7"/>
      <c r="GG208" s="7"/>
      <c r="GH208" s="7"/>
      <c r="GI208" s="7"/>
      <c r="GJ208" s="7"/>
      <c r="GK208" s="7"/>
      <c r="GL208" s="7"/>
      <c r="GM208" s="7"/>
      <c r="GN208" s="7"/>
      <c r="GO208" s="7"/>
      <c r="GP208" s="7"/>
      <c r="GQ208" s="7"/>
      <c r="GR208" s="7"/>
      <c r="GS208" s="7"/>
      <c r="GT208" s="7"/>
      <c r="GU208" s="7"/>
      <c r="GV208" s="7"/>
      <c r="GW208" s="7"/>
      <c r="GX208" s="7"/>
      <c r="GY208" s="7"/>
      <c r="GZ208" s="7"/>
      <c r="HA208" s="7"/>
      <c r="HB208" s="7"/>
    </row>
    <row r="209" customFormat="false" ht="1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7"/>
      <c r="FY209" s="7"/>
      <c r="FZ209" s="7"/>
      <c r="GA209" s="7"/>
      <c r="GB209" s="7"/>
      <c r="GC209" s="7"/>
      <c r="GD209" s="7"/>
      <c r="GE209" s="7"/>
      <c r="GF209" s="7"/>
      <c r="GG209" s="7"/>
      <c r="GH209" s="7"/>
      <c r="GI209" s="7"/>
      <c r="GJ209" s="7"/>
      <c r="GK209" s="7"/>
      <c r="GL209" s="7"/>
      <c r="GM209" s="7"/>
      <c r="GN209" s="7"/>
      <c r="GO209" s="7"/>
      <c r="GP209" s="7"/>
      <c r="GQ209" s="7"/>
      <c r="GR209" s="7"/>
      <c r="GS209" s="7"/>
      <c r="GT209" s="7"/>
      <c r="GU209" s="7"/>
      <c r="GV209" s="7"/>
      <c r="GW209" s="7"/>
      <c r="GX209" s="7"/>
      <c r="GY209" s="7"/>
      <c r="GZ209" s="7"/>
      <c r="HA209" s="7"/>
      <c r="HB209" s="7"/>
    </row>
    <row r="210" customFormat="false" ht="1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c r="FJ210" s="7"/>
      <c r="FK210" s="7"/>
      <c r="FL210" s="7"/>
      <c r="FM210" s="7"/>
      <c r="FN210" s="7"/>
      <c r="FO210" s="7"/>
      <c r="FP210" s="7"/>
      <c r="FQ210" s="7"/>
      <c r="FR210" s="7"/>
      <c r="FS210" s="7"/>
      <c r="FT210" s="7"/>
      <c r="FU210" s="7"/>
      <c r="FV210" s="7"/>
      <c r="FW210" s="7"/>
      <c r="FX210" s="7"/>
      <c r="FY210" s="7"/>
      <c r="FZ210" s="7"/>
      <c r="GA210" s="7"/>
      <c r="GB210" s="7"/>
      <c r="GC210" s="7"/>
      <c r="GD210" s="7"/>
      <c r="GE210" s="7"/>
      <c r="GF210" s="7"/>
      <c r="GG210" s="7"/>
      <c r="GH210" s="7"/>
      <c r="GI210" s="7"/>
      <c r="GJ210" s="7"/>
      <c r="GK210" s="7"/>
      <c r="GL210" s="7"/>
      <c r="GM210" s="7"/>
      <c r="GN210" s="7"/>
      <c r="GO210" s="7"/>
      <c r="GP210" s="7"/>
      <c r="GQ210" s="7"/>
      <c r="GR210" s="7"/>
      <c r="GS210" s="7"/>
      <c r="GT210" s="7"/>
      <c r="GU210" s="7"/>
      <c r="GV210" s="7"/>
      <c r="GW210" s="7"/>
      <c r="GX210" s="7"/>
      <c r="GY210" s="7"/>
      <c r="GZ210" s="7"/>
      <c r="HA210" s="7"/>
      <c r="HB210" s="7"/>
    </row>
    <row r="211" customFormat="false" ht="1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row>
    <row r="212" customFormat="false" ht="1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c r="FL212" s="7"/>
      <c r="FM212" s="7"/>
      <c r="FN212" s="7"/>
      <c r="FO212" s="7"/>
      <c r="FP212" s="7"/>
      <c r="FQ212" s="7"/>
      <c r="FR212" s="7"/>
      <c r="FS212" s="7"/>
      <c r="FT212" s="7"/>
      <c r="FU212" s="7"/>
      <c r="FV212" s="7"/>
      <c r="FW212" s="7"/>
      <c r="FX212" s="7"/>
      <c r="FY212" s="7"/>
      <c r="FZ212" s="7"/>
      <c r="GA212" s="7"/>
      <c r="GB212" s="7"/>
      <c r="GC212" s="7"/>
      <c r="GD212" s="7"/>
      <c r="GE212" s="7"/>
      <c r="GF212" s="7"/>
      <c r="GG212" s="7"/>
      <c r="GH212" s="7"/>
      <c r="GI212" s="7"/>
      <c r="GJ212" s="7"/>
      <c r="GK212" s="7"/>
      <c r="GL212" s="7"/>
      <c r="GM212" s="7"/>
      <c r="GN212" s="7"/>
      <c r="GO212" s="7"/>
      <c r="GP212" s="7"/>
      <c r="GQ212" s="7"/>
      <c r="GR212" s="7"/>
      <c r="GS212" s="7"/>
      <c r="GT212" s="7"/>
      <c r="GU212" s="7"/>
      <c r="GV212" s="7"/>
      <c r="GW212" s="7"/>
      <c r="GX212" s="7"/>
      <c r="GY212" s="7"/>
      <c r="GZ212" s="7"/>
      <c r="HA212" s="7"/>
      <c r="HB212" s="7"/>
    </row>
    <row r="213" customFormat="false" ht="1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row>
    <row r="214" customFormat="false" ht="1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c r="GZ214" s="7"/>
      <c r="HA214" s="7"/>
      <c r="HB214" s="7"/>
    </row>
    <row r="215" customFormat="false" ht="1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c r="GZ215" s="7"/>
      <c r="HA215" s="7"/>
      <c r="HB215" s="7"/>
    </row>
    <row r="216" customFormat="false" ht="1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c r="FV216" s="7"/>
      <c r="FW216" s="7"/>
      <c r="FX216" s="7"/>
      <c r="FY216" s="7"/>
      <c r="FZ216" s="7"/>
      <c r="GA216" s="7"/>
      <c r="GB216" s="7"/>
      <c r="GC216" s="7"/>
      <c r="GD216" s="7"/>
      <c r="GE216" s="7"/>
      <c r="GF216" s="7"/>
      <c r="GG216" s="7"/>
      <c r="GH216" s="7"/>
      <c r="GI216" s="7"/>
      <c r="GJ216" s="7"/>
      <c r="GK216" s="7"/>
      <c r="GL216" s="7"/>
      <c r="GM216" s="7"/>
      <c r="GN216" s="7"/>
      <c r="GO216" s="7"/>
      <c r="GP216" s="7"/>
      <c r="GQ216" s="7"/>
      <c r="GR216" s="7"/>
      <c r="GS216" s="7"/>
      <c r="GT216" s="7"/>
      <c r="GU216" s="7"/>
      <c r="GV216" s="7"/>
      <c r="GW216" s="7"/>
      <c r="GX216" s="7"/>
      <c r="GY216" s="7"/>
      <c r="GZ216" s="7"/>
      <c r="HA216" s="7"/>
      <c r="HB216" s="7"/>
    </row>
    <row r="217" customFormat="false" ht="1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c r="FV217" s="7"/>
      <c r="FW217" s="7"/>
      <c r="FX217" s="7"/>
      <c r="FY217" s="7"/>
      <c r="FZ217" s="7"/>
      <c r="GA217" s="7"/>
      <c r="GB217" s="7"/>
      <c r="GC217" s="7"/>
      <c r="GD217" s="7"/>
      <c r="GE217" s="7"/>
      <c r="GF217" s="7"/>
      <c r="GG217" s="7"/>
      <c r="GH217" s="7"/>
      <c r="GI217" s="7"/>
      <c r="GJ217" s="7"/>
      <c r="GK217" s="7"/>
      <c r="GL217" s="7"/>
      <c r="GM217" s="7"/>
      <c r="GN217" s="7"/>
      <c r="GO217" s="7"/>
      <c r="GP217" s="7"/>
      <c r="GQ217" s="7"/>
      <c r="GR217" s="7"/>
      <c r="GS217" s="7"/>
      <c r="GT217" s="7"/>
      <c r="GU217" s="7"/>
      <c r="GV217" s="7"/>
      <c r="GW217" s="7"/>
      <c r="GX217" s="7"/>
      <c r="GY217" s="7"/>
      <c r="GZ217" s="7"/>
      <c r="HA217" s="7"/>
      <c r="HB217" s="7"/>
    </row>
    <row r="218" customFormat="false" ht="1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row>
    <row r="219" customFormat="false" ht="1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c r="FV219" s="7"/>
      <c r="FW219" s="7"/>
      <c r="FX219" s="7"/>
      <c r="FY219" s="7"/>
      <c r="FZ219" s="7"/>
      <c r="GA219" s="7"/>
      <c r="GB219" s="7"/>
      <c r="GC219" s="7"/>
      <c r="GD219" s="7"/>
      <c r="GE219" s="7"/>
      <c r="GF219" s="7"/>
      <c r="GG219" s="7"/>
      <c r="GH219" s="7"/>
      <c r="GI219" s="7"/>
      <c r="GJ219" s="7"/>
      <c r="GK219" s="7"/>
      <c r="GL219" s="7"/>
      <c r="GM219" s="7"/>
      <c r="GN219" s="7"/>
      <c r="GO219" s="7"/>
      <c r="GP219" s="7"/>
      <c r="GQ219" s="7"/>
      <c r="GR219" s="7"/>
      <c r="GS219" s="7"/>
      <c r="GT219" s="7"/>
      <c r="GU219" s="7"/>
      <c r="GV219" s="7"/>
      <c r="GW219" s="7"/>
      <c r="GX219" s="7"/>
      <c r="GY219" s="7"/>
      <c r="GZ219" s="7"/>
      <c r="HA219" s="7"/>
      <c r="HB219" s="7"/>
    </row>
    <row r="220" customFormat="false" ht="1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c r="FV220" s="7"/>
      <c r="FW220" s="7"/>
      <c r="FX220" s="7"/>
      <c r="FY220" s="7"/>
      <c r="FZ220" s="7"/>
      <c r="GA220" s="7"/>
      <c r="GB220" s="7"/>
      <c r="GC220" s="7"/>
      <c r="GD220" s="7"/>
      <c r="GE220" s="7"/>
      <c r="GF220" s="7"/>
      <c r="GG220" s="7"/>
      <c r="GH220" s="7"/>
      <c r="GI220" s="7"/>
      <c r="GJ220" s="7"/>
      <c r="GK220" s="7"/>
      <c r="GL220" s="7"/>
      <c r="GM220" s="7"/>
      <c r="GN220" s="7"/>
      <c r="GO220" s="7"/>
      <c r="GP220" s="7"/>
      <c r="GQ220" s="7"/>
      <c r="GR220" s="7"/>
      <c r="GS220" s="7"/>
      <c r="GT220" s="7"/>
      <c r="GU220" s="7"/>
      <c r="GV220" s="7"/>
      <c r="GW220" s="7"/>
      <c r="GX220" s="7"/>
      <c r="GY220" s="7"/>
      <c r="GZ220" s="7"/>
      <c r="HA220" s="7"/>
      <c r="HB220" s="7"/>
    </row>
    <row r="221" customFormat="false" ht="1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c r="FL221" s="7"/>
      <c r="FM221" s="7"/>
      <c r="FN221" s="7"/>
      <c r="FO221" s="7"/>
      <c r="FP221" s="7"/>
      <c r="FQ221" s="7"/>
      <c r="FR221" s="7"/>
      <c r="FS221" s="7"/>
      <c r="FT221" s="7"/>
      <c r="FU221" s="7"/>
      <c r="FV221" s="7"/>
      <c r="FW221" s="7"/>
      <c r="FX221" s="7"/>
      <c r="FY221" s="7"/>
      <c r="FZ221" s="7"/>
      <c r="GA221" s="7"/>
      <c r="GB221" s="7"/>
      <c r="GC221" s="7"/>
      <c r="GD221" s="7"/>
      <c r="GE221" s="7"/>
      <c r="GF221" s="7"/>
      <c r="GG221" s="7"/>
      <c r="GH221" s="7"/>
      <c r="GI221" s="7"/>
      <c r="GJ221" s="7"/>
      <c r="GK221" s="7"/>
      <c r="GL221" s="7"/>
      <c r="GM221" s="7"/>
      <c r="GN221" s="7"/>
      <c r="GO221" s="7"/>
      <c r="GP221" s="7"/>
      <c r="GQ221" s="7"/>
      <c r="GR221" s="7"/>
      <c r="GS221" s="7"/>
      <c r="GT221" s="7"/>
      <c r="GU221" s="7"/>
      <c r="GV221" s="7"/>
      <c r="GW221" s="7"/>
      <c r="GX221" s="7"/>
      <c r="GY221" s="7"/>
      <c r="GZ221" s="7"/>
      <c r="HA221" s="7"/>
      <c r="HB221" s="7"/>
    </row>
    <row r="222" customFormat="false" ht="1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c r="FV222" s="7"/>
      <c r="FW222" s="7"/>
      <c r="FX222" s="7"/>
      <c r="FY222" s="7"/>
      <c r="FZ222" s="7"/>
      <c r="GA222" s="7"/>
      <c r="GB222" s="7"/>
      <c r="GC222" s="7"/>
      <c r="GD222" s="7"/>
      <c r="GE222" s="7"/>
      <c r="GF222" s="7"/>
      <c r="GG222" s="7"/>
      <c r="GH222" s="7"/>
      <c r="GI222" s="7"/>
      <c r="GJ222" s="7"/>
      <c r="GK222" s="7"/>
      <c r="GL222" s="7"/>
      <c r="GM222" s="7"/>
      <c r="GN222" s="7"/>
      <c r="GO222" s="7"/>
      <c r="GP222" s="7"/>
      <c r="GQ222" s="7"/>
      <c r="GR222" s="7"/>
      <c r="GS222" s="7"/>
      <c r="GT222" s="7"/>
      <c r="GU222" s="7"/>
      <c r="GV222" s="7"/>
      <c r="GW222" s="7"/>
      <c r="GX222" s="7"/>
      <c r="GY222" s="7"/>
      <c r="GZ222" s="7"/>
      <c r="HA222" s="7"/>
      <c r="HB222" s="7"/>
    </row>
    <row r="223" customFormat="false" ht="1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c r="GZ223" s="7"/>
      <c r="HA223" s="7"/>
      <c r="HB223" s="7"/>
    </row>
    <row r="224" customFormat="false" ht="1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c r="FV224" s="7"/>
      <c r="FW224" s="7"/>
      <c r="FX224" s="7"/>
      <c r="FY224" s="7"/>
      <c r="FZ224" s="7"/>
      <c r="GA224" s="7"/>
      <c r="GB224" s="7"/>
      <c r="GC224" s="7"/>
      <c r="GD224" s="7"/>
      <c r="GE224" s="7"/>
      <c r="GF224" s="7"/>
      <c r="GG224" s="7"/>
      <c r="GH224" s="7"/>
      <c r="GI224" s="7"/>
      <c r="GJ224" s="7"/>
      <c r="GK224" s="7"/>
      <c r="GL224" s="7"/>
      <c r="GM224" s="7"/>
      <c r="GN224" s="7"/>
      <c r="GO224" s="7"/>
      <c r="GP224" s="7"/>
      <c r="GQ224" s="7"/>
      <c r="GR224" s="7"/>
      <c r="GS224" s="7"/>
      <c r="GT224" s="7"/>
      <c r="GU224" s="7"/>
      <c r="GV224" s="7"/>
      <c r="GW224" s="7"/>
      <c r="GX224" s="7"/>
      <c r="GY224" s="7"/>
      <c r="GZ224" s="7"/>
      <c r="HA224" s="7"/>
      <c r="HB224" s="7"/>
    </row>
    <row r="225" customFormat="false" ht="1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c r="FV225" s="7"/>
      <c r="FW225" s="7"/>
      <c r="FX225" s="7"/>
      <c r="FY225" s="7"/>
      <c r="FZ225" s="7"/>
      <c r="GA225" s="7"/>
      <c r="GB225" s="7"/>
      <c r="GC225" s="7"/>
      <c r="GD225" s="7"/>
      <c r="GE225" s="7"/>
      <c r="GF225" s="7"/>
      <c r="GG225" s="7"/>
      <c r="GH225" s="7"/>
      <c r="GI225" s="7"/>
      <c r="GJ225" s="7"/>
      <c r="GK225" s="7"/>
      <c r="GL225" s="7"/>
      <c r="GM225" s="7"/>
      <c r="GN225" s="7"/>
      <c r="GO225" s="7"/>
      <c r="GP225" s="7"/>
      <c r="GQ225" s="7"/>
      <c r="GR225" s="7"/>
      <c r="GS225" s="7"/>
      <c r="GT225" s="7"/>
      <c r="GU225" s="7"/>
      <c r="GV225" s="7"/>
      <c r="GW225" s="7"/>
      <c r="GX225" s="7"/>
      <c r="GY225" s="7"/>
      <c r="GZ225" s="7"/>
      <c r="HA225" s="7"/>
      <c r="HB225" s="7"/>
    </row>
    <row r="226" customFormat="false" ht="1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c r="FV226" s="7"/>
      <c r="FW226" s="7"/>
      <c r="FX226" s="7"/>
      <c r="FY226" s="7"/>
      <c r="FZ226" s="7"/>
      <c r="GA226" s="7"/>
      <c r="GB226" s="7"/>
      <c r="GC226" s="7"/>
      <c r="GD226" s="7"/>
      <c r="GE226" s="7"/>
      <c r="GF226" s="7"/>
      <c r="GG226" s="7"/>
      <c r="GH226" s="7"/>
      <c r="GI226" s="7"/>
      <c r="GJ226" s="7"/>
      <c r="GK226" s="7"/>
      <c r="GL226" s="7"/>
      <c r="GM226" s="7"/>
      <c r="GN226" s="7"/>
      <c r="GO226" s="7"/>
      <c r="GP226" s="7"/>
      <c r="GQ226" s="7"/>
      <c r="GR226" s="7"/>
      <c r="GS226" s="7"/>
      <c r="GT226" s="7"/>
      <c r="GU226" s="7"/>
      <c r="GV226" s="7"/>
      <c r="GW226" s="7"/>
      <c r="GX226" s="7"/>
      <c r="GY226" s="7"/>
      <c r="GZ226" s="7"/>
      <c r="HA226" s="7"/>
      <c r="HB226" s="7"/>
    </row>
    <row r="227" customFormat="false" ht="1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c r="FJ227" s="7"/>
      <c r="FK227" s="7"/>
      <c r="FL227" s="7"/>
      <c r="FM227" s="7"/>
      <c r="FN227" s="7"/>
      <c r="FO227" s="7"/>
      <c r="FP227" s="7"/>
      <c r="FQ227" s="7"/>
      <c r="FR227" s="7"/>
      <c r="FS227" s="7"/>
      <c r="FT227" s="7"/>
      <c r="FU227" s="7"/>
      <c r="FV227" s="7"/>
      <c r="FW227" s="7"/>
      <c r="FX227" s="7"/>
      <c r="FY227" s="7"/>
      <c r="FZ227" s="7"/>
      <c r="GA227" s="7"/>
      <c r="GB227" s="7"/>
      <c r="GC227" s="7"/>
      <c r="GD227" s="7"/>
      <c r="GE227" s="7"/>
      <c r="GF227" s="7"/>
      <c r="GG227" s="7"/>
      <c r="GH227" s="7"/>
      <c r="GI227" s="7"/>
      <c r="GJ227" s="7"/>
      <c r="GK227" s="7"/>
      <c r="GL227" s="7"/>
      <c r="GM227" s="7"/>
      <c r="GN227" s="7"/>
      <c r="GO227" s="7"/>
      <c r="GP227" s="7"/>
      <c r="GQ227" s="7"/>
      <c r="GR227" s="7"/>
      <c r="GS227" s="7"/>
      <c r="GT227" s="7"/>
      <c r="GU227" s="7"/>
      <c r="GV227" s="7"/>
      <c r="GW227" s="7"/>
      <c r="GX227" s="7"/>
      <c r="GY227" s="7"/>
      <c r="GZ227" s="7"/>
      <c r="HA227" s="7"/>
      <c r="HB227" s="7"/>
    </row>
    <row r="228" customFormat="false" ht="1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c r="GZ228" s="7"/>
      <c r="HA228" s="7"/>
      <c r="HB228" s="7"/>
    </row>
    <row r="229" customFormat="false" ht="1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row>
    <row r="230" customFormat="false" ht="1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c r="GZ230" s="7"/>
      <c r="HA230" s="7"/>
      <c r="HB230" s="7"/>
    </row>
    <row r="231" customFormat="false" ht="1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row>
    <row r="232" customFormat="false" ht="1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c r="FV232" s="7"/>
      <c r="FW232" s="7"/>
      <c r="FX232" s="7"/>
      <c r="FY232" s="7"/>
      <c r="FZ232" s="7"/>
      <c r="GA232" s="7"/>
      <c r="GB232" s="7"/>
      <c r="GC232" s="7"/>
      <c r="GD232" s="7"/>
      <c r="GE232" s="7"/>
      <c r="GF232" s="7"/>
      <c r="GG232" s="7"/>
      <c r="GH232" s="7"/>
      <c r="GI232" s="7"/>
      <c r="GJ232" s="7"/>
      <c r="GK232" s="7"/>
      <c r="GL232" s="7"/>
      <c r="GM232" s="7"/>
      <c r="GN232" s="7"/>
      <c r="GO232" s="7"/>
      <c r="GP232" s="7"/>
      <c r="GQ232" s="7"/>
      <c r="GR232" s="7"/>
      <c r="GS232" s="7"/>
      <c r="GT232" s="7"/>
      <c r="GU232" s="7"/>
      <c r="GV232" s="7"/>
      <c r="GW232" s="7"/>
      <c r="GX232" s="7"/>
      <c r="GY232" s="7"/>
      <c r="GZ232" s="7"/>
      <c r="HA232" s="7"/>
      <c r="HB232" s="7"/>
    </row>
    <row r="233" customFormat="false" ht="1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c r="GZ233" s="7"/>
      <c r="HA233" s="7"/>
      <c r="HB233" s="7"/>
    </row>
    <row r="234" customFormat="false" ht="1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c r="GE234" s="7"/>
      <c r="GF234" s="7"/>
      <c r="GG234" s="7"/>
      <c r="GH234" s="7"/>
      <c r="GI234" s="7"/>
      <c r="GJ234" s="7"/>
      <c r="GK234" s="7"/>
      <c r="GL234" s="7"/>
      <c r="GM234" s="7"/>
      <c r="GN234" s="7"/>
      <c r="GO234" s="7"/>
      <c r="GP234" s="7"/>
      <c r="GQ234" s="7"/>
      <c r="GR234" s="7"/>
      <c r="GS234" s="7"/>
      <c r="GT234" s="7"/>
      <c r="GU234" s="7"/>
      <c r="GV234" s="7"/>
      <c r="GW234" s="7"/>
      <c r="GX234" s="7"/>
      <c r="GY234" s="7"/>
      <c r="GZ234" s="7"/>
      <c r="HA234" s="7"/>
      <c r="HB234" s="7"/>
    </row>
    <row r="235" customFormat="false" ht="1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c r="FV235" s="7"/>
      <c r="FW235" s="7"/>
      <c r="FX235" s="7"/>
      <c r="FY235" s="7"/>
      <c r="FZ235" s="7"/>
      <c r="GA235" s="7"/>
      <c r="GB235" s="7"/>
      <c r="GC235" s="7"/>
      <c r="GD235" s="7"/>
      <c r="GE235" s="7"/>
      <c r="GF235" s="7"/>
      <c r="GG235" s="7"/>
      <c r="GH235" s="7"/>
      <c r="GI235" s="7"/>
      <c r="GJ235" s="7"/>
      <c r="GK235" s="7"/>
      <c r="GL235" s="7"/>
      <c r="GM235" s="7"/>
      <c r="GN235" s="7"/>
      <c r="GO235" s="7"/>
      <c r="GP235" s="7"/>
      <c r="GQ235" s="7"/>
      <c r="GR235" s="7"/>
      <c r="GS235" s="7"/>
      <c r="GT235" s="7"/>
      <c r="GU235" s="7"/>
      <c r="GV235" s="7"/>
      <c r="GW235" s="7"/>
      <c r="GX235" s="7"/>
      <c r="GY235" s="7"/>
      <c r="GZ235" s="7"/>
      <c r="HA235" s="7"/>
      <c r="HB235" s="7"/>
    </row>
    <row r="236" customFormat="false" ht="1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A236" s="7"/>
      <c r="HB236" s="7"/>
    </row>
    <row r="237" customFormat="false" ht="1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row>
    <row r="238" customFormat="false" ht="1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row>
    <row r="239" customFormat="false" ht="1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c r="GZ239" s="7"/>
      <c r="HA239" s="7"/>
      <c r="HB239" s="7"/>
    </row>
    <row r="240" customFormat="false" ht="1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A240" s="7"/>
      <c r="HB240" s="7"/>
    </row>
    <row r="241" customFormat="false" ht="1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A241" s="7"/>
      <c r="HB241" s="7"/>
    </row>
    <row r="242" customFormat="false" ht="1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c r="GZ242" s="7"/>
      <c r="HA242" s="7"/>
      <c r="HB242" s="7"/>
    </row>
    <row r="243" customFormat="false" ht="1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c r="GZ243" s="7"/>
      <c r="HA243" s="7"/>
      <c r="HB243" s="7"/>
    </row>
    <row r="244" customFormat="false" ht="1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row>
    <row r="245" customFormat="false" ht="1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c r="FJ245" s="7"/>
      <c r="FK245" s="7"/>
      <c r="FL245" s="7"/>
      <c r="FM245" s="7"/>
      <c r="FN245" s="7"/>
      <c r="FO245" s="7"/>
      <c r="FP245" s="7"/>
      <c r="FQ245" s="7"/>
      <c r="FR245" s="7"/>
      <c r="FS245" s="7"/>
      <c r="FT245" s="7"/>
      <c r="FU245" s="7"/>
      <c r="FV245" s="7"/>
      <c r="FW245" s="7"/>
      <c r="FX245" s="7"/>
      <c r="FY245" s="7"/>
      <c r="FZ245" s="7"/>
      <c r="GA245" s="7"/>
      <c r="GB245" s="7"/>
      <c r="GC245" s="7"/>
      <c r="GD245" s="7"/>
      <c r="GE245" s="7"/>
      <c r="GF245" s="7"/>
      <c r="GG245" s="7"/>
      <c r="GH245" s="7"/>
      <c r="GI245" s="7"/>
      <c r="GJ245" s="7"/>
      <c r="GK245" s="7"/>
      <c r="GL245" s="7"/>
      <c r="GM245" s="7"/>
      <c r="GN245" s="7"/>
      <c r="GO245" s="7"/>
      <c r="GP245" s="7"/>
      <c r="GQ245" s="7"/>
      <c r="GR245" s="7"/>
      <c r="GS245" s="7"/>
      <c r="GT245" s="7"/>
      <c r="GU245" s="7"/>
      <c r="GV245" s="7"/>
      <c r="GW245" s="7"/>
      <c r="GX245" s="7"/>
      <c r="GY245" s="7"/>
      <c r="GZ245" s="7"/>
      <c r="HA245" s="7"/>
      <c r="HB245" s="7"/>
    </row>
    <row r="246" customFormat="false" ht="1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row>
    <row r="247" customFormat="false" ht="1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c r="GS247" s="7"/>
      <c r="GT247" s="7"/>
      <c r="GU247" s="7"/>
      <c r="GV247" s="7"/>
      <c r="GW247" s="7"/>
      <c r="GX247" s="7"/>
      <c r="GY247" s="7"/>
      <c r="GZ247" s="7"/>
      <c r="HA247" s="7"/>
      <c r="HB247" s="7"/>
    </row>
    <row r="248" customFormat="false" ht="1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row>
    <row r="249" customFormat="false" ht="1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c r="GZ249" s="7"/>
      <c r="HA249" s="7"/>
      <c r="HB249" s="7"/>
    </row>
    <row r="250" customFormat="false" ht="1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row>
    <row r="251" customFormat="false" ht="1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c r="FL251" s="7"/>
      <c r="FM251" s="7"/>
      <c r="FN251" s="7"/>
      <c r="FO251" s="7"/>
      <c r="FP251" s="7"/>
      <c r="FQ251" s="7"/>
      <c r="FR251" s="7"/>
      <c r="FS251" s="7"/>
      <c r="FT251" s="7"/>
      <c r="FU251" s="7"/>
      <c r="FV251" s="7"/>
      <c r="FW251" s="7"/>
      <c r="FX251" s="7"/>
      <c r="FY251" s="7"/>
      <c r="FZ251" s="7"/>
      <c r="GA251" s="7"/>
      <c r="GB251" s="7"/>
      <c r="GC251" s="7"/>
      <c r="GD251" s="7"/>
      <c r="GE251" s="7"/>
      <c r="GF251" s="7"/>
      <c r="GG251" s="7"/>
      <c r="GH251" s="7"/>
      <c r="GI251" s="7"/>
      <c r="GJ251" s="7"/>
      <c r="GK251" s="7"/>
      <c r="GL251" s="7"/>
      <c r="GM251" s="7"/>
      <c r="GN251" s="7"/>
      <c r="GO251" s="7"/>
      <c r="GP251" s="7"/>
      <c r="GQ251" s="7"/>
      <c r="GR251" s="7"/>
      <c r="GS251" s="7"/>
      <c r="GT251" s="7"/>
      <c r="GU251" s="7"/>
      <c r="GV251" s="7"/>
      <c r="GW251" s="7"/>
      <c r="GX251" s="7"/>
      <c r="GY251" s="7"/>
      <c r="GZ251" s="7"/>
      <c r="HA251" s="7"/>
      <c r="HB251" s="7"/>
    </row>
    <row r="252" customFormat="false" ht="1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c r="FV252" s="7"/>
      <c r="FW252" s="7"/>
      <c r="FX252" s="7"/>
      <c r="FY252" s="7"/>
      <c r="FZ252" s="7"/>
      <c r="GA252" s="7"/>
      <c r="GB252" s="7"/>
      <c r="GC252" s="7"/>
      <c r="GD252" s="7"/>
      <c r="GE252" s="7"/>
      <c r="GF252" s="7"/>
      <c r="GG252" s="7"/>
      <c r="GH252" s="7"/>
      <c r="GI252" s="7"/>
      <c r="GJ252" s="7"/>
      <c r="GK252" s="7"/>
      <c r="GL252" s="7"/>
      <c r="GM252" s="7"/>
      <c r="GN252" s="7"/>
      <c r="GO252" s="7"/>
      <c r="GP252" s="7"/>
      <c r="GQ252" s="7"/>
      <c r="GR252" s="7"/>
      <c r="GS252" s="7"/>
      <c r="GT252" s="7"/>
      <c r="GU252" s="7"/>
      <c r="GV252" s="7"/>
      <c r="GW252" s="7"/>
      <c r="GX252" s="7"/>
      <c r="GY252" s="7"/>
      <c r="GZ252" s="7"/>
      <c r="HA252" s="7"/>
      <c r="HB252" s="7"/>
    </row>
    <row r="253" customFormat="false" ht="1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row>
    <row r="254" customFormat="false" ht="1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row>
    <row r="255" customFormat="false" ht="1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c r="GZ255" s="7"/>
      <c r="HA255" s="7"/>
      <c r="HB255" s="7"/>
    </row>
    <row r="256" customFormat="false" ht="1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7"/>
      <c r="FN256" s="7"/>
      <c r="FO256" s="7"/>
      <c r="FP256" s="7"/>
      <c r="FQ256" s="7"/>
      <c r="FR256" s="7"/>
      <c r="FS256" s="7"/>
      <c r="FT256" s="7"/>
      <c r="FU256" s="7"/>
      <c r="FV256" s="7"/>
      <c r="FW256" s="7"/>
      <c r="FX256" s="7"/>
      <c r="FY256" s="7"/>
      <c r="FZ256" s="7"/>
      <c r="GA256" s="7"/>
      <c r="GB256" s="7"/>
      <c r="GC256" s="7"/>
      <c r="GD256" s="7"/>
      <c r="GE256" s="7"/>
      <c r="GF256" s="7"/>
      <c r="GG256" s="7"/>
      <c r="GH256" s="7"/>
      <c r="GI256" s="7"/>
      <c r="GJ256" s="7"/>
      <c r="GK256" s="7"/>
      <c r="GL256" s="7"/>
      <c r="GM256" s="7"/>
      <c r="GN256" s="7"/>
      <c r="GO256" s="7"/>
      <c r="GP256" s="7"/>
      <c r="GQ256" s="7"/>
      <c r="GR256" s="7"/>
      <c r="GS256" s="7"/>
      <c r="GT256" s="7"/>
      <c r="GU256" s="7"/>
      <c r="GV256" s="7"/>
      <c r="GW256" s="7"/>
      <c r="GX256" s="7"/>
      <c r="GY256" s="7"/>
      <c r="GZ256" s="7"/>
      <c r="HA256" s="7"/>
      <c r="HB256" s="7"/>
    </row>
    <row r="257" customFormat="false" ht="1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row>
    <row r="258" customFormat="false" ht="1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c r="FJ258" s="7"/>
      <c r="FK258" s="7"/>
      <c r="FL258" s="7"/>
      <c r="FM258" s="7"/>
      <c r="FN258" s="7"/>
      <c r="FO258" s="7"/>
      <c r="FP258" s="7"/>
      <c r="FQ258" s="7"/>
      <c r="FR258" s="7"/>
      <c r="FS258" s="7"/>
      <c r="FT258" s="7"/>
      <c r="FU258" s="7"/>
      <c r="FV258" s="7"/>
      <c r="FW258" s="7"/>
      <c r="FX258" s="7"/>
      <c r="FY258" s="7"/>
      <c r="FZ258" s="7"/>
      <c r="GA258" s="7"/>
      <c r="GB258" s="7"/>
      <c r="GC258" s="7"/>
      <c r="GD258" s="7"/>
      <c r="GE258" s="7"/>
      <c r="GF258" s="7"/>
      <c r="GG258" s="7"/>
      <c r="GH258" s="7"/>
      <c r="GI258" s="7"/>
      <c r="GJ258" s="7"/>
      <c r="GK258" s="7"/>
      <c r="GL258" s="7"/>
      <c r="GM258" s="7"/>
      <c r="GN258" s="7"/>
      <c r="GO258" s="7"/>
      <c r="GP258" s="7"/>
      <c r="GQ258" s="7"/>
      <c r="GR258" s="7"/>
      <c r="GS258" s="7"/>
      <c r="GT258" s="7"/>
      <c r="GU258" s="7"/>
      <c r="GV258" s="7"/>
      <c r="GW258" s="7"/>
      <c r="GX258" s="7"/>
      <c r="GY258" s="7"/>
      <c r="GZ258" s="7"/>
      <c r="HA258" s="7"/>
      <c r="HB258" s="7"/>
    </row>
    <row r="259" customFormat="false" ht="1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c r="FV259" s="7"/>
      <c r="FW259" s="7"/>
      <c r="FX259" s="7"/>
      <c r="FY259" s="7"/>
      <c r="FZ259" s="7"/>
      <c r="GA259" s="7"/>
      <c r="GB259" s="7"/>
      <c r="GC259" s="7"/>
      <c r="GD259" s="7"/>
      <c r="GE259" s="7"/>
      <c r="GF259" s="7"/>
      <c r="GG259" s="7"/>
      <c r="GH259" s="7"/>
      <c r="GI259" s="7"/>
      <c r="GJ259" s="7"/>
      <c r="GK259" s="7"/>
      <c r="GL259" s="7"/>
      <c r="GM259" s="7"/>
      <c r="GN259" s="7"/>
      <c r="GO259" s="7"/>
      <c r="GP259" s="7"/>
      <c r="GQ259" s="7"/>
      <c r="GR259" s="7"/>
      <c r="GS259" s="7"/>
      <c r="GT259" s="7"/>
      <c r="GU259" s="7"/>
      <c r="GV259" s="7"/>
      <c r="GW259" s="7"/>
      <c r="GX259" s="7"/>
      <c r="GY259" s="7"/>
      <c r="GZ259" s="7"/>
      <c r="HA259" s="7"/>
      <c r="HB259" s="7"/>
    </row>
    <row r="260" customFormat="false" ht="1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row>
    <row r="261" customFormat="false" ht="1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row>
    <row r="262" customFormat="false" ht="1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c r="GZ262" s="7"/>
      <c r="HA262" s="7"/>
      <c r="HB262" s="7"/>
    </row>
    <row r="263" customFormat="false" ht="1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c r="GZ263" s="7"/>
      <c r="HA263" s="7"/>
      <c r="HB263" s="7"/>
    </row>
    <row r="264" customFormat="false" ht="1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row>
    <row r="265" customFormat="false" ht="1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c r="GZ265" s="7"/>
      <c r="HA265" s="7"/>
      <c r="HB265" s="7"/>
    </row>
    <row r="266" customFormat="false" ht="1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c r="FV266" s="7"/>
      <c r="FW266" s="7"/>
      <c r="FX266" s="7"/>
      <c r="FY266" s="7"/>
      <c r="FZ266" s="7"/>
      <c r="GA266" s="7"/>
      <c r="GB266" s="7"/>
      <c r="GC266" s="7"/>
      <c r="GD266" s="7"/>
      <c r="GE266" s="7"/>
      <c r="GF266" s="7"/>
      <c r="GG266" s="7"/>
      <c r="GH266" s="7"/>
      <c r="GI266" s="7"/>
      <c r="GJ266" s="7"/>
      <c r="GK266" s="7"/>
      <c r="GL266" s="7"/>
      <c r="GM266" s="7"/>
      <c r="GN266" s="7"/>
      <c r="GO266" s="7"/>
      <c r="GP266" s="7"/>
      <c r="GQ266" s="7"/>
      <c r="GR266" s="7"/>
      <c r="GS266" s="7"/>
      <c r="GT266" s="7"/>
      <c r="GU266" s="7"/>
      <c r="GV266" s="7"/>
      <c r="GW266" s="7"/>
      <c r="GX266" s="7"/>
      <c r="GY266" s="7"/>
      <c r="GZ266" s="7"/>
      <c r="HA266" s="7"/>
      <c r="HB266" s="7"/>
    </row>
    <row r="267" customFormat="false" ht="1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c r="HB267" s="7"/>
    </row>
    <row r="268" customFormat="false" ht="1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row>
    <row r="269" customFormat="false" ht="1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row>
    <row r="270" customFormat="false" ht="1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c r="GZ270" s="7"/>
      <c r="HA270" s="7"/>
      <c r="HB270" s="7"/>
    </row>
    <row r="271" customFormat="false" ht="1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row>
    <row r="272" customFormat="false" ht="1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row>
    <row r="273" customFormat="false" ht="1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c r="GZ273" s="7"/>
      <c r="HA273" s="7"/>
      <c r="HB273" s="7"/>
    </row>
    <row r="274" customFormat="false" ht="1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c r="FJ274" s="7"/>
      <c r="FK274" s="7"/>
      <c r="FL274" s="7"/>
      <c r="FM274" s="7"/>
      <c r="FN274" s="7"/>
      <c r="FO274" s="7"/>
      <c r="FP274" s="7"/>
      <c r="FQ274" s="7"/>
      <c r="FR274" s="7"/>
      <c r="FS274" s="7"/>
      <c r="FT274" s="7"/>
      <c r="FU274" s="7"/>
      <c r="FV274" s="7"/>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c r="GZ274" s="7"/>
      <c r="HA274" s="7"/>
      <c r="HB274" s="7"/>
    </row>
    <row r="275" customFormat="false" ht="1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row>
    <row r="276" customFormat="false" ht="1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row>
    <row r="277" customFormat="false" ht="1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row>
    <row r="278" customFormat="false" ht="1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c r="FV278" s="7"/>
      <c r="FW278" s="7"/>
      <c r="FX278" s="7"/>
      <c r="FY278" s="7"/>
      <c r="FZ278" s="7"/>
      <c r="GA278" s="7"/>
      <c r="GB278" s="7"/>
      <c r="GC278" s="7"/>
      <c r="GD278" s="7"/>
      <c r="GE278" s="7"/>
      <c r="GF278" s="7"/>
      <c r="GG278" s="7"/>
      <c r="GH278" s="7"/>
      <c r="GI278" s="7"/>
      <c r="GJ278" s="7"/>
      <c r="GK278" s="7"/>
      <c r="GL278" s="7"/>
      <c r="GM278" s="7"/>
      <c r="GN278" s="7"/>
      <c r="GO278" s="7"/>
      <c r="GP278" s="7"/>
      <c r="GQ278" s="7"/>
      <c r="GR278" s="7"/>
      <c r="GS278" s="7"/>
      <c r="GT278" s="7"/>
      <c r="GU278" s="7"/>
      <c r="GV278" s="7"/>
      <c r="GW278" s="7"/>
      <c r="GX278" s="7"/>
      <c r="GY278" s="7"/>
      <c r="GZ278" s="7"/>
      <c r="HA278" s="7"/>
      <c r="HB278" s="7"/>
    </row>
    <row r="279" customFormat="false" ht="1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c r="FJ279" s="7"/>
      <c r="FK279" s="7"/>
      <c r="FL279" s="7"/>
      <c r="FM279" s="7"/>
      <c r="FN279" s="7"/>
      <c r="FO279" s="7"/>
      <c r="FP279" s="7"/>
      <c r="FQ279" s="7"/>
      <c r="FR279" s="7"/>
      <c r="FS279" s="7"/>
      <c r="FT279" s="7"/>
      <c r="FU279" s="7"/>
      <c r="FV279" s="7"/>
      <c r="FW279" s="7"/>
      <c r="FX279" s="7"/>
      <c r="FY279" s="7"/>
      <c r="FZ279" s="7"/>
      <c r="GA279" s="7"/>
      <c r="GB279" s="7"/>
      <c r="GC279" s="7"/>
      <c r="GD279" s="7"/>
      <c r="GE279" s="7"/>
      <c r="GF279" s="7"/>
      <c r="GG279" s="7"/>
      <c r="GH279" s="7"/>
      <c r="GI279" s="7"/>
      <c r="GJ279" s="7"/>
      <c r="GK279" s="7"/>
      <c r="GL279" s="7"/>
      <c r="GM279" s="7"/>
      <c r="GN279" s="7"/>
      <c r="GO279" s="7"/>
      <c r="GP279" s="7"/>
      <c r="GQ279" s="7"/>
      <c r="GR279" s="7"/>
      <c r="GS279" s="7"/>
      <c r="GT279" s="7"/>
      <c r="GU279" s="7"/>
      <c r="GV279" s="7"/>
      <c r="GW279" s="7"/>
      <c r="GX279" s="7"/>
      <c r="GY279" s="7"/>
      <c r="GZ279" s="7"/>
      <c r="HA279" s="7"/>
      <c r="HB279" s="7"/>
    </row>
    <row r="280" customFormat="false" ht="1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c r="FV280" s="7"/>
      <c r="FW280" s="7"/>
      <c r="FX280" s="7"/>
      <c r="FY280" s="7"/>
      <c r="FZ280" s="7"/>
      <c r="GA280" s="7"/>
      <c r="GB280" s="7"/>
      <c r="GC280" s="7"/>
      <c r="GD280" s="7"/>
      <c r="GE280" s="7"/>
      <c r="GF280" s="7"/>
      <c r="GG280" s="7"/>
      <c r="GH280" s="7"/>
      <c r="GI280" s="7"/>
      <c r="GJ280" s="7"/>
      <c r="GK280" s="7"/>
      <c r="GL280" s="7"/>
      <c r="GM280" s="7"/>
      <c r="GN280" s="7"/>
      <c r="GO280" s="7"/>
      <c r="GP280" s="7"/>
      <c r="GQ280" s="7"/>
      <c r="GR280" s="7"/>
      <c r="GS280" s="7"/>
      <c r="GT280" s="7"/>
      <c r="GU280" s="7"/>
      <c r="GV280" s="7"/>
      <c r="GW280" s="7"/>
      <c r="GX280" s="7"/>
      <c r="GY280" s="7"/>
      <c r="GZ280" s="7"/>
      <c r="HA280" s="7"/>
      <c r="HB280" s="7"/>
    </row>
    <row r="281" customFormat="false" ht="1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c r="FV281" s="7"/>
      <c r="FW281" s="7"/>
      <c r="FX281" s="7"/>
      <c r="FY281" s="7"/>
      <c r="FZ281" s="7"/>
      <c r="GA281" s="7"/>
      <c r="GB281" s="7"/>
      <c r="GC281" s="7"/>
      <c r="GD281" s="7"/>
      <c r="GE281" s="7"/>
      <c r="GF281" s="7"/>
      <c r="GG281" s="7"/>
      <c r="GH281" s="7"/>
      <c r="GI281" s="7"/>
      <c r="GJ281" s="7"/>
      <c r="GK281" s="7"/>
      <c r="GL281" s="7"/>
      <c r="GM281" s="7"/>
      <c r="GN281" s="7"/>
      <c r="GO281" s="7"/>
      <c r="GP281" s="7"/>
      <c r="GQ281" s="7"/>
      <c r="GR281" s="7"/>
      <c r="GS281" s="7"/>
      <c r="GT281" s="7"/>
      <c r="GU281" s="7"/>
      <c r="GV281" s="7"/>
      <c r="GW281" s="7"/>
      <c r="GX281" s="7"/>
      <c r="GY281" s="7"/>
      <c r="GZ281" s="7"/>
      <c r="HA281" s="7"/>
      <c r="HB281" s="7"/>
    </row>
    <row r="282" customFormat="false" ht="1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c r="FV282" s="7"/>
      <c r="FW282" s="7"/>
      <c r="FX282" s="7"/>
      <c r="FY282" s="7"/>
      <c r="FZ282" s="7"/>
      <c r="GA282" s="7"/>
      <c r="GB282" s="7"/>
      <c r="GC282" s="7"/>
      <c r="GD282" s="7"/>
      <c r="GE282" s="7"/>
      <c r="GF282" s="7"/>
      <c r="GG282" s="7"/>
      <c r="GH282" s="7"/>
      <c r="GI282" s="7"/>
      <c r="GJ282" s="7"/>
      <c r="GK282" s="7"/>
      <c r="GL282" s="7"/>
      <c r="GM282" s="7"/>
      <c r="GN282" s="7"/>
      <c r="GO282" s="7"/>
      <c r="GP282" s="7"/>
      <c r="GQ282" s="7"/>
      <c r="GR282" s="7"/>
      <c r="GS282" s="7"/>
      <c r="GT282" s="7"/>
      <c r="GU282" s="7"/>
      <c r="GV282" s="7"/>
      <c r="GW282" s="7"/>
      <c r="GX282" s="7"/>
      <c r="GY282" s="7"/>
      <c r="GZ282" s="7"/>
      <c r="HA282" s="7"/>
      <c r="HB282" s="7"/>
    </row>
    <row r="283" customFormat="false" ht="1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c r="FV283" s="7"/>
      <c r="FW283" s="7"/>
      <c r="FX283" s="7"/>
      <c r="FY283" s="7"/>
      <c r="FZ283" s="7"/>
      <c r="GA283" s="7"/>
      <c r="GB283" s="7"/>
      <c r="GC283" s="7"/>
      <c r="GD283" s="7"/>
      <c r="GE283" s="7"/>
      <c r="GF283" s="7"/>
      <c r="GG283" s="7"/>
      <c r="GH283" s="7"/>
      <c r="GI283" s="7"/>
      <c r="GJ283" s="7"/>
      <c r="GK283" s="7"/>
      <c r="GL283" s="7"/>
      <c r="GM283" s="7"/>
      <c r="GN283" s="7"/>
      <c r="GO283" s="7"/>
      <c r="GP283" s="7"/>
      <c r="GQ283" s="7"/>
      <c r="GR283" s="7"/>
      <c r="GS283" s="7"/>
      <c r="GT283" s="7"/>
      <c r="GU283" s="7"/>
      <c r="GV283" s="7"/>
      <c r="GW283" s="7"/>
      <c r="GX283" s="7"/>
      <c r="GY283" s="7"/>
      <c r="GZ283" s="7"/>
      <c r="HA283" s="7"/>
      <c r="HB283" s="7"/>
    </row>
    <row r="284" customFormat="false" ht="1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c r="FV284" s="7"/>
      <c r="FW284" s="7"/>
      <c r="FX284" s="7"/>
      <c r="FY284" s="7"/>
      <c r="FZ284" s="7"/>
      <c r="GA284" s="7"/>
      <c r="GB284" s="7"/>
      <c r="GC284" s="7"/>
      <c r="GD284" s="7"/>
      <c r="GE284" s="7"/>
      <c r="GF284" s="7"/>
      <c r="GG284" s="7"/>
      <c r="GH284" s="7"/>
      <c r="GI284" s="7"/>
      <c r="GJ284" s="7"/>
      <c r="GK284" s="7"/>
      <c r="GL284" s="7"/>
      <c r="GM284" s="7"/>
      <c r="GN284" s="7"/>
      <c r="GO284" s="7"/>
      <c r="GP284" s="7"/>
      <c r="GQ284" s="7"/>
      <c r="GR284" s="7"/>
      <c r="GS284" s="7"/>
      <c r="GT284" s="7"/>
      <c r="GU284" s="7"/>
      <c r="GV284" s="7"/>
      <c r="GW284" s="7"/>
      <c r="GX284" s="7"/>
      <c r="GY284" s="7"/>
      <c r="GZ284" s="7"/>
      <c r="HA284" s="7"/>
      <c r="HB284" s="7"/>
    </row>
    <row r="285" customFormat="false" ht="1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c r="FJ285" s="7"/>
      <c r="FK285" s="7"/>
      <c r="FL285" s="7"/>
      <c r="FM285" s="7"/>
      <c r="FN285" s="7"/>
      <c r="FO285" s="7"/>
      <c r="FP285" s="7"/>
      <c r="FQ285" s="7"/>
      <c r="FR285" s="7"/>
      <c r="FS285" s="7"/>
      <c r="FT285" s="7"/>
      <c r="FU285" s="7"/>
      <c r="FV285" s="7"/>
      <c r="FW285" s="7"/>
      <c r="FX285" s="7"/>
      <c r="FY285" s="7"/>
      <c r="FZ285" s="7"/>
      <c r="GA285" s="7"/>
      <c r="GB285" s="7"/>
      <c r="GC285" s="7"/>
      <c r="GD285" s="7"/>
      <c r="GE285" s="7"/>
      <c r="GF285" s="7"/>
      <c r="GG285" s="7"/>
      <c r="GH285" s="7"/>
      <c r="GI285" s="7"/>
      <c r="GJ285" s="7"/>
      <c r="GK285" s="7"/>
      <c r="GL285" s="7"/>
      <c r="GM285" s="7"/>
      <c r="GN285" s="7"/>
      <c r="GO285" s="7"/>
      <c r="GP285" s="7"/>
      <c r="GQ285" s="7"/>
      <c r="GR285" s="7"/>
      <c r="GS285" s="7"/>
      <c r="GT285" s="7"/>
      <c r="GU285" s="7"/>
      <c r="GV285" s="7"/>
      <c r="GW285" s="7"/>
      <c r="GX285" s="7"/>
      <c r="GY285" s="7"/>
      <c r="GZ285" s="7"/>
      <c r="HA285" s="7"/>
      <c r="HB285" s="7"/>
    </row>
    <row r="286" customFormat="false" ht="1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c r="FJ286" s="7"/>
      <c r="FK286" s="7"/>
      <c r="FL286" s="7"/>
      <c r="FM286" s="7"/>
      <c r="FN286" s="7"/>
      <c r="FO286" s="7"/>
      <c r="FP286" s="7"/>
      <c r="FQ286" s="7"/>
      <c r="FR286" s="7"/>
      <c r="FS286" s="7"/>
      <c r="FT286" s="7"/>
      <c r="FU286" s="7"/>
      <c r="FV286" s="7"/>
      <c r="FW286" s="7"/>
      <c r="FX286" s="7"/>
      <c r="FY286" s="7"/>
      <c r="FZ286" s="7"/>
      <c r="GA286" s="7"/>
      <c r="GB286" s="7"/>
      <c r="GC286" s="7"/>
      <c r="GD286" s="7"/>
      <c r="GE286" s="7"/>
      <c r="GF286" s="7"/>
      <c r="GG286" s="7"/>
      <c r="GH286" s="7"/>
      <c r="GI286" s="7"/>
      <c r="GJ286" s="7"/>
      <c r="GK286" s="7"/>
      <c r="GL286" s="7"/>
      <c r="GM286" s="7"/>
      <c r="GN286" s="7"/>
      <c r="GO286" s="7"/>
      <c r="GP286" s="7"/>
      <c r="GQ286" s="7"/>
      <c r="GR286" s="7"/>
      <c r="GS286" s="7"/>
      <c r="GT286" s="7"/>
      <c r="GU286" s="7"/>
      <c r="GV286" s="7"/>
      <c r="GW286" s="7"/>
      <c r="GX286" s="7"/>
      <c r="GY286" s="7"/>
      <c r="GZ286" s="7"/>
      <c r="HA286" s="7"/>
      <c r="HB286" s="7"/>
    </row>
    <row r="287" customFormat="false" ht="1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c r="FJ287" s="7"/>
      <c r="FK287" s="7"/>
      <c r="FL287" s="7"/>
      <c r="FM287" s="7"/>
      <c r="FN287" s="7"/>
      <c r="FO287" s="7"/>
      <c r="FP287" s="7"/>
      <c r="FQ287" s="7"/>
      <c r="FR287" s="7"/>
      <c r="FS287" s="7"/>
      <c r="FT287" s="7"/>
      <c r="FU287" s="7"/>
      <c r="FV287" s="7"/>
      <c r="FW287" s="7"/>
      <c r="FX287" s="7"/>
      <c r="FY287" s="7"/>
      <c r="FZ287" s="7"/>
      <c r="GA287" s="7"/>
      <c r="GB287" s="7"/>
      <c r="GC287" s="7"/>
      <c r="GD287" s="7"/>
      <c r="GE287" s="7"/>
      <c r="GF287" s="7"/>
      <c r="GG287" s="7"/>
      <c r="GH287" s="7"/>
      <c r="GI287" s="7"/>
      <c r="GJ287" s="7"/>
      <c r="GK287" s="7"/>
      <c r="GL287" s="7"/>
      <c r="GM287" s="7"/>
      <c r="GN287" s="7"/>
      <c r="GO287" s="7"/>
      <c r="GP287" s="7"/>
      <c r="GQ287" s="7"/>
      <c r="GR287" s="7"/>
      <c r="GS287" s="7"/>
      <c r="GT287" s="7"/>
      <c r="GU287" s="7"/>
      <c r="GV287" s="7"/>
      <c r="GW287" s="7"/>
      <c r="GX287" s="7"/>
      <c r="GY287" s="7"/>
      <c r="GZ287" s="7"/>
      <c r="HA287" s="7"/>
      <c r="HB287" s="7"/>
    </row>
    <row r="288" customFormat="false" ht="1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c r="FJ288" s="7"/>
      <c r="FK288" s="7"/>
      <c r="FL288" s="7"/>
      <c r="FM288" s="7"/>
      <c r="FN288" s="7"/>
      <c r="FO288" s="7"/>
      <c r="FP288" s="7"/>
      <c r="FQ288" s="7"/>
      <c r="FR288" s="7"/>
      <c r="FS288" s="7"/>
      <c r="FT288" s="7"/>
      <c r="FU288" s="7"/>
      <c r="FV288" s="7"/>
      <c r="FW288" s="7"/>
      <c r="FX288" s="7"/>
      <c r="FY288" s="7"/>
      <c r="FZ288" s="7"/>
      <c r="GA288" s="7"/>
      <c r="GB288" s="7"/>
      <c r="GC288" s="7"/>
      <c r="GD288" s="7"/>
      <c r="GE288" s="7"/>
      <c r="GF288" s="7"/>
      <c r="GG288" s="7"/>
      <c r="GH288" s="7"/>
      <c r="GI288" s="7"/>
      <c r="GJ288" s="7"/>
      <c r="GK288" s="7"/>
      <c r="GL288" s="7"/>
      <c r="GM288" s="7"/>
      <c r="GN288" s="7"/>
      <c r="GO288" s="7"/>
      <c r="GP288" s="7"/>
      <c r="GQ288" s="7"/>
      <c r="GR288" s="7"/>
      <c r="GS288" s="7"/>
      <c r="GT288" s="7"/>
      <c r="GU288" s="7"/>
      <c r="GV288" s="7"/>
      <c r="GW288" s="7"/>
      <c r="GX288" s="7"/>
      <c r="GY288" s="7"/>
      <c r="GZ288" s="7"/>
      <c r="HA288" s="7"/>
      <c r="HB288" s="7"/>
    </row>
    <row r="289" customFormat="false" ht="1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c r="FJ289" s="7"/>
      <c r="FK289" s="7"/>
      <c r="FL289" s="7"/>
      <c r="FM289" s="7"/>
      <c r="FN289" s="7"/>
      <c r="FO289" s="7"/>
      <c r="FP289" s="7"/>
      <c r="FQ289" s="7"/>
      <c r="FR289" s="7"/>
      <c r="FS289" s="7"/>
      <c r="FT289" s="7"/>
      <c r="FU289" s="7"/>
      <c r="FV289" s="7"/>
      <c r="FW289" s="7"/>
      <c r="FX289" s="7"/>
      <c r="FY289" s="7"/>
      <c r="FZ289" s="7"/>
      <c r="GA289" s="7"/>
      <c r="GB289" s="7"/>
      <c r="GC289" s="7"/>
      <c r="GD289" s="7"/>
      <c r="GE289" s="7"/>
      <c r="GF289" s="7"/>
      <c r="GG289" s="7"/>
      <c r="GH289" s="7"/>
      <c r="GI289" s="7"/>
      <c r="GJ289" s="7"/>
      <c r="GK289" s="7"/>
      <c r="GL289" s="7"/>
      <c r="GM289" s="7"/>
      <c r="GN289" s="7"/>
      <c r="GO289" s="7"/>
      <c r="GP289" s="7"/>
      <c r="GQ289" s="7"/>
      <c r="GR289" s="7"/>
      <c r="GS289" s="7"/>
      <c r="GT289" s="7"/>
      <c r="GU289" s="7"/>
      <c r="GV289" s="7"/>
      <c r="GW289" s="7"/>
      <c r="GX289" s="7"/>
      <c r="GY289" s="7"/>
      <c r="GZ289" s="7"/>
      <c r="HA289" s="7"/>
      <c r="HB289" s="7"/>
    </row>
    <row r="290" customFormat="false" ht="1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c r="FV290" s="7"/>
      <c r="FW290" s="7"/>
      <c r="FX290" s="7"/>
      <c r="FY290" s="7"/>
      <c r="FZ290" s="7"/>
      <c r="GA290" s="7"/>
      <c r="GB290" s="7"/>
      <c r="GC290" s="7"/>
      <c r="GD290" s="7"/>
      <c r="GE290" s="7"/>
      <c r="GF290" s="7"/>
      <c r="GG290" s="7"/>
      <c r="GH290" s="7"/>
      <c r="GI290" s="7"/>
      <c r="GJ290" s="7"/>
      <c r="GK290" s="7"/>
      <c r="GL290" s="7"/>
      <c r="GM290" s="7"/>
      <c r="GN290" s="7"/>
      <c r="GO290" s="7"/>
      <c r="GP290" s="7"/>
      <c r="GQ290" s="7"/>
      <c r="GR290" s="7"/>
      <c r="GS290" s="7"/>
      <c r="GT290" s="7"/>
      <c r="GU290" s="7"/>
      <c r="GV290" s="7"/>
      <c r="GW290" s="7"/>
      <c r="GX290" s="7"/>
      <c r="GY290" s="7"/>
      <c r="GZ290" s="7"/>
      <c r="HA290" s="7"/>
      <c r="HB290" s="7"/>
    </row>
    <row r="291" customFormat="false" ht="1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c r="FK291" s="7"/>
      <c r="FL291" s="7"/>
      <c r="FM291" s="7"/>
      <c r="FN291" s="7"/>
      <c r="FO291" s="7"/>
      <c r="FP291" s="7"/>
      <c r="FQ291" s="7"/>
      <c r="FR291" s="7"/>
      <c r="FS291" s="7"/>
      <c r="FT291" s="7"/>
      <c r="FU291" s="7"/>
      <c r="FV291" s="7"/>
      <c r="FW291" s="7"/>
      <c r="FX291" s="7"/>
      <c r="FY291" s="7"/>
      <c r="FZ291" s="7"/>
      <c r="GA291" s="7"/>
      <c r="GB291" s="7"/>
      <c r="GC291" s="7"/>
      <c r="GD291" s="7"/>
      <c r="GE291" s="7"/>
      <c r="GF291" s="7"/>
      <c r="GG291" s="7"/>
      <c r="GH291" s="7"/>
      <c r="GI291" s="7"/>
      <c r="GJ291" s="7"/>
      <c r="GK291" s="7"/>
      <c r="GL291" s="7"/>
      <c r="GM291" s="7"/>
      <c r="GN291" s="7"/>
      <c r="GO291" s="7"/>
      <c r="GP291" s="7"/>
      <c r="GQ291" s="7"/>
      <c r="GR291" s="7"/>
      <c r="GS291" s="7"/>
      <c r="GT291" s="7"/>
      <c r="GU291" s="7"/>
      <c r="GV291" s="7"/>
      <c r="GW291" s="7"/>
      <c r="GX291" s="7"/>
      <c r="GY291" s="7"/>
      <c r="GZ291" s="7"/>
      <c r="HA291" s="7"/>
      <c r="HB291" s="7"/>
    </row>
    <row r="292" customFormat="false" ht="1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c r="FJ292" s="7"/>
      <c r="FK292" s="7"/>
      <c r="FL292" s="7"/>
      <c r="FM292" s="7"/>
      <c r="FN292" s="7"/>
      <c r="FO292" s="7"/>
      <c r="FP292" s="7"/>
      <c r="FQ292" s="7"/>
      <c r="FR292" s="7"/>
      <c r="FS292" s="7"/>
      <c r="FT292" s="7"/>
      <c r="FU292" s="7"/>
      <c r="FV292" s="7"/>
      <c r="FW292" s="7"/>
      <c r="FX292" s="7"/>
      <c r="FY292" s="7"/>
      <c r="FZ292" s="7"/>
      <c r="GA292" s="7"/>
      <c r="GB292" s="7"/>
      <c r="GC292" s="7"/>
      <c r="GD292" s="7"/>
      <c r="GE292" s="7"/>
      <c r="GF292" s="7"/>
      <c r="GG292" s="7"/>
      <c r="GH292" s="7"/>
      <c r="GI292" s="7"/>
      <c r="GJ292" s="7"/>
      <c r="GK292" s="7"/>
      <c r="GL292" s="7"/>
      <c r="GM292" s="7"/>
      <c r="GN292" s="7"/>
      <c r="GO292" s="7"/>
      <c r="GP292" s="7"/>
      <c r="GQ292" s="7"/>
      <c r="GR292" s="7"/>
      <c r="GS292" s="7"/>
      <c r="GT292" s="7"/>
      <c r="GU292" s="7"/>
      <c r="GV292" s="7"/>
      <c r="GW292" s="7"/>
      <c r="GX292" s="7"/>
      <c r="GY292" s="7"/>
      <c r="GZ292" s="7"/>
      <c r="HA292" s="7"/>
      <c r="HB292" s="7"/>
    </row>
    <row r="293" customFormat="false" ht="1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c r="FJ293" s="7"/>
      <c r="FK293" s="7"/>
      <c r="FL293" s="7"/>
      <c r="FM293" s="7"/>
      <c r="FN293" s="7"/>
      <c r="FO293" s="7"/>
      <c r="FP293" s="7"/>
      <c r="FQ293" s="7"/>
      <c r="FR293" s="7"/>
      <c r="FS293" s="7"/>
      <c r="FT293" s="7"/>
      <c r="FU293" s="7"/>
      <c r="FV293" s="7"/>
      <c r="FW293" s="7"/>
      <c r="FX293" s="7"/>
      <c r="FY293" s="7"/>
      <c r="FZ293" s="7"/>
      <c r="GA293" s="7"/>
      <c r="GB293" s="7"/>
      <c r="GC293" s="7"/>
      <c r="GD293" s="7"/>
      <c r="GE293" s="7"/>
      <c r="GF293" s="7"/>
      <c r="GG293" s="7"/>
      <c r="GH293" s="7"/>
      <c r="GI293" s="7"/>
      <c r="GJ293" s="7"/>
      <c r="GK293" s="7"/>
      <c r="GL293" s="7"/>
      <c r="GM293" s="7"/>
      <c r="GN293" s="7"/>
      <c r="GO293" s="7"/>
      <c r="GP293" s="7"/>
      <c r="GQ293" s="7"/>
      <c r="GR293" s="7"/>
      <c r="GS293" s="7"/>
      <c r="GT293" s="7"/>
      <c r="GU293" s="7"/>
      <c r="GV293" s="7"/>
      <c r="GW293" s="7"/>
      <c r="GX293" s="7"/>
      <c r="GY293" s="7"/>
      <c r="GZ293" s="7"/>
      <c r="HA293" s="7"/>
      <c r="HB293" s="7"/>
    </row>
    <row r="294" customFormat="false" ht="1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c r="FJ294" s="7"/>
      <c r="FK294" s="7"/>
      <c r="FL294" s="7"/>
      <c r="FM294" s="7"/>
      <c r="FN294" s="7"/>
      <c r="FO294" s="7"/>
      <c r="FP294" s="7"/>
      <c r="FQ294" s="7"/>
      <c r="FR294" s="7"/>
      <c r="FS294" s="7"/>
      <c r="FT294" s="7"/>
      <c r="FU294" s="7"/>
      <c r="FV294" s="7"/>
      <c r="FW294" s="7"/>
      <c r="FX294" s="7"/>
      <c r="FY294" s="7"/>
      <c r="FZ294" s="7"/>
      <c r="GA294" s="7"/>
      <c r="GB294" s="7"/>
      <c r="GC294" s="7"/>
      <c r="GD294" s="7"/>
      <c r="GE294" s="7"/>
      <c r="GF294" s="7"/>
      <c r="GG294" s="7"/>
      <c r="GH294" s="7"/>
      <c r="GI294" s="7"/>
      <c r="GJ294" s="7"/>
      <c r="GK294" s="7"/>
      <c r="GL294" s="7"/>
      <c r="GM294" s="7"/>
      <c r="GN294" s="7"/>
      <c r="GO294" s="7"/>
      <c r="GP294" s="7"/>
      <c r="GQ294" s="7"/>
      <c r="GR294" s="7"/>
      <c r="GS294" s="7"/>
      <c r="GT294" s="7"/>
      <c r="GU294" s="7"/>
      <c r="GV294" s="7"/>
      <c r="GW294" s="7"/>
      <c r="GX294" s="7"/>
      <c r="GY294" s="7"/>
      <c r="GZ294" s="7"/>
      <c r="HA294" s="7"/>
      <c r="HB294" s="7"/>
    </row>
    <row r="295" customFormat="false" ht="1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c r="FV295" s="7"/>
      <c r="FW295" s="7"/>
      <c r="FX295" s="7"/>
      <c r="FY295" s="7"/>
      <c r="FZ295" s="7"/>
      <c r="GA295" s="7"/>
      <c r="GB295" s="7"/>
      <c r="GC295" s="7"/>
      <c r="GD295" s="7"/>
      <c r="GE295" s="7"/>
      <c r="GF295" s="7"/>
      <c r="GG295" s="7"/>
      <c r="GH295" s="7"/>
      <c r="GI295" s="7"/>
      <c r="GJ295" s="7"/>
      <c r="GK295" s="7"/>
      <c r="GL295" s="7"/>
      <c r="GM295" s="7"/>
      <c r="GN295" s="7"/>
      <c r="GO295" s="7"/>
      <c r="GP295" s="7"/>
      <c r="GQ295" s="7"/>
      <c r="GR295" s="7"/>
      <c r="GS295" s="7"/>
      <c r="GT295" s="7"/>
      <c r="GU295" s="7"/>
      <c r="GV295" s="7"/>
      <c r="GW295" s="7"/>
      <c r="GX295" s="7"/>
      <c r="GY295" s="7"/>
      <c r="GZ295" s="7"/>
      <c r="HA295" s="7"/>
      <c r="HB295" s="7"/>
    </row>
    <row r="296" customFormat="false" ht="1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c r="FJ296" s="7"/>
      <c r="FK296" s="7"/>
      <c r="FL296" s="7"/>
      <c r="FM296" s="7"/>
      <c r="FN296" s="7"/>
      <c r="FO296" s="7"/>
      <c r="FP296" s="7"/>
      <c r="FQ296" s="7"/>
      <c r="FR296" s="7"/>
      <c r="FS296" s="7"/>
      <c r="FT296" s="7"/>
      <c r="FU296" s="7"/>
      <c r="FV296" s="7"/>
      <c r="FW296" s="7"/>
      <c r="FX296" s="7"/>
      <c r="FY296" s="7"/>
      <c r="FZ296" s="7"/>
      <c r="GA296" s="7"/>
      <c r="GB296" s="7"/>
      <c r="GC296" s="7"/>
      <c r="GD296" s="7"/>
      <c r="GE296" s="7"/>
      <c r="GF296" s="7"/>
      <c r="GG296" s="7"/>
      <c r="GH296" s="7"/>
      <c r="GI296" s="7"/>
      <c r="GJ296" s="7"/>
      <c r="GK296" s="7"/>
      <c r="GL296" s="7"/>
      <c r="GM296" s="7"/>
      <c r="GN296" s="7"/>
      <c r="GO296" s="7"/>
      <c r="GP296" s="7"/>
      <c r="GQ296" s="7"/>
      <c r="GR296" s="7"/>
      <c r="GS296" s="7"/>
      <c r="GT296" s="7"/>
      <c r="GU296" s="7"/>
      <c r="GV296" s="7"/>
      <c r="GW296" s="7"/>
      <c r="GX296" s="7"/>
      <c r="GY296" s="7"/>
      <c r="GZ296" s="7"/>
      <c r="HA296" s="7"/>
      <c r="HB296" s="7"/>
    </row>
    <row r="297" customFormat="false" ht="1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c r="FV297" s="7"/>
      <c r="FW297" s="7"/>
      <c r="FX297" s="7"/>
      <c r="FY297" s="7"/>
      <c r="FZ297" s="7"/>
      <c r="GA297" s="7"/>
      <c r="GB297" s="7"/>
      <c r="GC297" s="7"/>
      <c r="GD297" s="7"/>
      <c r="GE297" s="7"/>
      <c r="GF297" s="7"/>
      <c r="GG297" s="7"/>
      <c r="GH297" s="7"/>
      <c r="GI297" s="7"/>
      <c r="GJ297" s="7"/>
      <c r="GK297" s="7"/>
      <c r="GL297" s="7"/>
      <c r="GM297" s="7"/>
      <c r="GN297" s="7"/>
      <c r="GO297" s="7"/>
      <c r="GP297" s="7"/>
      <c r="GQ297" s="7"/>
      <c r="GR297" s="7"/>
      <c r="GS297" s="7"/>
      <c r="GT297" s="7"/>
      <c r="GU297" s="7"/>
      <c r="GV297" s="7"/>
      <c r="GW297" s="7"/>
      <c r="GX297" s="7"/>
      <c r="GY297" s="7"/>
      <c r="GZ297" s="7"/>
      <c r="HA297" s="7"/>
      <c r="HB297" s="7"/>
    </row>
    <row r="298" customFormat="false" ht="1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c r="GZ298" s="7"/>
      <c r="HA298" s="7"/>
      <c r="HB298" s="7"/>
    </row>
    <row r="299" customFormat="false" ht="1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c r="FJ299" s="7"/>
      <c r="FK299" s="7"/>
      <c r="FL299" s="7"/>
      <c r="FM299" s="7"/>
      <c r="FN299" s="7"/>
      <c r="FO299" s="7"/>
      <c r="FP299" s="7"/>
      <c r="FQ299" s="7"/>
      <c r="FR299" s="7"/>
      <c r="FS299" s="7"/>
      <c r="FT299" s="7"/>
      <c r="FU299" s="7"/>
      <c r="FV299" s="7"/>
      <c r="FW299" s="7"/>
      <c r="FX299" s="7"/>
      <c r="FY299" s="7"/>
      <c r="FZ299" s="7"/>
      <c r="GA299" s="7"/>
      <c r="GB299" s="7"/>
      <c r="GC299" s="7"/>
      <c r="GD299" s="7"/>
      <c r="GE299" s="7"/>
      <c r="GF299" s="7"/>
      <c r="GG299" s="7"/>
      <c r="GH299" s="7"/>
      <c r="GI299" s="7"/>
      <c r="GJ299" s="7"/>
      <c r="GK299" s="7"/>
      <c r="GL299" s="7"/>
      <c r="GM299" s="7"/>
      <c r="GN299" s="7"/>
      <c r="GO299" s="7"/>
      <c r="GP299" s="7"/>
      <c r="GQ299" s="7"/>
      <c r="GR299" s="7"/>
      <c r="GS299" s="7"/>
      <c r="GT299" s="7"/>
      <c r="GU299" s="7"/>
      <c r="GV299" s="7"/>
      <c r="GW299" s="7"/>
      <c r="GX299" s="7"/>
      <c r="GY299" s="7"/>
      <c r="GZ299" s="7"/>
      <c r="HA299" s="7"/>
      <c r="HB299" s="7"/>
    </row>
    <row r="300" customFormat="false" ht="1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c r="FJ300" s="7"/>
      <c r="FK300" s="7"/>
      <c r="FL300" s="7"/>
      <c r="FM300" s="7"/>
      <c r="FN300" s="7"/>
      <c r="FO300" s="7"/>
      <c r="FP300" s="7"/>
      <c r="FQ300" s="7"/>
      <c r="FR300" s="7"/>
      <c r="FS300" s="7"/>
      <c r="FT300" s="7"/>
      <c r="FU300" s="7"/>
      <c r="FV300" s="7"/>
      <c r="FW300" s="7"/>
      <c r="FX300" s="7"/>
      <c r="FY300" s="7"/>
      <c r="FZ300" s="7"/>
      <c r="GA300" s="7"/>
      <c r="GB300" s="7"/>
      <c r="GC300" s="7"/>
      <c r="GD300" s="7"/>
      <c r="GE300" s="7"/>
      <c r="GF300" s="7"/>
      <c r="GG300" s="7"/>
      <c r="GH300" s="7"/>
      <c r="GI300" s="7"/>
      <c r="GJ300" s="7"/>
      <c r="GK300" s="7"/>
      <c r="GL300" s="7"/>
      <c r="GM300" s="7"/>
      <c r="GN300" s="7"/>
      <c r="GO300" s="7"/>
      <c r="GP300" s="7"/>
      <c r="GQ300" s="7"/>
      <c r="GR300" s="7"/>
      <c r="GS300" s="7"/>
      <c r="GT300" s="7"/>
      <c r="GU300" s="7"/>
      <c r="GV300" s="7"/>
      <c r="GW300" s="7"/>
      <c r="GX300" s="7"/>
      <c r="GY300" s="7"/>
      <c r="GZ300" s="7"/>
      <c r="HA300" s="7"/>
      <c r="HB300" s="7"/>
    </row>
    <row r="301" customFormat="false" ht="1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c r="FV301" s="7"/>
      <c r="FW301" s="7"/>
      <c r="FX301" s="7"/>
      <c r="FY301" s="7"/>
      <c r="FZ301" s="7"/>
      <c r="GA301" s="7"/>
      <c r="GB301" s="7"/>
      <c r="GC301" s="7"/>
      <c r="GD301" s="7"/>
      <c r="GE301" s="7"/>
      <c r="GF301" s="7"/>
      <c r="GG301" s="7"/>
      <c r="GH301" s="7"/>
      <c r="GI301" s="7"/>
      <c r="GJ301" s="7"/>
      <c r="GK301" s="7"/>
      <c r="GL301" s="7"/>
      <c r="GM301" s="7"/>
      <c r="GN301" s="7"/>
      <c r="GO301" s="7"/>
      <c r="GP301" s="7"/>
      <c r="GQ301" s="7"/>
      <c r="GR301" s="7"/>
      <c r="GS301" s="7"/>
      <c r="GT301" s="7"/>
      <c r="GU301" s="7"/>
      <c r="GV301" s="7"/>
      <c r="GW301" s="7"/>
      <c r="GX301" s="7"/>
      <c r="GY301" s="7"/>
      <c r="GZ301" s="7"/>
      <c r="HA301" s="7"/>
      <c r="HB301" s="7"/>
    </row>
    <row r="302" customFormat="false" ht="1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c r="FV302" s="7"/>
      <c r="FW302" s="7"/>
      <c r="FX302" s="7"/>
      <c r="FY302" s="7"/>
      <c r="FZ302" s="7"/>
      <c r="GA302" s="7"/>
      <c r="GB302" s="7"/>
      <c r="GC302" s="7"/>
      <c r="GD302" s="7"/>
      <c r="GE302" s="7"/>
      <c r="GF302" s="7"/>
      <c r="GG302" s="7"/>
      <c r="GH302" s="7"/>
      <c r="GI302" s="7"/>
      <c r="GJ302" s="7"/>
      <c r="GK302" s="7"/>
      <c r="GL302" s="7"/>
      <c r="GM302" s="7"/>
      <c r="GN302" s="7"/>
      <c r="GO302" s="7"/>
      <c r="GP302" s="7"/>
      <c r="GQ302" s="7"/>
      <c r="GR302" s="7"/>
      <c r="GS302" s="7"/>
      <c r="GT302" s="7"/>
      <c r="GU302" s="7"/>
      <c r="GV302" s="7"/>
      <c r="GW302" s="7"/>
      <c r="GX302" s="7"/>
      <c r="GY302" s="7"/>
      <c r="GZ302" s="7"/>
      <c r="HA302" s="7"/>
      <c r="HB302" s="7"/>
    </row>
    <row r="303" customFormat="false" ht="1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c r="FV303" s="7"/>
      <c r="FW303" s="7"/>
      <c r="FX303" s="7"/>
      <c r="FY303" s="7"/>
      <c r="FZ303" s="7"/>
      <c r="GA303" s="7"/>
      <c r="GB303" s="7"/>
      <c r="GC303" s="7"/>
      <c r="GD303" s="7"/>
      <c r="GE303" s="7"/>
      <c r="GF303" s="7"/>
      <c r="GG303" s="7"/>
      <c r="GH303" s="7"/>
      <c r="GI303" s="7"/>
      <c r="GJ303" s="7"/>
      <c r="GK303" s="7"/>
      <c r="GL303" s="7"/>
      <c r="GM303" s="7"/>
      <c r="GN303" s="7"/>
      <c r="GO303" s="7"/>
      <c r="GP303" s="7"/>
      <c r="GQ303" s="7"/>
      <c r="GR303" s="7"/>
      <c r="GS303" s="7"/>
      <c r="GT303" s="7"/>
      <c r="GU303" s="7"/>
      <c r="GV303" s="7"/>
      <c r="GW303" s="7"/>
      <c r="GX303" s="7"/>
      <c r="GY303" s="7"/>
      <c r="GZ303" s="7"/>
      <c r="HA303" s="7"/>
      <c r="HB303" s="7"/>
    </row>
    <row r="304" customFormat="false" ht="1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c r="FV304" s="7"/>
      <c r="FW304" s="7"/>
      <c r="FX304" s="7"/>
      <c r="FY304" s="7"/>
      <c r="FZ304" s="7"/>
      <c r="GA304" s="7"/>
      <c r="GB304" s="7"/>
      <c r="GC304" s="7"/>
      <c r="GD304" s="7"/>
      <c r="GE304" s="7"/>
      <c r="GF304" s="7"/>
      <c r="GG304" s="7"/>
      <c r="GH304" s="7"/>
      <c r="GI304" s="7"/>
      <c r="GJ304" s="7"/>
      <c r="GK304" s="7"/>
      <c r="GL304" s="7"/>
      <c r="GM304" s="7"/>
      <c r="GN304" s="7"/>
      <c r="GO304" s="7"/>
      <c r="GP304" s="7"/>
      <c r="GQ304" s="7"/>
      <c r="GR304" s="7"/>
      <c r="GS304" s="7"/>
      <c r="GT304" s="7"/>
      <c r="GU304" s="7"/>
      <c r="GV304" s="7"/>
      <c r="GW304" s="7"/>
      <c r="GX304" s="7"/>
      <c r="GY304" s="7"/>
      <c r="GZ304" s="7"/>
      <c r="HA304" s="7"/>
      <c r="HB304" s="7"/>
    </row>
    <row r="305" customFormat="false" ht="1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c r="FV305" s="7"/>
      <c r="FW305" s="7"/>
      <c r="FX305" s="7"/>
      <c r="FY305" s="7"/>
      <c r="FZ305" s="7"/>
      <c r="GA305" s="7"/>
      <c r="GB305" s="7"/>
      <c r="GC305" s="7"/>
      <c r="GD305" s="7"/>
      <c r="GE305" s="7"/>
      <c r="GF305" s="7"/>
      <c r="GG305" s="7"/>
      <c r="GH305" s="7"/>
      <c r="GI305" s="7"/>
      <c r="GJ305" s="7"/>
      <c r="GK305" s="7"/>
      <c r="GL305" s="7"/>
      <c r="GM305" s="7"/>
      <c r="GN305" s="7"/>
      <c r="GO305" s="7"/>
      <c r="GP305" s="7"/>
      <c r="GQ305" s="7"/>
      <c r="GR305" s="7"/>
      <c r="GS305" s="7"/>
      <c r="GT305" s="7"/>
      <c r="GU305" s="7"/>
      <c r="GV305" s="7"/>
      <c r="GW305" s="7"/>
      <c r="GX305" s="7"/>
      <c r="GY305" s="7"/>
      <c r="GZ305" s="7"/>
      <c r="HA305" s="7"/>
      <c r="HB305" s="7"/>
    </row>
    <row r="306" customFormat="false" ht="1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c r="FJ306" s="7"/>
      <c r="FK306" s="7"/>
      <c r="FL306" s="7"/>
      <c r="FM306" s="7"/>
      <c r="FN306" s="7"/>
      <c r="FO306" s="7"/>
      <c r="FP306" s="7"/>
      <c r="FQ306" s="7"/>
      <c r="FR306" s="7"/>
      <c r="FS306" s="7"/>
      <c r="FT306" s="7"/>
      <c r="FU306" s="7"/>
      <c r="FV306" s="7"/>
      <c r="FW306" s="7"/>
      <c r="FX306" s="7"/>
      <c r="FY306" s="7"/>
      <c r="FZ306" s="7"/>
      <c r="GA306" s="7"/>
      <c r="GB306" s="7"/>
      <c r="GC306" s="7"/>
      <c r="GD306" s="7"/>
      <c r="GE306" s="7"/>
      <c r="GF306" s="7"/>
      <c r="GG306" s="7"/>
      <c r="GH306" s="7"/>
      <c r="GI306" s="7"/>
      <c r="GJ306" s="7"/>
      <c r="GK306" s="7"/>
      <c r="GL306" s="7"/>
      <c r="GM306" s="7"/>
      <c r="GN306" s="7"/>
      <c r="GO306" s="7"/>
      <c r="GP306" s="7"/>
      <c r="GQ306" s="7"/>
      <c r="GR306" s="7"/>
      <c r="GS306" s="7"/>
      <c r="GT306" s="7"/>
      <c r="GU306" s="7"/>
      <c r="GV306" s="7"/>
      <c r="GW306" s="7"/>
      <c r="GX306" s="7"/>
      <c r="GY306" s="7"/>
      <c r="GZ306" s="7"/>
      <c r="HA306" s="7"/>
      <c r="HB306" s="7"/>
    </row>
    <row r="307" customFormat="false" ht="1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c r="FV307" s="7"/>
      <c r="FW307" s="7"/>
      <c r="FX307" s="7"/>
      <c r="FY307" s="7"/>
      <c r="FZ307" s="7"/>
      <c r="GA307" s="7"/>
      <c r="GB307" s="7"/>
      <c r="GC307" s="7"/>
      <c r="GD307" s="7"/>
      <c r="GE307" s="7"/>
      <c r="GF307" s="7"/>
      <c r="GG307" s="7"/>
      <c r="GH307" s="7"/>
      <c r="GI307" s="7"/>
      <c r="GJ307" s="7"/>
      <c r="GK307" s="7"/>
      <c r="GL307" s="7"/>
      <c r="GM307" s="7"/>
      <c r="GN307" s="7"/>
      <c r="GO307" s="7"/>
      <c r="GP307" s="7"/>
      <c r="GQ307" s="7"/>
      <c r="GR307" s="7"/>
      <c r="GS307" s="7"/>
      <c r="GT307" s="7"/>
      <c r="GU307" s="7"/>
      <c r="GV307" s="7"/>
      <c r="GW307" s="7"/>
      <c r="GX307" s="7"/>
      <c r="GY307" s="7"/>
      <c r="GZ307" s="7"/>
      <c r="HA307" s="7"/>
      <c r="HB307" s="7"/>
    </row>
    <row r="308" customFormat="false" ht="1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c r="FJ308" s="7"/>
      <c r="FK308" s="7"/>
      <c r="FL308" s="7"/>
      <c r="FM308" s="7"/>
      <c r="FN308" s="7"/>
      <c r="FO308" s="7"/>
      <c r="FP308" s="7"/>
      <c r="FQ308" s="7"/>
      <c r="FR308" s="7"/>
      <c r="FS308" s="7"/>
      <c r="FT308" s="7"/>
      <c r="FU308" s="7"/>
      <c r="FV308" s="7"/>
      <c r="FW308" s="7"/>
      <c r="FX308" s="7"/>
      <c r="FY308" s="7"/>
      <c r="FZ308" s="7"/>
      <c r="GA308" s="7"/>
      <c r="GB308" s="7"/>
      <c r="GC308" s="7"/>
      <c r="GD308" s="7"/>
      <c r="GE308" s="7"/>
      <c r="GF308" s="7"/>
      <c r="GG308" s="7"/>
      <c r="GH308" s="7"/>
      <c r="GI308" s="7"/>
      <c r="GJ308" s="7"/>
      <c r="GK308" s="7"/>
      <c r="GL308" s="7"/>
      <c r="GM308" s="7"/>
      <c r="GN308" s="7"/>
      <c r="GO308" s="7"/>
      <c r="GP308" s="7"/>
      <c r="GQ308" s="7"/>
      <c r="GR308" s="7"/>
      <c r="GS308" s="7"/>
      <c r="GT308" s="7"/>
      <c r="GU308" s="7"/>
      <c r="GV308" s="7"/>
      <c r="GW308" s="7"/>
      <c r="GX308" s="7"/>
      <c r="GY308" s="7"/>
      <c r="GZ308" s="7"/>
      <c r="HA308" s="7"/>
      <c r="HB308" s="7"/>
    </row>
    <row r="309" customFormat="false" ht="1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c r="FJ309" s="7"/>
      <c r="FK309" s="7"/>
      <c r="FL309" s="7"/>
      <c r="FM309" s="7"/>
      <c r="FN309" s="7"/>
      <c r="FO309" s="7"/>
      <c r="FP309" s="7"/>
      <c r="FQ309" s="7"/>
      <c r="FR309" s="7"/>
      <c r="FS309" s="7"/>
      <c r="FT309" s="7"/>
      <c r="FU309" s="7"/>
      <c r="FV309" s="7"/>
      <c r="FW309" s="7"/>
      <c r="FX309" s="7"/>
      <c r="FY309" s="7"/>
      <c r="FZ309" s="7"/>
      <c r="GA309" s="7"/>
      <c r="GB309" s="7"/>
      <c r="GC309" s="7"/>
      <c r="GD309" s="7"/>
      <c r="GE309" s="7"/>
      <c r="GF309" s="7"/>
      <c r="GG309" s="7"/>
      <c r="GH309" s="7"/>
      <c r="GI309" s="7"/>
      <c r="GJ309" s="7"/>
      <c r="GK309" s="7"/>
      <c r="GL309" s="7"/>
      <c r="GM309" s="7"/>
      <c r="GN309" s="7"/>
      <c r="GO309" s="7"/>
      <c r="GP309" s="7"/>
      <c r="GQ309" s="7"/>
      <c r="GR309" s="7"/>
      <c r="GS309" s="7"/>
      <c r="GT309" s="7"/>
      <c r="GU309" s="7"/>
      <c r="GV309" s="7"/>
      <c r="GW309" s="7"/>
      <c r="GX309" s="7"/>
      <c r="GY309" s="7"/>
      <c r="GZ309" s="7"/>
      <c r="HA309" s="7"/>
      <c r="HB309" s="7"/>
    </row>
    <row r="310" customFormat="false" ht="1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c r="GZ310" s="7"/>
      <c r="HA310" s="7"/>
      <c r="HB310" s="7"/>
    </row>
    <row r="311" customFormat="false" ht="1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c r="GZ311" s="7"/>
      <c r="HA311" s="7"/>
      <c r="HB311" s="7"/>
    </row>
    <row r="312" customFormat="false" ht="1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c r="GZ312" s="7"/>
      <c r="HA312" s="7"/>
      <c r="HB312" s="7"/>
    </row>
    <row r="313" customFormat="false" ht="1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c r="GZ313" s="7"/>
      <c r="HA313" s="7"/>
      <c r="HB313" s="7"/>
    </row>
    <row r="314" customFormat="false" ht="1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row>
    <row r="315" customFormat="false" ht="1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c r="GT315" s="7"/>
      <c r="GU315" s="7"/>
      <c r="GV315" s="7"/>
      <c r="GW315" s="7"/>
      <c r="GX315" s="7"/>
      <c r="GY315" s="7"/>
      <c r="GZ315" s="7"/>
      <c r="HA315" s="7"/>
      <c r="HB315" s="7"/>
    </row>
    <row r="316" customFormat="false" ht="1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c r="GZ316" s="7"/>
      <c r="HA316" s="7"/>
      <c r="HB316" s="7"/>
    </row>
    <row r="317" customFormat="false" ht="1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c r="GZ317" s="7"/>
      <c r="HA317" s="7"/>
      <c r="HB317" s="7"/>
    </row>
    <row r="318" customFormat="false" ht="1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c r="GZ318" s="7"/>
      <c r="HA318" s="7"/>
      <c r="HB318" s="7"/>
    </row>
    <row r="319" customFormat="false" ht="1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c r="GZ319" s="7"/>
      <c r="HA319" s="7"/>
      <c r="HB319" s="7"/>
    </row>
    <row r="320" customFormat="false" ht="1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c r="GZ320" s="7"/>
      <c r="HA320" s="7"/>
      <c r="HB320" s="7"/>
    </row>
    <row r="321" customFormat="false" ht="1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c r="GS321" s="7"/>
      <c r="GT321" s="7"/>
      <c r="GU321" s="7"/>
      <c r="GV321" s="7"/>
      <c r="GW321" s="7"/>
      <c r="GX321" s="7"/>
      <c r="GY321" s="7"/>
      <c r="GZ321" s="7"/>
      <c r="HA321" s="7"/>
      <c r="HB321" s="7"/>
    </row>
    <row r="322" customFormat="false" ht="1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c r="GZ322" s="7"/>
      <c r="HA322" s="7"/>
      <c r="HB322" s="7"/>
    </row>
    <row r="323" customFormat="false" ht="1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c r="GZ323" s="7"/>
      <c r="HA323" s="7"/>
      <c r="HB323" s="7"/>
    </row>
    <row r="324" customFormat="false" ht="1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c r="GZ324" s="7"/>
      <c r="HA324" s="7"/>
      <c r="HB324" s="7"/>
    </row>
    <row r="325" customFormat="false" ht="1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c r="GZ325" s="7"/>
      <c r="HA325" s="7"/>
      <c r="HB325" s="7"/>
    </row>
    <row r="326" customFormat="false" ht="1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c r="GZ326" s="7"/>
      <c r="HA326" s="7"/>
      <c r="HB326" s="7"/>
    </row>
    <row r="327" customFormat="false" ht="1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c r="GO327" s="7"/>
      <c r="GP327" s="7"/>
      <c r="GQ327" s="7"/>
      <c r="GR327" s="7"/>
      <c r="GS327" s="7"/>
      <c r="GT327" s="7"/>
      <c r="GU327" s="7"/>
      <c r="GV327" s="7"/>
      <c r="GW327" s="7"/>
      <c r="GX327" s="7"/>
      <c r="GY327" s="7"/>
      <c r="GZ327" s="7"/>
      <c r="HA327" s="7"/>
      <c r="HB327" s="7"/>
    </row>
    <row r="328" customFormat="false" ht="1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row>
    <row r="329" customFormat="false" ht="1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c r="GM329" s="7"/>
      <c r="GN329" s="7"/>
      <c r="GO329" s="7"/>
      <c r="GP329" s="7"/>
      <c r="GQ329" s="7"/>
      <c r="GR329" s="7"/>
      <c r="GS329" s="7"/>
      <c r="GT329" s="7"/>
      <c r="GU329" s="7"/>
      <c r="GV329" s="7"/>
      <c r="GW329" s="7"/>
      <c r="GX329" s="7"/>
      <c r="GY329" s="7"/>
      <c r="GZ329" s="7"/>
      <c r="HA329" s="7"/>
      <c r="HB329" s="7"/>
    </row>
    <row r="330" customFormat="false" ht="1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c r="GZ330" s="7"/>
      <c r="HA330" s="7"/>
      <c r="HB330" s="7"/>
    </row>
    <row r="331" customFormat="false" ht="1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row>
    <row r="332" customFormat="false" ht="1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c r="GZ332" s="7"/>
      <c r="HA332" s="7"/>
      <c r="HB332" s="7"/>
    </row>
    <row r="333" customFormat="false" ht="1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c r="GR333" s="7"/>
      <c r="GS333" s="7"/>
      <c r="GT333" s="7"/>
      <c r="GU333" s="7"/>
      <c r="GV333" s="7"/>
      <c r="GW333" s="7"/>
      <c r="GX333" s="7"/>
      <c r="GY333" s="7"/>
      <c r="GZ333" s="7"/>
      <c r="HA333" s="7"/>
      <c r="HB333" s="7"/>
    </row>
    <row r="334" customFormat="false" ht="1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c r="GU334" s="7"/>
      <c r="GV334" s="7"/>
      <c r="GW334" s="7"/>
      <c r="GX334" s="7"/>
      <c r="GY334" s="7"/>
      <c r="GZ334" s="7"/>
      <c r="HA334" s="7"/>
      <c r="HB334" s="7"/>
    </row>
    <row r="335" customFormat="false" ht="1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c r="FJ335" s="7"/>
      <c r="FK335" s="7"/>
      <c r="FL335" s="7"/>
      <c r="FM335" s="7"/>
      <c r="FN335" s="7"/>
      <c r="FO335" s="7"/>
      <c r="FP335" s="7"/>
      <c r="FQ335" s="7"/>
      <c r="FR335" s="7"/>
      <c r="FS335" s="7"/>
      <c r="FT335" s="7"/>
      <c r="FU335" s="7"/>
      <c r="FV335" s="7"/>
      <c r="FW335" s="7"/>
      <c r="FX335" s="7"/>
      <c r="FY335" s="7"/>
      <c r="FZ335" s="7"/>
      <c r="GA335" s="7"/>
      <c r="GB335" s="7"/>
      <c r="GC335" s="7"/>
      <c r="GD335" s="7"/>
      <c r="GE335" s="7"/>
      <c r="GF335" s="7"/>
      <c r="GG335" s="7"/>
      <c r="GH335" s="7"/>
      <c r="GI335" s="7"/>
      <c r="GJ335" s="7"/>
      <c r="GK335" s="7"/>
      <c r="GL335" s="7"/>
      <c r="GM335" s="7"/>
      <c r="GN335" s="7"/>
      <c r="GO335" s="7"/>
      <c r="GP335" s="7"/>
      <c r="GQ335" s="7"/>
      <c r="GR335" s="7"/>
      <c r="GS335" s="7"/>
      <c r="GT335" s="7"/>
      <c r="GU335" s="7"/>
      <c r="GV335" s="7"/>
      <c r="GW335" s="7"/>
      <c r="GX335" s="7"/>
      <c r="GY335" s="7"/>
      <c r="GZ335" s="7"/>
      <c r="HA335" s="7"/>
      <c r="HB335" s="7"/>
    </row>
    <row r="336" customFormat="false" ht="1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c r="FJ336" s="7"/>
      <c r="FK336" s="7"/>
      <c r="FL336" s="7"/>
      <c r="FM336" s="7"/>
      <c r="FN336" s="7"/>
      <c r="FO336" s="7"/>
      <c r="FP336" s="7"/>
      <c r="FQ336" s="7"/>
      <c r="FR336" s="7"/>
      <c r="FS336" s="7"/>
      <c r="FT336" s="7"/>
      <c r="FU336" s="7"/>
      <c r="FV336" s="7"/>
      <c r="FW336" s="7"/>
      <c r="FX336" s="7"/>
      <c r="FY336" s="7"/>
      <c r="FZ336" s="7"/>
      <c r="GA336" s="7"/>
      <c r="GB336" s="7"/>
      <c r="GC336" s="7"/>
      <c r="GD336" s="7"/>
      <c r="GE336" s="7"/>
      <c r="GF336" s="7"/>
      <c r="GG336" s="7"/>
      <c r="GH336" s="7"/>
      <c r="GI336" s="7"/>
      <c r="GJ336" s="7"/>
      <c r="GK336" s="7"/>
      <c r="GL336" s="7"/>
      <c r="GM336" s="7"/>
      <c r="GN336" s="7"/>
      <c r="GO336" s="7"/>
      <c r="GP336" s="7"/>
      <c r="GQ336" s="7"/>
      <c r="GR336" s="7"/>
      <c r="GS336" s="7"/>
      <c r="GT336" s="7"/>
      <c r="GU336" s="7"/>
      <c r="GV336" s="7"/>
      <c r="GW336" s="7"/>
      <c r="GX336" s="7"/>
      <c r="GY336" s="7"/>
      <c r="GZ336" s="7"/>
      <c r="HA336" s="7"/>
      <c r="HB336" s="7"/>
    </row>
    <row r="337" customFormat="false" ht="1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c r="FV337" s="7"/>
      <c r="FW337" s="7"/>
      <c r="FX337" s="7"/>
      <c r="FY337" s="7"/>
      <c r="FZ337" s="7"/>
      <c r="GA337" s="7"/>
      <c r="GB337" s="7"/>
      <c r="GC337" s="7"/>
      <c r="GD337" s="7"/>
      <c r="GE337" s="7"/>
      <c r="GF337" s="7"/>
      <c r="GG337" s="7"/>
      <c r="GH337" s="7"/>
      <c r="GI337" s="7"/>
      <c r="GJ337" s="7"/>
      <c r="GK337" s="7"/>
      <c r="GL337" s="7"/>
      <c r="GM337" s="7"/>
      <c r="GN337" s="7"/>
      <c r="GO337" s="7"/>
      <c r="GP337" s="7"/>
      <c r="GQ337" s="7"/>
      <c r="GR337" s="7"/>
      <c r="GS337" s="7"/>
      <c r="GT337" s="7"/>
      <c r="GU337" s="7"/>
      <c r="GV337" s="7"/>
      <c r="GW337" s="7"/>
      <c r="GX337" s="7"/>
      <c r="GY337" s="7"/>
      <c r="GZ337" s="7"/>
      <c r="HA337" s="7"/>
      <c r="HB337" s="7"/>
    </row>
    <row r="338" customFormat="false" ht="1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c r="FJ338" s="7"/>
      <c r="FK338" s="7"/>
      <c r="FL338" s="7"/>
      <c r="FM338" s="7"/>
      <c r="FN338" s="7"/>
      <c r="FO338" s="7"/>
      <c r="FP338" s="7"/>
      <c r="FQ338" s="7"/>
      <c r="FR338" s="7"/>
      <c r="FS338" s="7"/>
      <c r="FT338" s="7"/>
      <c r="FU338" s="7"/>
      <c r="FV338" s="7"/>
      <c r="FW338" s="7"/>
      <c r="FX338" s="7"/>
      <c r="FY338" s="7"/>
      <c r="FZ338" s="7"/>
      <c r="GA338" s="7"/>
      <c r="GB338" s="7"/>
      <c r="GC338" s="7"/>
      <c r="GD338" s="7"/>
      <c r="GE338" s="7"/>
      <c r="GF338" s="7"/>
      <c r="GG338" s="7"/>
      <c r="GH338" s="7"/>
      <c r="GI338" s="7"/>
      <c r="GJ338" s="7"/>
      <c r="GK338" s="7"/>
      <c r="GL338" s="7"/>
      <c r="GM338" s="7"/>
      <c r="GN338" s="7"/>
      <c r="GO338" s="7"/>
      <c r="GP338" s="7"/>
      <c r="GQ338" s="7"/>
      <c r="GR338" s="7"/>
      <c r="GS338" s="7"/>
      <c r="GT338" s="7"/>
      <c r="GU338" s="7"/>
      <c r="GV338" s="7"/>
      <c r="GW338" s="7"/>
      <c r="GX338" s="7"/>
      <c r="GY338" s="7"/>
      <c r="GZ338" s="7"/>
      <c r="HA338" s="7"/>
      <c r="HB338" s="7"/>
    </row>
    <row r="339" customFormat="false" ht="1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c r="FJ339" s="7"/>
      <c r="FK339" s="7"/>
      <c r="FL339" s="7"/>
      <c r="FM339" s="7"/>
      <c r="FN339" s="7"/>
      <c r="FO339" s="7"/>
      <c r="FP339" s="7"/>
      <c r="FQ339" s="7"/>
      <c r="FR339" s="7"/>
      <c r="FS339" s="7"/>
      <c r="FT339" s="7"/>
      <c r="FU339" s="7"/>
      <c r="FV339" s="7"/>
      <c r="FW339" s="7"/>
      <c r="FX339" s="7"/>
      <c r="FY339" s="7"/>
      <c r="FZ339" s="7"/>
      <c r="GA339" s="7"/>
      <c r="GB339" s="7"/>
      <c r="GC339" s="7"/>
      <c r="GD339" s="7"/>
      <c r="GE339" s="7"/>
      <c r="GF339" s="7"/>
      <c r="GG339" s="7"/>
      <c r="GH339" s="7"/>
      <c r="GI339" s="7"/>
      <c r="GJ339" s="7"/>
      <c r="GK339" s="7"/>
      <c r="GL339" s="7"/>
      <c r="GM339" s="7"/>
      <c r="GN339" s="7"/>
      <c r="GO339" s="7"/>
      <c r="GP339" s="7"/>
      <c r="GQ339" s="7"/>
      <c r="GR339" s="7"/>
      <c r="GS339" s="7"/>
      <c r="GT339" s="7"/>
      <c r="GU339" s="7"/>
      <c r="GV339" s="7"/>
      <c r="GW339" s="7"/>
      <c r="GX339" s="7"/>
      <c r="GY339" s="7"/>
      <c r="GZ339" s="7"/>
      <c r="HA339" s="7"/>
      <c r="HB339" s="7"/>
    </row>
    <row r="340" customFormat="false" ht="1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c r="FJ340" s="7"/>
      <c r="FK340" s="7"/>
      <c r="FL340" s="7"/>
      <c r="FM340" s="7"/>
      <c r="FN340" s="7"/>
      <c r="FO340" s="7"/>
      <c r="FP340" s="7"/>
      <c r="FQ340" s="7"/>
      <c r="FR340" s="7"/>
      <c r="FS340" s="7"/>
      <c r="FT340" s="7"/>
      <c r="FU340" s="7"/>
      <c r="FV340" s="7"/>
      <c r="FW340" s="7"/>
      <c r="FX340" s="7"/>
      <c r="FY340" s="7"/>
      <c r="FZ340" s="7"/>
      <c r="GA340" s="7"/>
      <c r="GB340" s="7"/>
      <c r="GC340" s="7"/>
      <c r="GD340" s="7"/>
      <c r="GE340" s="7"/>
      <c r="GF340" s="7"/>
      <c r="GG340" s="7"/>
      <c r="GH340" s="7"/>
      <c r="GI340" s="7"/>
      <c r="GJ340" s="7"/>
      <c r="GK340" s="7"/>
      <c r="GL340" s="7"/>
      <c r="GM340" s="7"/>
      <c r="GN340" s="7"/>
      <c r="GO340" s="7"/>
      <c r="GP340" s="7"/>
      <c r="GQ340" s="7"/>
      <c r="GR340" s="7"/>
      <c r="GS340" s="7"/>
      <c r="GT340" s="7"/>
      <c r="GU340" s="7"/>
      <c r="GV340" s="7"/>
      <c r="GW340" s="7"/>
      <c r="GX340" s="7"/>
      <c r="GY340" s="7"/>
      <c r="GZ340" s="7"/>
      <c r="HA340" s="7"/>
      <c r="HB340" s="7"/>
    </row>
    <row r="341" customFormat="false" ht="1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c r="FV341" s="7"/>
      <c r="FW341" s="7"/>
      <c r="FX341" s="7"/>
      <c r="FY341" s="7"/>
      <c r="FZ341" s="7"/>
      <c r="GA341" s="7"/>
      <c r="GB341" s="7"/>
      <c r="GC341" s="7"/>
      <c r="GD341" s="7"/>
      <c r="GE341" s="7"/>
      <c r="GF341" s="7"/>
      <c r="GG341" s="7"/>
      <c r="GH341" s="7"/>
      <c r="GI341" s="7"/>
      <c r="GJ341" s="7"/>
      <c r="GK341" s="7"/>
      <c r="GL341" s="7"/>
      <c r="GM341" s="7"/>
      <c r="GN341" s="7"/>
      <c r="GO341" s="7"/>
      <c r="GP341" s="7"/>
      <c r="GQ341" s="7"/>
      <c r="GR341" s="7"/>
      <c r="GS341" s="7"/>
      <c r="GT341" s="7"/>
      <c r="GU341" s="7"/>
      <c r="GV341" s="7"/>
      <c r="GW341" s="7"/>
      <c r="GX341" s="7"/>
      <c r="GY341" s="7"/>
      <c r="GZ341" s="7"/>
      <c r="HA341" s="7"/>
      <c r="HB341" s="7"/>
    </row>
    <row r="342" customFormat="false" ht="1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c r="FV342" s="7"/>
      <c r="FW342" s="7"/>
      <c r="FX342" s="7"/>
      <c r="FY342" s="7"/>
      <c r="FZ342" s="7"/>
      <c r="GA342" s="7"/>
      <c r="GB342" s="7"/>
      <c r="GC342" s="7"/>
      <c r="GD342" s="7"/>
      <c r="GE342" s="7"/>
      <c r="GF342" s="7"/>
      <c r="GG342" s="7"/>
      <c r="GH342" s="7"/>
      <c r="GI342" s="7"/>
      <c r="GJ342" s="7"/>
      <c r="GK342" s="7"/>
      <c r="GL342" s="7"/>
      <c r="GM342" s="7"/>
      <c r="GN342" s="7"/>
      <c r="GO342" s="7"/>
      <c r="GP342" s="7"/>
      <c r="GQ342" s="7"/>
      <c r="GR342" s="7"/>
      <c r="GS342" s="7"/>
      <c r="GT342" s="7"/>
      <c r="GU342" s="7"/>
      <c r="GV342" s="7"/>
      <c r="GW342" s="7"/>
      <c r="GX342" s="7"/>
      <c r="GY342" s="7"/>
      <c r="GZ342" s="7"/>
      <c r="HA342" s="7"/>
      <c r="HB342" s="7"/>
    </row>
    <row r="343" customFormat="false" ht="1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c r="FV343" s="7"/>
      <c r="FW343" s="7"/>
      <c r="FX343" s="7"/>
      <c r="FY343" s="7"/>
      <c r="FZ343" s="7"/>
      <c r="GA343" s="7"/>
      <c r="GB343" s="7"/>
      <c r="GC343" s="7"/>
      <c r="GD343" s="7"/>
      <c r="GE343" s="7"/>
      <c r="GF343" s="7"/>
      <c r="GG343" s="7"/>
      <c r="GH343" s="7"/>
      <c r="GI343" s="7"/>
      <c r="GJ343" s="7"/>
      <c r="GK343" s="7"/>
      <c r="GL343" s="7"/>
      <c r="GM343" s="7"/>
      <c r="GN343" s="7"/>
      <c r="GO343" s="7"/>
      <c r="GP343" s="7"/>
      <c r="GQ343" s="7"/>
      <c r="GR343" s="7"/>
      <c r="GS343" s="7"/>
      <c r="GT343" s="7"/>
      <c r="GU343" s="7"/>
      <c r="GV343" s="7"/>
      <c r="GW343" s="7"/>
      <c r="GX343" s="7"/>
      <c r="GY343" s="7"/>
      <c r="GZ343" s="7"/>
      <c r="HA343" s="7"/>
      <c r="HB343" s="7"/>
    </row>
    <row r="344" customFormat="false" ht="1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c r="FJ344" s="7"/>
      <c r="FK344" s="7"/>
      <c r="FL344" s="7"/>
      <c r="FM344" s="7"/>
      <c r="FN344" s="7"/>
      <c r="FO344" s="7"/>
      <c r="FP344" s="7"/>
      <c r="FQ344" s="7"/>
      <c r="FR344" s="7"/>
      <c r="FS344" s="7"/>
      <c r="FT344" s="7"/>
      <c r="FU344" s="7"/>
      <c r="FV344" s="7"/>
      <c r="FW344" s="7"/>
      <c r="FX344" s="7"/>
      <c r="FY344" s="7"/>
      <c r="FZ344" s="7"/>
      <c r="GA344" s="7"/>
      <c r="GB344" s="7"/>
      <c r="GC344" s="7"/>
      <c r="GD344" s="7"/>
      <c r="GE344" s="7"/>
      <c r="GF344" s="7"/>
      <c r="GG344" s="7"/>
      <c r="GH344" s="7"/>
      <c r="GI344" s="7"/>
      <c r="GJ344" s="7"/>
      <c r="GK344" s="7"/>
      <c r="GL344" s="7"/>
      <c r="GM344" s="7"/>
      <c r="GN344" s="7"/>
      <c r="GO344" s="7"/>
      <c r="GP344" s="7"/>
      <c r="GQ344" s="7"/>
      <c r="GR344" s="7"/>
      <c r="GS344" s="7"/>
      <c r="GT344" s="7"/>
      <c r="GU344" s="7"/>
      <c r="GV344" s="7"/>
      <c r="GW344" s="7"/>
      <c r="GX344" s="7"/>
      <c r="GY344" s="7"/>
      <c r="GZ344" s="7"/>
      <c r="HA344" s="7"/>
      <c r="HB344" s="7"/>
    </row>
    <row r="345" customFormat="false" ht="1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c r="FJ345" s="7"/>
      <c r="FK345" s="7"/>
      <c r="FL345" s="7"/>
      <c r="FM345" s="7"/>
      <c r="FN345" s="7"/>
      <c r="FO345" s="7"/>
      <c r="FP345" s="7"/>
      <c r="FQ345" s="7"/>
      <c r="FR345" s="7"/>
      <c r="FS345" s="7"/>
      <c r="FT345" s="7"/>
      <c r="FU345" s="7"/>
      <c r="FV345" s="7"/>
      <c r="FW345" s="7"/>
      <c r="FX345" s="7"/>
      <c r="FY345" s="7"/>
      <c r="FZ345" s="7"/>
      <c r="GA345" s="7"/>
      <c r="GB345" s="7"/>
      <c r="GC345" s="7"/>
      <c r="GD345" s="7"/>
      <c r="GE345" s="7"/>
      <c r="GF345" s="7"/>
      <c r="GG345" s="7"/>
      <c r="GH345" s="7"/>
      <c r="GI345" s="7"/>
      <c r="GJ345" s="7"/>
      <c r="GK345" s="7"/>
      <c r="GL345" s="7"/>
      <c r="GM345" s="7"/>
      <c r="GN345" s="7"/>
      <c r="GO345" s="7"/>
      <c r="GP345" s="7"/>
      <c r="GQ345" s="7"/>
      <c r="GR345" s="7"/>
      <c r="GS345" s="7"/>
      <c r="GT345" s="7"/>
      <c r="GU345" s="7"/>
      <c r="GV345" s="7"/>
      <c r="GW345" s="7"/>
      <c r="GX345" s="7"/>
      <c r="GY345" s="7"/>
      <c r="GZ345" s="7"/>
      <c r="HA345" s="7"/>
      <c r="HB345" s="7"/>
    </row>
    <row r="346" customFormat="false" ht="1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c r="FJ346" s="7"/>
      <c r="FK346" s="7"/>
      <c r="FL346" s="7"/>
      <c r="FM346" s="7"/>
      <c r="FN346" s="7"/>
      <c r="FO346" s="7"/>
      <c r="FP346" s="7"/>
      <c r="FQ346" s="7"/>
      <c r="FR346" s="7"/>
      <c r="FS346" s="7"/>
      <c r="FT346" s="7"/>
      <c r="FU346" s="7"/>
      <c r="FV346" s="7"/>
      <c r="FW346" s="7"/>
      <c r="FX346" s="7"/>
      <c r="FY346" s="7"/>
      <c r="FZ346" s="7"/>
      <c r="GA346" s="7"/>
      <c r="GB346" s="7"/>
      <c r="GC346" s="7"/>
      <c r="GD346" s="7"/>
      <c r="GE346" s="7"/>
      <c r="GF346" s="7"/>
      <c r="GG346" s="7"/>
      <c r="GH346" s="7"/>
      <c r="GI346" s="7"/>
      <c r="GJ346" s="7"/>
      <c r="GK346" s="7"/>
      <c r="GL346" s="7"/>
      <c r="GM346" s="7"/>
      <c r="GN346" s="7"/>
      <c r="GO346" s="7"/>
      <c r="GP346" s="7"/>
      <c r="GQ346" s="7"/>
      <c r="GR346" s="7"/>
      <c r="GS346" s="7"/>
      <c r="GT346" s="7"/>
      <c r="GU346" s="7"/>
      <c r="GV346" s="7"/>
      <c r="GW346" s="7"/>
      <c r="GX346" s="7"/>
      <c r="GY346" s="7"/>
      <c r="GZ346" s="7"/>
      <c r="HA346" s="7"/>
      <c r="HB346" s="7"/>
    </row>
    <row r="347" customFormat="false" ht="1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c r="FJ347" s="7"/>
      <c r="FK347" s="7"/>
      <c r="FL347" s="7"/>
      <c r="FM347" s="7"/>
      <c r="FN347" s="7"/>
      <c r="FO347" s="7"/>
      <c r="FP347" s="7"/>
      <c r="FQ347" s="7"/>
      <c r="FR347" s="7"/>
      <c r="FS347" s="7"/>
      <c r="FT347" s="7"/>
      <c r="FU347" s="7"/>
      <c r="FV347" s="7"/>
      <c r="FW347" s="7"/>
      <c r="FX347" s="7"/>
      <c r="FY347" s="7"/>
      <c r="FZ347" s="7"/>
      <c r="GA347" s="7"/>
      <c r="GB347" s="7"/>
      <c r="GC347" s="7"/>
      <c r="GD347" s="7"/>
      <c r="GE347" s="7"/>
      <c r="GF347" s="7"/>
      <c r="GG347" s="7"/>
      <c r="GH347" s="7"/>
      <c r="GI347" s="7"/>
      <c r="GJ347" s="7"/>
      <c r="GK347" s="7"/>
      <c r="GL347" s="7"/>
      <c r="GM347" s="7"/>
      <c r="GN347" s="7"/>
      <c r="GO347" s="7"/>
      <c r="GP347" s="7"/>
      <c r="GQ347" s="7"/>
      <c r="GR347" s="7"/>
      <c r="GS347" s="7"/>
      <c r="GT347" s="7"/>
      <c r="GU347" s="7"/>
      <c r="GV347" s="7"/>
      <c r="GW347" s="7"/>
      <c r="GX347" s="7"/>
      <c r="GY347" s="7"/>
      <c r="GZ347" s="7"/>
      <c r="HA347" s="7"/>
      <c r="HB347" s="7"/>
    </row>
    <row r="348" customFormat="false" ht="1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c r="FJ348" s="7"/>
      <c r="FK348" s="7"/>
      <c r="FL348" s="7"/>
      <c r="FM348" s="7"/>
      <c r="FN348" s="7"/>
      <c r="FO348" s="7"/>
      <c r="FP348" s="7"/>
      <c r="FQ348" s="7"/>
      <c r="FR348" s="7"/>
      <c r="FS348" s="7"/>
      <c r="FT348" s="7"/>
      <c r="FU348" s="7"/>
      <c r="FV348" s="7"/>
      <c r="FW348" s="7"/>
      <c r="FX348" s="7"/>
      <c r="FY348" s="7"/>
      <c r="FZ348" s="7"/>
      <c r="GA348" s="7"/>
      <c r="GB348" s="7"/>
      <c r="GC348" s="7"/>
      <c r="GD348" s="7"/>
      <c r="GE348" s="7"/>
      <c r="GF348" s="7"/>
      <c r="GG348" s="7"/>
      <c r="GH348" s="7"/>
      <c r="GI348" s="7"/>
      <c r="GJ348" s="7"/>
      <c r="GK348" s="7"/>
      <c r="GL348" s="7"/>
      <c r="GM348" s="7"/>
      <c r="GN348" s="7"/>
      <c r="GO348" s="7"/>
      <c r="GP348" s="7"/>
      <c r="GQ348" s="7"/>
      <c r="GR348" s="7"/>
      <c r="GS348" s="7"/>
      <c r="GT348" s="7"/>
      <c r="GU348" s="7"/>
      <c r="GV348" s="7"/>
      <c r="GW348" s="7"/>
      <c r="GX348" s="7"/>
      <c r="GY348" s="7"/>
      <c r="GZ348" s="7"/>
      <c r="HA348" s="7"/>
      <c r="HB348" s="7"/>
    </row>
    <row r="349" customFormat="false" ht="1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c r="FJ349" s="7"/>
      <c r="FK349" s="7"/>
      <c r="FL349" s="7"/>
      <c r="FM349" s="7"/>
      <c r="FN349" s="7"/>
      <c r="FO349" s="7"/>
      <c r="FP349" s="7"/>
      <c r="FQ349" s="7"/>
      <c r="FR349" s="7"/>
      <c r="FS349" s="7"/>
      <c r="FT349" s="7"/>
      <c r="FU349" s="7"/>
      <c r="FV349" s="7"/>
      <c r="FW349" s="7"/>
      <c r="FX349" s="7"/>
      <c r="FY349" s="7"/>
      <c r="FZ349" s="7"/>
      <c r="GA349" s="7"/>
      <c r="GB349" s="7"/>
      <c r="GC349" s="7"/>
      <c r="GD349" s="7"/>
      <c r="GE349" s="7"/>
      <c r="GF349" s="7"/>
      <c r="GG349" s="7"/>
      <c r="GH349" s="7"/>
      <c r="GI349" s="7"/>
      <c r="GJ349" s="7"/>
      <c r="GK349" s="7"/>
      <c r="GL349" s="7"/>
      <c r="GM349" s="7"/>
      <c r="GN349" s="7"/>
      <c r="GO349" s="7"/>
      <c r="GP349" s="7"/>
      <c r="GQ349" s="7"/>
      <c r="GR349" s="7"/>
      <c r="GS349" s="7"/>
      <c r="GT349" s="7"/>
      <c r="GU349" s="7"/>
      <c r="GV349" s="7"/>
      <c r="GW349" s="7"/>
      <c r="GX349" s="7"/>
      <c r="GY349" s="7"/>
      <c r="GZ349" s="7"/>
      <c r="HA349" s="7"/>
      <c r="HB349" s="7"/>
    </row>
    <row r="350" customFormat="false" ht="1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c r="FJ350" s="7"/>
      <c r="FK350" s="7"/>
      <c r="FL350" s="7"/>
      <c r="FM350" s="7"/>
      <c r="FN350" s="7"/>
      <c r="FO350" s="7"/>
      <c r="FP350" s="7"/>
      <c r="FQ350" s="7"/>
      <c r="FR350" s="7"/>
      <c r="FS350" s="7"/>
      <c r="FT350" s="7"/>
      <c r="FU350" s="7"/>
      <c r="FV350" s="7"/>
      <c r="FW350" s="7"/>
      <c r="FX350" s="7"/>
      <c r="FY350" s="7"/>
      <c r="FZ350" s="7"/>
      <c r="GA350" s="7"/>
      <c r="GB350" s="7"/>
      <c r="GC350" s="7"/>
      <c r="GD350" s="7"/>
      <c r="GE350" s="7"/>
      <c r="GF350" s="7"/>
      <c r="GG350" s="7"/>
      <c r="GH350" s="7"/>
      <c r="GI350" s="7"/>
      <c r="GJ350" s="7"/>
      <c r="GK350" s="7"/>
      <c r="GL350" s="7"/>
      <c r="GM350" s="7"/>
      <c r="GN350" s="7"/>
      <c r="GO350" s="7"/>
      <c r="GP350" s="7"/>
      <c r="GQ350" s="7"/>
      <c r="GR350" s="7"/>
      <c r="GS350" s="7"/>
      <c r="GT350" s="7"/>
      <c r="GU350" s="7"/>
      <c r="GV350" s="7"/>
      <c r="GW350" s="7"/>
      <c r="GX350" s="7"/>
      <c r="GY350" s="7"/>
      <c r="GZ350" s="7"/>
      <c r="HA350" s="7"/>
      <c r="HB350" s="7"/>
    </row>
    <row r="351" customFormat="false" ht="1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c r="FJ351" s="7"/>
      <c r="FK351" s="7"/>
      <c r="FL351" s="7"/>
      <c r="FM351" s="7"/>
      <c r="FN351" s="7"/>
      <c r="FO351" s="7"/>
      <c r="FP351" s="7"/>
      <c r="FQ351" s="7"/>
      <c r="FR351" s="7"/>
      <c r="FS351" s="7"/>
      <c r="FT351" s="7"/>
      <c r="FU351" s="7"/>
      <c r="FV351" s="7"/>
      <c r="FW351" s="7"/>
      <c r="FX351" s="7"/>
      <c r="FY351" s="7"/>
      <c r="FZ351" s="7"/>
      <c r="GA351" s="7"/>
      <c r="GB351" s="7"/>
      <c r="GC351" s="7"/>
      <c r="GD351" s="7"/>
      <c r="GE351" s="7"/>
      <c r="GF351" s="7"/>
      <c r="GG351" s="7"/>
      <c r="GH351" s="7"/>
      <c r="GI351" s="7"/>
      <c r="GJ351" s="7"/>
      <c r="GK351" s="7"/>
      <c r="GL351" s="7"/>
      <c r="GM351" s="7"/>
      <c r="GN351" s="7"/>
      <c r="GO351" s="7"/>
      <c r="GP351" s="7"/>
      <c r="GQ351" s="7"/>
      <c r="GR351" s="7"/>
      <c r="GS351" s="7"/>
      <c r="GT351" s="7"/>
      <c r="GU351" s="7"/>
      <c r="GV351" s="7"/>
      <c r="GW351" s="7"/>
      <c r="GX351" s="7"/>
      <c r="GY351" s="7"/>
      <c r="GZ351" s="7"/>
      <c r="HA351" s="7"/>
      <c r="HB351" s="7"/>
    </row>
    <row r="352" customFormat="false" ht="1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c r="FJ352" s="7"/>
      <c r="FK352" s="7"/>
      <c r="FL352" s="7"/>
      <c r="FM352" s="7"/>
      <c r="FN352" s="7"/>
      <c r="FO352" s="7"/>
      <c r="FP352" s="7"/>
      <c r="FQ352" s="7"/>
      <c r="FR352" s="7"/>
      <c r="FS352" s="7"/>
      <c r="FT352" s="7"/>
      <c r="FU352" s="7"/>
      <c r="FV352" s="7"/>
      <c r="FW352" s="7"/>
      <c r="FX352" s="7"/>
      <c r="FY352" s="7"/>
      <c r="FZ352" s="7"/>
      <c r="GA352" s="7"/>
      <c r="GB352" s="7"/>
      <c r="GC352" s="7"/>
      <c r="GD352" s="7"/>
      <c r="GE352" s="7"/>
      <c r="GF352" s="7"/>
      <c r="GG352" s="7"/>
      <c r="GH352" s="7"/>
      <c r="GI352" s="7"/>
      <c r="GJ352" s="7"/>
      <c r="GK352" s="7"/>
      <c r="GL352" s="7"/>
      <c r="GM352" s="7"/>
      <c r="GN352" s="7"/>
      <c r="GO352" s="7"/>
      <c r="GP352" s="7"/>
      <c r="GQ352" s="7"/>
      <c r="GR352" s="7"/>
      <c r="GS352" s="7"/>
      <c r="GT352" s="7"/>
      <c r="GU352" s="7"/>
      <c r="GV352" s="7"/>
      <c r="GW352" s="7"/>
      <c r="GX352" s="7"/>
      <c r="GY352" s="7"/>
      <c r="GZ352" s="7"/>
      <c r="HA352" s="7"/>
      <c r="HB352" s="7"/>
    </row>
    <row r="353" customFormat="false" ht="1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c r="FJ353" s="7"/>
      <c r="FK353" s="7"/>
      <c r="FL353" s="7"/>
      <c r="FM353" s="7"/>
      <c r="FN353" s="7"/>
      <c r="FO353" s="7"/>
      <c r="FP353" s="7"/>
      <c r="FQ353" s="7"/>
      <c r="FR353" s="7"/>
      <c r="FS353" s="7"/>
      <c r="FT353" s="7"/>
      <c r="FU353" s="7"/>
      <c r="FV353" s="7"/>
      <c r="FW353" s="7"/>
      <c r="FX353" s="7"/>
      <c r="FY353" s="7"/>
      <c r="FZ353" s="7"/>
      <c r="GA353" s="7"/>
      <c r="GB353" s="7"/>
      <c r="GC353" s="7"/>
      <c r="GD353" s="7"/>
      <c r="GE353" s="7"/>
      <c r="GF353" s="7"/>
      <c r="GG353" s="7"/>
      <c r="GH353" s="7"/>
      <c r="GI353" s="7"/>
      <c r="GJ353" s="7"/>
      <c r="GK353" s="7"/>
      <c r="GL353" s="7"/>
      <c r="GM353" s="7"/>
      <c r="GN353" s="7"/>
      <c r="GO353" s="7"/>
      <c r="GP353" s="7"/>
      <c r="GQ353" s="7"/>
      <c r="GR353" s="7"/>
      <c r="GS353" s="7"/>
      <c r="GT353" s="7"/>
      <c r="GU353" s="7"/>
      <c r="GV353" s="7"/>
      <c r="GW353" s="7"/>
      <c r="GX353" s="7"/>
      <c r="GY353" s="7"/>
      <c r="GZ353" s="7"/>
      <c r="HA353" s="7"/>
      <c r="HB353" s="7"/>
    </row>
    <row r="354" customFormat="false" ht="1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c r="FJ354" s="7"/>
      <c r="FK354" s="7"/>
      <c r="FL354" s="7"/>
      <c r="FM354" s="7"/>
      <c r="FN354" s="7"/>
      <c r="FO354" s="7"/>
      <c r="FP354" s="7"/>
      <c r="FQ354" s="7"/>
      <c r="FR354" s="7"/>
      <c r="FS354" s="7"/>
      <c r="FT354" s="7"/>
      <c r="FU354" s="7"/>
      <c r="FV354" s="7"/>
      <c r="FW354" s="7"/>
      <c r="FX354" s="7"/>
      <c r="FY354" s="7"/>
      <c r="FZ354" s="7"/>
      <c r="GA354" s="7"/>
      <c r="GB354" s="7"/>
      <c r="GC354" s="7"/>
      <c r="GD354" s="7"/>
      <c r="GE354" s="7"/>
      <c r="GF354" s="7"/>
      <c r="GG354" s="7"/>
      <c r="GH354" s="7"/>
      <c r="GI354" s="7"/>
      <c r="GJ354" s="7"/>
      <c r="GK354" s="7"/>
      <c r="GL354" s="7"/>
      <c r="GM354" s="7"/>
      <c r="GN354" s="7"/>
      <c r="GO354" s="7"/>
      <c r="GP354" s="7"/>
      <c r="GQ354" s="7"/>
      <c r="GR354" s="7"/>
      <c r="GS354" s="7"/>
      <c r="GT354" s="7"/>
      <c r="GU354" s="7"/>
      <c r="GV354" s="7"/>
      <c r="GW354" s="7"/>
      <c r="GX354" s="7"/>
      <c r="GY354" s="7"/>
      <c r="GZ354" s="7"/>
      <c r="HA354" s="7"/>
      <c r="HB354" s="7"/>
    </row>
    <row r="355" customFormat="false" ht="1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c r="FJ355" s="7"/>
      <c r="FK355" s="7"/>
      <c r="FL355" s="7"/>
      <c r="FM355" s="7"/>
      <c r="FN355" s="7"/>
      <c r="FO355" s="7"/>
      <c r="FP355" s="7"/>
      <c r="FQ355" s="7"/>
      <c r="FR355" s="7"/>
      <c r="FS355" s="7"/>
      <c r="FT355" s="7"/>
      <c r="FU355" s="7"/>
      <c r="FV355" s="7"/>
      <c r="FW355" s="7"/>
      <c r="FX355" s="7"/>
      <c r="FY355" s="7"/>
      <c r="FZ355" s="7"/>
      <c r="GA355" s="7"/>
      <c r="GB355" s="7"/>
      <c r="GC355" s="7"/>
      <c r="GD355" s="7"/>
      <c r="GE355" s="7"/>
      <c r="GF355" s="7"/>
      <c r="GG355" s="7"/>
      <c r="GH355" s="7"/>
      <c r="GI355" s="7"/>
      <c r="GJ355" s="7"/>
      <c r="GK355" s="7"/>
      <c r="GL355" s="7"/>
      <c r="GM355" s="7"/>
      <c r="GN355" s="7"/>
      <c r="GO355" s="7"/>
      <c r="GP355" s="7"/>
      <c r="GQ355" s="7"/>
      <c r="GR355" s="7"/>
      <c r="GS355" s="7"/>
      <c r="GT355" s="7"/>
      <c r="GU355" s="7"/>
      <c r="GV355" s="7"/>
      <c r="GW355" s="7"/>
      <c r="GX355" s="7"/>
      <c r="GY355" s="7"/>
      <c r="GZ355" s="7"/>
      <c r="HA355" s="7"/>
      <c r="HB355" s="7"/>
    </row>
    <row r="356" customFormat="false" ht="1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c r="FJ356" s="7"/>
      <c r="FK356" s="7"/>
      <c r="FL356" s="7"/>
      <c r="FM356" s="7"/>
      <c r="FN356" s="7"/>
      <c r="FO356" s="7"/>
      <c r="FP356" s="7"/>
      <c r="FQ356" s="7"/>
      <c r="FR356" s="7"/>
      <c r="FS356" s="7"/>
      <c r="FT356" s="7"/>
      <c r="FU356" s="7"/>
      <c r="FV356" s="7"/>
      <c r="FW356" s="7"/>
      <c r="FX356" s="7"/>
      <c r="FY356" s="7"/>
      <c r="FZ356" s="7"/>
      <c r="GA356" s="7"/>
      <c r="GB356" s="7"/>
      <c r="GC356" s="7"/>
      <c r="GD356" s="7"/>
      <c r="GE356" s="7"/>
      <c r="GF356" s="7"/>
      <c r="GG356" s="7"/>
      <c r="GH356" s="7"/>
      <c r="GI356" s="7"/>
      <c r="GJ356" s="7"/>
      <c r="GK356" s="7"/>
      <c r="GL356" s="7"/>
      <c r="GM356" s="7"/>
      <c r="GN356" s="7"/>
      <c r="GO356" s="7"/>
      <c r="GP356" s="7"/>
      <c r="GQ356" s="7"/>
      <c r="GR356" s="7"/>
      <c r="GS356" s="7"/>
      <c r="GT356" s="7"/>
      <c r="GU356" s="7"/>
      <c r="GV356" s="7"/>
      <c r="GW356" s="7"/>
      <c r="GX356" s="7"/>
      <c r="GY356" s="7"/>
      <c r="GZ356" s="7"/>
      <c r="HA356" s="7"/>
      <c r="HB356" s="7"/>
    </row>
    <row r="357" customFormat="false" ht="1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c r="FJ357" s="7"/>
      <c r="FK357" s="7"/>
      <c r="FL357" s="7"/>
      <c r="FM357" s="7"/>
      <c r="FN357" s="7"/>
      <c r="FO357" s="7"/>
      <c r="FP357" s="7"/>
      <c r="FQ357" s="7"/>
      <c r="FR357" s="7"/>
      <c r="FS357" s="7"/>
      <c r="FT357" s="7"/>
      <c r="FU357" s="7"/>
      <c r="FV357" s="7"/>
      <c r="FW357" s="7"/>
      <c r="FX357" s="7"/>
      <c r="FY357" s="7"/>
      <c r="FZ357" s="7"/>
      <c r="GA357" s="7"/>
      <c r="GB357" s="7"/>
      <c r="GC357" s="7"/>
      <c r="GD357" s="7"/>
      <c r="GE357" s="7"/>
      <c r="GF357" s="7"/>
      <c r="GG357" s="7"/>
      <c r="GH357" s="7"/>
      <c r="GI357" s="7"/>
      <c r="GJ357" s="7"/>
      <c r="GK357" s="7"/>
      <c r="GL357" s="7"/>
      <c r="GM357" s="7"/>
      <c r="GN357" s="7"/>
      <c r="GO357" s="7"/>
      <c r="GP357" s="7"/>
      <c r="GQ357" s="7"/>
      <c r="GR357" s="7"/>
      <c r="GS357" s="7"/>
      <c r="GT357" s="7"/>
      <c r="GU357" s="7"/>
      <c r="GV357" s="7"/>
      <c r="GW357" s="7"/>
      <c r="GX357" s="7"/>
      <c r="GY357" s="7"/>
      <c r="GZ357" s="7"/>
      <c r="HA357" s="7"/>
      <c r="HB357" s="7"/>
    </row>
    <row r="358" customFormat="false" ht="1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c r="FJ358" s="7"/>
      <c r="FK358" s="7"/>
      <c r="FL358" s="7"/>
      <c r="FM358" s="7"/>
      <c r="FN358" s="7"/>
      <c r="FO358" s="7"/>
      <c r="FP358" s="7"/>
      <c r="FQ358" s="7"/>
      <c r="FR358" s="7"/>
      <c r="FS358" s="7"/>
      <c r="FT358" s="7"/>
      <c r="FU358" s="7"/>
      <c r="FV358" s="7"/>
      <c r="FW358" s="7"/>
      <c r="FX358" s="7"/>
      <c r="FY358" s="7"/>
      <c r="FZ358" s="7"/>
      <c r="GA358" s="7"/>
      <c r="GB358" s="7"/>
      <c r="GC358" s="7"/>
      <c r="GD358" s="7"/>
      <c r="GE358" s="7"/>
      <c r="GF358" s="7"/>
      <c r="GG358" s="7"/>
      <c r="GH358" s="7"/>
      <c r="GI358" s="7"/>
      <c r="GJ358" s="7"/>
      <c r="GK358" s="7"/>
      <c r="GL358" s="7"/>
      <c r="GM358" s="7"/>
      <c r="GN358" s="7"/>
      <c r="GO358" s="7"/>
      <c r="GP358" s="7"/>
      <c r="GQ358" s="7"/>
      <c r="GR358" s="7"/>
      <c r="GS358" s="7"/>
      <c r="GT358" s="7"/>
      <c r="GU358" s="7"/>
      <c r="GV358" s="7"/>
      <c r="GW358" s="7"/>
      <c r="GX358" s="7"/>
      <c r="GY358" s="7"/>
      <c r="GZ358" s="7"/>
      <c r="HA358" s="7"/>
      <c r="HB358" s="7"/>
    </row>
    <row r="359" customFormat="false" ht="1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c r="FJ359" s="7"/>
      <c r="FK359" s="7"/>
      <c r="FL359" s="7"/>
      <c r="FM359" s="7"/>
      <c r="FN359" s="7"/>
      <c r="FO359" s="7"/>
      <c r="FP359" s="7"/>
      <c r="FQ359" s="7"/>
      <c r="FR359" s="7"/>
      <c r="FS359" s="7"/>
      <c r="FT359" s="7"/>
      <c r="FU359" s="7"/>
      <c r="FV359" s="7"/>
      <c r="FW359" s="7"/>
      <c r="FX359" s="7"/>
      <c r="FY359" s="7"/>
      <c r="FZ359" s="7"/>
      <c r="GA359" s="7"/>
      <c r="GB359" s="7"/>
      <c r="GC359" s="7"/>
      <c r="GD359" s="7"/>
      <c r="GE359" s="7"/>
      <c r="GF359" s="7"/>
      <c r="GG359" s="7"/>
      <c r="GH359" s="7"/>
      <c r="GI359" s="7"/>
      <c r="GJ359" s="7"/>
      <c r="GK359" s="7"/>
      <c r="GL359" s="7"/>
      <c r="GM359" s="7"/>
      <c r="GN359" s="7"/>
      <c r="GO359" s="7"/>
      <c r="GP359" s="7"/>
      <c r="GQ359" s="7"/>
      <c r="GR359" s="7"/>
      <c r="GS359" s="7"/>
      <c r="GT359" s="7"/>
      <c r="GU359" s="7"/>
      <c r="GV359" s="7"/>
      <c r="GW359" s="7"/>
      <c r="GX359" s="7"/>
      <c r="GY359" s="7"/>
      <c r="GZ359" s="7"/>
      <c r="HA359" s="7"/>
      <c r="HB359" s="7"/>
    </row>
    <row r="360" customFormat="false" ht="1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c r="FJ360" s="7"/>
      <c r="FK360" s="7"/>
      <c r="FL360" s="7"/>
      <c r="FM360" s="7"/>
      <c r="FN360" s="7"/>
      <c r="FO360" s="7"/>
      <c r="FP360" s="7"/>
      <c r="FQ360" s="7"/>
      <c r="FR360" s="7"/>
      <c r="FS360" s="7"/>
      <c r="FT360" s="7"/>
      <c r="FU360" s="7"/>
      <c r="FV360" s="7"/>
      <c r="FW360" s="7"/>
      <c r="FX360" s="7"/>
      <c r="FY360" s="7"/>
      <c r="FZ360" s="7"/>
      <c r="GA360" s="7"/>
      <c r="GB360" s="7"/>
      <c r="GC360" s="7"/>
      <c r="GD360" s="7"/>
      <c r="GE360" s="7"/>
      <c r="GF360" s="7"/>
      <c r="GG360" s="7"/>
      <c r="GH360" s="7"/>
      <c r="GI360" s="7"/>
      <c r="GJ360" s="7"/>
      <c r="GK360" s="7"/>
      <c r="GL360" s="7"/>
      <c r="GM360" s="7"/>
      <c r="GN360" s="7"/>
      <c r="GO360" s="7"/>
      <c r="GP360" s="7"/>
      <c r="GQ360" s="7"/>
      <c r="GR360" s="7"/>
      <c r="GS360" s="7"/>
      <c r="GT360" s="7"/>
      <c r="GU360" s="7"/>
      <c r="GV360" s="7"/>
      <c r="GW360" s="7"/>
      <c r="GX360" s="7"/>
      <c r="GY360" s="7"/>
      <c r="GZ360" s="7"/>
      <c r="HA360" s="7"/>
      <c r="HB360" s="7"/>
    </row>
    <row r="361" customFormat="false" ht="1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c r="FJ361" s="7"/>
      <c r="FK361" s="7"/>
      <c r="FL361" s="7"/>
      <c r="FM361" s="7"/>
      <c r="FN361" s="7"/>
      <c r="FO361" s="7"/>
      <c r="FP361" s="7"/>
      <c r="FQ361" s="7"/>
      <c r="FR361" s="7"/>
      <c r="FS361" s="7"/>
      <c r="FT361" s="7"/>
      <c r="FU361" s="7"/>
      <c r="FV361" s="7"/>
      <c r="FW361" s="7"/>
      <c r="FX361" s="7"/>
      <c r="FY361" s="7"/>
      <c r="FZ361" s="7"/>
      <c r="GA361" s="7"/>
      <c r="GB361" s="7"/>
      <c r="GC361" s="7"/>
      <c r="GD361" s="7"/>
      <c r="GE361" s="7"/>
      <c r="GF361" s="7"/>
      <c r="GG361" s="7"/>
      <c r="GH361" s="7"/>
      <c r="GI361" s="7"/>
      <c r="GJ361" s="7"/>
      <c r="GK361" s="7"/>
      <c r="GL361" s="7"/>
      <c r="GM361" s="7"/>
      <c r="GN361" s="7"/>
      <c r="GO361" s="7"/>
      <c r="GP361" s="7"/>
      <c r="GQ361" s="7"/>
      <c r="GR361" s="7"/>
      <c r="GS361" s="7"/>
      <c r="GT361" s="7"/>
      <c r="GU361" s="7"/>
      <c r="GV361" s="7"/>
      <c r="GW361" s="7"/>
      <c r="GX361" s="7"/>
      <c r="GY361" s="7"/>
      <c r="GZ361" s="7"/>
      <c r="HA361" s="7"/>
      <c r="HB361" s="7"/>
    </row>
    <row r="362" customFormat="false" ht="1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c r="FJ362" s="7"/>
      <c r="FK362" s="7"/>
      <c r="FL362" s="7"/>
      <c r="FM362" s="7"/>
      <c r="FN362" s="7"/>
      <c r="FO362" s="7"/>
      <c r="FP362" s="7"/>
      <c r="FQ362" s="7"/>
      <c r="FR362" s="7"/>
      <c r="FS362" s="7"/>
      <c r="FT362" s="7"/>
      <c r="FU362" s="7"/>
      <c r="FV362" s="7"/>
      <c r="FW362" s="7"/>
      <c r="FX362" s="7"/>
      <c r="FY362" s="7"/>
      <c r="FZ362" s="7"/>
      <c r="GA362" s="7"/>
      <c r="GB362" s="7"/>
      <c r="GC362" s="7"/>
      <c r="GD362" s="7"/>
      <c r="GE362" s="7"/>
      <c r="GF362" s="7"/>
      <c r="GG362" s="7"/>
      <c r="GH362" s="7"/>
      <c r="GI362" s="7"/>
      <c r="GJ362" s="7"/>
      <c r="GK362" s="7"/>
      <c r="GL362" s="7"/>
      <c r="GM362" s="7"/>
      <c r="GN362" s="7"/>
      <c r="GO362" s="7"/>
      <c r="GP362" s="7"/>
      <c r="GQ362" s="7"/>
      <c r="GR362" s="7"/>
      <c r="GS362" s="7"/>
      <c r="GT362" s="7"/>
      <c r="GU362" s="7"/>
      <c r="GV362" s="7"/>
      <c r="GW362" s="7"/>
      <c r="GX362" s="7"/>
      <c r="GY362" s="7"/>
      <c r="GZ362" s="7"/>
      <c r="HA362" s="7"/>
      <c r="HB362" s="7"/>
    </row>
    <row r="363" customFormat="false" ht="1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c r="FJ363" s="7"/>
      <c r="FK363" s="7"/>
      <c r="FL363" s="7"/>
      <c r="FM363" s="7"/>
      <c r="FN363" s="7"/>
      <c r="FO363" s="7"/>
      <c r="FP363" s="7"/>
      <c r="FQ363" s="7"/>
      <c r="FR363" s="7"/>
      <c r="FS363" s="7"/>
      <c r="FT363" s="7"/>
      <c r="FU363" s="7"/>
      <c r="FV363" s="7"/>
      <c r="FW363" s="7"/>
      <c r="FX363" s="7"/>
      <c r="FY363" s="7"/>
      <c r="FZ363" s="7"/>
      <c r="GA363" s="7"/>
      <c r="GB363" s="7"/>
      <c r="GC363" s="7"/>
      <c r="GD363" s="7"/>
      <c r="GE363" s="7"/>
      <c r="GF363" s="7"/>
      <c r="GG363" s="7"/>
      <c r="GH363" s="7"/>
      <c r="GI363" s="7"/>
      <c r="GJ363" s="7"/>
      <c r="GK363" s="7"/>
      <c r="GL363" s="7"/>
      <c r="GM363" s="7"/>
      <c r="GN363" s="7"/>
      <c r="GO363" s="7"/>
      <c r="GP363" s="7"/>
      <c r="GQ363" s="7"/>
      <c r="GR363" s="7"/>
      <c r="GS363" s="7"/>
      <c r="GT363" s="7"/>
      <c r="GU363" s="7"/>
      <c r="GV363" s="7"/>
      <c r="GW363" s="7"/>
      <c r="GX363" s="7"/>
      <c r="GY363" s="7"/>
      <c r="GZ363" s="7"/>
      <c r="HA363" s="7"/>
      <c r="HB363" s="7"/>
    </row>
    <row r="364" customFormat="false" ht="1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c r="FJ364" s="7"/>
      <c r="FK364" s="7"/>
      <c r="FL364" s="7"/>
      <c r="FM364" s="7"/>
      <c r="FN364" s="7"/>
      <c r="FO364" s="7"/>
      <c r="FP364" s="7"/>
      <c r="FQ364" s="7"/>
      <c r="FR364" s="7"/>
      <c r="FS364" s="7"/>
      <c r="FT364" s="7"/>
      <c r="FU364" s="7"/>
      <c r="FV364" s="7"/>
      <c r="FW364" s="7"/>
      <c r="FX364" s="7"/>
      <c r="FY364" s="7"/>
      <c r="FZ364" s="7"/>
      <c r="GA364" s="7"/>
      <c r="GB364" s="7"/>
      <c r="GC364" s="7"/>
      <c r="GD364" s="7"/>
      <c r="GE364" s="7"/>
      <c r="GF364" s="7"/>
      <c r="GG364" s="7"/>
      <c r="GH364" s="7"/>
      <c r="GI364" s="7"/>
      <c r="GJ364" s="7"/>
      <c r="GK364" s="7"/>
      <c r="GL364" s="7"/>
      <c r="GM364" s="7"/>
      <c r="GN364" s="7"/>
      <c r="GO364" s="7"/>
      <c r="GP364" s="7"/>
      <c r="GQ364" s="7"/>
      <c r="GR364" s="7"/>
      <c r="GS364" s="7"/>
      <c r="GT364" s="7"/>
      <c r="GU364" s="7"/>
      <c r="GV364" s="7"/>
      <c r="GW364" s="7"/>
      <c r="GX364" s="7"/>
      <c r="GY364" s="7"/>
      <c r="GZ364" s="7"/>
      <c r="HA364" s="7"/>
      <c r="HB364" s="7"/>
    </row>
    <row r="365" customFormat="false" ht="1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c r="FJ365" s="7"/>
      <c r="FK365" s="7"/>
      <c r="FL365" s="7"/>
      <c r="FM365" s="7"/>
      <c r="FN365" s="7"/>
      <c r="FO365" s="7"/>
      <c r="FP365" s="7"/>
      <c r="FQ365" s="7"/>
      <c r="FR365" s="7"/>
      <c r="FS365" s="7"/>
      <c r="FT365" s="7"/>
      <c r="FU365" s="7"/>
      <c r="FV365" s="7"/>
      <c r="FW365" s="7"/>
      <c r="FX365" s="7"/>
      <c r="FY365" s="7"/>
      <c r="FZ365" s="7"/>
      <c r="GA365" s="7"/>
      <c r="GB365" s="7"/>
      <c r="GC365" s="7"/>
      <c r="GD365" s="7"/>
      <c r="GE365" s="7"/>
      <c r="GF365" s="7"/>
      <c r="GG365" s="7"/>
      <c r="GH365" s="7"/>
      <c r="GI365" s="7"/>
      <c r="GJ365" s="7"/>
      <c r="GK365" s="7"/>
      <c r="GL365" s="7"/>
      <c r="GM365" s="7"/>
      <c r="GN365" s="7"/>
      <c r="GO365" s="7"/>
      <c r="GP365" s="7"/>
      <c r="GQ365" s="7"/>
      <c r="GR365" s="7"/>
      <c r="GS365" s="7"/>
      <c r="GT365" s="7"/>
      <c r="GU365" s="7"/>
      <c r="GV365" s="7"/>
      <c r="GW365" s="7"/>
      <c r="GX365" s="7"/>
      <c r="GY365" s="7"/>
      <c r="GZ365" s="7"/>
      <c r="HA365" s="7"/>
      <c r="HB365" s="7"/>
    </row>
    <row r="366" customFormat="false" ht="1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c r="FB366" s="7"/>
      <c r="FC366" s="7"/>
      <c r="FD366" s="7"/>
      <c r="FE366" s="7"/>
      <c r="FF366" s="7"/>
      <c r="FG366" s="7"/>
      <c r="FH366" s="7"/>
      <c r="FI366" s="7"/>
      <c r="FJ366" s="7"/>
      <c r="FK366" s="7"/>
      <c r="FL366" s="7"/>
      <c r="FM366" s="7"/>
      <c r="FN366" s="7"/>
      <c r="FO366" s="7"/>
      <c r="FP366" s="7"/>
      <c r="FQ366" s="7"/>
      <c r="FR366" s="7"/>
      <c r="FS366" s="7"/>
      <c r="FT366" s="7"/>
      <c r="FU366" s="7"/>
      <c r="FV366" s="7"/>
      <c r="FW366" s="7"/>
      <c r="FX366" s="7"/>
      <c r="FY366" s="7"/>
      <c r="FZ366" s="7"/>
      <c r="GA366" s="7"/>
      <c r="GB366" s="7"/>
      <c r="GC366" s="7"/>
      <c r="GD366" s="7"/>
      <c r="GE366" s="7"/>
      <c r="GF366" s="7"/>
      <c r="GG366" s="7"/>
      <c r="GH366" s="7"/>
      <c r="GI366" s="7"/>
      <c r="GJ366" s="7"/>
      <c r="GK366" s="7"/>
      <c r="GL366" s="7"/>
      <c r="GM366" s="7"/>
      <c r="GN366" s="7"/>
      <c r="GO366" s="7"/>
      <c r="GP366" s="7"/>
      <c r="GQ366" s="7"/>
      <c r="GR366" s="7"/>
      <c r="GS366" s="7"/>
      <c r="GT366" s="7"/>
      <c r="GU366" s="7"/>
      <c r="GV366" s="7"/>
      <c r="GW366" s="7"/>
      <c r="GX366" s="7"/>
      <c r="GY366" s="7"/>
      <c r="GZ366" s="7"/>
      <c r="HA366" s="7"/>
      <c r="HB366" s="7"/>
    </row>
    <row r="367" customFormat="false" ht="1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c r="FJ367" s="7"/>
      <c r="FK367" s="7"/>
      <c r="FL367" s="7"/>
      <c r="FM367" s="7"/>
      <c r="FN367" s="7"/>
      <c r="FO367" s="7"/>
      <c r="FP367" s="7"/>
      <c r="FQ367" s="7"/>
      <c r="FR367" s="7"/>
      <c r="FS367" s="7"/>
      <c r="FT367" s="7"/>
      <c r="FU367" s="7"/>
      <c r="FV367" s="7"/>
      <c r="FW367" s="7"/>
      <c r="FX367" s="7"/>
      <c r="FY367" s="7"/>
      <c r="FZ367" s="7"/>
      <c r="GA367" s="7"/>
      <c r="GB367" s="7"/>
      <c r="GC367" s="7"/>
      <c r="GD367" s="7"/>
      <c r="GE367" s="7"/>
      <c r="GF367" s="7"/>
      <c r="GG367" s="7"/>
      <c r="GH367" s="7"/>
      <c r="GI367" s="7"/>
      <c r="GJ367" s="7"/>
      <c r="GK367" s="7"/>
      <c r="GL367" s="7"/>
      <c r="GM367" s="7"/>
      <c r="GN367" s="7"/>
      <c r="GO367" s="7"/>
      <c r="GP367" s="7"/>
      <c r="GQ367" s="7"/>
      <c r="GR367" s="7"/>
      <c r="GS367" s="7"/>
      <c r="GT367" s="7"/>
      <c r="GU367" s="7"/>
      <c r="GV367" s="7"/>
      <c r="GW367" s="7"/>
      <c r="GX367" s="7"/>
      <c r="GY367" s="7"/>
      <c r="GZ367" s="7"/>
      <c r="HA367" s="7"/>
      <c r="HB367" s="7"/>
    </row>
    <row r="368" customFormat="false" ht="1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c r="FJ368" s="7"/>
      <c r="FK368" s="7"/>
      <c r="FL368" s="7"/>
      <c r="FM368" s="7"/>
      <c r="FN368" s="7"/>
      <c r="FO368" s="7"/>
      <c r="FP368" s="7"/>
      <c r="FQ368" s="7"/>
      <c r="FR368" s="7"/>
      <c r="FS368" s="7"/>
      <c r="FT368" s="7"/>
      <c r="FU368" s="7"/>
      <c r="FV368" s="7"/>
      <c r="FW368" s="7"/>
      <c r="FX368" s="7"/>
      <c r="FY368" s="7"/>
      <c r="FZ368" s="7"/>
      <c r="GA368" s="7"/>
      <c r="GB368" s="7"/>
      <c r="GC368" s="7"/>
      <c r="GD368" s="7"/>
      <c r="GE368" s="7"/>
      <c r="GF368" s="7"/>
      <c r="GG368" s="7"/>
      <c r="GH368" s="7"/>
      <c r="GI368" s="7"/>
      <c r="GJ368" s="7"/>
      <c r="GK368" s="7"/>
      <c r="GL368" s="7"/>
      <c r="GM368" s="7"/>
      <c r="GN368" s="7"/>
      <c r="GO368" s="7"/>
      <c r="GP368" s="7"/>
      <c r="GQ368" s="7"/>
      <c r="GR368" s="7"/>
      <c r="GS368" s="7"/>
      <c r="GT368" s="7"/>
      <c r="GU368" s="7"/>
      <c r="GV368" s="7"/>
      <c r="GW368" s="7"/>
      <c r="GX368" s="7"/>
      <c r="GY368" s="7"/>
      <c r="GZ368" s="7"/>
      <c r="HA368" s="7"/>
      <c r="HB368" s="7"/>
    </row>
    <row r="369" customFormat="false" ht="1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c r="FJ369" s="7"/>
      <c r="FK369" s="7"/>
      <c r="FL369" s="7"/>
      <c r="FM369" s="7"/>
      <c r="FN369" s="7"/>
      <c r="FO369" s="7"/>
      <c r="FP369" s="7"/>
      <c r="FQ369" s="7"/>
      <c r="FR369" s="7"/>
      <c r="FS369" s="7"/>
      <c r="FT369" s="7"/>
      <c r="FU369" s="7"/>
      <c r="FV369" s="7"/>
      <c r="FW369" s="7"/>
      <c r="FX369" s="7"/>
      <c r="FY369" s="7"/>
      <c r="FZ369" s="7"/>
      <c r="GA369" s="7"/>
      <c r="GB369" s="7"/>
      <c r="GC369" s="7"/>
      <c r="GD369" s="7"/>
      <c r="GE369" s="7"/>
      <c r="GF369" s="7"/>
      <c r="GG369" s="7"/>
      <c r="GH369" s="7"/>
      <c r="GI369" s="7"/>
      <c r="GJ369" s="7"/>
      <c r="GK369" s="7"/>
      <c r="GL369" s="7"/>
      <c r="GM369" s="7"/>
      <c r="GN369" s="7"/>
      <c r="GO369" s="7"/>
      <c r="GP369" s="7"/>
      <c r="GQ369" s="7"/>
      <c r="GR369" s="7"/>
      <c r="GS369" s="7"/>
      <c r="GT369" s="7"/>
      <c r="GU369" s="7"/>
      <c r="GV369" s="7"/>
      <c r="GW369" s="7"/>
      <c r="GX369" s="7"/>
      <c r="GY369" s="7"/>
      <c r="GZ369" s="7"/>
      <c r="HA369" s="7"/>
      <c r="HB369" s="7"/>
    </row>
    <row r="370" customFormat="false" ht="1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c r="FJ370" s="7"/>
      <c r="FK370" s="7"/>
      <c r="FL370" s="7"/>
      <c r="FM370" s="7"/>
      <c r="FN370" s="7"/>
      <c r="FO370" s="7"/>
      <c r="FP370" s="7"/>
      <c r="FQ370" s="7"/>
      <c r="FR370" s="7"/>
      <c r="FS370" s="7"/>
      <c r="FT370" s="7"/>
      <c r="FU370" s="7"/>
      <c r="FV370" s="7"/>
      <c r="FW370" s="7"/>
      <c r="FX370" s="7"/>
      <c r="FY370" s="7"/>
      <c r="FZ370" s="7"/>
      <c r="GA370" s="7"/>
      <c r="GB370" s="7"/>
      <c r="GC370" s="7"/>
      <c r="GD370" s="7"/>
      <c r="GE370" s="7"/>
      <c r="GF370" s="7"/>
      <c r="GG370" s="7"/>
      <c r="GH370" s="7"/>
      <c r="GI370" s="7"/>
      <c r="GJ370" s="7"/>
      <c r="GK370" s="7"/>
      <c r="GL370" s="7"/>
      <c r="GM370" s="7"/>
      <c r="GN370" s="7"/>
      <c r="GO370" s="7"/>
      <c r="GP370" s="7"/>
      <c r="GQ370" s="7"/>
      <c r="GR370" s="7"/>
      <c r="GS370" s="7"/>
      <c r="GT370" s="7"/>
      <c r="GU370" s="7"/>
      <c r="GV370" s="7"/>
      <c r="GW370" s="7"/>
      <c r="GX370" s="7"/>
      <c r="GY370" s="7"/>
      <c r="GZ370" s="7"/>
      <c r="HA370" s="7"/>
      <c r="HB370" s="7"/>
    </row>
    <row r="371" customFormat="false" ht="1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c r="FJ371" s="7"/>
      <c r="FK371" s="7"/>
      <c r="FL371" s="7"/>
      <c r="FM371" s="7"/>
      <c r="FN371" s="7"/>
      <c r="FO371" s="7"/>
      <c r="FP371" s="7"/>
      <c r="FQ371" s="7"/>
      <c r="FR371" s="7"/>
      <c r="FS371" s="7"/>
      <c r="FT371" s="7"/>
      <c r="FU371" s="7"/>
      <c r="FV371" s="7"/>
      <c r="FW371" s="7"/>
      <c r="FX371" s="7"/>
      <c r="FY371" s="7"/>
      <c r="FZ371" s="7"/>
      <c r="GA371" s="7"/>
      <c r="GB371" s="7"/>
      <c r="GC371" s="7"/>
      <c r="GD371" s="7"/>
      <c r="GE371" s="7"/>
      <c r="GF371" s="7"/>
      <c r="GG371" s="7"/>
      <c r="GH371" s="7"/>
      <c r="GI371" s="7"/>
      <c r="GJ371" s="7"/>
      <c r="GK371" s="7"/>
      <c r="GL371" s="7"/>
      <c r="GM371" s="7"/>
      <c r="GN371" s="7"/>
      <c r="GO371" s="7"/>
      <c r="GP371" s="7"/>
      <c r="GQ371" s="7"/>
      <c r="GR371" s="7"/>
      <c r="GS371" s="7"/>
      <c r="GT371" s="7"/>
      <c r="GU371" s="7"/>
      <c r="GV371" s="7"/>
      <c r="GW371" s="7"/>
      <c r="GX371" s="7"/>
      <c r="GY371" s="7"/>
      <c r="GZ371" s="7"/>
      <c r="HA371" s="7"/>
      <c r="HB371" s="7"/>
    </row>
    <row r="372" customFormat="false" ht="1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c r="FB372" s="7"/>
      <c r="FC372" s="7"/>
      <c r="FD372" s="7"/>
      <c r="FE372" s="7"/>
      <c r="FF372" s="7"/>
      <c r="FG372" s="7"/>
      <c r="FH372" s="7"/>
      <c r="FI372" s="7"/>
      <c r="FJ372" s="7"/>
      <c r="FK372" s="7"/>
      <c r="FL372" s="7"/>
      <c r="FM372" s="7"/>
      <c r="FN372" s="7"/>
      <c r="FO372" s="7"/>
      <c r="FP372" s="7"/>
      <c r="FQ372" s="7"/>
      <c r="FR372" s="7"/>
      <c r="FS372" s="7"/>
      <c r="FT372" s="7"/>
      <c r="FU372" s="7"/>
      <c r="FV372" s="7"/>
      <c r="FW372" s="7"/>
      <c r="FX372" s="7"/>
      <c r="FY372" s="7"/>
      <c r="FZ372" s="7"/>
      <c r="GA372" s="7"/>
      <c r="GB372" s="7"/>
      <c r="GC372" s="7"/>
      <c r="GD372" s="7"/>
      <c r="GE372" s="7"/>
      <c r="GF372" s="7"/>
      <c r="GG372" s="7"/>
      <c r="GH372" s="7"/>
      <c r="GI372" s="7"/>
      <c r="GJ372" s="7"/>
      <c r="GK372" s="7"/>
      <c r="GL372" s="7"/>
      <c r="GM372" s="7"/>
      <c r="GN372" s="7"/>
      <c r="GO372" s="7"/>
      <c r="GP372" s="7"/>
      <c r="GQ372" s="7"/>
      <c r="GR372" s="7"/>
      <c r="GS372" s="7"/>
      <c r="GT372" s="7"/>
      <c r="GU372" s="7"/>
      <c r="GV372" s="7"/>
      <c r="GW372" s="7"/>
      <c r="GX372" s="7"/>
      <c r="GY372" s="7"/>
      <c r="GZ372" s="7"/>
      <c r="HA372" s="7"/>
      <c r="HB372" s="7"/>
    </row>
    <row r="373" customFormat="false" ht="1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c r="FB373" s="7"/>
      <c r="FC373" s="7"/>
      <c r="FD373" s="7"/>
      <c r="FE373" s="7"/>
      <c r="FF373" s="7"/>
      <c r="FG373" s="7"/>
      <c r="FH373" s="7"/>
      <c r="FI373" s="7"/>
      <c r="FJ373" s="7"/>
      <c r="FK373" s="7"/>
      <c r="FL373" s="7"/>
      <c r="FM373" s="7"/>
      <c r="FN373" s="7"/>
      <c r="FO373" s="7"/>
      <c r="FP373" s="7"/>
      <c r="FQ373" s="7"/>
      <c r="FR373" s="7"/>
      <c r="FS373" s="7"/>
      <c r="FT373" s="7"/>
      <c r="FU373" s="7"/>
      <c r="FV373" s="7"/>
      <c r="FW373" s="7"/>
      <c r="FX373" s="7"/>
      <c r="FY373" s="7"/>
      <c r="FZ373" s="7"/>
      <c r="GA373" s="7"/>
      <c r="GB373" s="7"/>
      <c r="GC373" s="7"/>
      <c r="GD373" s="7"/>
      <c r="GE373" s="7"/>
      <c r="GF373" s="7"/>
      <c r="GG373" s="7"/>
      <c r="GH373" s="7"/>
      <c r="GI373" s="7"/>
      <c r="GJ373" s="7"/>
      <c r="GK373" s="7"/>
      <c r="GL373" s="7"/>
      <c r="GM373" s="7"/>
      <c r="GN373" s="7"/>
      <c r="GO373" s="7"/>
      <c r="GP373" s="7"/>
      <c r="GQ373" s="7"/>
      <c r="GR373" s="7"/>
      <c r="GS373" s="7"/>
      <c r="GT373" s="7"/>
      <c r="GU373" s="7"/>
      <c r="GV373" s="7"/>
      <c r="GW373" s="7"/>
      <c r="GX373" s="7"/>
      <c r="GY373" s="7"/>
      <c r="GZ373" s="7"/>
      <c r="HA373" s="7"/>
      <c r="HB373" s="7"/>
    </row>
    <row r="374" customFormat="false" ht="1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c r="FJ374" s="7"/>
      <c r="FK374" s="7"/>
      <c r="FL374" s="7"/>
      <c r="FM374" s="7"/>
      <c r="FN374" s="7"/>
      <c r="FO374" s="7"/>
      <c r="FP374" s="7"/>
      <c r="FQ374" s="7"/>
      <c r="FR374" s="7"/>
      <c r="FS374" s="7"/>
      <c r="FT374" s="7"/>
      <c r="FU374" s="7"/>
      <c r="FV374" s="7"/>
      <c r="FW374" s="7"/>
      <c r="FX374" s="7"/>
      <c r="FY374" s="7"/>
      <c r="FZ374" s="7"/>
      <c r="GA374" s="7"/>
      <c r="GB374" s="7"/>
      <c r="GC374" s="7"/>
      <c r="GD374" s="7"/>
      <c r="GE374" s="7"/>
      <c r="GF374" s="7"/>
      <c r="GG374" s="7"/>
      <c r="GH374" s="7"/>
      <c r="GI374" s="7"/>
      <c r="GJ374" s="7"/>
      <c r="GK374" s="7"/>
      <c r="GL374" s="7"/>
      <c r="GM374" s="7"/>
      <c r="GN374" s="7"/>
      <c r="GO374" s="7"/>
      <c r="GP374" s="7"/>
      <c r="GQ374" s="7"/>
      <c r="GR374" s="7"/>
      <c r="GS374" s="7"/>
      <c r="GT374" s="7"/>
      <c r="GU374" s="7"/>
      <c r="GV374" s="7"/>
      <c r="GW374" s="7"/>
      <c r="GX374" s="7"/>
      <c r="GY374" s="7"/>
      <c r="GZ374" s="7"/>
      <c r="HA374" s="7"/>
      <c r="HB374" s="7"/>
    </row>
    <row r="375" customFormat="false" ht="1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c r="FJ375" s="7"/>
      <c r="FK375" s="7"/>
      <c r="FL375" s="7"/>
      <c r="FM375" s="7"/>
      <c r="FN375" s="7"/>
      <c r="FO375" s="7"/>
      <c r="FP375" s="7"/>
      <c r="FQ375" s="7"/>
      <c r="FR375" s="7"/>
      <c r="FS375" s="7"/>
      <c r="FT375" s="7"/>
      <c r="FU375" s="7"/>
      <c r="FV375" s="7"/>
      <c r="FW375" s="7"/>
      <c r="FX375" s="7"/>
      <c r="FY375" s="7"/>
      <c r="FZ375" s="7"/>
      <c r="GA375" s="7"/>
      <c r="GB375" s="7"/>
      <c r="GC375" s="7"/>
      <c r="GD375" s="7"/>
      <c r="GE375" s="7"/>
      <c r="GF375" s="7"/>
      <c r="GG375" s="7"/>
      <c r="GH375" s="7"/>
      <c r="GI375" s="7"/>
      <c r="GJ375" s="7"/>
      <c r="GK375" s="7"/>
      <c r="GL375" s="7"/>
      <c r="GM375" s="7"/>
      <c r="GN375" s="7"/>
      <c r="GO375" s="7"/>
      <c r="GP375" s="7"/>
      <c r="GQ375" s="7"/>
      <c r="GR375" s="7"/>
      <c r="GS375" s="7"/>
      <c r="GT375" s="7"/>
      <c r="GU375" s="7"/>
      <c r="GV375" s="7"/>
      <c r="GW375" s="7"/>
      <c r="GX375" s="7"/>
      <c r="GY375" s="7"/>
      <c r="GZ375" s="7"/>
      <c r="HA375" s="7"/>
      <c r="HB375" s="7"/>
    </row>
    <row r="376" customFormat="false" ht="1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c r="FB376" s="7"/>
      <c r="FC376" s="7"/>
      <c r="FD376" s="7"/>
      <c r="FE376" s="7"/>
      <c r="FF376" s="7"/>
      <c r="FG376" s="7"/>
      <c r="FH376" s="7"/>
      <c r="FI376" s="7"/>
      <c r="FJ376" s="7"/>
      <c r="FK376" s="7"/>
      <c r="FL376" s="7"/>
      <c r="FM376" s="7"/>
      <c r="FN376" s="7"/>
      <c r="FO376" s="7"/>
      <c r="FP376" s="7"/>
      <c r="FQ376" s="7"/>
      <c r="FR376" s="7"/>
      <c r="FS376" s="7"/>
      <c r="FT376" s="7"/>
      <c r="FU376" s="7"/>
      <c r="FV376" s="7"/>
      <c r="FW376" s="7"/>
      <c r="FX376" s="7"/>
      <c r="FY376" s="7"/>
      <c r="FZ376" s="7"/>
      <c r="GA376" s="7"/>
      <c r="GB376" s="7"/>
      <c r="GC376" s="7"/>
      <c r="GD376" s="7"/>
      <c r="GE376" s="7"/>
      <c r="GF376" s="7"/>
      <c r="GG376" s="7"/>
      <c r="GH376" s="7"/>
      <c r="GI376" s="7"/>
      <c r="GJ376" s="7"/>
      <c r="GK376" s="7"/>
      <c r="GL376" s="7"/>
      <c r="GM376" s="7"/>
      <c r="GN376" s="7"/>
      <c r="GO376" s="7"/>
      <c r="GP376" s="7"/>
      <c r="GQ376" s="7"/>
      <c r="GR376" s="7"/>
      <c r="GS376" s="7"/>
      <c r="GT376" s="7"/>
      <c r="GU376" s="7"/>
      <c r="GV376" s="7"/>
      <c r="GW376" s="7"/>
      <c r="GX376" s="7"/>
      <c r="GY376" s="7"/>
      <c r="GZ376" s="7"/>
      <c r="HA376" s="7"/>
      <c r="HB376" s="7"/>
    </row>
    <row r="377" customFormat="false" ht="1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c r="FJ377" s="7"/>
      <c r="FK377" s="7"/>
      <c r="FL377" s="7"/>
      <c r="FM377" s="7"/>
      <c r="FN377" s="7"/>
      <c r="FO377" s="7"/>
      <c r="FP377" s="7"/>
      <c r="FQ377" s="7"/>
      <c r="FR377" s="7"/>
      <c r="FS377" s="7"/>
      <c r="FT377" s="7"/>
      <c r="FU377" s="7"/>
      <c r="FV377" s="7"/>
      <c r="FW377" s="7"/>
      <c r="FX377" s="7"/>
      <c r="FY377" s="7"/>
      <c r="FZ377" s="7"/>
      <c r="GA377" s="7"/>
      <c r="GB377" s="7"/>
      <c r="GC377" s="7"/>
      <c r="GD377" s="7"/>
      <c r="GE377" s="7"/>
      <c r="GF377" s="7"/>
      <c r="GG377" s="7"/>
      <c r="GH377" s="7"/>
      <c r="GI377" s="7"/>
      <c r="GJ377" s="7"/>
      <c r="GK377" s="7"/>
      <c r="GL377" s="7"/>
      <c r="GM377" s="7"/>
      <c r="GN377" s="7"/>
      <c r="GO377" s="7"/>
      <c r="GP377" s="7"/>
      <c r="GQ377" s="7"/>
      <c r="GR377" s="7"/>
      <c r="GS377" s="7"/>
      <c r="GT377" s="7"/>
      <c r="GU377" s="7"/>
      <c r="GV377" s="7"/>
      <c r="GW377" s="7"/>
      <c r="GX377" s="7"/>
      <c r="GY377" s="7"/>
      <c r="GZ377" s="7"/>
      <c r="HA377" s="7"/>
      <c r="HB377" s="7"/>
    </row>
    <row r="378" customFormat="false" ht="1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c r="FJ378" s="7"/>
      <c r="FK378" s="7"/>
      <c r="FL378" s="7"/>
      <c r="FM378" s="7"/>
      <c r="FN378" s="7"/>
      <c r="FO378" s="7"/>
      <c r="FP378" s="7"/>
      <c r="FQ378" s="7"/>
      <c r="FR378" s="7"/>
      <c r="FS378" s="7"/>
      <c r="FT378" s="7"/>
      <c r="FU378" s="7"/>
      <c r="FV378" s="7"/>
      <c r="FW378" s="7"/>
      <c r="FX378" s="7"/>
      <c r="FY378" s="7"/>
      <c r="FZ378" s="7"/>
      <c r="GA378" s="7"/>
      <c r="GB378" s="7"/>
      <c r="GC378" s="7"/>
      <c r="GD378" s="7"/>
      <c r="GE378" s="7"/>
      <c r="GF378" s="7"/>
      <c r="GG378" s="7"/>
      <c r="GH378" s="7"/>
      <c r="GI378" s="7"/>
      <c r="GJ378" s="7"/>
      <c r="GK378" s="7"/>
      <c r="GL378" s="7"/>
      <c r="GM378" s="7"/>
      <c r="GN378" s="7"/>
      <c r="GO378" s="7"/>
      <c r="GP378" s="7"/>
      <c r="GQ378" s="7"/>
      <c r="GR378" s="7"/>
      <c r="GS378" s="7"/>
      <c r="GT378" s="7"/>
      <c r="GU378" s="7"/>
      <c r="GV378" s="7"/>
      <c r="GW378" s="7"/>
      <c r="GX378" s="7"/>
      <c r="GY378" s="7"/>
      <c r="GZ378" s="7"/>
      <c r="HA378" s="7"/>
      <c r="HB378" s="7"/>
    </row>
    <row r="379" customFormat="false" ht="1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c r="FJ379" s="7"/>
      <c r="FK379" s="7"/>
      <c r="FL379" s="7"/>
      <c r="FM379" s="7"/>
      <c r="FN379" s="7"/>
      <c r="FO379" s="7"/>
      <c r="FP379" s="7"/>
      <c r="FQ379" s="7"/>
      <c r="FR379" s="7"/>
      <c r="FS379" s="7"/>
      <c r="FT379" s="7"/>
      <c r="FU379" s="7"/>
      <c r="FV379" s="7"/>
      <c r="FW379" s="7"/>
      <c r="FX379" s="7"/>
      <c r="FY379" s="7"/>
      <c r="FZ379" s="7"/>
      <c r="GA379" s="7"/>
      <c r="GB379" s="7"/>
      <c r="GC379" s="7"/>
      <c r="GD379" s="7"/>
      <c r="GE379" s="7"/>
      <c r="GF379" s="7"/>
      <c r="GG379" s="7"/>
      <c r="GH379" s="7"/>
      <c r="GI379" s="7"/>
      <c r="GJ379" s="7"/>
      <c r="GK379" s="7"/>
      <c r="GL379" s="7"/>
      <c r="GM379" s="7"/>
      <c r="GN379" s="7"/>
      <c r="GO379" s="7"/>
      <c r="GP379" s="7"/>
      <c r="GQ379" s="7"/>
      <c r="GR379" s="7"/>
      <c r="GS379" s="7"/>
      <c r="GT379" s="7"/>
      <c r="GU379" s="7"/>
      <c r="GV379" s="7"/>
      <c r="GW379" s="7"/>
      <c r="GX379" s="7"/>
      <c r="GY379" s="7"/>
      <c r="GZ379" s="7"/>
      <c r="HA379" s="7"/>
      <c r="HB379" s="7"/>
    </row>
    <row r="380" customFormat="false" ht="1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c r="FB380" s="7"/>
      <c r="FC380" s="7"/>
      <c r="FD380" s="7"/>
      <c r="FE380" s="7"/>
      <c r="FF380" s="7"/>
      <c r="FG380" s="7"/>
      <c r="FH380" s="7"/>
      <c r="FI380" s="7"/>
      <c r="FJ380" s="7"/>
      <c r="FK380" s="7"/>
      <c r="FL380" s="7"/>
      <c r="FM380" s="7"/>
      <c r="FN380" s="7"/>
      <c r="FO380" s="7"/>
      <c r="FP380" s="7"/>
      <c r="FQ380" s="7"/>
      <c r="FR380" s="7"/>
      <c r="FS380" s="7"/>
      <c r="FT380" s="7"/>
      <c r="FU380" s="7"/>
      <c r="FV380" s="7"/>
      <c r="FW380" s="7"/>
      <c r="FX380" s="7"/>
      <c r="FY380" s="7"/>
      <c r="FZ380" s="7"/>
      <c r="GA380" s="7"/>
      <c r="GB380" s="7"/>
      <c r="GC380" s="7"/>
      <c r="GD380" s="7"/>
      <c r="GE380" s="7"/>
      <c r="GF380" s="7"/>
      <c r="GG380" s="7"/>
      <c r="GH380" s="7"/>
      <c r="GI380" s="7"/>
      <c r="GJ380" s="7"/>
      <c r="GK380" s="7"/>
      <c r="GL380" s="7"/>
      <c r="GM380" s="7"/>
      <c r="GN380" s="7"/>
      <c r="GO380" s="7"/>
      <c r="GP380" s="7"/>
      <c r="GQ380" s="7"/>
      <c r="GR380" s="7"/>
      <c r="GS380" s="7"/>
      <c r="GT380" s="7"/>
      <c r="GU380" s="7"/>
      <c r="GV380" s="7"/>
      <c r="GW380" s="7"/>
      <c r="GX380" s="7"/>
      <c r="GY380" s="7"/>
      <c r="GZ380" s="7"/>
      <c r="HA380" s="7"/>
      <c r="HB380" s="7"/>
    </row>
    <row r="381" customFormat="false" ht="1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c r="FJ381" s="7"/>
      <c r="FK381" s="7"/>
      <c r="FL381" s="7"/>
      <c r="FM381" s="7"/>
      <c r="FN381" s="7"/>
      <c r="FO381" s="7"/>
      <c r="FP381" s="7"/>
      <c r="FQ381" s="7"/>
      <c r="FR381" s="7"/>
      <c r="FS381" s="7"/>
      <c r="FT381" s="7"/>
      <c r="FU381" s="7"/>
      <c r="FV381" s="7"/>
      <c r="FW381" s="7"/>
      <c r="FX381" s="7"/>
      <c r="FY381" s="7"/>
      <c r="FZ381" s="7"/>
      <c r="GA381" s="7"/>
      <c r="GB381" s="7"/>
      <c r="GC381" s="7"/>
      <c r="GD381" s="7"/>
      <c r="GE381" s="7"/>
      <c r="GF381" s="7"/>
      <c r="GG381" s="7"/>
      <c r="GH381" s="7"/>
      <c r="GI381" s="7"/>
      <c r="GJ381" s="7"/>
      <c r="GK381" s="7"/>
      <c r="GL381" s="7"/>
      <c r="GM381" s="7"/>
      <c r="GN381" s="7"/>
      <c r="GO381" s="7"/>
      <c r="GP381" s="7"/>
      <c r="GQ381" s="7"/>
      <c r="GR381" s="7"/>
      <c r="GS381" s="7"/>
      <c r="GT381" s="7"/>
      <c r="GU381" s="7"/>
      <c r="GV381" s="7"/>
      <c r="GW381" s="7"/>
      <c r="GX381" s="7"/>
      <c r="GY381" s="7"/>
      <c r="GZ381" s="7"/>
      <c r="HA381" s="7"/>
      <c r="HB381" s="7"/>
    </row>
    <row r="382" customFormat="false" ht="1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c r="FB382" s="7"/>
      <c r="FC382" s="7"/>
      <c r="FD382" s="7"/>
      <c r="FE382" s="7"/>
      <c r="FF382" s="7"/>
      <c r="FG382" s="7"/>
      <c r="FH382" s="7"/>
      <c r="FI382" s="7"/>
      <c r="FJ382" s="7"/>
      <c r="FK382" s="7"/>
      <c r="FL382" s="7"/>
      <c r="FM382" s="7"/>
      <c r="FN382" s="7"/>
      <c r="FO382" s="7"/>
      <c r="FP382" s="7"/>
      <c r="FQ382" s="7"/>
      <c r="FR382" s="7"/>
      <c r="FS382" s="7"/>
      <c r="FT382" s="7"/>
      <c r="FU382" s="7"/>
      <c r="FV382" s="7"/>
      <c r="FW382" s="7"/>
      <c r="FX382" s="7"/>
      <c r="FY382" s="7"/>
      <c r="FZ382" s="7"/>
      <c r="GA382" s="7"/>
      <c r="GB382" s="7"/>
      <c r="GC382" s="7"/>
      <c r="GD382" s="7"/>
      <c r="GE382" s="7"/>
      <c r="GF382" s="7"/>
      <c r="GG382" s="7"/>
      <c r="GH382" s="7"/>
      <c r="GI382" s="7"/>
      <c r="GJ382" s="7"/>
      <c r="GK382" s="7"/>
      <c r="GL382" s="7"/>
      <c r="GM382" s="7"/>
      <c r="GN382" s="7"/>
      <c r="GO382" s="7"/>
      <c r="GP382" s="7"/>
      <c r="GQ382" s="7"/>
      <c r="GR382" s="7"/>
      <c r="GS382" s="7"/>
      <c r="GT382" s="7"/>
      <c r="GU382" s="7"/>
      <c r="GV382" s="7"/>
      <c r="GW382" s="7"/>
      <c r="GX382" s="7"/>
      <c r="GY382" s="7"/>
      <c r="GZ382" s="7"/>
      <c r="HA382" s="7"/>
      <c r="HB382" s="7"/>
    </row>
    <row r="383" customFormat="false" ht="1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c r="FB383" s="7"/>
      <c r="FC383" s="7"/>
      <c r="FD383" s="7"/>
      <c r="FE383" s="7"/>
      <c r="FF383" s="7"/>
      <c r="FG383" s="7"/>
      <c r="FH383" s="7"/>
      <c r="FI383" s="7"/>
      <c r="FJ383" s="7"/>
      <c r="FK383" s="7"/>
      <c r="FL383" s="7"/>
      <c r="FM383" s="7"/>
      <c r="FN383" s="7"/>
      <c r="FO383" s="7"/>
      <c r="FP383" s="7"/>
      <c r="FQ383" s="7"/>
      <c r="FR383" s="7"/>
      <c r="FS383" s="7"/>
      <c r="FT383" s="7"/>
      <c r="FU383" s="7"/>
      <c r="FV383" s="7"/>
      <c r="FW383" s="7"/>
      <c r="FX383" s="7"/>
      <c r="FY383" s="7"/>
      <c r="FZ383" s="7"/>
      <c r="GA383" s="7"/>
      <c r="GB383" s="7"/>
      <c r="GC383" s="7"/>
      <c r="GD383" s="7"/>
      <c r="GE383" s="7"/>
      <c r="GF383" s="7"/>
      <c r="GG383" s="7"/>
      <c r="GH383" s="7"/>
      <c r="GI383" s="7"/>
      <c r="GJ383" s="7"/>
      <c r="GK383" s="7"/>
      <c r="GL383" s="7"/>
      <c r="GM383" s="7"/>
      <c r="GN383" s="7"/>
      <c r="GO383" s="7"/>
      <c r="GP383" s="7"/>
      <c r="GQ383" s="7"/>
      <c r="GR383" s="7"/>
      <c r="GS383" s="7"/>
      <c r="GT383" s="7"/>
      <c r="GU383" s="7"/>
      <c r="GV383" s="7"/>
      <c r="GW383" s="7"/>
      <c r="GX383" s="7"/>
      <c r="GY383" s="7"/>
      <c r="GZ383" s="7"/>
      <c r="HA383" s="7"/>
      <c r="HB383" s="7"/>
    </row>
    <row r="384" customFormat="false" ht="1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c r="FJ384" s="7"/>
      <c r="FK384" s="7"/>
      <c r="FL384" s="7"/>
      <c r="FM384" s="7"/>
      <c r="FN384" s="7"/>
      <c r="FO384" s="7"/>
      <c r="FP384" s="7"/>
      <c r="FQ384" s="7"/>
      <c r="FR384" s="7"/>
      <c r="FS384" s="7"/>
      <c r="FT384" s="7"/>
      <c r="FU384" s="7"/>
      <c r="FV384" s="7"/>
      <c r="FW384" s="7"/>
      <c r="FX384" s="7"/>
      <c r="FY384" s="7"/>
      <c r="FZ384" s="7"/>
      <c r="GA384" s="7"/>
      <c r="GB384" s="7"/>
      <c r="GC384" s="7"/>
      <c r="GD384" s="7"/>
      <c r="GE384" s="7"/>
      <c r="GF384" s="7"/>
      <c r="GG384" s="7"/>
      <c r="GH384" s="7"/>
      <c r="GI384" s="7"/>
      <c r="GJ384" s="7"/>
      <c r="GK384" s="7"/>
      <c r="GL384" s="7"/>
      <c r="GM384" s="7"/>
      <c r="GN384" s="7"/>
      <c r="GO384" s="7"/>
      <c r="GP384" s="7"/>
      <c r="GQ384" s="7"/>
      <c r="GR384" s="7"/>
      <c r="GS384" s="7"/>
      <c r="GT384" s="7"/>
      <c r="GU384" s="7"/>
      <c r="GV384" s="7"/>
      <c r="GW384" s="7"/>
      <c r="GX384" s="7"/>
      <c r="GY384" s="7"/>
      <c r="GZ384" s="7"/>
      <c r="HA384" s="7"/>
      <c r="HB384" s="7"/>
    </row>
    <row r="385" customFormat="false" ht="1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c r="FJ385" s="7"/>
      <c r="FK385" s="7"/>
      <c r="FL385" s="7"/>
      <c r="FM385" s="7"/>
      <c r="FN385" s="7"/>
      <c r="FO385" s="7"/>
      <c r="FP385" s="7"/>
      <c r="FQ385" s="7"/>
      <c r="FR385" s="7"/>
      <c r="FS385" s="7"/>
      <c r="FT385" s="7"/>
      <c r="FU385" s="7"/>
      <c r="FV385" s="7"/>
      <c r="FW385" s="7"/>
      <c r="FX385" s="7"/>
      <c r="FY385" s="7"/>
      <c r="FZ385" s="7"/>
      <c r="GA385" s="7"/>
      <c r="GB385" s="7"/>
      <c r="GC385" s="7"/>
      <c r="GD385" s="7"/>
      <c r="GE385" s="7"/>
      <c r="GF385" s="7"/>
      <c r="GG385" s="7"/>
      <c r="GH385" s="7"/>
      <c r="GI385" s="7"/>
      <c r="GJ385" s="7"/>
      <c r="GK385" s="7"/>
      <c r="GL385" s="7"/>
      <c r="GM385" s="7"/>
      <c r="GN385" s="7"/>
      <c r="GO385" s="7"/>
      <c r="GP385" s="7"/>
      <c r="GQ385" s="7"/>
      <c r="GR385" s="7"/>
      <c r="GS385" s="7"/>
      <c r="GT385" s="7"/>
      <c r="GU385" s="7"/>
      <c r="GV385" s="7"/>
      <c r="GW385" s="7"/>
      <c r="GX385" s="7"/>
      <c r="GY385" s="7"/>
      <c r="GZ385" s="7"/>
      <c r="HA385" s="7"/>
      <c r="HB385" s="7"/>
    </row>
    <row r="386" customFormat="false" ht="1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c r="FJ386" s="7"/>
      <c r="FK386" s="7"/>
      <c r="FL386" s="7"/>
      <c r="FM386" s="7"/>
      <c r="FN386" s="7"/>
      <c r="FO386" s="7"/>
      <c r="FP386" s="7"/>
      <c r="FQ386" s="7"/>
      <c r="FR386" s="7"/>
      <c r="FS386" s="7"/>
      <c r="FT386" s="7"/>
      <c r="FU386" s="7"/>
      <c r="FV386" s="7"/>
      <c r="FW386" s="7"/>
      <c r="FX386" s="7"/>
      <c r="FY386" s="7"/>
      <c r="FZ386" s="7"/>
      <c r="GA386" s="7"/>
      <c r="GB386" s="7"/>
      <c r="GC386" s="7"/>
      <c r="GD386" s="7"/>
      <c r="GE386" s="7"/>
      <c r="GF386" s="7"/>
      <c r="GG386" s="7"/>
      <c r="GH386" s="7"/>
      <c r="GI386" s="7"/>
      <c r="GJ386" s="7"/>
      <c r="GK386" s="7"/>
      <c r="GL386" s="7"/>
      <c r="GM386" s="7"/>
      <c r="GN386" s="7"/>
      <c r="GO386" s="7"/>
      <c r="GP386" s="7"/>
      <c r="GQ386" s="7"/>
      <c r="GR386" s="7"/>
      <c r="GS386" s="7"/>
      <c r="GT386" s="7"/>
      <c r="GU386" s="7"/>
      <c r="GV386" s="7"/>
      <c r="GW386" s="7"/>
      <c r="GX386" s="7"/>
      <c r="GY386" s="7"/>
      <c r="GZ386" s="7"/>
      <c r="HA386" s="7"/>
      <c r="HB386" s="7"/>
    </row>
    <row r="387" customFormat="false" ht="1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c r="FJ387" s="7"/>
      <c r="FK387" s="7"/>
      <c r="FL387" s="7"/>
      <c r="FM387" s="7"/>
      <c r="FN387" s="7"/>
      <c r="FO387" s="7"/>
      <c r="FP387" s="7"/>
      <c r="FQ387" s="7"/>
      <c r="FR387" s="7"/>
      <c r="FS387" s="7"/>
      <c r="FT387" s="7"/>
      <c r="FU387" s="7"/>
      <c r="FV387" s="7"/>
      <c r="FW387" s="7"/>
      <c r="FX387" s="7"/>
      <c r="FY387" s="7"/>
      <c r="FZ387" s="7"/>
      <c r="GA387" s="7"/>
      <c r="GB387" s="7"/>
      <c r="GC387" s="7"/>
      <c r="GD387" s="7"/>
      <c r="GE387" s="7"/>
      <c r="GF387" s="7"/>
      <c r="GG387" s="7"/>
      <c r="GH387" s="7"/>
      <c r="GI387" s="7"/>
      <c r="GJ387" s="7"/>
      <c r="GK387" s="7"/>
      <c r="GL387" s="7"/>
      <c r="GM387" s="7"/>
      <c r="GN387" s="7"/>
      <c r="GO387" s="7"/>
      <c r="GP387" s="7"/>
      <c r="GQ387" s="7"/>
      <c r="GR387" s="7"/>
      <c r="GS387" s="7"/>
      <c r="GT387" s="7"/>
      <c r="GU387" s="7"/>
      <c r="GV387" s="7"/>
      <c r="GW387" s="7"/>
      <c r="GX387" s="7"/>
      <c r="GY387" s="7"/>
      <c r="GZ387" s="7"/>
      <c r="HA387" s="7"/>
      <c r="HB387" s="7"/>
    </row>
    <row r="388" customFormat="false" ht="1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c r="FJ388" s="7"/>
      <c r="FK388" s="7"/>
      <c r="FL388" s="7"/>
      <c r="FM388" s="7"/>
      <c r="FN388" s="7"/>
      <c r="FO388" s="7"/>
      <c r="FP388" s="7"/>
      <c r="FQ388" s="7"/>
      <c r="FR388" s="7"/>
      <c r="FS388" s="7"/>
      <c r="FT388" s="7"/>
      <c r="FU388" s="7"/>
      <c r="FV388" s="7"/>
      <c r="FW388" s="7"/>
      <c r="FX388" s="7"/>
      <c r="FY388" s="7"/>
      <c r="FZ388" s="7"/>
      <c r="GA388" s="7"/>
      <c r="GB388" s="7"/>
      <c r="GC388" s="7"/>
      <c r="GD388" s="7"/>
      <c r="GE388" s="7"/>
      <c r="GF388" s="7"/>
      <c r="GG388" s="7"/>
      <c r="GH388" s="7"/>
      <c r="GI388" s="7"/>
      <c r="GJ388" s="7"/>
      <c r="GK388" s="7"/>
      <c r="GL388" s="7"/>
      <c r="GM388" s="7"/>
      <c r="GN388" s="7"/>
      <c r="GO388" s="7"/>
      <c r="GP388" s="7"/>
      <c r="GQ388" s="7"/>
      <c r="GR388" s="7"/>
      <c r="GS388" s="7"/>
      <c r="GT388" s="7"/>
      <c r="GU388" s="7"/>
      <c r="GV388" s="7"/>
      <c r="GW388" s="7"/>
      <c r="GX388" s="7"/>
      <c r="GY388" s="7"/>
      <c r="GZ388" s="7"/>
      <c r="HA388" s="7"/>
      <c r="HB388" s="7"/>
    </row>
    <row r="389" customFormat="false" ht="1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c r="FJ389" s="7"/>
      <c r="FK389" s="7"/>
      <c r="FL389" s="7"/>
      <c r="FM389" s="7"/>
      <c r="FN389" s="7"/>
      <c r="FO389" s="7"/>
      <c r="FP389" s="7"/>
      <c r="FQ389" s="7"/>
      <c r="FR389" s="7"/>
      <c r="FS389" s="7"/>
      <c r="FT389" s="7"/>
      <c r="FU389" s="7"/>
      <c r="FV389" s="7"/>
      <c r="FW389" s="7"/>
      <c r="FX389" s="7"/>
      <c r="FY389" s="7"/>
      <c r="FZ389" s="7"/>
      <c r="GA389" s="7"/>
      <c r="GB389" s="7"/>
      <c r="GC389" s="7"/>
      <c r="GD389" s="7"/>
      <c r="GE389" s="7"/>
      <c r="GF389" s="7"/>
      <c r="GG389" s="7"/>
      <c r="GH389" s="7"/>
      <c r="GI389" s="7"/>
      <c r="GJ389" s="7"/>
      <c r="GK389" s="7"/>
      <c r="GL389" s="7"/>
      <c r="GM389" s="7"/>
      <c r="GN389" s="7"/>
      <c r="GO389" s="7"/>
      <c r="GP389" s="7"/>
      <c r="GQ389" s="7"/>
      <c r="GR389" s="7"/>
      <c r="GS389" s="7"/>
      <c r="GT389" s="7"/>
      <c r="GU389" s="7"/>
      <c r="GV389" s="7"/>
      <c r="GW389" s="7"/>
      <c r="GX389" s="7"/>
      <c r="GY389" s="7"/>
      <c r="GZ389" s="7"/>
      <c r="HA389" s="7"/>
      <c r="HB389" s="7"/>
    </row>
    <row r="390" customFormat="false" ht="1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c r="FB390" s="7"/>
      <c r="FC390" s="7"/>
      <c r="FD390" s="7"/>
      <c r="FE390" s="7"/>
      <c r="FF390" s="7"/>
      <c r="FG390" s="7"/>
      <c r="FH390" s="7"/>
      <c r="FI390" s="7"/>
      <c r="FJ390" s="7"/>
      <c r="FK390" s="7"/>
      <c r="FL390" s="7"/>
      <c r="FM390" s="7"/>
      <c r="FN390" s="7"/>
      <c r="FO390" s="7"/>
      <c r="FP390" s="7"/>
      <c r="FQ390" s="7"/>
      <c r="FR390" s="7"/>
      <c r="FS390" s="7"/>
      <c r="FT390" s="7"/>
      <c r="FU390" s="7"/>
      <c r="FV390" s="7"/>
      <c r="FW390" s="7"/>
      <c r="FX390" s="7"/>
      <c r="FY390" s="7"/>
      <c r="FZ390" s="7"/>
      <c r="GA390" s="7"/>
      <c r="GB390" s="7"/>
      <c r="GC390" s="7"/>
      <c r="GD390" s="7"/>
      <c r="GE390" s="7"/>
      <c r="GF390" s="7"/>
      <c r="GG390" s="7"/>
      <c r="GH390" s="7"/>
      <c r="GI390" s="7"/>
      <c r="GJ390" s="7"/>
      <c r="GK390" s="7"/>
      <c r="GL390" s="7"/>
      <c r="GM390" s="7"/>
      <c r="GN390" s="7"/>
      <c r="GO390" s="7"/>
      <c r="GP390" s="7"/>
      <c r="GQ390" s="7"/>
      <c r="GR390" s="7"/>
      <c r="GS390" s="7"/>
      <c r="GT390" s="7"/>
      <c r="GU390" s="7"/>
      <c r="GV390" s="7"/>
      <c r="GW390" s="7"/>
      <c r="GX390" s="7"/>
      <c r="GY390" s="7"/>
      <c r="GZ390" s="7"/>
      <c r="HA390" s="7"/>
      <c r="HB390" s="7"/>
    </row>
    <row r="391" customFormat="false" ht="1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c r="FB391" s="7"/>
      <c r="FC391" s="7"/>
      <c r="FD391" s="7"/>
      <c r="FE391" s="7"/>
      <c r="FF391" s="7"/>
      <c r="FG391" s="7"/>
      <c r="FH391" s="7"/>
      <c r="FI391" s="7"/>
      <c r="FJ391" s="7"/>
      <c r="FK391" s="7"/>
      <c r="FL391" s="7"/>
      <c r="FM391" s="7"/>
      <c r="FN391" s="7"/>
      <c r="FO391" s="7"/>
      <c r="FP391" s="7"/>
      <c r="FQ391" s="7"/>
      <c r="FR391" s="7"/>
      <c r="FS391" s="7"/>
      <c r="FT391" s="7"/>
      <c r="FU391" s="7"/>
      <c r="FV391" s="7"/>
      <c r="FW391" s="7"/>
      <c r="FX391" s="7"/>
      <c r="FY391" s="7"/>
      <c r="FZ391" s="7"/>
      <c r="GA391" s="7"/>
      <c r="GB391" s="7"/>
      <c r="GC391" s="7"/>
      <c r="GD391" s="7"/>
      <c r="GE391" s="7"/>
      <c r="GF391" s="7"/>
      <c r="GG391" s="7"/>
      <c r="GH391" s="7"/>
      <c r="GI391" s="7"/>
      <c r="GJ391" s="7"/>
      <c r="GK391" s="7"/>
      <c r="GL391" s="7"/>
      <c r="GM391" s="7"/>
      <c r="GN391" s="7"/>
      <c r="GO391" s="7"/>
      <c r="GP391" s="7"/>
      <c r="GQ391" s="7"/>
      <c r="GR391" s="7"/>
      <c r="GS391" s="7"/>
      <c r="GT391" s="7"/>
      <c r="GU391" s="7"/>
      <c r="GV391" s="7"/>
      <c r="GW391" s="7"/>
      <c r="GX391" s="7"/>
      <c r="GY391" s="7"/>
      <c r="GZ391" s="7"/>
      <c r="HA391" s="7"/>
      <c r="HB391" s="7"/>
    </row>
    <row r="392" customFormat="false" ht="1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c r="FB392" s="7"/>
      <c r="FC392" s="7"/>
      <c r="FD392" s="7"/>
      <c r="FE392" s="7"/>
      <c r="FF392" s="7"/>
      <c r="FG392" s="7"/>
      <c r="FH392" s="7"/>
      <c r="FI392" s="7"/>
      <c r="FJ392" s="7"/>
      <c r="FK392" s="7"/>
      <c r="FL392" s="7"/>
      <c r="FM392" s="7"/>
      <c r="FN392" s="7"/>
      <c r="FO392" s="7"/>
      <c r="FP392" s="7"/>
      <c r="FQ392" s="7"/>
      <c r="FR392" s="7"/>
      <c r="FS392" s="7"/>
      <c r="FT392" s="7"/>
      <c r="FU392" s="7"/>
      <c r="FV392" s="7"/>
      <c r="FW392" s="7"/>
      <c r="FX392" s="7"/>
      <c r="FY392" s="7"/>
      <c r="FZ392" s="7"/>
      <c r="GA392" s="7"/>
      <c r="GB392" s="7"/>
      <c r="GC392" s="7"/>
      <c r="GD392" s="7"/>
      <c r="GE392" s="7"/>
      <c r="GF392" s="7"/>
      <c r="GG392" s="7"/>
      <c r="GH392" s="7"/>
      <c r="GI392" s="7"/>
      <c r="GJ392" s="7"/>
      <c r="GK392" s="7"/>
      <c r="GL392" s="7"/>
      <c r="GM392" s="7"/>
      <c r="GN392" s="7"/>
      <c r="GO392" s="7"/>
      <c r="GP392" s="7"/>
      <c r="GQ392" s="7"/>
      <c r="GR392" s="7"/>
      <c r="GS392" s="7"/>
      <c r="GT392" s="7"/>
      <c r="GU392" s="7"/>
      <c r="GV392" s="7"/>
      <c r="GW392" s="7"/>
      <c r="GX392" s="7"/>
      <c r="GY392" s="7"/>
      <c r="GZ392" s="7"/>
      <c r="HA392" s="7"/>
      <c r="HB392" s="7"/>
    </row>
    <row r="393" customFormat="false" ht="1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c r="FJ393" s="7"/>
      <c r="FK393" s="7"/>
      <c r="FL393" s="7"/>
      <c r="FM393" s="7"/>
      <c r="FN393" s="7"/>
      <c r="FO393" s="7"/>
      <c r="FP393" s="7"/>
      <c r="FQ393" s="7"/>
      <c r="FR393" s="7"/>
      <c r="FS393" s="7"/>
      <c r="FT393" s="7"/>
      <c r="FU393" s="7"/>
      <c r="FV393" s="7"/>
      <c r="FW393" s="7"/>
      <c r="FX393" s="7"/>
      <c r="FY393" s="7"/>
      <c r="FZ393" s="7"/>
      <c r="GA393" s="7"/>
      <c r="GB393" s="7"/>
      <c r="GC393" s="7"/>
      <c r="GD393" s="7"/>
      <c r="GE393" s="7"/>
      <c r="GF393" s="7"/>
      <c r="GG393" s="7"/>
      <c r="GH393" s="7"/>
      <c r="GI393" s="7"/>
      <c r="GJ393" s="7"/>
      <c r="GK393" s="7"/>
      <c r="GL393" s="7"/>
      <c r="GM393" s="7"/>
      <c r="GN393" s="7"/>
      <c r="GO393" s="7"/>
      <c r="GP393" s="7"/>
      <c r="GQ393" s="7"/>
      <c r="GR393" s="7"/>
      <c r="GS393" s="7"/>
      <c r="GT393" s="7"/>
      <c r="GU393" s="7"/>
      <c r="GV393" s="7"/>
      <c r="GW393" s="7"/>
      <c r="GX393" s="7"/>
      <c r="GY393" s="7"/>
      <c r="GZ393" s="7"/>
      <c r="HA393" s="7"/>
      <c r="HB393" s="7"/>
    </row>
    <row r="394" customFormat="false" ht="1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c r="FB394" s="7"/>
      <c r="FC394" s="7"/>
      <c r="FD394" s="7"/>
      <c r="FE394" s="7"/>
      <c r="FF394" s="7"/>
      <c r="FG394" s="7"/>
      <c r="FH394" s="7"/>
      <c r="FI394" s="7"/>
      <c r="FJ394" s="7"/>
      <c r="FK394" s="7"/>
      <c r="FL394" s="7"/>
      <c r="FM394" s="7"/>
      <c r="FN394" s="7"/>
      <c r="FO394" s="7"/>
      <c r="FP394" s="7"/>
      <c r="FQ394" s="7"/>
      <c r="FR394" s="7"/>
      <c r="FS394" s="7"/>
      <c r="FT394" s="7"/>
      <c r="FU394" s="7"/>
      <c r="FV394" s="7"/>
      <c r="FW394" s="7"/>
      <c r="FX394" s="7"/>
      <c r="FY394" s="7"/>
      <c r="FZ394" s="7"/>
      <c r="GA394" s="7"/>
      <c r="GB394" s="7"/>
      <c r="GC394" s="7"/>
      <c r="GD394" s="7"/>
      <c r="GE394" s="7"/>
      <c r="GF394" s="7"/>
      <c r="GG394" s="7"/>
      <c r="GH394" s="7"/>
      <c r="GI394" s="7"/>
      <c r="GJ394" s="7"/>
      <c r="GK394" s="7"/>
      <c r="GL394" s="7"/>
      <c r="GM394" s="7"/>
      <c r="GN394" s="7"/>
      <c r="GO394" s="7"/>
      <c r="GP394" s="7"/>
      <c r="GQ394" s="7"/>
      <c r="GR394" s="7"/>
      <c r="GS394" s="7"/>
      <c r="GT394" s="7"/>
      <c r="GU394" s="7"/>
      <c r="GV394" s="7"/>
      <c r="GW394" s="7"/>
      <c r="GX394" s="7"/>
      <c r="GY394" s="7"/>
      <c r="GZ394" s="7"/>
      <c r="HA394" s="7"/>
      <c r="HB394" s="7"/>
    </row>
    <row r="395" customFormat="false" ht="1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c r="FB395" s="7"/>
      <c r="FC395" s="7"/>
      <c r="FD395" s="7"/>
      <c r="FE395" s="7"/>
      <c r="FF395" s="7"/>
      <c r="FG395" s="7"/>
      <c r="FH395" s="7"/>
      <c r="FI395" s="7"/>
      <c r="FJ395" s="7"/>
      <c r="FK395" s="7"/>
      <c r="FL395" s="7"/>
      <c r="FM395" s="7"/>
      <c r="FN395" s="7"/>
      <c r="FO395" s="7"/>
      <c r="FP395" s="7"/>
      <c r="FQ395" s="7"/>
      <c r="FR395" s="7"/>
      <c r="FS395" s="7"/>
      <c r="FT395" s="7"/>
      <c r="FU395" s="7"/>
      <c r="FV395" s="7"/>
      <c r="FW395" s="7"/>
      <c r="FX395" s="7"/>
      <c r="FY395" s="7"/>
      <c r="FZ395" s="7"/>
      <c r="GA395" s="7"/>
      <c r="GB395" s="7"/>
      <c r="GC395" s="7"/>
      <c r="GD395" s="7"/>
      <c r="GE395" s="7"/>
      <c r="GF395" s="7"/>
      <c r="GG395" s="7"/>
      <c r="GH395" s="7"/>
      <c r="GI395" s="7"/>
      <c r="GJ395" s="7"/>
      <c r="GK395" s="7"/>
      <c r="GL395" s="7"/>
      <c r="GM395" s="7"/>
      <c r="GN395" s="7"/>
      <c r="GO395" s="7"/>
      <c r="GP395" s="7"/>
      <c r="GQ395" s="7"/>
      <c r="GR395" s="7"/>
      <c r="GS395" s="7"/>
      <c r="GT395" s="7"/>
      <c r="GU395" s="7"/>
      <c r="GV395" s="7"/>
      <c r="GW395" s="7"/>
      <c r="GX395" s="7"/>
      <c r="GY395" s="7"/>
      <c r="GZ395" s="7"/>
      <c r="HA395" s="7"/>
      <c r="HB395" s="7"/>
    </row>
    <row r="396" customFormat="false" ht="1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c r="FJ396" s="7"/>
      <c r="FK396" s="7"/>
      <c r="FL396" s="7"/>
      <c r="FM396" s="7"/>
      <c r="FN396" s="7"/>
      <c r="FO396" s="7"/>
      <c r="FP396" s="7"/>
      <c r="FQ396" s="7"/>
      <c r="FR396" s="7"/>
      <c r="FS396" s="7"/>
      <c r="FT396" s="7"/>
      <c r="FU396" s="7"/>
      <c r="FV396" s="7"/>
      <c r="FW396" s="7"/>
      <c r="FX396" s="7"/>
      <c r="FY396" s="7"/>
      <c r="FZ396" s="7"/>
      <c r="GA396" s="7"/>
      <c r="GB396" s="7"/>
      <c r="GC396" s="7"/>
      <c r="GD396" s="7"/>
      <c r="GE396" s="7"/>
      <c r="GF396" s="7"/>
      <c r="GG396" s="7"/>
      <c r="GH396" s="7"/>
      <c r="GI396" s="7"/>
      <c r="GJ396" s="7"/>
      <c r="GK396" s="7"/>
      <c r="GL396" s="7"/>
      <c r="GM396" s="7"/>
      <c r="GN396" s="7"/>
      <c r="GO396" s="7"/>
      <c r="GP396" s="7"/>
      <c r="GQ396" s="7"/>
      <c r="GR396" s="7"/>
      <c r="GS396" s="7"/>
      <c r="GT396" s="7"/>
      <c r="GU396" s="7"/>
      <c r="GV396" s="7"/>
      <c r="GW396" s="7"/>
      <c r="GX396" s="7"/>
      <c r="GY396" s="7"/>
      <c r="GZ396" s="7"/>
      <c r="HA396" s="7"/>
      <c r="HB396" s="7"/>
    </row>
    <row r="397" customFormat="false" ht="1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c r="FB397" s="7"/>
      <c r="FC397" s="7"/>
      <c r="FD397" s="7"/>
      <c r="FE397" s="7"/>
      <c r="FF397" s="7"/>
      <c r="FG397" s="7"/>
      <c r="FH397" s="7"/>
      <c r="FI397" s="7"/>
      <c r="FJ397" s="7"/>
      <c r="FK397" s="7"/>
      <c r="FL397" s="7"/>
      <c r="FM397" s="7"/>
      <c r="FN397" s="7"/>
      <c r="FO397" s="7"/>
      <c r="FP397" s="7"/>
      <c r="FQ397" s="7"/>
      <c r="FR397" s="7"/>
      <c r="FS397" s="7"/>
      <c r="FT397" s="7"/>
      <c r="FU397" s="7"/>
      <c r="FV397" s="7"/>
      <c r="FW397" s="7"/>
      <c r="FX397" s="7"/>
      <c r="FY397" s="7"/>
      <c r="FZ397" s="7"/>
      <c r="GA397" s="7"/>
      <c r="GB397" s="7"/>
      <c r="GC397" s="7"/>
      <c r="GD397" s="7"/>
      <c r="GE397" s="7"/>
      <c r="GF397" s="7"/>
      <c r="GG397" s="7"/>
      <c r="GH397" s="7"/>
      <c r="GI397" s="7"/>
      <c r="GJ397" s="7"/>
      <c r="GK397" s="7"/>
      <c r="GL397" s="7"/>
      <c r="GM397" s="7"/>
      <c r="GN397" s="7"/>
      <c r="GO397" s="7"/>
      <c r="GP397" s="7"/>
      <c r="GQ397" s="7"/>
      <c r="GR397" s="7"/>
      <c r="GS397" s="7"/>
      <c r="GT397" s="7"/>
      <c r="GU397" s="7"/>
      <c r="GV397" s="7"/>
      <c r="GW397" s="7"/>
      <c r="GX397" s="7"/>
      <c r="GY397" s="7"/>
      <c r="GZ397" s="7"/>
      <c r="HA397" s="7"/>
      <c r="HB397" s="7"/>
    </row>
    <row r="398" customFormat="false" ht="1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c r="FJ398" s="7"/>
      <c r="FK398" s="7"/>
      <c r="FL398" s="7"/>
      <c r="FM398" s="7"/>
      <c r="FN398" s="7"/>
      <c r="FO398" s="7"/>
      <c r="FP398" s="7"/>
      <c r="FQ398" s="7"/>
      <c r="FR398" s="7"/>
      <c r="FS398" s="7"/>
      <c r="FT398" s="7"/>
      <c r="FU398" s="7"/>
      <c r="FV398" s="7"/>
      <c r="FW398" s="7"/>
      <c r="FX398" s="7"/>
      <c r="FY398" s="7"/>
      <c r="FZ398" s="7"/>
      <c r="GA398" s="7"/>
      <c r="GB398" s="7"/>
      <c r="GC398" s="7"/>
      <c r="GD398" s="7"/>
      <c r="GE398" s="7"/>
      <c r="GF398" s="7"/>
      <c r="GG398" s="7"/>
      <c r="GH398" s="7"/>
      <c r="GI398" s="7"/>
      <c r="GJ398" s="7"/>
      <c r="GK398" s="7"/>
      <c r="GL398" s="7"/>
      <c r="GM398" s="7"/>
      <c r="GN398" s="7"/>
      <c r="GO398" s="7"/>
      <c r="GP398" s="7"/>
      <c r="GQ398" s="7"/>
      <c r="GR398" s="7"/>
      <c r="GS398" s="7"/>
      <c r="GT398" s="7"/>
      <c r="GU398" s="7"/>
      <c r="GV398" s="7"/>
      <c r="GW398" s="7"/>
      <c r="GX398" s="7"/>
      <c r="GY398" s="7"/>
      <c r="GZ398" s="7"/>
      <c r="HA398" s="7"/>
      <c r="HB398" s="7"/>
    </row>
    <row r="399" customFormat="false" ht="1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c r="FB399" s="7"/>
      <c r="FC399" s="7"/>
      <c r="FD399" s="7"/>
      <c r="FE399" s="7"/>
      <c r="FF399" s="7"/>
      <c r="FG399" s="7"/>
      <c r="FH399" s="7"/>
      <c r="FI399" s="7"/>
      <c r="FJ399" s="7"/>
      <c r="FK399" s="7"/>
      <c r="FL399" s="7"/>
      <c r="FM399" s="7"/>
      <c r="FN399" s="7"/>
      <c r="FO399" s="7"/>
      <c r="FP399" s="7"/>
      <c r="FQ399" s="7"/>
      <c r="FR399" s="7"/>
      <c r="FS399" s="7"/>
      <c r="FT399" s="7"/>
      <c r="FU399" s="7"/>
      <c r="FV399" s="7"/>
      <c r="FW399" s="7"/>
      <c r="FX399" s="7"/>
      <c r="FY399" s="7"/>
      <c r="FZ399" s="7"/>
      <c r="GA399" s="7"/>
      <c r="GB399" s="7"/>
      <c r="GC399" s="7"/>
      <c r="GD399" s="7"/>
      <c r="GE399" s="7"/>
      <c r="GF399" s="7"/>
      <c r="GG399" s="7"/>
      <c r="GH399" s="7"/>
      <c r="GI399" s="7"/>
      <c r="GJ399" s="7"/>
      <c r="GK399" s="7"/>
      <c r="GL399" s="7"/>
      <c r="GM399" s="7"/>
      <c r="GN399" s="7"/>
      <c r="GO399" s="7"/>
      <c r="GP399" s="7"/>
      <c r="GQ399" s="7"/>
      <c r="GR399" s="7"/>
      <c r="GS399" s="7"/>
      <c r="GT399" s="7"/>
      <c r="GU399" s="7"/>
      <c r="GV399" s="7"/>
      <c r="GW399" s="7"/>
      <c r="GX399" s="7"/>
      <c r="GY399" s="7"/>
      <c r="GZ399" s="7"/>
      <c r="HA399" s="7"/>
      <c r="HB399" s="7"/>
    </row>
    <row r="400" customFormat="false" ht="1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c r="FJ400" s="7"/>
      <c r="FK400" s="7"/>
      <c r="FL400" s="7"/>
      <c r="FM400" s="7"/>
      <c r="FN400" s="7"/>
      <c r="FO400" s="7"/>
      <c r="FP400" s="7"/>
      <c r="FQ400" s="7"/>
      <c r="FR400" s="7"/>
      <c r="FS400" s="7"/>
      <c r="FT400" s="7"/>
      <c r="FU400" s="7"/>
      <c r="FV400" s="7"/>
      <c r="FW400" s="7"/>
      <c r="FX400" s="7"/>
      <c r="FY400" s="7"/>
      <c r="FZ400" s="7"/>
      <c r="GA400" s="7"/>
      <c r="GB400" s="7"/>
      <c r="GC400" s="7"/>
      <c r="GD400" s="7"/>
      <c r="GE400" s="7"/>
      <c r="GF400" s="7"/>
      <c r="GG400" s="7"/>
      <c r="GH400" s="7"/>
      <c r="GI400" s="7"/>
      <c r="GJ400" s="7"/>
      <c r="GK400" s="7"/>
      <c r="GL400" s="7"/>
      <c r="GM400" s="7"/>
      <c r="GN400" s="7"/>
      <c r="GO400" s="7"/>
      <c r="GP400" s="7"/>
      <c r="GQ400" s="7"/>
      <c r="GR400" s="7"/>
      <c r="GS400" s="7"/>
      <c r="GT400" s="7"/>
      <c r="GU400" s="7"/>
      <c r="GV400" s="7"/>
      <c r="GW400" s="7"/>
      <c r="GX400" s="7"/>
      <c r="GY400" s="7"/>
      <c r="GZ400" s="7"/>
      <c r="HA400" s="7"/>
      <c r="HB400" s="7"/>
    </row>
    <row r="401" customFormat="false" ht="1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c r="FB401" s="7"/>
      <c r="FC401" s="7"/>
      <c r="FD401" s="7"/>
      <c r="FE401" s="7"/>
      <c r="FF401" s="7"/>
      <c r="FG401" s="7"/>
      <c r="FH401" s="7"/>
      <c r="FI401" s="7"/>
      <c r="FJ401" s="7"/>
      <c r="FK401" s="7"/>
      <c r="FL401" s="7"/>
      <c r="FM401" s="7"/>
      <c r="FN401" s="7"/>
      <c r="FO401" s="7"/>
      <c r="FP401" s="7"/>
      <c r="FQ401" s="7"/>
      <c r="FR401" s="7"/>
      <c r="FS401" s="7"/>
      <c r="FT401" s="7"/>
      <c r="FU401" s="7"/>
      <c r="FV401" s="7"/>
      <c r="FW401" s="7"/>
      <c r="FX401" s="7"/>
      <c r="FY401" s="7"/>
      <c r="FZ401" s="7"/>
      <c r="GA401" s="7"/>
      <c r="GB401" s="7"/>
      <c r="GC401" s="7"/>
      <c r="GD401" s="7"/>
      <c r="GE401" s="7"/>
      <c r="GF401" s="7"/>
      <c r="GG401" s="7"/>
      <c r="GH401" s="7"/>
      <c r="GI401" s="7"/>
      <c r="GJ401" s="7"/>
      <c r="GK401" s="7"/>
      <c r="GL401" s="7"/>
      <c r="GM401" s="7"/>
      <c r="GN401" s="7"/>
      <c r="GO401" s="7"/>
      <c r="GP401" s="7"/>
      <c r="GQ401" s="7"/>
      <c r="GR401" s="7"/>
      <c r="GS401" s="7"/>
      <c r="GT401" s="7"/>
      <c r="GU401" s="7"/>
      <c r="GV401" s="7"/>
      <c r="GW401" s="7"/>
      <c r="GX401" s="7"/>
      <c r="GY401" s="7"/>
      <c r="GZ401" s="7"/>
      <c r="HA401" s="7"/>
      <c r="HB401" s="7"/>
    </row>
    <row r="402" customFormat="false" ht="1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c r="FJ402" s="7"/>
      <c r="FK402" s="7"/>
      <c r="FL402" s="7"/>
      <c r="FM402" s="7"/>
      <c r="FN402" s="7"/>
      <c r="FO402" s="7"/>
      <c r="FP402" s="7"/>
      <c r="FQ402" s="7"/>
      <c r="FR402" s="7"/>
      <c r="FS402" s="7"/>
      <c r="FT402" s="7"/>
      <c r="FU402" s="7"/>
      <c r="FV402" s="7"/>
      <c r="FW402" s="7"/>
      <c r="FX402" s="7"/>
      <c r="FY402" s="7"/>
      <c r="FZ402" s="7"/>
      <c r="GA402" s="7"/>
      <c r="GB402" s="7"/>
      <c r="GC402" s="7"/>
      <c r="GD402" s="7"/>
      <c r="GE402" s="7"/>
      <c r="GF402" s="7"/>
      <c r="GG402" s="7"/>
      <c r="GH402" s="7"/>
      <c r="GI402" s="7"/>
      <c r="GJ402" s="7"/>
      <c r="GK402" s="7"/>
      <c r="GL402" s="7"/>
      <c r="GM402" s="7"/>
      <c r="GN402" s="7"/>
      <c r="GO402" s="7"/>
      <c r="GP402" s="7"/>
      <c r="GQ402" s="7"/>
      <c r="GR402" s="7"/>
      <c r="GS402" s="7"/>
      <c r="GT402" s="7"/>
      <c r="GU402" s="7"/>
      <c r="GV402" s="7"/>
      <c r="GW402" s="7"/>
      <c r="GX402" s="7"/>
      <c r="GY402" s="7"/>
      <c r="GZ402" s="7"/>
      <c r="HA402" s="7"/>
      <c r="HB402" s="7"/>
    </row>
    <row r="403" customFormat="false" ht="1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c r="FB403" s="7"/>
      <c r="FC403" s="7"/>
      <c r="FD403" s="7"/>
      <c r="FE403" s="7"/>
      <c r="FF403" s="7"/>
      <c r="FG403" s="7"/>
      <c r="FH403" s="7"/>
      <c r="FI403" s="7"/>
      <c r="FJ403" s="7"/>
      <c r="FK403" s="7"/>
      <c r="FL403" s="7"/>
      <c r="FM403" s="7"/>
      <c r="FN403" s="7"/>
      <c r="FO403" s="7"/>
      <c r="FP403" s="7"/>
      <c r="FQ403" s="7"/>
      <c r="FR403" s="7"/>
      <c r="FS403" s="7"/>
      <c r="FT403" s="7"/>
      <c r="FU403" s="7"/>
      <c r="FV403" s="7"/>
      <c r="FW403" s="7"/>
      <c r="FX403" s="7"/>
      <c r="FY403" s="7"/>
      <c r="FZ403" s="7"/>
      <c r="GA403" s="7"/>
      <c r="GB403" s="7"/>
      <c r="GC403" s="7"/>
      <c r="GD403" s="7"/>
      <c r="GE403" s="7"/>
      <c r="GF403" s="7"/>
      <c r="GG403" s="7"/>
      <c r="GH403" s="7"/>
      <c r="GI403" s="7"/>
      <c r="GJ403" s="7"/>
      <c r="GK403" s="7"/>
      <c r="GL403" s="7"/>
      <c r="GM403" s="7"/>
      <c r="GN403" s="7"/>
      <c r="GO403" s="7"/>
      <c r="GP403" s="7"/>
      <c r="GQ403" s="7"/>
      <c r="GR403" s="7"/>
      <c r="GS403" s="7"/>
      <c r="GT403" s="7"/>
      <c r="GU403" s="7"/>
      <c r="GV403" s="7"/>
      <c r="GW403" s="7"/>
      <c r="GX403" s="7"/>
      <c r="GY403" s="7"/>
      <c r="GZ403" s="7"/>
      <c r="HA403" s="7"/>
      <c r="HB403" s="7"/>
    </row>
    <row r="404" customFormat="false" ht="1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c r="FB404" s="7"/>
      <c r="FC404" s="7"/>
      <c r="FD404" s="7"/>
      <c r="FE404" s="7"/>
      <c r="FF404" s="7"/>
      <c r="FG404" s="7"/>
      <c r="FH404" s="7"/>
      <c r="FI404" s="7"/>
      <c r="FJ404" s="7"/>
      <c r="FK404" s="7"/>
      <c r="FL404" s="7"/>
      <c r="FM404" s="7"/>
      <c r="FN404" s="7"/>
      <c r="FO404" s="7"/>
      <c r="FP404" s="7"/>
      <c r="FQ404" s="7"/>
      <c r="FR404" s="7"/>
      <c r="FS404" s="7"/>
      <c r="FT404" s="7"/>
      <c r="FU404" s="7"/>
      <c r="FV404" s="7"/>
      <c r="FW404" s="7"/>
      <c r="FX404" s="7"/>
      <c r="FY404" s="7"/>
      <c r="FZ404" s="7"/>
      <c r="GA404" s="7"/>
      <c r="GB404" s="7"/>
      <c r="GC404" s="7"/>
      <c r="GD404" s="7"/>
      <c r="GE404" s="7"/>
      <c r="GF404" s="7"/>
      <c r="GG404" s="7"/>
      <c r="GH404" s="7"/>
      <c r="GI404" s="7"/>
      <c r="GJ404" s="7"/>
      <c r="GK404" s="7"/>
      <c r="GL404" s="7"/>
      <c r="GM404" s="7"/>
      <c r="GN404" s="7"/>
      <c r="GO404" s="7"/>
      <c r="GP404" s="7"/>
      <c r="GQ404" s="7"/>
      <c r="GR404" s="7"/>
      <c r="GS404" s="7"/>
      <c r="GT404" s="7"/>
      <c r="GU404" s="7"/>
      <c r="GV404" s="7"/>
      <c r="GW404" s="7"/>
      <c r="GX404" s="7"/>
      <c r="GY404" s="7"/>
      <c r="GZ404" s="7"/>
      <c r="HA404" s="7"/>
      <c r="HB404" s="7"/>
    </row>
    <row r="405" customFormat="false" ht="1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c r="FD405" s="7"/>
      <c r="FE405" s="7"/>
      <c r="FF405" s="7"/>
      <c r="FG405" s="7"/>
      <c r="FH405" s="7"/>
      <c r="FI405" s="7"/>
      <c r="FJ405" s="7"/>
      <c r="FK405" s="7"/>
      <c r="FL405" s="7"/>
      <c r="FM405" s="7"/>
      <c r="FN405" s="7"/>
      <c r="FO405" s="7"/>
      <c r="FP405" s="7"/>
      <c r="FQ405" s="7"/>
      <c r="FR405" s="7"/>
      <c r="FS405" s="7"/>
      <c r="FT405" s="7"/>
      <c r="FU405" s="7"/>
      <c r="FV405" s="7"/>
      <c r="FW405" s="7"/>
      <c r="FX405" s="7"/>
      <c r="FY405" s="7"/>
      <c r="FZ405" s="7"/>
      <c r="GA405" s="7"/>
      <c r="GB405" s="7"/>
      <c r="GC405" s="7"/>
      <c r="GD405" s="7"/>
      <c r="GE405" s="7"/>
      <c r="GF405" s="7"/>
      <c r="GG405" s="7"/>
      <c r="GH405" s="7"/>
      <c r="GI405" s="7"/>
      <c r="GJ405" s="7"/>
      <c r="GK405" s="7"/>
      <c r="GL405" s="7"/>
      <c r="GM405" s="7"/>
      <c r="GN405" s="7"/>
      <c r="GO405" s="7"/>
      <c r="GP405" s="7"/>
      <c r="GQ405" s="7"/>
      <c r="GR405" s="7"/>
      <c r="GS405" s="7"/>
      <c r="GT405" s="7"/>
      <c r="GU405" s="7"/>
      <c r="GV405" s="7"/>
      <c r="GW405" s="7"/>
      <c r="GX405" s="7"/>
      <c r="GY405" s="7"/>
      <c r="GZ405" s="7"/>
      <c r="HA405" s="7"/>
      <c r="HB405" s="7"/>
    </row>
    <row r="406" customFormat="false" ht="1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c r="FJ406" s="7"/>
      <c r="FK406" s="7"/>
      <c r="FL406" s="7"/>
      <c r="FM406" s="7"/>
      <c r="FN406" s="7"/>
      <c r="FO406" s="7"/>
      <c r="FP406" s="7"/>
      <c r="FQ406" s="7"/>
      <c r="FR406" s="7"/>
      <c r="FS406" s="7"/>
      <c r="FT406" s="7"/>
      <c r="FU406" s="7"/>
      <c r="FV406" s="7"/>
      <c r="FW406" s="7"/>
      <c r="FX406" s="7"/>
      <c r="FY406" s="7"/>
      <c r="FZ406" s="7"/>
      <c r="GA406" s="7"/>
      <c r="GB406" s="7"/>
      <c r="GC406" s="7"/>
      <c r="GD406" s="7"/>
      <c r="GE406" s="7"/>
      <c r="GF406" s="7"/>
      <c r="GG406" s="7"/>
      <c r="GH406" s="7"/>
      <c r="GI406" s="7"/>
      <c r="GJ406" s="7"/>
      <c r="GK406" s="7"/>
      <c r="GL406" s="7"/>
      <c r="GM406" s="7"/>
      <c r="GN406" s="7"/>
      <c r="GO406" s="7"/>
      <c r="GP406" s="7"/>
      <c r="GQ406" s="7"/>
      <c r="GR406" s="7"/>
      <c r="GS406" s="7"/>
      <c r="GT406" s="7"/>
      <c r="GU406" s="7"/>
      <c r="GV406" s="7"/>
      <c r="GW406" s="7"/>
      <c r="GX406" s="7"/>
      <c r="GY406" s="7"/>
      <c r="GZ406" s="7"/>
      <c r="HA406" s="7"/>
      <c r="HB406" s="7"/>
    </row>
    <row r="407" customFormat="false" ht="1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c r="FJ407" s="7"/>
      <c r="FK407" s="7"/>
      <c r="FL407" s="7"/>
      <c r="FM407" s="7"/>
      <c r="FN407" s="7"/>
      <c r="FO407" s="7"/>
      <c r="FP407" s="7"/>
      <c r="FQ407" s="7"/>
      <c r="FR407" s="7"/>
      <c r="FS407" s="7"/>
      <c r="FT407" s="7"/>
      <c r="FU407" s="7"/>
      <c r="FV407" s="7"/>
      <c r="FW407" s="7"/>
      <c r="FX407" s="7"/>
      <c r="FY407" s="7"/>
      <c r="FZ407" s="7"/>
      <c r="GA407" s="7"/>
      <c r="GB407" s="7"/>
      <c r="GC407" s="7"/>
      <c r="GD407" s="7"/>
      <c r="GE407" s="7"/>
      <c r="GF407" s="7"/>
      <c r="GG407" s="7"/>
      <c r="GH407" s="7"/>
      <c r="GI407" s="7"/>
      <c r="GJ407" s="7"/>
      <c r="GK407" s="7"/>
      <c r="GL407" s="7"/>
      <c r="GM407" s="7"/>
      <c r="GN407" s="7"/>
      <c r="GO407" s="7"/>
      <c r="GP407" s="7"/>
      <c r="GQ407" s="7"/>
      <c r="GR407" s="7"/>
      <c r="GS407" s="7"/>
      <c r="GT407" s="7"/>
      <c r="GU407" s="7"/>
      <c r="GV407" s="7"/>
      <c r="GW407" s="7"/>
      <c r="GX407" s="7"/>
      <c r="GY407" s="7"/>
      <c r="GZ407" s="7"/>
      <c r="HA407" s="7"/>
      <c r="HB407" s="7"/>
    </row>
    <row r="408" customFormat="false" ht="1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c r="FF408" s="7"/>
      <c r="FG408" s="7"/>
      <c r="FH408" s="7"/>
      <c r="FI408" s="7"/>
      <c r="FJ408" s="7"/>
      <c r="FK408" s="7"/>
      <c r="FL408" s="7"/>
      <c r="FM408" s="7"/>
      <c r="FN408" s="7"/>
      <c r="FO408" s="7"/>
      <c r="FP408" s="7"/>
      <c r="FQ408" s="7"/>
      <c r="FR408" s="7"/>
      <c r="FS408" s="7"/>
      <c r="FT408" s="7"/>
      <c r="FU408" s="7"/>
      <c r="FV408" s="7"/>
      <c r="FW408" s="7"/>
      <c r="FX408" s="7"/>
      <c r="FY408" s="7"/>
      <c r="FZ408" s="7"/>
      <c r="GA408" s="7"/>
      <c r="GB408" s="7"/>
      <c r="GC408" s="7"/>
      <c r="GD408" s="7"/>
      <c r="GE408" s="7"/>
      <c r="GF408" s="7"/>
      <c r="GG408" s="7"/>
      <c r="GH408" s="7"/>
      <c r="GI408" s="7"/>
      <c r="GJ408" s="7"/>
      <c r="GK408" s="7"/>
      <c r="GL408" s="7"/>
      <c r="GM408" s="7"/>
      <c r="GN408" s="7"/>
      <c r="GO408" s="7"/>
      <c r="GP408" s="7"/>
      <c r="GQ408" s="7"/>
      <c r="GR408" s="7"/>
      <c r="GS408" s="7"/>
      <c r="GT408" s="7"/>
      <c r="GU408" s="7"/>
      <c r="GV408" s="7"/>
      <c r="GW408" s="7"/>
      <c r="GX408" s="7"/>
      <c r="GY408" s="7"/>
      <c r="GZ408" s="7"/>
      <c r="HA408" s="7"/>
      <c r="HB408" s="7"/>
    </row>
    <row r="409" customFormat="false" ht="1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c r="FJ409" s="7"/>
      <c r="FK409" s="7"/>
      <c r="FL409" s="7"/>
      <c r="FM409" s="7"/>
      <c r="FN409" s="7"/>
      <c r="FO409" s="7"/>
      <c r="FP409" s="7"/>
      <c r="FQ409" s="7"/>
      <c r="FR409" s="7"/>
      <c r="FS409" s="7"/>
      <c r="FT409" s="7"/>
      <c r="FU409" s="7"/>
      <c r="FV409" s="7"/>
      <c r="FW409" s="7"/>
      <c r="FX409" s="7"/>
      <c r="FY409" s="7"/>
      <c r="FZ409" s="7"/>
      <c r="GA409" s="7"/>
      <c r="GB409" s="7"/>
      <c r="GC409" s="7"/>
      <c r="GD409" s="7"/>
      <c r="GE409" s="7"/>
      <c r="GF409" s="7"/>
      <c r="GG409" s="7"/>
      <c r="GH409" s="7"/>
      <c r="GI409" s="7"/>
      <c r="GJ409" s="7"/>
      <c r="GK409" s="7"/>
      <c r="GL409" s="7"/>
      <c r="GM409" s="7"/>
      <c r="GN409" s="7"/>
      <c r="GO409" s="7"/>
      <c r="GP409" s="7"/>
      <c r="GQ409" s="7"/>
      <c r="GR409" s="7"/>
      <c r="GS409" s="7"/>
      <c r="GT409" s="7"/>
      <c r="GU409" s="7"/>
      <c r="GV409" s="7"/>
      <c r="GW409" s="7"/>
      <c r="GX409" s="7"/>
      <c r="GY409" s="7"/>
      <c r="GZ409" s="7"/>
      <c r="HA409" s="7"/>
      <c r="HB409" s="7"/>
    </row>
    <row r="410" customFormat="false" ht="1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c r="FB410" s="7"/>
      <c r="FC410" s="7"/>
      <c r="FD410" s="7"/>
      <c r="FE410" s="7"/>
      <c r="FF410" s="7"/>
      <c r="FG410" s="7"/>
      <c r="FH410" s="7"/>
      <c r="FI410" s="7"/>
      <c r="FJ410" s="7"/>
      <c r="FK410" s="7"/>
      <c r="FL410" s="7"/>
      <c r="FM410" s="7"/>
      <c r="FN410" s="7"/>
      <c r="FO410" s="7"/>
      <c r="FP410" s="7"/>
      <c r="FQ410" s="7"/>
      <c r="FR410" s="7"/>
      <c r="FS410" s="7"/>
      <c r="FT410" s="7"/>
      <c r="FU410" s="7"/>
      <c r="FV410" s="7"/>
      <c r="FW410" s="7"/>
      <c r="FX410" s="7"/>
      <c r="FY410" s="7"/>
      <c r="FZ410" s="7"/>
      <c r="GA410" s="7"/>
      <c r="GB410" s="7"/>
      <c r="GC410" s="7"/>
      <c r="GD410" s="7"/>
      <c r="GE410" s="7"/>
      <c r="GF410" s="7"/>
      <c r="GG410" s="7"/>
      <c r="GH410" s="7"/>
      <c r="GI410" s="7"/>
      <c r="GJ410" s="7"/>
      <c r="GK410" s="7"/>
      <c r="GL410" s="7"/>
      <c r="GM410" s="7"/>
      <c r="GN410" s="7"/>
      <c r="GO410" s="7"/>
      <c r="GP410" s="7"/>
      <c r="GQ410" s="7"/>
      <c r="GR410" s="7"/>
      <c r="GS410" s="7"/>
      <c r="GT410" s="7"/>
      <c r="GU410" s="7"/>
      <c r="GV410" s="7"/>
      <c r="GW410" s="7"/>
      <c r="GX410" s="7"/>
      <c r="GY410" s="7"/>
      <c r="GZ410" s="7"/>
      <c r="HA410" s="7"/>
      <c r="HB410" s="7"/>
    </row>
    <row r="411" customFormat="false" ht="1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c r="FJ411" s="7"/>
      <c r="FK411" s="7"/>
      <c r="FL411" s="7"/>
      <c r="FM411" s="7"/>
      <c r="FN411" s="7"/>
      <c r="FO411" s="7"/>
      <c r="FP411" s="7"/>
      <c r="FQ411" s="7"/>
      <c r="FR411" s="7"/>
      <c r="FS411" s="7"/>
      <c r="FT411" s="7"/>
      <c r="FU411" s="7"/>
      <c r="FV411" s="7"/>
      <c r="FW411" s="7"/>
      <c r="FX411" s="7"/>
      <c r="FY411" s="7"/>
      <c r="FZ411" s="7"/>
      <c r="GA411" s="7"/>
      <c r="GB411" s="7"/>
      <c r="GC411" s="7"/>
      <c r="GD411" s="7"/>
      <c r="GE411" s="7"/>
      <c r="GF411" s="7"/>
      <c r="GG411" s="7"/>
      <c r="GH411" s="7"/>
      <c r="GI411" s="7"/>
      <c r="GJ411" s="7"/>
      <c r="GK411" s="7"/>
      <c r="GL411" s="7"/>
      <c r="GM411" s="7"/>
      <c r="GN411" s="7"/>
      <c r="GO411" s="7"/>
      <c r="GP411" s="7"/>
      <c r="GQ411" s="7"/>
      <c r="GR411" s="7"/>
      <c r="GS411" s="7"/>
      <c r="GT411" s="7"/>
      <c r="GU411" s="7"/>
      <c r="GV411" s="7"/>
      <c r="GW411" s="7"/>
      <c r="GX411" s="7"/>
      <c r="GY411" s="7"/>
      <c r="GZ411" s="7"/>
      <c r="HA411" s="7"/>
      <c r="HB411" s="7"/>
    </row>
    <row r="412" customFormat="false" ht="1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c r="FB412" s="7"/>
      <c r="FC412" s="7"/>
      <c r="FD412" s="7"/>
      <c r="FE412" s="7"/>
      <c r="FF412" s="7"/>
      <c r="FG412" s="7"/>
      <c r="FH412" s="7"/>
      <c r="FI412" s="7"/>
      <c r="FJ412" s="7"/>
      <c r="FK412" s="7"/>
      <c r="FL412" s="7"/>
      <c r="FM412" s="7"/>
      <c r="FN412" s="7"/>
      <c r="FO412" s="7"/>
      <c r="FP412" s="7"/>
      <c r="FQ412" s="7"/>
      <c r="FR412" s="7"/>
      <c r="FS412" s="7"/>
      <c r="FT412" s="7"/>
      <c r="FU412" s="7"/>
      <c r="FV412" s="7"/>
      <c r="FW412" s="7"/>
      <c r="FX412" s="7"/>
      <c r="FY412" s="7"/>
      <c r="FZ412" s="7"/>
      <c r="GA412" s="7"/>
      <c r="GB412" s="7"/>
      <c r="GC412" s="7"/>
      <c r="GD412" s="7"/>
      <c r="GE412" s="7"/>
      <c r="GF412" s="7"/>
      <c r="GG412" s="7"/>
      <c r="GH412" s="7"/>
      <c r="GI412" s="7"/>
      <c r="GJ412" s="7"/>
      <c r="GK412" s="7"/>
      <c r="GL412" s="7"/>
      <c r="GM412" s="7"/>
      <c r="GN412" s="7"/>
      <c r="GO412" s="7"/>
      <c r="GP412" s="7"/>
      <c r="GQ412" s="7"/>
      <c r="GR412" s="7"/>
      <c r="GS412" s="7"/>
      <c r="GT412" s="7"/>
      <c r="GU412" s="7"/>
      <c r="GV412" s="7"/>
      <c r="GW412" s="7"/>
      <c r="GX412" s="7"/>
      <c r="GY412" s="7"/>
      <c r="GZ412" s="7"/>
      <c r="HA412" s="7"/>
      <c r="HB412" s="7"/>
    </row>
    <row r="413" customFormat="false" ht="1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c r="FB413" s="7"/>
      <c r="FC413" s="7"/>
      <c r="FD413" s="7"/>
      <c r="FE413" s="7"/>
      <c r="FF413" s="7"/>
      <c r="FG413" s="7"/>
      <c r="FH413" s="7"/>
      <c r="FI413" s="7"/>
      <c r="FJ413" s="7"/>
      <c r="FK413" s="7"/>
      <c r="FL413" s="7"/>
      <c r="FM413" s="7"/>
      <c r="FN413" s="7"/>
      <c r="FO413" s="7"/>
      <c r="FP413" s="7"/>
      <c r="FQ413" s="7"/>
      <c r="FR413" s="7"/>
      <c r="FS413" s="7"/>
      <c r="FT413" s="7"/>
      <c r="FU413" s="7"/>
      <c r="FV413" s="7"/>
      <c r="FW413" s="7"/>
      <c r="FX413" s="7"/>
      <c r="FY413" s="7"/>
      <c r="FZ413" s="7"/>
      <c r="GA413" s="7"/>
      <c r="GB413" s="7"/>
      <c r="GC413" s="7"/>
      <c r="GD413" s="7"/>
      <c r="GE413" s="7"/>
      <c r="GF413" s="7"/>
      <c r="GG413" s="7"/>
      <c r="GH413" s="7"/>
      <c r="GI413" s="7"/>
      <c r="GJ413" s="7"/>
      <c r="GK413" s="7"/>
      <c r="GL413" s="7"/>
      <c r="GM413" s="7"/>
      <c r="GN413" s="7"/>
      <c r="GO413" s="7"/>
      <c r="GP413" s="7"/>
      <c r="GQ413" s="7"/>
      <c r="GR413" s="7"/>
      <c r="GS413" s="7"/>
      <c r="GT413" s="7"/>
      <c r="GU413" s="7"/>
      <c r="GV413" s="7"/>
      <c r="GW413" s="7"/>
      <c r="GX413" s="7"/>
      <c r="GY413" s="7"/>
      <c r="GZ413" s="7"/>
      <c r="HA413" s="7"/>
      <c r="HB413" s="7"/>
    </row>
    <row r="414" customFormat="false" ht="1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c r="FB414" s="7"/>
      <c r="FC414" s="7"/>
      <c r="FD414" s="7"/>
      <c r="FE414" s="7"/>
      <c r="FF414" s="7"/>
      <c r="FG414" s="7"/>
      <c r="FH414" s="7"/>
      <c r="FI414" s="7"/>
      <c r="FJ414" s="7"/>
      <c r="FK414" s="7"/>
      <c r="FL414" s="7"/>
      <c r="FM414" s="7"/>
      <c r="FN414" s="7"/>
      <c r="FO414" s="7"/>
      <c r="FP414" s="7"/>
      <c r="FQ414" s="7"/>
      <c r="FR414" s="7"/>
      <c r="FS414" s="7"/>
      <c r="FT414" s="7"/>
      <c r="FU414" s="7"/>
      <c r="FV414" s="7"/>
      <c r="FW414" s="7"/>
      <c r="FX414" s="7"/>
      <c r="FY414" s="7"/>
      <c r="FZ414" s="7"/>
      <c r="GA414" s="7"/>
      <c r="GB414" s="7"/>
      <c r="GC414" s="7"/>
      <c r="GD414" s="7"/>
      <c r="GE414" s="7"/>
      <c r="GF414" s="7"/>
      <c r="GG414" s="7"/>
      <c r="GH414" s="7"/>
      <c r="GI414" s="7"/>
      <c r="GJ414" s="7"/>
      <c r="GK414" s="7"/>
      <c r="GL414" s="7"/>
      <c r="GM414" s="7"/>
      <c r="GN414" s="7"/>
      <c r="GO414" s="7"/>
      <c r="GP414" s="7"/>
      <c r="GQ414" s="7"/>
      <c r="GR414" s="7"/>
      <c r="GS414" s="7"/>
      <c r="GT414" s="7"/>
      <c r="GU414" s="7"/>
      <c r="GV414" s="7"/>
      <c r="GW414" s="7"/>
      <c r="GX414" s="7"/>
      <c r="GY414" s="7"/>
      <c r="GZ414" s="7"/>
      <c r="HA414" s="7"/>
      <c r="HB414" s="7"/>
    </row>
    <row r="415" customFormat="false" ht="1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c r="FB415" s="7"/>
      <c r="FC415" s="7"/>
      <c r="FD415" s="7"/>
      <c r="FE415" s="7"/>
      <c r="FF415" s="7"/>
      <c r="FG415" s="7"/>
      <c r="FH415" s="7"/>
      <c r="FI415" s="7"/>
      <c r="FJ415" s="7"/>
      <c r="FK415" s="7"/>
      <c r="FL415" s="7"/>
      <c r="FM415" s="7"/>
      <c r="FN415" s="7"/>
      <c r="FO415" s="7"/>
      <c r="FP415" s="7"/>
      <c r="FQ415" s="7"/>
      <c r="FR415" s="7"/>
      <c r="FS415" s="7"/>
      <c r="FT415" s="7"/>
      <c r="FU415" s="7"/>
      <c r="FV415" s="7"/>
      <c r="FW415" s="7"/>
      <c r="FX415" s="7"/>
      <c r="FY415" s="7"/>
      <c r="FZ415" s="7"/>
      <c r="GA415" s="7"/>
      <c r="GB415" s="7"/>
      <c r="GC415" s="7"/>
      <c r="GD415" s="7"/>
      <c r="GE415" s="7"/>
      <c r="GF415" s="7"/>
      <c r="GG415" s="7"/>
      <c r="GH415" s="7"/>
      <c r="GI415" s="7"/>
      <c r="GJ415" s="7"/>
      <c r="GK415" s="7"/>
      <c r="GL415" s="7"/>
      <c r="GM415" s="7"/>
      <c r="GN415" s="7"/>
      <c r="GO415" s="7"/>
      <c r="GP415" s="7"/>
      <c r="GQ415" s="7"/>
      <c r="GR415" s="7"/>
      <c r="GS415" s="7"/>
      <c r="GT415" s="7"/>
      <c r="GU415" s="7"/>
      <c r="GV415" s="7"/>
      <c r="GW415" s="7"/>
      <c r="GX415" s="7"/>
      <c r="GY415" s="7"/>
      <c r="GZ415" s="7"/>
      <c r="HA415" s="7"/>
      <c r="HB415" s="7"/>
    </row>
    <row r="416" customFormat="false" ht="1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c r="FB416" s="7"/>
      <c r="FC416" s="7"/>
      <c r="FD416" s="7"/>
      <c r="FE416" s="7"/>
      <c r="FF416" s="7"/>
      <c r="FG416" s="7"/>
      <c r="FH416" s="7"/>
      <c r="FI416" s="7"/>
      <c r="FJ416" s="7"/>
      <c r="FK416" s="7"/>
      <c r="FL416" s="7"/>
      <c r="FM416" s="7"/>
      <c r="FN416" s="7"/>
      <c r="FO416" s="7"/>
      <c r="FP416" s="7"/>
      <c r="FQ416" s="7"/>
      <c r="FR416" s="7"/>
      <c r="FS416" s="7"/>
      <c r="FT416" s="7"/>
      <c r="FU416" s="7"/>
      <c r="FV416" s="7"/>
      <c r="FW416" s="7"/>
      <c r="FX416" s="7"/>
      <c r="FY416" s="7"/>
      <c r="FZ416" s="7"/>
      <c r="GA416" s="7"/>
      <c r="GB416" s="7"/>
      <c r="GC416" s="7"/>
      <c r="GD416" s="7"/>
      <c r="GE416" s="7"/>
      <c r="GF416" s="7"/>
      <c r="GG416" s="7"/>
      <c r="GH416" s="7"/>
      <c r="GI416" s="7"/>
      <c r="GJ416" s="7"/>
      <c r="GK416" s="7"/>
      <c r="GL416" s="7"/>
      <c r="GM416" s="7"/>
      <c r="GN416" s="7"/>
      <c r="GO416" s="7"/>
      <c r="GP416" s="7"/>
      <c r="GQ416" s="7"/>
      <c r="GR416" s="7"/>
      <c r="GS416" s="7"/>
      <c r="GT416" s="7"/>
      <c r="GU416" s="7"/>
      <c r="GV416" s="7"/>
      <c r="GW416" s="7"/>
      <c r="GX416" s="7"/>
      <c r="GY416" s="7"/>
      <c r="GZ416" s="7"/>
      <c r="HA416" s="7"/>
      <c r="HB416" s="7"/>
    </row>
    <row r="417" customFormat="false" ht="1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c r="FB417" s="7"/>
      <c r="FC417" s="7"/>
      <c r="FD417" s="7"/>
      <c r="FE417" s="7"/>
      <c r="FF417" s="7"/>
      <c r="FG417" s="7"/>
      <c r="FH417" s="7"/>
      <c r="FI417" s="7"/>
      <c r="FJ417" s="7"/>
      <c r="FK417" s="7"/>
      <c r="FL417" s="7"/>
      <c r="FM417" s="7"/>
      <c r="FN417" s="7"/>
      <c r="FO417" s="7"/>
      <c r="FP417" s="7"/>
      <c r="FQ417" s="7"/>
      <c r="FR417" s="7"/>
      <c r="FS417" s="7"/>
      <c r="FT417" s="7"/>
      <c r="FU417" s="7"/>
      <c r="FV417" s="7"/>
      <c r="FW417" s="7"/>
      <c r="FX417" s="7"/>
      <c r="FY417" s="7"/>
      <c r="FZ417" s="7"/>
      <c r="GA417" s="7"/>
      <c r="GB417" s="7"/>
      <c r="GC417" s="7"/>
      <c r="GD417" s="7"/>
      <c r="GE417" s="7"/>
      <c r="GF417" s="7"/>
      <c r="GG417" s="7"/>
      <c r="GH417" s="7"/>
      <c r="GI417" s="7"/>
      <c r="GJ417" s="7"/>
      <c r="GK417" s="7"/>
      <c r="GL417" s="7"/>
      <c r="GM417" s="7"/>
      <c r="GN417" s="7"/>
      <c r="GO417" s="7"/>
      <c r="GP417" s="7"/>
      <c r="GQ417" s="7"/>
      <c r="GR417" s="7"/>
      <c r="GS417" s="7"/>
      <c r="GT417" s="7"/>
      <c r="GU417" s="7"/>
      <c r="GV417" s="7"/>
      <c r="GW417" s="7"/>
      <c r="GX417" s="7"/>
      <c r="GY417" s="7"/>
      <c r="GZ417" s="7"/>
      <c r="HA417" s="7"/>
      <c r="HB417" s="7"/>
    </row>
    <row r="418" customFormat="false" ht="1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c r="FB418" s="7"/>
      <c r="FC418" s="7"/>
      <c r="FD418" s="7"/>
      <c r="FE418" s="7"/>
      <c r="FF418" s="7"/>
      <c r="FG418" s="7"/>
      <c r="FH418" s="7"/>
      <c r="FI418" s="7"/>
      <c r="FJ418" s="7"/>
      <c r="FK418" s="7"/>
      <c r="FL418" s="7"/>
      <c r="FM418" s="7"/>
      <c r="FN418" s="7"/>
      <c r="FO418" s="7"/>
      <c r="FP418" s="7"/>
      <c r="FQ418" s="7"/>
      <c r="FR418" s="7"/>
      <c r="FS418" s="7"/>
      <c r="FT418" s="7"/>
      <c r="FU418" s="7"/>
      <c r="FV418" s="7"/>
      <c r="FW418" s="7"/>
      <c r="FX418" s="7"/>
      <c r="FY418" s="7"/>
      <c r="FZ418" s="7"/>
      <c r="GA418" s="7"/>
      <c r="GB418" s="7"/>
      <c r="GC418" s="7"/>
      <c r="GD418" s="7"/>
      <c r="GE418" s="7"/>
      <c r="GF418" s="7"/>
      <c r="GG418" s="7"/>
      <c r="GH418" s="7"/>
      <c r="GI418" s="7"/>
      <c r="GJ418" s="7"/>
      <c r="GK418" s="7"/>
      <c r="GL418" s="7"/>
      <c r="GM418" s="7"/>
      <c r="GN418" s="7"/>
      <c r="GO418" s="7"/>
      <c r="GP418" s="7"/>
      <c r="GQ418" s="7"/>
      <c r="GR418" s="7"/>
      <c r="GS418" s="7"/>
      <c r="GT418" s="7"/>
      <c r="GU418" s="7"/>
      <c r="GV418" s="7"/>
      <c r="GW418" s="7"/>
      <c r="GX418" s="7"/>
      <c r="GY418" s="7"/>
      <c r="GZ418" s="7"/>
      <c r="HA418" s="7"/>
      <c r="HB418" s="7"/>
    </row>
    <row r="419" customFormat="false" ht="1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c r="FB419" s="7"/>
      <c r="FC419" s="7"/>
      <c r="FD419" s="7"/>
      <c r="FE419" s="7"/>
      <c r="FF419" s="7"/>
      <c r="FG419" s="7"/>
      <c r="FH419" s="7"/>
      <c r="FI419" s="7"/>
      <c r="FJ419" s="7"/>
      <c r="FK419" s="7"/>
      <c r="FL419" s="7"/>
      <c r="FM419" s="7"/>
      <c r="FN419" s="7"/>
      <c r="FO419" s="7"/>
      <c r="FP419" s="7"/>
      <c r="FQ419" s="7"/>
      <c r="FR419" s="7"/>
      <c r="FS419" s="7"/>
      <c r="FT419" s="7"/>
      <c r="FU419" s="7"/>
      <c r="FV419" s="7"/>
      <c r="FW419" s="7"/>
      <c r="FX419" s="7"/>
      <c r="FY419" s="7"/>
      <c r="FZ419" s="7"/>
      <c r="GA419" s="7"/>
      <c r="GB419" s="7"/>
      <c r="GC419" s="7"/>
      <c r="GD419" s="7"/>
      <c r="GE419" s="7"/>
      <c r="GF419" s="7"/>
      <c r="GG419" s="7"/>
      <c r="GH419" s="7"/>
      <c r="GI419" s="7"/>
      <c r="GJ419" s="7"/>
      <c r="GK419" s="7"/>
      <c r="GL419" s="7"/>
      <c r="GM419" s="7"/>
      <c r="GN419" s="7"/>
      <c r="GO419" s="7"/>
      <c r="GP419" s="7"/>
      <c r="GQ419" s="7"/>
      <c r="GR419" s="7"/>
      <c r="GS419" s="7"/>
      <c r="GT419" s="7"/>
      <c r="GU419" s="7"/>
      <c r="GV419" s="7"/>
      <c r="GW419" s="7"/>
      <c r="GX419" s="7"/>
      <c r="GY419" s="7"/>
      <c r="GZ419" s="7"/>
      <c r="HA419" s="7"/>
      <c r="HB419" s="7"/>
    </row>
    <row r="420" customFormat="false" ht="1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c r="FJ420" s="7"/>
      <c r="FK420" s="7"/>
      <c r="FL420" s="7"/>
      <c r="FM420" s="7"/>
      <c r="FN420" s="7"/>
      <c r="FO420" s="7"/>
      <c r="FP420" s="7"/>
      <c r="FQ420" s="7"/>
      <c r="FR420" s="7"/>
      <c r="FS420" s="7"/>
      <c r="FT420" s="7"/>
      <c r="FU420" s="7"/>
      <c r="FV420" s="7"/>
      <c r="FW420" s="7"/>
      <c r="FX420" s="7"/>
      <c r="FY420" s="7"/>
      <c r="FZ420" s="7"/>
      <c r="GA420" s="7"/>
      <c r="GB420" s="7"/>
      <c r="GC420" s="7"/>
      <c r="GD420" s="7"/>
      <c r="GE420" s="7"/>
      <c r="GF420" s="7"/>
      <c r="GG420" s="7"/>
      <c r="GH420" s="7"/>
      <c r="GI420" s="7"/>
      <c r="GJ420" s="7"/>
      <c r="GK420" s="7"/>
      <c r="GL420" s="7"/>
      <c r="GM420" s="7"/>
      <c r="GN420" s="7"/>
      <c r="GO420" s="7"/>
      <c r="GP420" s="7"/>
      <c r="GQ420" s="7"/>
      <c r="GR420" s="7"/>
      <c r="GS420" s="7"/>
      <c r="GT420" s="7"/>
      <c r="GU420" s="7"/>
      <c r="GV420" s="7"/>
      <c r="GW420" s="7"/>
      <c r="GX420" s="7"/>
      <c r="GY420" s="7"/>
      <c r="GZ420" s="7"/>
      <c r="HA420" s="7"/>
      <c r="HB420" s="7"/>
    </row>
    <row r="421" customFormat="false" ht="1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c r="FJ421" s="7"/>
      <c r="FK421" s="7"/>
      <c r="FL421" s="7"/>
      <c r="FM421" s="7"/>
      <c r="FN421" s="7"/>
      <c r="FO421" s="7"/>
      <c r="FP421" s="7"/>
      <c r="FQ421" s="7"/>
      <c r="FR421" s="7"/>
      <c r="FS421" s="7"/>
      <c r="FT421" s="7"/>
      <c r="FU421" s="7"/>
      <c r="FV421" s="7"/>
      <c r="FW421" s="7"/>
      <c r="FX421" s="7"/>
      <c r="FY421" s="7"/>
      <c r="FZ421" s="7"/>
      <c r="GA421" s="7"/>
      <c r="GB421" s="7"/>
      <c r="GC421" s="7"/>
      <c r="GD421" s="7"/>
      <c r="GE421" s="7"/>
      <c r="GF421" s="7"/>
      <c r="GG421" s="7"/>
      <c r="GH421" s="7"/>
      <c r="GI421" s="7"/>
      <c r="GJ421" s="7"/>
      <c r="GK421" s="7"/>
      <c r="GL421" s="7"/>
      <c r="GM421" s="7"/>
      <c r="GN421" s="7"/>
      <c r="GO421" s="7"/>
      <c r="GP421" s="7"/>
      <c r="GQ421" s="7"/>
      <c r="GR421" s="7"/>
      <c r="GS421" s="7"/>
      <c r="GT421" s="7"/>
      <c r="GU421" s="7"/>
      <c r="GV421" s="7"/>
      <c r="GW421" s="7"/>
      <c r="GX421" s="7"/>
      <c r="GY421" s="7"/>
      <c r="GZ421" s="7"/>
      <c r="HA421" s="7"/>
      <c r="HB421" s="7"/>
    </row>
    <row r="422" customFormat="false" ht="1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c r="FJ422" s="7"/>
      <c r="FK422" s="7"/>
      <c r="FL422" s="7"/>
      <c r="FM422" s="7"/>
      <c r="FN422" s="7"/>
      <c r="FO422" s="7"/>
      <c r="FP422" s="7"/>
      <c r="FQ422" s="7"/>
      <c r="FR422" s="7"/>
      <c r="FS422" s="7"/>
      <c r="FT422" s="7"/>
      <c r="FU422" s="7"/>
      <c r="FV422" s="7"/>
      <c r="FW422" s="7"/>
      <c r="FX422" s="7"/>
      <c r="FY422" s="7"/>
      <c r="FZ422" s="7"/>
      <c r="GA422" s="7"/>
      <c r="GB422" s="7"/>
      <c r="GC422" s="7"/>
      <c r="GD422" s="7"/>
      <c r="GE422" s="7"/>
      <c r="GF422" s="7"/>
      <c r="GG422" s="7"/>
      <c r="GH422" s="7"/>
      <c r="GI422" s="7"/>
      <c r="GJ422" s="7"/>
      <c r="GK422" s="7"/>
      <c r="GL422" s="7"/>
      <c r="GM422" s="7"/>
      <c r="GN422" s="7"/>
      <c r="GO422" s="7"/>
      <c r="GP422" s="7"/>
      <c r="GQ422" s="7"/>
      <c r="GR422" s="7"/>
      <c r="GS422" s="7"/>
      <c r="GT422" s="7"/>
      <c r="GU422" s="7"/>
      <c r="GV422" s="7"/>
      <c r="GW422" s="7"/>
      <c r="GX422" s="7"/>
      <c r="GY422" s="7"/>
      <c r="GZ422" s="7"/>
      <c r="HA422" s="7"/>
      <c r="HB422" s="7"/>
    </row>
    <row r="423" customFormat="false" ht="1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c r="FJ423" s="7"/>
      <c r="FK423" s="7"/>
      <c r="FL423" s="7"/>
      <c r="FM423" s="7"/>
      <c r="FN423" s="7"/>
      <c r="FO423" s="7"/>
      <c r="FP423" s="7"/>
      <c r="FQ423" s="7"/>
      <c r="FR423" s="7"/>
      <c r="FS423" s="7"/>
      <c r="FT423" s="7"/>
      <c r="FU423" s="7"/>
      <c r="FV423" s="7"/>
      <c r="FW423" s="7"/>
      <c r="FX423" s="7"/>
      <c r="FY423" s="7"/>
      <c r="FZ423" s="7"/>
      <c r="GA423" s="7"/>
      <c r="GB423" s="7"/>
      <c r="GC423" s="7"/>
      <c r="GD423" s="7"/>
      <c r="GE423" s="7"/>
      <c r="GF423" s="7"/>
      <c r="GG423" s="7"/>
      <c r="GH423" s="7"/>
      <c r="GI423" s="7"/>
      <c r="GJ423" s="7"/>
      <c r="GK423" s="7"/>
      <c r="GL423" s="7"/>
      <c r="GM423" s="7"/>
      <c r="GN423" s="7"/>
      <c r="GO423" s="7"/>
      <c r="GP423" s="7"/>
      <c r="GQ423" s="7"/>
      <c r="GR423" s="7"/>
      <c r="GS423" s="7"/>
      <c r="GT423" s="7"/>
      <c r="GU423" s="7"/>
      <c r="GV423" s="7"/>
      <c r="GW423" s="7"/>
      <c r="GX423" s="7"/>
      <c r="GY423" s="7"/>
      <c r="GZ423" s="7"/>
      <c r="HA423" s="7"/>
      <c r="HB423" s="7"/>
    </row>
    <row r="424" customFormat="false" ht="1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c r="FB424" s="7"/>
      <c r="FC424" s="7"/>
      <c r="FD424" s="7"/>
      <c r="FE424" s="7"/>
      <c r="FF424" s="7"/>
      <c r="FG424" s="7"/>
      <c r="FH424" s="7"/>
      <c r="FI424" s="7"/>
      <c r="FJ424" s="7"/>
      <c r="FK424" s="7"/>
      <c r="FL424" s="7"/>
      <c r="FM424" s="7"/>
      <c r="FN424" s="7"/>
      <c r="FO424" s="7"/>
      <c r="FP424" s="7"/>
      <c r="FQ424" s="7"/>
      <c r="FR424" s="7"/>
      <c r="FS424" s="7"/>
      <c r="FT424" s="7"/>
      <c r="FU424" s="7"/>
      <c r="FV424" s="7"/>
      <c r="FW424" s="7"/>
      <c r="FX424" s="7"/>
      <c r="FY424" s="7"/>
      <c r="FZ424" s="7"/>
      <c r="GA424" s="7"/>
      <c r="GB424" s="7"/>
      <c r="GC424" s="7"/>
      <c r="GD424" s="7"/>
      <c r="GE424" s="7"/>
      <c r="GF424" s="7"/>
      <c r="GG424" s="7"/>
      <c r="GH424" s="7"/>
      <c r="GI424" s="7"/>
      <c r="GJ424" s="7"/>
      <c r="GK424" s="7"/>
      <c r="GL424" s="7"/>
      <c r="GM424" s="7"/>
      <c r="GN424" s="7"/>
      <c r="GO424" s="7"/>
      <c r="GP424" s="7"/>
      <c r="GQ424" s="7"/>
      <c r="GR424" s="7"/>
      <c r="GS424" s="7"/>
      <c r="GT424" s="7"/>
      <c r="GU424" s="7"/>
      <c r="GV424" s="7"/>
      <c r="GW424" s="7"/>
      <c r="GX424" s="7"/>
      <c r="GY424" s="7"/>
      <c r="GZ424" s="7"/>
      <c r="HA424" s="7"/>
      <c r="HB424" s="7"/>
    </row>
    <row r="425" customFormat="false" ht="1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c r="FJ425" s="7"/>
      <c r="FK425" s="7"/>
      <c r="FL425" s="7"/>
      <c r="FM425" s="7"/>
      <c r="FN425" s="7"/>
      <c r="FO425" s="7"/>
      <c r="FP425" s="7"/>
      <c r="FQ425" s="7"/>
      <c r="FR425" s="7"/>
      <c r="FS425" s="7"/>
      <c r="FT425" s="7"/>
      <c r="FU425" s="7"/>
      <c r="FV425" s="7"/>
      <c r="FW425" s="7"/>
      <c r="FX425" s="7"/>
      <c r="FY425" s="7"/>
      <c r="FZ425" s="7"/>
      <c r="GA425" s="7"/>
      <c r="GB425" s="7"/>
      <c r="GC425" s="7"/>
      <c r="GD425" s="7"/>
      <c r="GE425" s="7"/>
      <c r="GF425" s="7"/>
      <c r="GG425" s="7"/>
      <c r="GH425" s="7"/>
      <c r="GI425" s="7"/>
      <c r="GJ425" s="7"/>
      <c r="GK425" s="7"/>
      <c r="GL425" s="7"/>
      <c r="GM425" s="7"/>
      <c r="GN425" s="7"/>
      <c r="GO425" s="7"/>
      <c r="GP425" s="7"/>
      <c r="GQ425" s="7"/>
      <c r="GR425" s="7"/>
      <c r="GS425" s="7"/>
      <c r="GT425" s="7"/>
      <c r="GU425" s="7"/>
      <c r="GV425" s="7"/>
      <c r="GW425" s="7"/>
      <c r="GX425" s="7"/>
      <c r="GY425" s="7"/>
      <c r="GZ425" s="7"/>
      <c r="HA425" s="7"/>
      <c r="HB425" s="7"/>
    </row>
    <row r="426" customFormat="false" ht="1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c r="FB426" s="7"/>
      <c r="FC426" s="7"/>
      <c r="FD426" s="7"/>
      <c r="FE426" s="7"/>
      <c r="FF426" s="7"/>
      <c r="FG426" s="7"/>
      <c r="FH426" s="7"/>
      <c r="FI426" s="7"/>
      <c r="FJ426" s="7"/>
      <c r="FK426" s="7"/>
      <c r="FL426" s="7"/>
      <c r="FM426" s="7"/>
      <c r="FN426" s="7"/>
      <c r="FO426" s="7"/>
      <c r="FP426" s="7"/>
      <c r="FQ426" s="7"/>
      <c r="FR426" s="7"/>
      <c r="FS426" s="7"/>
      <c r="FT426" s="7"/>
      <c r="FU426" s="7"/>
      <c r="FV426" s="7"/>
      <c r="FW426" s="7"/>
      <c r="FX426" s="7"/>
      <c r="FY426" s="7"/>
      <c r="FZ426" s="7"/>
      <c r="GA426" s="7"/>
      <c r="GB426" s="7"/>
      <c r="GC426" s="7"/>
      <c r="GD426" s="7"/>
      <c r="GE426" s="7"/>
      <c r="GF426" s="7"/>
      <c r="GG426" s="7"/>
      <c r="GH426" s="7"/>
      <c r="GI426" s="7"/>
      <c r="GJ426" s="7"/>
      <c r="GK426" s="7"/>
      <c r="GL426" s="7"/>
      <c r="GM426" s="7"/>
      <c r="GN426" s="7"/>
      <c r="GO426" s="7"/>
      <c r="GP426" s="7"/>
      <c r="GQ426" s="7"/>
      <c r="GR426" s="7"/>
      <c r="GS426" s="7"/>
      <c r="GT426" s="7"/>
      <c r="GU426" s="7"/>
      <c r="GV426" s="7"/>
      <c r="GW426" s="7"/>
      <c r="GX426" s="7"/>
      <c r="GY426" s="7"/>
      <c r="GZ426" s="7"/>
      <c r="HA426" s="7"/>
      <c r="HB426" s="7"/>
    </row>
    <row r="427" customFormat="false" ht="1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c r="FB427" s="7"/>
      <c r="FC427" s="7"/>
      <c r="FD427" s="7"/>
      <c r="FE427" s="7"/>
      <c r="FF427" s="7"/>
      <c r="FG427" s="7"/>
      <c r="FH427" s="7"/>
      <c r="FI427" s="7"/>
      <c r="FJ427" s="7"/>
      <c r="FK427" s="7"/>
      <c r="FL427" s="7"/>
      <c r="FM427" s="7"/>
      <c r="FN427" s="7"/>
      <c r="FO427" s="7"/>
      <c r="FP427" s="7"/>
      <c r="FQ427" s="7"/>
      <c r="FR427" s="7"/>
      <c r="FS427" s="7"/>
      <c r="FT427" s="7"/>
      <c r="FU427" s="7"/>
      <c r="FV427" s="7"/>
      <c r="FW427" s="7"/>
      <c r="FX427" s="7"/>
      <c r="FY427" s="7"/>
      <c r="FZ427" s="7"/>
      <c r="GA427" s="7"/>
      <c r="GB427" s="7"/>
      <c r="GC427" s="7"/>
      <c r="GD427" s="7"/>
      <c r="GE427" s="7"/>
      <c r="GF427" s="7"/>
      <c r="GG427" s="7"/>
      <c r="GH427" s="7"/>
      <c r="GI427" s="7"/>
      <c r="GJ427" s="7"/>
      <c r="GK427" s="7"/>
      <c r="GL427" s="7"/>
      <c r="GM427" s="7"/>
      <c r="GN427" s="7"/>
      <c r="GO427" s="7"/>
      <c r="GP427" s="7"/>
      <c r="GQ427" s="7"/>
      <c r="GR427" s="7"/>
      <c r="GS427" s="7"/>
      <c r="GT427" s="7"/>
      <c r="GU427" s="7"/>
      <c r="GV427" s="7"/>
      <c r="GW427" s="7"/>
      <c r="GX427" s="7"/>
      <c r="GY427" s="7"/>
      <c r="GZ427" s="7"/>
      <c r="HA427" s="7"/>
      <c r="HB427" s="7"/>
    </row>
    <row r="428" customFormat="false" ht="1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c r="FB428" s="7"/>
      <c r="FC428" s="7"/>
      <c r="FD428" s="7"/>
      <c r="FE428" s="7"/>
      <c r="FF428" s="7"/>
      <c r="FG428" s="7"/>
      <c r="FH428" s="7"/>
      <c r="FI428" s="7"/>
      <c r="FJ428" s="7"/>
      <c r="FK428" s="7"/>
      <c r="FL428" s="7"/>
      <c r="FM428" s="7"/>
      <c r="FN428" s="7"/>
      <c r="FO428" s="7"/>
      <c r="FP428" s="7"/>
      <c r="FQ428" s="7"/>
      <c r="FR428" s="7"/>
      <c r="FS428" s="7"/>
      <c r="FT428" s="7"/>
      <c r="FU428" s="7"/>
      <c r="FV428" s="7"/>
      <c r="FW428" s="7"/>
      <c r="FX428" s="7"/>
      <c r="FY428" s="7"/>
      <c r="FZ428" s="7"/>
      <c r="GA428" s="7"/>
      <c r="GB428" s="7"/>
      <c r="GC428" s="7"/>
      <c r="GD428" s="7"/>
      <c r="GE428" s="7"/>
      <c r="GF428" s="7"/>
      <c r="GG428" s="7"/>
      <c r="GH428" s="7"/>
      <c r="GI428" s="7"/>
      <c r="GJ428" s="7"/>
      <c r="GK428" s="7"/>
      <c r="GL428" s="7"/>
      <c r="GM428" s="7"/>
      <c r="GN428" s="7"/>
      <c r="GO428" s="7"/>
      <c r="GP428" s="7"/>
      <c r="GQ428" s="7"/>
      <c r="GR428" s="7"/>
      <c r="GS428" s="7"/>
      <c r="GT428" s="7"/>
      <c r="GU428" s="7"/>
      <c r="GV428" s="7"/>
      <c r="GW428" s="7"/>
      <c r="GX428" s="7"/>
      <c r="GY428" s="7"/>
      <c r="GZ428" s="7"/>
      <c r="HA428" s="7"/>
      <c r="HB428" s="7"/>
    </row>
    <row r="429" customFormat="false" ht="1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c r="FJ429" s="7"/>
      <c r="FK429" s="7"/>
      <c r="FL429" s="7"/>
      <c r="FM429" s="7"/>
      <c r="FN429" s="7"/>
      <c r="FO429" s="7"/>
      <c r="FP429" s="7"/>
      <c r="FQ429" s="7"/>
      <c r="FR429" s="7"/>
      <c r="FS429" s="7"/>
      <c r="FT429" s="7"/>
      <c r="FU429" s="7"/>
      <c r="FV429" s="7"/>
      <c r="FW429" s="7"/>
      <c r="FX429" s="7"/>
      <c r="FY429" s="7"/>
      <c r="FZ429" s="7"/>
      <c r="GA429" s="7"/>
      <c r="GB429" s="7"/>
      <c r="GC429" s="7"/>
      <c r="GD429" s="7"/>
      <c r="GE429" s="7"/>
      <c r="GF429" s="7"/>
      <c r="GG429" s="7"/>
      <c r="GH429" s="7"/>
      <c r="GI429" s="7"/>
      <c r="GJ429" s="7"/>
      <c r="GK429" s="7"/>
      <c r="GL429" s="7"/>
      <c r="GM429" s="7"/>
      <c r="GN429" s="7"/>
      <c r="GO429" s="7"/>
      <c r="GP429" s="7"/>
      <c r="GQ429" s="7"/>
      <c r="GR429" s="7"/>
      <c r="GS429" s="7"/>
      <c r="GT429" s="7"/>
      <c r="GU429" s="7"/>
      <c r="GV429" s="7"/>
      <c r="GW429" s="7"/>
      <c r="GX429" s="7"/>
      <c r="GY429" s="7"/>
      <c r="GZ429" s="7"/>
      <c r="HA429" s="7"/>
      <c r="HB429" s="7"/>
    </row>
    <row r="430" customFormat="false" ht="1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c r="FB430" s="7"/>
      <c r="FC430" s="7"/>
      <c r="FD430" s="7"/>
      <c r="FE430" s="7"/>
      <c r="FF430" s="7"/>
      <c r="FG430" s="7"/>
      <c r="FH430" s="7"/>
      <c r="FI430" s="7"/>
      <c r="FJ430" s="7"/>
      <c r="FK430" s="7"/>
      <c r="FL430" s="7"/>
      <c r="FM430" s="7"/>
      <c r="FN430" s="7"/>
      <c r="FO430" s="7"/>
      <c r="FP430" s="7"/>
      <c r="FQ430" s="7"/>
      <c r="FR430" s="7"/>
      <c r="FS430" s="7"/>
      <c r="FT430" s="7"/>
      <c r="FU430" s="7"/>
      <c r="FV430" s="7"/>
      <c r="FW430" s="7"/>
      <c r="FX430" s="7"/>
      <c r="FY430" s="7"/>
      <c r="FZ430" s="7"/>
      <c r="GA430" s="7"/>
      <c r="GB430" s="7"/>
      <c r="GC430" s="7"/>
      <c r="GD430" s="7"/>
      <c r="GE430" s="7"/>
      <c r="GF430" s="7"/>
      <c r="GG430" s="7"/>
      <c r="GH430" s="7"/>
      <c r="GI430" s="7"/>
      <c r="GJ430" s="7"/>
      <c r="GK430" s="7"/>
      <c r="GL430" s="7"/>
      <c r="GM430" s="7"/>
      <c r="GN430" s="7"/>
      <c r="GO430" s="7"/>
      <c r="GP430" s="7"/>
      <c r="GQ430" s="7"/>
      <c r="GR430" s="7"/>
      <c r="GS430" s="7"/>
      <c r="GT430" s="7"/>
      <c r="GU430" s="7"/>
      <c r="GV430" s="7"/>
      <c r="GW430" s="7"/>
      <c r="GX430" s="7"/>
      <c r="GY430" s="7"/>
      <c r="GZ430" s="7"/>
      <c r="HA430" s="7"/>
      <c r="HB430" s="7"/>
    </row>
    <row r="431" customFormat="false" ht="1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c r="FJ431" s="7"/>
      <c r="FK431" s="7"/>
      <c r="FL431" s="7"/>
      <c r="FM431" s="7"/>
      <c r="FN431" s="7"/>
      <c r="FO431" s="7"/>
      <c r="FP431" s="7"/>
      <c r="FQ431" s="7"/>
      <c r="FR431" s="7"/>
      <c r="FS431" s="7"/>
      <c r="FT431" s="7"/>
      <c r="FU431" s="7"/>
      <c r="FV431" s="7"/>
      <c r="FW431" s="7"/>
      <c r="FX431" s="7"/>
      <c r="FY431" s="7"/>
      <c r="FZ431" s="7"/>
      <c r="GA431" s="7"/>
      <c r="GB431" s="7"/>
      <c r="GC431" s="7"/>
      <c r="GD431" s="7"/>
      <c r="GE431" s="7"/>
      <c r="GF431" s="7"/>
      <c r="GG431" s="7"/>
      <c r="GH431" s="7"/>
      <c r="GI431" s="7"/>
      <c r="GJ431" s="7"/>
      <c r="GK431" s="7"/>
      <c r="GL431" s="7"/>
      <c r="GM431" s="7"/>
      <c r="GN431" s="7"/>
      <c r="GO431" s="7"/>
      <c r="GP431" s="7"/>
      <c r="GQ431" s="7"/>
      <c r="GR431" s="7"/>
      <c r="GS431" s="7"/>
      <c r="GT431" s="7"/>
      <c r="GU431" s="7"/>
      <c r="GV431" s="7"/>
      <c r="GW431" s="7"/>
      <c r="GX431" s="7"/>
      <c r="GY431" s="7"/>
      <c r="GZ431" s="7"/>
      <c r="HA431" s="7"/>
      <c r="HB431" s="7"/>
    </row>
    <row r="432" customFormat="false" ht="1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c r="FB432" s="7"/>
      <c r="FC432" s="7"/>
      <c r="FD432" s="7"/>
      <c r="FE432" s="7"/>
      <c r="FF432" s="7"/>
      <c r="FG432" s="7"/>
      <c r="FH432" s="7"/>
      <c r="FI432" s="7"/>
      <c r="FJ432" s="7"/>
      <c r="FK432" s="7"/>
      <c r="FL432" s="7"/>
      <c r="FM432" s="7"/>
      <c r="FN432" s="7"/>
      <c r="FO432" s="7"/>
      <c r="FP432" s="7"/>
      <c r="FQ432" s="7"/>
      <c r="FR432" s="7"/>
      <c r="FS432" s="7"/>
      <c r="FT432" s="7"/>
      <c r="FU432" s="7"/>
      <c r="FV432" s="7"/>
      <c r="FW432" s="7"/>
      <c r="FX432" s="7"/>
      <c r="FY432" s="7"/>
      <c r="FZ432" s="7"/>
      <c r="GA432" s="7"/>
      <c r="GB432" s="7"/>
      <c r="GC432" s="7"/>
      <c r="GD432" s="7"/>
      <c r="GE432" s="7"/>
      <c r="GF432" s="7"/>
      <c r="GG432" s="7"/>
      <c r="GH432" s="7"/>
      <c r="GI432" s="7"/>
      <c r="GJ432" s="7"/>
      <c r="GK432" s="7"/>
      <c r="GL432" s="7"/>
      <c r="GM432" s="7"/>
      <c r="GN432" s="7"/>
      <c r="GO432" s="7"/>
      <c r="GP432" s="7"/>
      <c r="GQ432" s="7"/>
      <c r="GR432" s="7"/>
      <c r="GS432" s="7"/>
      <c r="GT432" s="7"/>
      <c r="GU432" s="7"/>
      <c r="GV432" s="7"/>
      <c r="GW432" s="7"/>
      <c r="GX432" s="7"/>
      <c r="GY432" s="7"/>
      <c r="GZ432" s="7"/>
      <c r="HA432" s="7"/>
      <c r="HB432" s="7"/>
    </row>
    <row r="433" customFormat="false" ht="1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c r="FJ433" s="7"/>
      <c r="FK433" s="7"/>
      <c r="FL433" s="7"/>
      <c r="FM433" s="7"/>
      <c r="FN433" s="7"/>
      <c r="FO433" s="7"/>
      <c r="FP433" s="7"/>
      <c r="FQ433" s="7"/>
      <c r="FR433" s="7"/>
      <c r="FS433" s="7"/>
      <c r="FT433" s="7"/>
      <c r="FU433" s="7"/>
      <c r="FV433" s="7"/>
      <c r="FW433" s="7"/>
      <c r="FX433" s="7"/>
      <c r="FY433" s="7"/>
      <c r="FZ433" s="7"/>
      <c r="GA433" s="7"/>
      <c r="GB433" s="7"/>
      <c r="GC433" s="7"/>
      <c r="GD433" s="7"/>
      <c r="GE433" s="7"/>
      <c r="GF433" s="7"/>
      <c r="GG433" s="7"/>
      <c r="GH433" s="7"/>
      <c r="GI433" s="7"/>
      <c r="GJ433" s="7"/>
      <c r="GK433" s="7"/>
      <c r="GL433" s="7"/>
      <c r="GM433" s="7"/>
      <c r="GN433" s="7"/>
      <c r="GO433" s="7"/>
      <c r="GP433" s="7"/>
      <c r="GQ433" s="7"/>
      <c r="GR433" s="7"/>
      <c r="GS433" s="7"/>
      <c r="GT433" s="7"/>
      <c r="GU433" s="7"/>
      <c r="GV433" s="7"/>
      <c r="GW433" s="7"/>
      <c r="GX433" s="7"/>
      <c r="GY433" s="7"/>
      <c r="GZ433" s="7"/>
      <c r="HA433" s="7"/>
      <c r="HB433" s="7"/>
    </row>
    <row r="434" customFormat="false" ht="1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c r="FB434" s="7"/>
      <c r="FC434" s="7"/>
      <c r="FD434" s="7"/>
      <c r="FE434" s="7"/>
      <c r="FF434" s="7"/>
      <c r="FG434" s="7"/>
      <c r="FH434" s="7"/>
      <c r="FI434" s="7"/>
      <c r="FJ434" s="7"/>
      <c r="FK434" s="7"/>
      <c r="FL434" s="7"/>
      <c r="FM434" s="7"/>
      <c r="FN434" s="7"/>
      <c r="FO434" s="7"/>
      <c r="FP434" s="7"/>
      <c r="FQ434" s="7"/>
      <c r="FR434" s="7"/>
      <c r="FS434" s="7"/>
      <c r="FT434" s="7"/>
      <c r="FU434" s="7"/>
      <c r="FV434" s="7"/>
      <c r="FW434" s="7"/>
      <c r="FX434" s="7"/>
      <c r="FY434" s="7"/>
      <c r="FZ434" s="7"/>
      <c r="GA434" s="7"/>
      <c r="GB434" s="7"/>
      <c r="GC434" s="7"/>
      <c r="GD434" s="7"/>
      <c r="GE434" s="7"/>
      <c r="GF434" s="7"/>
      <c r="GG434" s="7"/>
      <c r="GH434" s="7"/>
      <c r="GI434" s="7"/>
      <c r="GJ434" s="7"/>
      <c r="GK434" s="7"/>
      <c r="GL434" s="7"/>
      <c r="GM434" s="7"/>
      <c r="GN434" s="7"/>
      <c r="GO434" s="7"/>
      <c r="GP434" s="7"/>
      <c r="GQ434" s="7"/>
      <c r="GR434" s="7"/>
      <c r="GS434" s="7"/>
      <c r="GT434" s="7"/>
      <c r="GU434" s="7"/>
      <c r="GV434" s="7"/>
      <c r="GW434" s="7"/>
      <c r="GX434" s="7"/>
      <c r="GY434" s="7"/>
      <c r="GZ434" s="7"/>
      <c r="HA434" s="7"/>
      <c r="HB434" s="7"/>
    </row>
    <row r="435" customFormat="false" ht="1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c r="FB435" s="7"/>
      <c r="FC435" s="7"/>
      <c r="FD435" s="7"/>
      <c r="FE435" s="7"/>
      <c r="FF435" s="7"/>
      <c r="FG435" s="7"/>
      <c r="FH435" s="7"/>
      <c r="FI435" s="7"/>
      <c r="FJ435" s="7"/>
      <c r="FK435" s="7"/>
      <c r="FL435" s="7"/>
      <c r="FM435" s="7"/>
      <c r="FN435" s="7"/>
      <c r="FO435" s="7"/>
      <c r="FP435" s="7"/>
      <c r="FQ435" s="7"/>
      <c r="FR435" s="7"/>
      <c r="FS435" s="7"/>
      <c r="FT435" s="7"/>
      <c r="FU435" s="7"/>
      <c r="FV435" s="7"/>
      <c r="FW435" s="7"/>
      <c r="FX435" s="7"/>
      <c r="FY435" s="7"/>
      <c r="FZ435" s="7"/>
      <c r="GA435" s="7"/>
      <c r="GB435" s="7"/>
      <c r="GC435" s="7"/>
      <c r="GD435" s="7"/>
      <c r="GE435" s="7"/>
      <c r="GF435" s="7"/>
      <c r="GG435" s="7"/>
      <c r="GH435" s="7"/>
      <c r="GI435" s="7"/>
      <c r="GJ435" s="7"/>
      <c r="GK435" s="7"/>
      <c r="GL435" s="7"/>
      <c r="GM435" s="7"/>
      <c r="GN435" s="7"/>
      <c r="GO435" s="7"/>
      <c r="GP435" s="7"/>
      <c r="GQ435" s="7"/>
      <c r="GR435" s="7"/>
      <c r="GS435" s="7"/>
      <c r="GT435" s="7"/>
      <c r="GU435" s="7"/>
      <c r="GV435" s="7"/>
      <c r="GW435" s="7"/>
      <c r="GX435" s="7"/>
      <c r="GY435" s="7"/>
      <c r="GZ435" s="7"/>
      <c r="HA435" s="7"/>
      <c r="HB435" s="7"/>
    </row>
    <row r="436" customFormat="false" ht="1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c r="FJ436" s="7"/>
      <c r="FK436" s="7"/>
      <c r="FL436" s="7"/>
      <c r="FM436" s="7"/>
      <c r="FN436" s="7"/>
      <c r="FO436" s="7"/>
      <c r="FP436" s="7"/>
      <c r="FQ436" s="7"/>
      <c r="FR436" s="7"/>
      <c r="FS436" s="7"/>
      <c r="FT436" s="7"/>
      <c r="FU436" s="7"/>
      <c r="FV436" s="7"/>
      <c r="FW436" s="7"/>
      <c r="FX436" s="7"/>
      <c r="FY436" s="7"/>
      <c r="FZ436" s="7"/>
      <c r="GA436" s="7"/>
      <c r="GB436" s="7"/>
      <c r="GC436" s="7"/>
      <c r="GD436" s="7"/>
      <c r="GE436" s="7"/>
      <c r="GF436" s="7"/>
      <c r="GG436" s="7"/>
      <c r="GH436" s="7"/>
      <c r="GI436" s="7"/>
      <c r="GJ436" s="7"/>
      <c r="GK436" s="7"/>
      <c r="GL436" s="7"/>
      <c r="GM436" s="7"/>
      <c r="GN436" s="7"/>
      <c r="GO436" s="7"/>
      <c r="GP436" s="7"/>
      <c r="GQ436" s="7"/>
      <c r="GR436" s="7"/>
      <c r="GS436" s="7"/>
      <c r="GT436" s="7"/>
      <c r="GU436" s="7"/>
      <c r="GV436" s="7"/>
      <c r="GW436" s="7"/>
      <c r="GX436" s="7"/>
      <c r="GY436" s="7"/>
      <c r="GZ436" s="7"/>
      <c r="HA436" s="7"/>
      <c r="HB436" s="7"/>
    </row>
    <row r="437" customFormat="false" ht="1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c r="FB437" s="7"/>
      <c r="FC437" s="7"/>
      <c r="FD437" s="7"/>
      <c r="FE437" s="7"/>
      <c r="FF437" s="7"/>
      <c r="FG437" s="7"/>
      <c r="FH437" s="7"/>
      <c r="FI437" s="7"/>
      <c r="FJ437" s="7"/>
      <c r="FK437" s="7"/>
      <c r="FL437" s="7"/>
      <c r="FM437" s="7"/>
      <c r="FN437" s="7"/>
      <c r="FO437" s="7"/>
      <c r="FP437" s="7"/>
      <c r="FQ437" s="7"/>
      <c r="FR437" s="7"/>
      <c r="FS437" s="7"/>
      <c r="FT437" s="7"/>
      <c r="FU437" s="7"/>
      <c r="FV437" s="7"/>
      <c r="FW437" s="7"/>
      <c r="FX437" s="7"/>
      <c r="FY437" s="7"/>
      <c r="FZ437" s="7"/>
      <c r="GA437" s="7"/>
      <c r="GB437" s="7"/>
      <c r="GC437" s="7"/>
      <c r="GD437" s="7"/>
      <c r="GE437" s="7"/>
      <c r="GF437" s="7"/>
      <c r="GG437" s="7"/>
      <c r="GH437" s="7"/>
      <c r="GI437" s="7"/>
      <c r="GJ437" s="7"/>
      <c r="GK437" s="7"/>
      <c r="GL437" s="7"/>
      <c r="GM437" s="7"/>
      <c r="GN437" s="7"/>
      <c r="GO437" s="7"/>
      <c r="GP437" s="7"/>
      <c r="GQ437" s="7"/>
      <c r="GR437" s="7"/>
      <c r="GS437" s="7"/>
      <c r="GT437" s="7"/>
      <c r="GU437" s="7"/>
      <c r="GV437" s="7"/>
      <c r="GW437" s="7"/>
      <c r="GX437" s="7"/>
      <c r="GY437" s="7"/>
      <c r="GZ437" s="7"/>
      <c r="HA437" s="7"/>
      <c r="HB437" s="7"/>
    </row>
    <row r="438" customFormat="false" ht="1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c r="FJ438" s="7"/>
      <c r="FK438" s="7"/>
      <c r="FL438" s="7"/>
      <c r="FM438" s="7"/>
      <c r="FN438" s="7"/>
      <c r="FO438" s="7"/>
      <c r="FP438" s="7"/>
      <c r="FQ438" s="7"/>
      <c r="FR438" s="7"/>
      <c r="FS438" s="7"/>
      <c r="FT438" s="7"/>
      <c r="FU438" s="7"/>
      <c r="FV438" s="7"/>
      <c r="FW438" s="7"/>
      <c r="FX438" s="7"/>
      <c r="FY438" s="7"/>
      <c r="FZ438" s="7"/>
      <c r="GA438" s="7"/>
      <c r="GB438" s="7"/>
      <c r="GC438" s="7"/>
      <c r="GD438" s="7"/>
      <c r="GE438" s="7"/>
      <c r="GF438" s="7"/>
      <c r="GG438" s="7"/>
      <c r="GH438" s="7"/>
      <c r="GI438" s="7"/>
      <c r="GJ438" s="7"/>
      <c r="GK438" s="7"/>
      <c r="GL438" s="7"/>
      <c r="GM438" s="7"/>
      <c r="GN438" s="7"/>
      <c r="GO438" s="7"/>
      <c r="GP438" s="7"/>
      <c r="GQ438" s="7"/>
      <c r="GR438" s="7"/>
      <c r="GS438" s="7"/>
      <c r="GT438" s="7"/>
      <c r="GU438" s="7"/>
      <c r="GV438" s="7"/>
      <c r="GW438" s="7"/>
      <c r="GX438" s="7"/>
      <c r="GY438" s="7"/>
      <c r="GZ438" s="7"/>
      <c r="HA438" s="7"/>
      <c r="HB438" s="7"/>
    </row>
    <row r="439" customFormat="false" ht="1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c r="FB439" s="7"/>
      <c r="FC439" s="7"/>
      <c r="FD439" s="7"/>
      <c r="FE439" s="7"/>
      <c r="FF439" s="7"/>
      <c r="FG439" s="7"/>
      <c r="FH439" s="7"/>
      <c r="FI439" s="7"/>
      <c r="FJ439" s="7"/>
      <c r="FK439" s="7"/>
      <c r="FL439" s="7"/>
      <c r="FM439" s="7"/>
      <c r="FN439" s="7"/>
      <c r="FO439" s="7"/>
      <c r="FP439" s="7"/>
      <c r="FQ439" s="7"/>
      <c r="FR439" s="7"/>
      <c r="FS439" s="7"/>
      <c r="FT439" s="7"/>
      <c r="FU439" s="7"/>
      <c r="FV439" s="7"/>
      <c r="FW439" s="7"/>
      <c r="FX439" s="7"/>
      <c r="FY439" s="7"/>
      <c r="FZ439" s="7"/>
      <c r="GA439" s="7"/>
      <c r="GB439" s="7"/>
      <c r="GC439" s="7"/>
      <c r="GD439" s="7"/>
      <c r="GE439" s="7"/>
      <c r="GF439" s="7"/>
      <c r="GG439" s="7"/>
      <c r="GH439" s="7"/>
      <c r="GI439" s="7"/>
      <c r="GJ439" s="7"/>
      <c r="GK439" s="7"/>
      <c r="GL439" s="7"/>
      <c r="GM439" s="7"/>
      <c r="GN439" s="7"/>
      <c r="GO439" s="7"/>
      <c r="GP439" s="7"/>
      <c r="GQ439" s="7"/>
      <c r="GR439" s="7"/>
      <c r="GS439" s="7"/>
      <c r="GT439" s="7"/>
      <c r="GU439" s="7"/>
      <c r="GV439" s="7"/>
      <c r="GW439" s="7"/>
      <c r="GX439" s="7"/>
      <c r="GY439" s="7"/>
      <c r="GZ439" s="7"/>
      <c r="HA439" s="7"/>
      <c r="HB439" s="7"/>
    </row>
    <row r="440" customFormat="false" ht="1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c r="FB440" s="7"/>
      <c r="FC440" s="7"/>
      <c r="FD440" s="7"/>
      <c r="FE440" s="7"/>
      <c r="FF440" s="7"/>
      <c r="FG440" s="7"/>
      <c r="FH440" s="7"/>
      <c r="FI440" s="7"/>
      <c r="FJ440" s="7"/>
      <c r="FK440" s="7"/>
      <c r="FL440" s="7"/>
      <c r="FM440" s="7"/>
      <c r="FN440" s="7"/>
      <c r="FO440" s="7"/>
      <c r="FP440" s="7"/>
      <c r="FQ440" s="7"/>
      <c r="FR440" s="7"/>
      <c r="FS440" s="7"/>
      <c r="FT440" s="7"/>
      <c r="FU440" s="7"/>
      <c r="FV440" s="7"/>
      <c r="FW440" s="7"/>
      <c r="FX440" s="7"/>
      <c r="FY440" s="7"/>
      <c r="FZ440" s="7"/>
      <c r="GA440" s="7"/>
      <c r="GB440" s="7"/>
      <c r="GC440" s="7"/>
      <c r="GD440" s="7"/>
      <c r="GE440" s="7"/>
      <c r="GF440" s="7"/>
      <c r="GG440" s="7"/>
      <c r="GH440" s="7"/>
      <c r="GI440" s="7"/>
      <c r="GJ440" s="7"/>
      <c r="GK440" s="7"/>
      <c r="GL440" s="7"/>
      <c r="GM440" s="7"/>
      <c r="GN440" s="7"/>
      <c r="GO440" s="7"/>
      <c r="GP440" s="7"/>
      <c r="GQ440" s="7"/>
      <c r="GR440" s="7"/>
      <c r="GS440" s="7"/>
      <c r="GT440" s="7"/>
      <c r="GU440" s="7"/>
      <c r="GV440" s="7"/>
      <c r="GW440" s="7"/>
      <c r="GX440" s="7"/>
      <c r="GY440" s="7"/>
      <c r="GZ440" s="7"/>
      <c r="HA440" s="7"/>
      <c r="HB440" s="7"/>
    </row>
    <row r="441" customFormat="false" ht="1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c r="FJ441" s="7"/>
      <c r="FK441" s="7"/>
      <c r="FL441" s="7"/>
      <c r="FM441" s="7"/>
      <c r="FN441" s="7"/>
      <c r="FO441" s="7"/>
      <c r="FP441" s="7"/>
      <c r="FQ441" s="7"/>
      <c r="FR441" s="7"/>
      <c r="FS441" s="7"/>
      <c r="FT441" s="7"/>
      <c r="FU441" s="7"/>
      <c r="FV441" s="7"/>
      <c r="FW441" s="7"/>
      <c r="FX441" s="7"/>
      <c r="FY441" s="7"/>
      <c r="FZ441" s="7"/>
      <c r="GA441" s="7"/>
      <c r="GB441" s="7"/>
      <c r="GC441" s="7"/>
      <c r="GD441" s="7"/>
      <c r="GE441" s="7"/>
      <c r="GF441" s="7"/>
      <c r="GG441" s="7"/>
      <c r="GH441" s="7"/>
      <c r="GI441" s="7"/>
      <c r="GJ441" s="7"/>
      <c r="GK441" s="7"/>
      <c r="GL441" s="7"/>
      <c r="GM441" s="7"/>
      <c r="GN441" s="7"/>
      <c r="GO441" s="7"/>
      <c r="GP441" s="7"/>
      <c r="GQ441" s="7"/>
      <c r="GR441" s="7"/>
      <c r="GS441" s="7"/>
      <c r="GT441" s="7"/>
      <c r="GU441" s="7"/>
      <c r="GV441" s="7"/>
      <c r="GW441" s="7"/>
      <c r="GX441" s="7"/>
      <c r="GY441" s="7"/>
      <c r="GZ441" s="7"/>
      <c r="HA441" s="7"/>
      <c r="HB441" s="7"/>
    </row>
    <row r="442" customFormat="false" ht="1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c r="FB442" s="7"/>
      <c r="FC442" s="7"/>
      <c r="FD442" s="7"/>
      <c r="FE442" s="7"/>
      <c r="FF442" s="7"/>
      <c r="FG442" s="7"/>
      <c r="FH442" s="7"/>
      <c r="FI442" s="7"/>
      <c r="FJ442" s="7"/>
      <c r="FK442" s="7"/>
      <c r="FL442" s="7"/>
      <c r="FM442" s="7"/>
      <c r="FN442" s="7"/>
      <c r="FO442" s="7"/>
      <c r="FP442" s="7"/>
      <c r="FQ442" s="7"/>
      <c r="FR442" s="7"/>
      <c r="FS442" s="7"/>
      <c r="FT442" s="7"/>
      <c r="FU442" s="7"/>
      <c r="FV442" s="7"/>
      <c r="FW442" s="7"/>
      <c r="FX442" s="7"/>
      <c r="FY442" s="7"/>
      <c r="FZ442" s="7"/>
      <c r="GA442" s="7"/>
      <c r="GB442" s="7"/>
      <c r="GC442" s="7"/>
      <c r="GD442" s="7"/>
      <c r="GE442" s="7"/>
      <c r="GF442" s="7"/>
      <c r="GG442" s="7"/>
      <c r="GH442" s="7"/>
      <c r="GI442" s="7"/>
      <c r="GJ442" s="7"/>
      <c r="GK442" s="7"/>
      <c r="GL442" s="7"/>
      <c r="GM442" s="7"/>
      <c r="GN442" s="7"/>
      <c r="GO442" s="7"/>
      <c r="GP442" s="7"/>
      <c r="GQ442" s="7"/>
      <c r="GR442" s="7"/>
      <c r="GS442" s="7"/>
      <c r="GT442" s="7"/>
      <c r="GU442" s="7"/>
      <c r="GV442" s="7"/>
      <c r="GW442" s="7"/>
      <c r="GX442" s="7"/>
      <c r="GY442" s="7"/>
      <c r="GZ442" s="7"/>
      <c r="HA442" s="7"/>
      <c r="HB442" s="7"/>
    </row>
    <row r="443" customFormat="false" ht="1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c r="FB443" s="7"/>
      <c r="FC443" s="7"/>
      <c r="FD443" s="7"/>
      <c r="FE443" s="7"/>
      <c r="FF443" s="7"/>
      <c r="FG443" s="7"/>
      <c r="FH443" s="7"/>
      <c r="FI443" s="7"/>
      <c r="FJ443" s="7"/>
      <c r="FK443" s="7"/>
      <c r="FL443" s="7"/>
      <c r="FM443" s="7"/>
      <c r="FN443" s="7"/>
      <c r="FO443" s="7"/>
      <c r="FP443" s="7"/>
      <c r="FQ443" s="7"/>
      <c r="FR443" s="7"/>
      <c r="FS443" s="7"/>
      <c r="FT443" s="7"/>
      <c r="FU443" s="7"/>
      <c r="FV443" s="7"/>
      <c r="FW443" s="7"/>
      <c r="FX443" s="7"/>
      <c r="FY443" s="7"/>
      <c r="FZ443" s="7"/>
      <c r="GA443" s="7"/>
      <c r="GB443" s="7"/>
      <c r="GC443" s="7"/>
      <c r="GD443" s="7"/>
      <c r="GE443" s="7"/>
      <c r="GF443" s="7"/>
      <c r="GG443" s="7"/>
      <c r="GH443" s="7"/>
      <c r="GI443" s="7"/>
      <c r="GJ443" s="7"/>
      <c r="GK443" s="7"/>
      <c r="GL443" s="7"/>
      <c r="GM443" s="7"/>
      <c r="GN443" s="7"/>
      <c r="GO443" s="7"/>
      <c r="GP443" s="7"/>
      <c r="GQ443" s="7"/>
      <c r="GR443" s="7"/>
      <c r="GS443" s="7"/>
      <c r="GT443" s="7"/>
      <c r="GU443" s="7"/>
      <c r="GV443" s="7"/>
      <c r="GW443" s="7"/>
      <c r="GX443" s="7"/>
      <c r="GY443" s="7"/>
      <c r="GZ443" s="7"/>
      <c r="HA443" s="7"/>
      <c r="HB443" s="7"/>
    </row>
    <row r="444" customFormat="false" ht="1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c r="FJ444" s="7"/>
      <c r="FK444" s="7"/>
      <c r="FL444" s="7"/>
      <c r="FM444" s="7"/>
      <c r="FN444" s="7"/>
      <c r="FO444" s="7"/>
      <c r="FP444" s="7"/>
      <c r="FQ444" s="7"/>
      <c r="FR444" s="7"/>
      <c r="FS444" s="7"/>
      <c r="FT444" s="7"/>
      <c r="FU444" s="7"/>
      <c r="FV444" s="7"/>
      <c r="FW444" s="7"/>
      <c r="FX444" s="7"/>
      <c r="FY444" s="7"/>
      <c r="FZ444" s="7"/>
      <c r="GA444" s="7"/>
      <c r="GB444" s="7"/>
      <c r="GC444" s="7"/>
      <c r="GD444" s="7"/>
      <c r="GE444" s="7"/>
      <c r="GF444" s="7"/>
      <c r="GG444" s="7"/>
      <c r="GH444" s="7"/>
      <c r="GI444" s="7"/>
      <c r="GJ444" s="7"/>
      <c r="GK444" s="7"/>
      <c r="GL444" s="7"/>
      <c r="GM444" s="7"/>
      <c r="GN444" s="7"/>
      <c r="GO444" s="7"/>
      <c r="GP444" s="7"/>
      <c r="GQ444" s="7"/>
      <c r="GR444" s="7"/>
      <c r="GS444" s="7"/>
      <c r="GT444" s="7"/>
      <c r="GU444" s="7"/>
      <c r="GV444" s="7"/>
      <c r="GW444" s="7"/>
      <c r="GX444" s="7"/>
      <c r="GY444" s="7"/>
      <c r="GZ444" s="7"/>
      <c r="HA444" s="7"/>
      <c r="HB444" s="7"/>
    </row>
    <row r="445" customFormat="false" ht="1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c r="FJ445" s="7"/>
      <c r="FK445" s="7"/>
      <c r="FL445" s="7"/>
      <c r="FM445" s="7"/>
      <c r="FN445" s="7"/>
      <c r="FO445" s="7"/>
      <c r="FP445" s="7"/>
      <c r="FQ445" s="7"/>
      <c r="FR445" s="7"/>
      <c r="FS445" s="7"/>
      <c r="FT445" s="7"/>
      <c r="FU445" s="7"/>
      <c r="FV445" s="7"/>
      <c r="FW445" s="7"/>
      <c r="FX445" s="7"/>
      <c r="FY445" s="7"/>
      <c r="FZ445" s="7"/>
      <c r="GA445" s="7"/>
      <c r="GB445" s="7"/>
      <c r="GC445" s="7"/>
      <c r="GD445" s="7"/>
      <c r="GE445" s="7"/>
      <c r="GF445" s="7"/>
      <c r="GG445" s="7"/>
      <c r="GH445" s="7"/>
      <c r="GI445" s="7"/>
      <c r="GJ445" s="7"/>
      <c r="GK445" s="7"/>
      <c r="GL445" s="7"/>
      <c r="GM445" s="7"/>
      <c r="GN445" s="7"/>
      <c r="GO445" s="7"/>
      <c r="GP445" s="7"/>
      <c r="GQ445" s="7"/>
      <c r="GR445" s="7"/>
      <c r="GS445" s="7"/>
      <c r="GT445" s="7"/>
      <c r="GU445" s="7"/>
      <c r="GV445" s="7"/>
      <c r="GW445" s="7"/>
      <c r="GX445" s="7"/>
      <c r="GY445" s="7"/>
      <c r="GZ445" s="7"/>
      <c r="HA445" s="7"/>
      <c r="HB445" s="7"/>
    </row>
    <row r="446" customFormat="false" ht="1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c r="FJ446" s="7"/>
      <c r="FK446" s="7"/>
      <c r="FL446" s="7"/>
      <c r="FM446" s="7"/>
      <c r="FN446" s="7"/>
      <c r="FO446" s="7"/>
      <c r="FP446" s="7"/>
      <c r="FQ446" s="7"/>
      <c r="FR446" s="7"/>
      <c r="FS446" s="7"/>
      <c r="FT446" s="7"/>
      <c r="FU446" s="7"/>
      <c r="FV446" s="7"/>
      <c r="FW446" s="7"/>
      <c r="FX446" s="7"/>
      <c r="FY446" s="7"/>
      <c r="FZ446" s="7"/>
      <c r="GA446" s="7"/>
      <c r="GB446" s="7"/>
      <c r="GC446" s="7"/>
      <c r="GD446" s="7"/>
      <c r="GE446" s="7"/>
      <c r="GF446" s="7"/>
      <c r="GG446" s="7"/>
      <c r="GH446" s="7"/>
      <c r="GI446" s="7"/>
      <c r="GJ446" s="7"/>
      <c r="GK446" s="7"/>
      <c r="GL446" s="7"/>
      <c r="GM446" s="7"/>
      <c r="GN446" s="7"/>
      <c r="GO446" s="7"/>
      <c r="GP446" s="7"/>
      <c r="GQ446" s="7"/>
      <c r="GR446" s="7"/>
      <c r="GS446" s="7"/>
      <c r="GT446" s="7"/>
      <c r="GU446" s="7"/>
      <c r="GV446" s="7"/>
      <c r="GW446" s="7"/>
      <c r="GX446" s="7"/>
      <c r="GY446" s="7"/>
      <c r="GZ446" s="7"/>
      <c r="HA446" s="7"/>
      <c r="HB446" s="7"/>
    </row>
    <row r="447" customFormat="false" ht="1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c r="FB447" s="7"/>
      <c r="FC447" s="7"/>
      <c r="FD447" s="7"/>
      <c r="FE447" s="7"/>
      <c r="FF447" s="7"/>
      <c r="FG447" s="7"/>
      <c r="FH447" s="7"/>
      <c r="FI447" s="7"/>
      <c r="FJ447" s="7"/>
      <c r="FK447" s="7"/>
      <c r="FL447" s="7"/>
      <c r="FM447" s="7"/>
      <c r="FN447" s="7"/>
      <c r="FO447" s="7"/>
      <c r="FP447" s="7"/>
      <c r="FQ447" s="7"/>
      <c r="FR447" s="7"/>
      <c r="FS447" s="7"/>
      <c r="FT447" s="7"/>
      <c r="FU447" s="7"/>
      <c r="FV447" s="7"/>
      <c r="FW447" s="7"/>
      <c r="FX447" s="7"/>
      <c r="FY447" s="7"/>
      <c r="FZ447" s="7"/>
      <c r="GA447" s="7"/>
      <c r="GB447" s="7"/>
      <c r="GC447" s="7"/>
      <c r="GD447" s="7"/>
      <c r="GE447" s="7"/>
      <c r="GF447" s="7"/>
      <c r="GG447" s="7"/>
      <c r="GH447" s="7"/>
      <c r="GI447" s="7"/>
      <c r="GJ447" s="7"/>
      <c r="GK447" s="7"/>
      <c r="GL447" s="7"/>
      <c r="GM447" s="7"/>
      <c r="GN447" s="7"/>
      <c r="GO447" s="7"/>
      <c r="GP447" s="7"/>
      <c r="GQ447" s="7"/>
      <c r="GR447" s="7"/>
      <c r="GS447" s="7"/>
      <c r="GT447" s="7"/>
      <c r="GU447" s="7"/>
      <c r="GV447" s="7"/>
      <c r="GW447" s="7"/>
      <c r="GX447" s="7"/>
      <c r="GY447" s="7"/>
      <c r="GZ447" s="7"/>
      <c r="HA447" s="7"/>
      <c r="HB447" s="7"/>
    </row>
    <row r="448" customFormat="false" ht="1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c r="FB448" s="7"/>
      <c r="FC448" s="7"/>
      <c r="FD448" s="7"/>
      <c r="FE448" s="7"/>
      <c r="FF448" s="7"/>
      <c r="FG448" s="7"/>
      <c r="FH448" s="7"/>
      <c r="FI448" s="7"/>
      <c r="FJ448" s="7"/>
      <c r="FK448" s="7"/>
      <c r="FL448" s="7"/>
      <c r="FM448" s="7"/>
      <c r="FN448" s="7"/>
      <c r="FO448" s="7"/>
      <c r="FP448" s="7"/>
      <c r="FQ448" s="7"/>
      <c r="FR448" s="7"/>
      <c r="FS448" s="7"/>
      <c r="FT448" s="7"/>
      <c r="FU448" s="7"/>
      <c r="FV448" s="7"/>
      <c r="FW448" s="7"/>
      <c r="FX448" s="7"/>
      <c r="FY448" s="7"/>
      <c r="FZ448" s="7"/>
      <c r="GA448" s="7"/>
      <c r="GB448" s="7"/>
      <c r="GC448" s="7"/>
      <c r="GD448" s="7"/>
      <c r="GE448" s="7"/>
      <c r="GF448" s="7"/>
      <c r="GG448" s="7"/>
      <c r="GH448" s="7"/>
      <c r="GI448" s="7"/>
      <c r="GJ448" s="7"/>
      <c r="GK448" s="7"/>
      <c r="GL448" s="7"/>
      <c r="GM448" s="7"/>
      <c r="GN448" s="7"/>
      <c r="GO448" s="7"/>
      <c r="GP448" s="7"/>
      <c r="GQ448" s="7"/>
      <c r="GR448" s="7"/>
      <c r="GS448" s="7"/>
      <c r="GT448" s="7"/>
      <c r="GU448" s="7"/>
      <c r="GV448" s="7"/>
      <c r="GW448" s="7"/>
      <c r="GX448" s="7"/>
      <c r="GY448" s="7"/>
      <c r="GZ448" s="7"/>
      <c r="HA448" s="7"/>
      <c r="HB448" s="7"/>
    </row>
    <row r="449" customFormat="false" ht="1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c r="FB449" s="7"/>
      <c r="FC449" s="7"/>
      <c r="FD449" s="7"/>
      <c r="FE449" s="7"/>
      <c r="FF449" s="7"/>
      <c r="FG449" s="7"/>
      <c r="FH449" s="7"/>
      <c r="FI449" s="7"/>
      <c r="FJ449" s="7"/>
      <c r="FK449" s="7"/>
      <c r="FL449" s="7"/>
      <c r="FM449" s="7"/>
      <c r="FN449" s="7"/>
      <c r="FO449" s="7"/>
      <c r="FP449" s="7"/>
      <c r="FQ449" s="7"/>
      <c r="FR449" s="7"/>
      <c r="FS449" s="7"/>
      <c r="FT449" s="7"/>
      <c r="FU449" s="7"/>
      <c r="FV449" s="7"/>
      <c r="FW449" s="7"/>
      <c r="FX449" s="7"/>
      <c r="FY449" s="7"/>
      <c r="FZ449" s="7"/>
      <c r="GA449" s="7"/>
      <c r="GB449" s="7"/>
      <c r="GC449" s="7"/>
      <c r="GD449" s="7"/>
      <c r="GE449" s="7"/>
      <c r="GF449" s="7"/>
      <c r="GG449" s="7"/>
      <c r="GH449" s="7"/>
      <c r="GI449" s="7"/>
      <c r="GJ449" s="7"/>
      <c r="GK449" s="7"/>
      <c r="GL449" s="7"/>
      <c r="GM449" s="7"/>
      <c r="GN449" s="7"/>
      <c r="GO449" s="7"/>
      <c r="GP449" s="7"/>
      <c r="GQ449" s="7"/>
      <c r="GR449" s="7"/>
      <c r="GS449" s="7"/>
      <c r="GT449" s="7"/>
      <c r="GU449" s="7"/>
      <c r="GV449" s="7"/>
      <c r="GW449" s="7"/>
      <c r="GX449" s="7"/>
      <c r="GY449" s="7"/>
      <c r="GZ449" s="7"/>
      <c r="HA449" s="7"/>
      <c r="HB449" s="7"/>
    </row>
    <row r="450" customFormat="false" ht="1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c r="FB450" s="7"/>
      <c r="FC450" s="7"/>
      <c r="FD450" s="7"/>
      <c r="FE450" s="7"/>
      <c r="FF450" s="7"/>
      <c r="FG450" s="7"/>
      <c r="FH450" s="7"/>
      <c r="FI450" s="7"/>
      <c r="FJ450" s="7"/>
      <c r="FK450" s="7"/>
      <c r="FL450" s="7"/>
      <c r="FM450" s="7"/>
      <c r="FN450" s="7"/>
      <c r="FO450" s="7"/>
      <c r="FP450" s="7"/>
      <c r="FQ450" s="7"/>
      <c r="FR450" s="7"/>
      <c r="FS450" s="7"/>
      <c r="FT450" s="7"/>
      <c r="FU450" s="7"/>
      <c r="FV450" s="7"/>
      <c r="FW450" s="7"/>
      <c r="FX450" s="7"/>
      <c r="FY450" s="7"/>
      <c r="FZ450" s="7"/>
      <c r="GA450" s="7"/>
      <c r="GB450" s="7"/>
      <c r="GC450" s="7"/>
      <c r="GD450" s="7"/>
      <c r="GE450" s="7"/>
      <c r="GF450" s="7"/>
      <c r="GG450" s="7"/>
      <c r="GH450" s="7"/>
      <c r="GI450" s="7"/>
      <c r="GJ450" s="7"/>
      <c r="GK450" s="7"/>
      <c r="GL450" s="7"/>
      <c r="GM450" s="7"/>
      <c r="GN450" s="7"/>
      <c r="GO450" s="7"/>
      <c r="GP450" s="7"/>
      <c r="GQ450" s="7"/>
      <c r="GR450" s="7"/>
      <c r="GS450" s="7"/>
      <c r="GT450" s="7"/>
      <c r="GU450" s="7"/>
      <c r="GV450" s="7"/>
      <c r="GW450" s="7"/>
      <c r="GX450" s="7"/>
      <c r="GY450" s="7"/>
      <c r="GZ450" s="7"/>
      <c r="HA450" s="7"/>
      <c r="HB450" s="7"/>
    </row>
    <row r="451" customFormat="false" ht="1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c r="FB451" s="7"/>
      <c r="FC451" s="7"/>
      <c r="FD451" s="7"/>
      <c r="FE451" s="7"/>
      <c r="FF451" s="7"/>
      <c r="FG451" s="7"/>
      <c r="FH451" s="7"/>
      <c r="FI451" s="7"/>
      <c r="FJ451" s="7"/>
      <c r="FK451" s="7"/>
      <c r="FL451" s="7"/>
      <c r="FM451" s="7"/>
      <c r="FN451" s="7"/>
      <c r="FO451" s="7"/>
      <c r="FP451" s="7"/>
      <c r="FQ451" s="7"/>
      <c r="FR451" s="7"/>
      <c r="FS451" s="7"/>
      <c r="FT451" s="7"/>
      <c r="FU451" s="7"/>
      <c r="FV451" s="7"/>
      <c r="FW451" s="7"/>
      <c r="FX451" s="7"/>
      <c r="FY451" s="7"/>
      <c r="FZ451" s="7"/>
      <c r="GA451" s="7"/>
      <c r="GB451" s="7"/>
      <c r="GC451" s="7"/>
      <c r="GD451" s="7"/>
      <c r="GE451" s="7"/>
      <c r="GF451" s="7"/>
      <c r="GG451" s="7"/>
      <c r="GH451" s="7"/>
      <c r="GI451" s="7"/>
      <c r="GJ451" s="7"/>
      <c r="GK451" s="7"/>
      <c r="GL451" s="7"/>
      <c r="GM451" s="7"/>
      <c r="GN451" s="7"/>
      <c r="GO451" s="7"/>
      <c r="GP451" s="7"/>
      <c r="GQ451" s="7"/>
      <c r="GR451" s="7"/>
      <c r="GS451" s="7"/>
      <c r="GT451" s="7"/>
      <c r="GU451" s="7"/>
      <c r="GV451" s="7"/>
      <c r="GW451" s="7"/>
      <c r="GX451" s="7"/>
      <c r="GY451" s="7"/>
      <c r="GZ451" s="7"/>
      <c r="HA451" s="7"/>
      <c r="HB451" s="7"/>
    </row>
    <row r="452" customFormat="false" ht="1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c r="FB452" s="7"/>
      <c r="FC452" s="7"/>
      <c r="FD452" s="7"/>
      <c r="FE452" s="7"/>
      <c r="FF452" s="7"/>
      <c r="FG452" s="7"/>
      <c r="FH452" s="7"/>
      <c r="FI452" s="7"/>
      <c r="FJ452" s="7"/>
      <c r="FK452" s="7"/>
      <c r="FL452" s="7"/>
      <c r="FM452" s="7"/>
      <c r="FN452" s="7"/>
      <c r="FO452" s="7"/>
      <c r="FP452" s="7"/>
      <c r="FQ452" s="7"/>
      <c r="FR452" s="7"/>
      <c r="FS452" s="7"/>
      <c r="FT452" s="7"/>
      <c r="FU452" s="7"/>
      <c r="FV452" s="7"/>
      <c r="FW452" s="7"/>
      <c r="FX452" s="7"/>
      <c r="FY452" s="7"/>
      <c r="FZ452" s="7"/>
      <c r="GA452" s="7"/>
      <c r="GB452" s="7"/>
      <c r="GC452" s="7"/>
      <c r="GD452" s="7"/>
      <c r="GE452" s="7"/>
      <c r="GF452" s="7"/>
      <c r="GG452" s="7"/>
      <c r="GH452" s="7"/>
      <c r="GI452" s="7"/>
      <c r="GJ452" s="7"/>
      <c r="GK452" s="7"/>
      <c r="GL452" s="7"/>
      <c r="GM452" s="7"/>
      <c r="GN452" s="7"/>
      <c r="GO452" s="7"/>
      <c r="GP452" s="7"/>
      <c r="GQ452" s="7"/>
      <c r="GR452" s="7"/>
      <c r="GS452" s="7"/>
      <c r="GT452" s="7"/>
      <c r="GU452" s="7"/>
      <c r="GV452" s="7"/>
      <c r="GW452" s="7"/>
      <c r="GX452" s="7"/>
      <c r="GY452" s="7"/>
      <c r="GZ452" s="7"/>
      <c r="HA452" s="7"/>
      <c r="HB452" s="7"/>
    </row>
    <row r="453" customFormat="false" ht="1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c r="FV453" s="7"/>
      <c r="FW453" s="7"/>
      <c r="FX453" s="7"/>
      <c r="FY453" s="7"/>
      <c r="FZ453" s="7"/>
      <c r="GA453" s="7"/>
      <c r="GB453" s="7"/>
      <c r="GC453" s="7"/>
      <c r="GD453" s="7"/>
      <c r="GE453" s="7"/>
      <c r="GF453" s="7"/>
      <c r="GG453" s="7"/>
      <c r="GH453" s="7"/>
      <c r="GI453" s="7"/>
      <c r="GJ453" s="7"/>
      <c r="GK453" s="7"/>
      <c r="GL453" s="7"/>
      <c r="GM453" s="7"/>
      <c r="GN453" s="7"/>
      <c r="GO453" s="7"/>
      <c r="GP453" s="7"/>
      <c r="GQ453" s="7"/>
      <c r="GR453" s="7"/>
      <c r="GS453" s="7"/>
      <c r="GT453" s="7"/>
      <c r="GU453" s="7"/>
      <c r="GV453" s="7"/>
      <c r="GW453" s="7"/>
      <c r="GX453" s="7"/>
      <c r="GY453" s="7"/>
      <c r="GZ453" s="7"/>
      <c r="HA453" s="7"/>
      <c r="HB453" s="7"/>
    </row>
    <row r="454" customFormat="false" ht="1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c r="FJ454" s="7"/>
      <c r="FK454" s="7"/>
      <c r="FL454" s="7"/>
      <c r="FM454" s="7"/>
      <c r="FN454" s="7"/>
      <c r="FO454" s="7"/>
      <c r="FP454" s="7"/>
      <c r="FQ454" s="7"/>
      <c r="FR454" s="7"/>
      <c r="FS454" s="7"/>
      <c r="FT454" s="7"/>
      <c r="FU454" s="7"/>
      <c r="FV454" s="7"/>
      <c r="FW454" s="7"/>
      <c r="FX454" s="7"/>
      <c r="FY454" s="7"/>
      <c r="FZ454" s="7"/>
      <c r="GA454" s="7"/>
      <c r="GB454" s="7"/>
      <c r="GC454" s="7"/>
      <c r="GD454" s="7"/>
      <c r="GE454" s="7"/>
      <c r="GF454" s="7"/>
      <c r="GG454" s="7"/>
      <c r="GH454" s="7"/>
      <c r="GI454" s="7"/>
      <c r="GJ454" s="7"/>
      <c r="GK454" s="7"/>
      <c r="GL454" s="7"/>
      <c r="GM454" s="7"/>
      <c r="GN454" s="7"/>
      <c r="GO454" s="7"/>
      <c r="GP454" s="7"/>
      <c r="GQ454" s="7"/>
      <c r="GR454" s="7"/>
      <c r="GS454" s="7"/>
      <c r="GT454" s="7"/>
      <c r="GU454" s="7"/>
      <c r="GV454" s="7"/>
      <c r="GW454" s="7"/>
      <c r="GX454" s="7"/>
      <c r="GY454" s="7"/>
      <c r="GZ454" s="7"/>
      <c r="HA454" s="7"/>
      <c r="HB454" s="7"/>
    </row>
    <row r="455" customFormat="false" ht="1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c r="FJ455" s="7"/>
      <c r="FK455" s="7"/>
      <c r="FL455" s="7"/>
      <c r="FM455" s="7"/>
      <c r="FN455" s="7"/>
      <c r="FO455" s="7"/>
      <c r="FP455" s="7"/>
      <c r="FQ455" s="7"/>
      <c r="FR455" s="7"/>
      <c r="FS455" s="7"/>
      <c r="FT455" s="7"/>
      <c r="FU455" s="7"/>
      <c r="FV455" s="7"/>
      <c r="FW455" s="7"/>
      <c r="FX455" s="7"/>
      <c r="FY455" s="7"/>
      <c r="FZ455" s="7"/>
      <c r="GA455" s="7"/>
      <c r="GB455" s="7"/>
      <c r="GC455" s="7"/>
      <c r="GD455" s="7"/>
      <c r="GE455" s="7"/>
      <c r="GF455" s="7"/>
      <c r="GG455" s="7"/>
      <c r="GH455" s="7"/>
      <c r="GI455" s="7"/>
      <c r="GJ455" s="7"/>
      <c r="GK455" s="7"/>
      <c r="GL455" s="7"/>
      <c r="GM455" s="7"/>
      <c r="GN455" s="7"/>
      <c r="GO455" s="7"/>
      <c r="GP455" s="7"/>
      <c r="GQ455" s="7"/>
      <c r="GR455" s="7"/>
      <c r="GS455" s="7"/>
      <c r="GT455" s="7"/>
      <c r="GU455" s="7"/>
      <c r="GV455" s="7"/>
      <c r="GW455" s="7"/>
      <c r="GX455" s="7"/>
      <c r="GY455" s="7"/>
      <c r="GZ455" s="7"/>
      <c r="HA455" s="7"/>
      <c r="HB455" s="7"/>
    </row>
    <row r="456" customFormat="false" ht="1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c r="FB456" s="7"/>
      <c r="FC456" s="7"/>
      <c r="FD456" s="7"/>
      <c r="FE456" s="7"/>
      <c r="FF456" s="7"/>
      <c r="FG456" s="7"/>
      <c r="FH456" s="7"/>
      <c r="FI456" s="7"/>
      <c r="FJ456" s="7"/>
      <c r="FK456" s="7"/>
      <c r="FL456" s="7"/>
      <c r="FM456" s="7"/>
      <c r="FN456" s="7"/>
      <c r="FO456" s="7"/>
      <c r="FP456" s="7"/>
      <c r="FQ456" s="7"/>
      <c r="FR456" s="7"/>
      <c r="FS456" s="7"/>
      <c r="FT456" s="7"/>
      <c r="FU456" s="7"/>
      <c r="FV456" s="7"/>
      <c r="FW456" s="7"/>
      <c r="FX456" s="7"/>
      <c r="FY456" s="7"/>
      <c r="FZ456" s="7"/>
      <c r="GA456" s="7"/>
      <c r="GB456" s="7"/>
      <c r="GC456" s="7"/>
      <c r="GD456" s="7"/>
      <c r="GE456" s="7"/>
      <c r="GF456" s="7"/>
      <c r="GG456" s="7"/>
      <c r="GH456" s="7"/>
      <c r="GI456" s="7"/>
      <c r="GJ456" s="7"/>
      <c r="GK456" s="7"/>
      <c r="GL456" s="7"/>
      <c r="GM456" s="7"/>
      <c r="GN456" s="7"/>
      <c r="GO456" s="7"/>
      <c r="GP456" s="7"/>
      <c r="GQ456" s="7"/>
      <c r="GR456" s="7"/>
      <c r="GS456" s="7"/>
      <c r="GT456" s="7"/>
      <c r="GU456" s="7"/>
      <c r="GV456" s="7"/>
      <c r="GW456" s="7"/>
      <c r="GX456" s="7"/>
      <c r="GY456" s="7"/>
      <c r="GZ456" s="7"/>
      <c r="HA456" s="7"/>
      <c r="HB456" s="7"/>
    </row>
    <row r="457" customFormat="false" ht="1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c r="FJ457" s="7"/>
      <c r="FK457" s="7"/>
      <c r="FL457" s="7"/>
      <c r="FM457" s="7"/>
      <c r="FN457" s="7"/>
      <c r="FO457" s="7"/>
      <c r="FP457" s="7"/>
      <c r="FQ457" s="7"/>
      <c r="FR457" s="7"/>
      <c r="FS457" s="7"/>
      <c r="FT457" s="7"/>
      <c r="FU457" s="7"/>
      <c r="FV457" s="7"/>
      <c r="FW457" s="7"/>
      <c r="FX457" s="7"/>
      <c r="FY457" s="7"/>
      <c r="FZ457" s="7"/>
      <c r="GA457" s="7"/>
      <c r="GB457" s="7"/>
      <c r="GC457" s="7"/>
      <c r="GD457" s="7"/>
      <c r="GE457" s="7"/>
      <c r="GF457" s="7"/>
      <c r="GG457" s="7"/>
      <c r="GH457" s="7"/>
      <c r="GI457" s="7"/>
      <c r="GJ457" s="7"/>
      <c r="GK457" s="7"/>
      <c r="GL457" s="7"/>
      <c r="GM457" s="7"/>
      <c r="GN457" s="7"/>
      <c r="GO457" s="7"/>
      <c r="GP457" s="7"/>
      <c r="GQ457" s="7"/>
      <c r="GR457" s="7"/>
      <c r="GS457" s="7"/>
      <c r="GT457" s="7"/>
      <c r="GU457" s="7"/>
      <c r="GV457" s="7"/>
      <c r="GW457" s="7"/>
      <c r="GX457" s="7"/>
      <c r="GY457" s="7"/>
      <c r="GZ457" s="7"/>
      <c r="HA457" s="7"/>
      <c r="HB457" s="7"/>
    </row>
    <row r="458" customFormat="false" ht="1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c r="FB458" s="7"/>
      <c r="FC458" s="7"/>
      <c r="FD458" s="7"/>
      <c r="FE458" s="7"/>
      <c r="FF458" s="7"/>
      <c r="FG458" s="7"/>
      <c r="FH458" s="7"/>
      <c r="FI458" s="7"/>
      <c r="FJ458" s="7"/>
      <c r="FK458" s="7"/>
      <c r="FL458" s="7"/>
      <c r="FM458" s="7"/>
      <c r="FN458" s="7"/>
      <c r="FO458" s="7"/>
      <c r="FP458" s="7"/>
      <c r="FQ458" s="7"/>
      <c r="FR458" s="7"/>
      <c r="FS458" s="7"/>
      <c r="FT458" s="7"/>
      <c r="FU458" s="7"/>
      <c r="FV458" s="7"/>
      <c r="FW458" s="7"/>
      <c r="FX458" s="7"/>
      <c r="FY458" s="7"/>
      <c r="FZ458" s="7"/>
      <c r="GA458" s="7"/>
      <c r="GB458" s="7"/>
      <c r="GC458" s="7"/>
      <c r="GD458" s="7"/>
      <c r="GE458" s="7"/>
      <c r="GF458" s="7"/>
      <c r="GG458" s="7"/>
      <c r="GH458" s="7"/>
      <c r="GI458" s="7"/>
      <c r="GJ458" s="7"/>
      <c r="GK458" s="7"/>
      <c r="GL458" s="7"/>
      <c r="GM458" s="7"/>
      <c r="GN458" s="7"/>
      <c r="GO458" s="7"/>
      <c r="GP458" s="7"/>
      <c r="GQ458" s="7"/>
      <c r="GR458" s="7"/>
      <c r="GS458" s="7"/>
      <c r="GT458" s="7"/>
      <c r="GU458" s="7"/>
      <c r="GV458" s="7"/>
      <c r="GW458" s="7"/>
      <c r="GX458" s="7"/>
      <c r="GY458" s="7"/>
      <c r="GZ458" s="7"/>
      <c r="HA458" s="7"/>
      <c r="HB458" s="7"/>
    </row>
    <row r="459" customFormat="false" ht="1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c r="FB459" s="7"/>
      <c r="FC459" s="7"/>
      <c r="FD459" s="7"/>
      <c r="FE459" s="7"/>
      <c r="FF459" s="7"/>
      <c r="FG459" s="7"/>
      <c r="FH459" s="7"/>
      <c r="FI459" s="7"/>
      <c r="FJ459" s="7"/>
      <c r="FK459" s="7"/>
      <c r="FL459" s="7"/>
      <c r="FM459" s="7"/>
      <c r="FN459" s="7"/>
      <c r="FO459" s="7"/>
      <c r="FP459" s="7"/>
      <c r="FQ459" s="7"/>
      <c r="FR459" s="7"/>
      <c r="FS459" s="7"/>
      <c r="FT459" s="7"/>
      <c r="FU459" s="7"/>
      <c r="FV459" s="7"/>
      <c r="FW459" s="7"/>
      <c r="FX459" s="7"/>
      <c r="FY459" s="7"/>
      <c r="FZ459" s="7"/>
      <c r="GA459" s="7"/>
      <c r="GB459" s="7"/>
      <c r="GC459" s="7"/>
      <c r="GD459" s="7"/>
      <c r="GE459" s="7"/>
      <c r="GF459" s="7"/>
      <c r="GG459" s="7"/>
      <c r="GH459" s="7"/>
      <c r="GI459" s="7"/>
      <c r="GJ459" s="7"/>
      <c r="GK459" s="7"/>
      <c r="GL459" s="7"/>
      <c r="GM459" s="7"/>
      <c r="GN459" s="7"/>
      <c r="GO459" s="7"/>
      <c r="GP459" s="7"/>
      <c r="GQ459" s="7"/>
      <c r="GR459" s="7"/>
      <c r="GS459" s="7"/>
      <c r="GT459" s="7"/>
      <c r="GU459" s="7"/>
      <c r="GV459" s="7"/>
      <c r="GW459" s="7"/>
      <c r="GX459" s="7"/>
      <c r="GY459" s="7"/>
      <c r="GZ459" s="7"/>
      <c r="HA459" s="7"/>
      <c r="HB459" s="7"/>
    </row>
    <row r="460" customFormat="false" ht="1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c r="FB460" s="7"/>
      <c r="FC460" s="7"/>
      <c r="FD460" s="7"/>
      <c r="FE460" s="7"/>
      <c r="FF460" s="7"/>
      <c r="FG460" s="7"/>
      <c r="FH460" s="7"/>
      <c r="FI460" s="7"/>
      <c r="FJ460" s="7"/>
      <c r="FK460" s="7"/>
      <c r="FL460" s="7"/>
      <c r="FM460" s="7"/>
      <c r="FN460" s="7"/>
      <c r="FO460" s="7"/>
      <c r="FP460" s="7"/>
      <c r="FQ460" s="7"/>
      <c r="FR460" s="7"/>
      <c r="FS460" s="7"/>
      <c r="FT460" s="7"/>
      <c r="FU460" s="7"/>
      <c r="FV460" s="7"/>
      <c r="FW460" s="7"/>
      <c r="FX460" s="7"/>
      <c r="FY460" s="7"/>
      <c r="FZ460" s="7"/>
      <c r="GA460" s="7"/>
      <c r="GB460" s="7"/>
      <c r="GC460" s="7"/>
      <c r="GD460" s="7"/>
      <c r="GE460" s="7"/>
      <c r="GF460" s="7"/>
      <c r="GG460" s="7"/>
      <c r="GH460" s="7"/>
      <c r="GI460" s="7"/>
      <c r="GJ460" s="7"/>
      <c r="GK460" s="7"/>
      <c r="GL460" s="7"/>
      <c r="GM460" s="7"/>
      <c r="GN460" s="7"/>
      <c r="GO460" s="7"/>
      <c r="GP460" s="7"/>
      <c r="GQ460" s="7"/>
      <c r="GR460" s="7"/>
      <c r="GS460" s="7"/>
      <c r="GT460" s="7"/>
      <c r="GU460" s="7"/>
      <c r="GV460" s="7"/>
      <c r="GW460" s="7"/>
      <c r="GX460" s="7"/>
      <c r="GY460" s="7"/>
      <c r="GZ460" s="7"/>
      <c r="HA460" s="7"/>
      <c r="HB460" s="7"/>
    </row>
    <row r="461" customFormat="false" ht="1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c r="FB461" s="7"/>
      <c r="FC461" s="7"/>
      <c r="FD461" s="7"/>
      <c r="FE461" s="7"/>
      <c r="FF461" s="7"/>
      <c r="FG461" s="7"/>
      <c r="FH461" s="7"/>
      <c r="FI461" s="7"/>
      <c r="FJ461" s="7"/>
      <c r="FK461" s="7"/>
      <c r="FL461" s="7"/>
      <c r="FM461" s="7"/>
      <c r="FN461" s="7"/>
      <c r="FO461" s="7"/>
      <c r="FP461" s="7"/>
      <c r="FQ461" s="7"/>
      <c r="FR461" s="7"/>
      <c r="FS461" s="7"/>
      <c r="FT461" s="7"/>
      <c r="FU461" s="7"/>
      <c r="FV461" s="7"/>
      <c r="FW461" s="7"/>
      <c r="FX461" s="7"/>
      <c r="FY461" s="7"/>
      <c r="FZ461" s="7"/>
      <c r="GA461" s="7"/>
      <c r="GB461" s="7"/>
      <c r="GC461" s="7"/>
      <c r="GD461" s="7"/>
      <c r="GE461" s="7"/>
      <c r="GF461" s="7"/>
      <c r="GG461" s="7"/>
      <c r="GH461" s="7"/>
      <c r="GI461" s="7"/>
      <c r="GJ461" s="7"/>
      <c r="GK461" s="7"/>
      <c r="GL461" s="7"/>
      <c r="GM461" s="7"/>
      <c r="GN461" s="7"/>
      <c r="GO461" s="7"/>
      <c r="GP461" s="7"/>
      <c r="GQ461" s="7"/>
      <c r="GR461" s="7"/>
      <c r="GS461" s="7"/>
      <c r="GT461" s="7"/>
      <c r="GU461" s="7"/>
      <c r="GV461" s="7"/>
      <c r="GW461" s="7"/>
      <c r="GX461" s="7"/>
      <c r="GY461" s="7"/>
      <c r="GZ461" s="7"/>
      <c r="HA461" s="7"/>
      <c r="HB461" s="7"/>
    </row>
    <row r="462" customFormat="false" ht="1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c r="FB462" s="7"/>
      <c r="FC462" s="7"/>
      <c r="FD462" s="7"/>
      <c r="FE462" s="7"/>
      <c r="FF462" s="7"/>
      <c r="FG462" s="7"/>
      <c r="FH462" s="7"/>
      <c r="FI462" s="7"/>
      <c r="FJ462" s="7"/>
      <c r="FK462" s="7"/>
      <c r="FL462" s="7"/>
      <c r="FM462" s="7"/>
      <c r="FN462" s="7"/>
      <c r="FO462" s="7"/>
      <c r="FP462" s="7"/>
      <c r="FQ462" s="7"/>
      <c r="FR462" s="7"/>
      <c r="FS462" s="7"/>
      <c r="FT462" s="7"/>
      <c r="FU462" s="7"/>
      <c r="FV462" s="7"/>
      <c r="FW462" s="7"/>
      <c r="FX462" s="7"/>
      <c r="FY462" s="7"/>
      <c r="FZ462" s="7"/>
      <c r="GA462" s="7"/>
      <c r="GB462" s="7"/>
      <c r="GC462" s="7"/>
      <c r="GD462" s="7"/>
      <c r="GE462" s="7"/>
      <c r="GF462" s="7"/>
      <c r="GG462" s="7"/>
      <c r="GH462" s="7"/>
      <c r="GI462" s="7"/>
      <c r="GJ462" s="7"/>
      <c r="GK462" s="7"/>
      <c r="GL462" s="7"/>
      <c r="GM462" s="7"/>
      <c r="GN462" s="7"/>
      <c r="GO462" s="7"/>
      <c r="GP462" s="7"/>
      <c r="GQ462" s="7"/>
      <c r="GR462" s="7"/>
      <c r="GS462" s="7"/>
      <c r="GT462" s="7"/>
      <c r="GU462" s="7"/>
      <c r="GV462" s="7"/>
      <c r="GW462" s="7"/>
      <c r="GX462" s="7"/>
      <c r="GY462" s="7"/>
      <c r="GZ462" s="7"/>
      <c r="HA462" s="7"/>
      <c r="HB462" s="7"/>
    </row>
    <row r="463" customFormat="false" ht="1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c r="FB463" s="7"/>
      <c r="FC463" s="7"/>
      <c r="FD463" s="7"/>
      <c r="FE463" s="7"/>
      <c r="FF463" s="7"/>
      <c r="FG463" s="7"/>
      <c r="FH463" s="7"/>
      <c r="FI463" s="7"/>
      <c r="FJ463" s="7"/>
      <c r="FK463" s="7"/>
      <c r="FL463" s="7"/>
      <c r="FM463" s="7"/>
      <c r="FN463" s="7"/>
      <c r="FO463" s="7"/>
      <c r="FP463" s="7"/>
      <c r="FQ463" s="7"/>
      <c r="FR463" s="7"/>
      <c r="FS463" s="7"/>
      <c r="FT463" s="7"/>
      <c r="FU463" s="7"/>
      <c r="FV463" s="7"/>
      <c r="FW463" s="7"/>
      <c r="FX463" s="7"/>
      <c r="FY463" s="7"/>
      <c r="FZ463" s="7"/>
      <c r="GA463" s="7"/>
      <c r="GB463" s="7"/>
      <c r="GC463" s="7"/>
      <c r="GD463" s="7"/>
      <c r="GE463" s="7"/>
      <c r="GF463" s="7"/>
      <c r="GG463" s="7"/>
      <c r="GH463" s="7"/>
      <c r="GI463" s="7"/>
      <c r="GJ463" s="7"/>
      <c r="GK463" s="7"/>
      <c r="GL463" s="7"/>
      <c r="GM463" s="7"/>
      <c r="GN463" s="7"/>
      <c r="GO463" s="7"/>
      <c r="GP463" s="7"/>
      <c r="GQ463" s="7"/>
      <c r="GR463" s="7"/>
      <c r="GS463" s="7"/>
      <c r="GT463" s="7"/>
      <c r="GU463" s="7"/>
      <c r="GV463" s="7"/>
      <c r="GW463" s="7"/>
      <c r="GX463" s="7"/>
      <c r="GY463" s="7"/>
      <c r="GZ463" s="7"/>
      <c r="HA463" s="7"/>
      <c r="HB463" s="7"/>
    </row>
    <row r="464" customFormat="false" ht="1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c r="FB464" s="7"/>
      <c r="FC464" s="7"/>
      <c r="FD464" s="7"/>
      <c r="FE464" s="7"/>
      <c r="FF464" s="7"/>
      <c r="FG464" s="7"/>
      <c r="FH464" s="7"/>
      <c r="FI464" s="7"/>
      <c r="FJ464" s="7"/>
      <c r="FK464" s="7"/>
      <c r="FL464" s="7"/>
      <c r="FM464" s="7"/>
      <c r="FN464" s="7"/>
      <c r="FO464" s="7"/>
      <c r="FP464" s="7"/>
      <c r="FQ464" s="7"/>
      <c r="FR464" s="7"/>
      <c r="FS464" s="7"/>
      <c r="FT464" s="7"/>
      <c r="FU464" s="7"/>
      <c r="FV464" s="7"/>
      <c r="FW464" s="7"/>
      <c r="FX464" s="7"/>
      <c r="FY464" s="7"/>
      <c r="FZ464" s="7"/>
      <c r="GA464" s="7"/>
      <c r="GB464" s="7"/>
      <c r="GC464" s="7"/>
      <c r="GD464" s="7"/>
      <c r="GE464" s="7"/>
      <c r="GF464" s="7"/>
      <c r="GG464" s="7"/>
      <c r="GH464" s="7"/>
      <c r="GI464" s="7"/>
      <c r="GJ464" s="7"/>
      <c r="GK464" s="7"/>
      <c r="GL464" s="7"/>
      <c r="GM464" s="7"/>
      <c r="GN464" s="7"/>
      <c r="GO464" s="7"/>
      <c r="GP464" s="7"/>
      <c r="GQ464" s="7"/>
      <c r="GR464" s="7"/>
      <c r="GS464" s="7"/>
      <c r="GT464" s="7"/>
      <c r="GU464" s="7"/>
      <c r="GV464" s="7"/>
      <c r="GW464" s="7"/>
      <c r="GX464" s="7"/>
      <c r="GY464" s="7"/>
      <c r="GZ464" s="7"/>
      <c r="HA464" s="7"/>
      <c r="HB464" s="7"/>
    </row>
    <row r="465" customFormat="false" ht="1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c r="FB465" s="7"/>
      <c r="FC465" s="7"/>
      <c r="FD465" s="7"/>
      <c r="FE465" s="7"/>
      <c r="FF465" s="7"/>
      <c r="FG465" s="7"/>
      <c r="FH465" s="7"/>
      <c r="FI465" s="7"/>
      <c r="FJ465" s="7"/>
      <c r="FK465" s="7"/>
      <c r="FL465" s="7"/>
      <c r="FM465" s="7"/>
      <c r="FN465" s="7"/>
      <c r="FO465" s="7"/>
      <c r="FP465" s="7"/>
      <c r="FQ465" s="7"/>
      <c r="FR465" s="7"/>
      <c r="FS465" s="7"/>
      <c r="FT465" s="7"/>
      <c r="FU465" s="7"/>
      <c r="FV465" s="7"/>
      <c r="FW465" s="7"/>
      <c r="FX465" s="7"/>
      <c r="FY465" s="7"/>
      <c r="FZ465" s="7"/>
      <c r="GA465" s="7"/>
      <c r="GB465" s="7"/>
      <c r="GC465" s="7"/>
      <c r="GD465" s="7"/>
      <c r="GE465" s="7"/>
      <c r="GF465" s="7"/>
      <c r="GG465" s="7"/>
      <c r="GH465" s="7"/>
      <c r="GI465" s="7"/>
      <c r="GJ465" s="7"/>
      <c r="GK465" s="7"/>
      <c r="GL465" s="7"/>
      <c r="GM465" s="7"/>
      <c r="GN465" s="7"/>
      <c r="GO465" s="7"/>
      <c r="GP465" s="7"/>
      <c r="GQ465" s="7"/>
      <c r="GR465" s="7"/>
      <c r="GS465" s="7"/>
      <c r="GT465" s="7"/>
      <c r="GU465" s="7"/>
      <c r="GV465" s="7"/>
      <c r="GW465" s="7"/>
      <c r="GX465" s="7"/>
      <c r="GY465" s="7"/>
      <c r="GZ465" s="7"/>
      <c r="HA465" s="7"/>
      <c r="HB465" s="7"/>
    </row>
    <row r="466" customFormat="false" ht="1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c r="FB466" s="7"/>
      <c r="FC466" s="7"/>
      <c r="FD466" s="7"/>
      <c r="FE466" s="7"/>
      <c r="FF466" s="7"/>
      <c r="FG466" s="7"/>
      <c r="FH466" s="7"/>
      <c r="FI466" s="7"/>
      <c r="FJ466" s="7"/>
      <c r="FK466" s="7"/>
      <c r="FL466" s="7"/>
      <c r="FM466" s="7"/>
      <c r="FN466" s="7"/>
      <c r="FO466" s="7"/>
      <c r="FP466" s="7"/>
      <c r="FQ466" s="7"/>
      <c r="FR466" s="7"/>
      <c r="FS466" s="7"/>
      <c r="FT466" s="7"/>
      <c r="FU466" s="7"/>
      <c r="FV466" s="7"/>
      <c r="FW466" s="7"/>
      <c r="FX466" s="7"/>
      <c r="FY466" s="7"/>
      <c r="FZ466" s="7"/>
      <c r="GA466" s="7"/>
      <c r="GB466" s="7"/>
      <c r="GC466" s="7"/>
      <c r="GD466" s="7"/>
      <c r="GE466" s="7"/>
      <c r="GF466" s="7"/>
      <c r="GG466" s="7"/>
      <c r="GH466" s="7"/>
      <c r="GI466" s="7"/>
      <c r="GJ466" s="7"/>
      <c r="GK466" s="7"/>
      <c r="GL466" s="7"/>
      <c r="GM466" s="7"/>
      <c r="GN466" s="7"/>
      <c r="GO466" s="7"/>
      <c r="GP466" s="7"/>
      <c r="GQ466" s="7"/>
      <c r="GR466" s="7"/>
      <c r="GS466" s="7"/>
      <c r="GT466" s="7"/>
      <c r="GU466" s="7"/>
      <c r="GV466" s="7"/>
      <c r="GW466" s="7"/>
      <c r="GX466" s="7"/>
      <c r="GY466" s="7"/>
      <c r="GZ466" s="7"/>
      <c r="HA466" s="7"/>
      <c r="HB466" s="7"/>
    </row>
    <row r="467" customFormat="false" ht="1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c r="FB467" s="7"/>
      <c r="FC467" s="7"/>
      <c r="FD467" s="7"/>
      <c r="FE467" s="7"/>
      <c r="FF467" s="7"/>
      <c r="FG467" s="7"/>
      <c r="FH467" s="7"/>
      <c r="FI467" s="7"/>
      <c r="FJ467" s="7"/>
      <c r="FK467" s="7"/>
      <c r="FL467" s="7"/>
      <c r="FM467" s="7"/>
      <c r="FN467" s="7"/>
      <c r="FO467" s="7"/>
      <c r="FP467" s="7"/>
      <c r="FQ467" s="7"/>
      <c r="FR467" s="7"/>
      <c r="FS467" s="7"/>
      <c r="FT467" s="7"/>
      <c r="FU467" s="7"/>
      <c r="FV467" s="7"/>
      <c r="FW467" s="7"/>
      <c r="FX467" s="7"/>
      <c r="FY467" s="7"/>
      <c r="FZ467" s="7"/>
      <c r="GA467" s="7"/>
      <c r="GB467" s="7"/>
      <c r="GC467" s="7"/>
      <c r="GD467" s="7"/>
      <c r="GE467" s="7"/>
      <c r="GF467" s="7"/>
      <c r="GG467" s="7"/>
      <c r="GH467" s="7"/>
      <c r="GI467" s="7"/>
      <c r="GJ467" s="7"/>
      <c r="GK467" s="7"/>
      <c r="GL467" s="7"/>
      <c r="GM467" s="7"/>
      <c r="GN467" s="7"/>
      <c r="GO467" s="7"/>
      <c r="GP467" s="7"/>
      <c r="GQ467" s="7"/>
      <c r="GR467" s="7"/>
      <c r="GS467" s="7"/>
      <c r="GT467" s="7"/>
      <c r="GU467" s="7"/>
      <c r="GV467" s="7"/>
      <c r="GW467" s="7"/>
      <c r="GX467" s="7"/>
      <c r="GY467" s="7"/>
      <c r="GZ467" s="7"/>
      <c r="HA467" s="7"/>
      <c r="HB467" s="7"/>
    </row>
    <row r="468" customFormat="false" ht="1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c r="FB468" s="7"/>
      <c r="FC468" s="7"/>
      <c r="FD468" s="7"/>
      <c r="FE468" s="7"/>
      <c r="FF468" s="7"/>
      <c r="FG468" s="7"/>
      <c r="FH468" s="7"/>
      <c r="FI468" s="7"/>
      <c r="FJ468" s="7"/>
      <c r="FK468" s="7"/>
      <c r="FL468" s="7"/>
      <c r="FM468" s="7"/>
      <c r="FN468" s="7"/>
      <c r="FO468" s="7"/>
      <c r="FP468" s="7"/>
      <c r="FQ468" s="7"/>
      <c r="FR468" s="7"/>
      <c r="FS468" s="7"/>
      <c r="FT468" s="7"/>
      <c r="FU468" s="7"/>
      <c r="FV468" s="7"/>
      <c r="FW468" s="7"/>
      <c r="FX468" s="7"/>
      <c r="FY468" s="7"/>
      <c r="FZ468" s="7"/>
      <c r="GA468" s="7"/>
      <c r="GB468" s="7"/>
      <c r="GC468" s="7"/>
      <c r="GD468" s="7"/>
      <c r="GE468" s="7"/>
      <c r="GF468" s="7"/>
      <c r="GG468" s="7"/>
      <c r="GH468" s="7"/>
      <c r="GI468" s="7"/>
      <c r="GJ468" s="7"/>
      <c r="GK468" s="7"/>
      <c r="GL468" s="7"/>
      <c r="GM468" s="7"/>
      <c r="GN468" s="7"/>
      <c r="GO468" s="7"/>
      <c r="GP468" s="7"/>
      <c r="GQ468" s="7"/>
      <c r="GR468" s="7"/>
      <c r="GS468" s="7"/>
      <c r="GT468" s="7"/>
      <c r="GU468" s="7"/>
      <c r="GV468" s="7"/>
      <c r="GW468" s="7"/>
      <c r="GX468" s="7"/>
      <c r="GY468" s="7"/>
      <c r="GZ468" s="7"/>
      <c r="HA468" s="7"/>
      <c r="HB468" s="7"/>
    </row>
    <row r="469" customFormat="false" ht="1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c r="FB469" s="7"/>
      <c r="FC469" s="7"/>
      <c r="FD469" s="7"/>
      <c r="FE469" s="7"/>
      <c r="FF469" s="7"/>
      <c r="FG469" s="7"/>
      <c r="FH469" s="7"/>
      <c r="FI469" s="7"/>
      <c r="FJ469" s="7"/>
      <c r="FK469" s="7"/>
      <c r="FL469" s="7"/>
      <c r="FM469" s="7"/>
      <c r="FN469" s="7"/>
      <c r="FO469" s="7"/>
      <c r="FP469" s="7"/>
      <c r="FQ469" s="7"/>
      <c r="FR469" s="7"/>
      <c r="FS469" s="7"/>
      <c r="FT469" s="7"/>
      <c r="FU469" s="7"/>
      <c r="FV469" s="7"/>
      <c r="FW469" s="7"/>
      <c r="FX469" s="7"/>
      <c r="FY469" s="7"/>
      <c r="FZ469" s="7"/>
      <c r="GA469" s="7"/>
      <c r="GB469" s="7"/>
      <c r="GC469" s="7"/>
      <c r="GD469" s="7"/>
      <c r="GE469" s="7"/>
      <c r="GF469" s="7"/>
      <c r="GG469" s="7"/>
      <c r="GH469" s="7"/>
      <c r="GI469" s="7"/>
      <c r="GJ469" s="7"/>
      <c r="GK469" s="7"/>
      <c r="GL469" s="7"/>
      <c r="GM469" s="7"/>
      <c r="GN469" s="7"/>
      <c r="GO469" s="7"/>
      <c r="GP469" s="7"/>
      <c r="GQ469" s="7"/>
      <c r="GR469" s="7"/>
      <c r="GS469" s="7"/>
      <c r="GT469" s="7"/>
      <c r="GU469" s="7"/>
      <c r="GV469" s="7"/>
      <c r="GW469" s="7"/>
      <c r="GX469" s="7"/>
      <c r="GY469" s="7"/>
      <c r="GZ469" s="7"/>
      <c r="HA469" s="7"/>
      <c r="HB469" s="7"/>
    </row>
    <row r="470" customFormat="false" ht="1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c r="FB470" s="7"/>
      <c r="FC470" s="7"/>
      <c r="FD470" s="7"/>
      <c r="FE470" s="7"/>
      <c r="FF470" s="7"/>
      <c r="FG470" s="7"/>
      <c r="FH470" s="7"/>
      <c r="FI470" s="7"/>
      <c r="FJ470" s="7"/>
      <c r="FK470" s="7"/>
      <c r="FL470" s="7"/>
      <c r="FM470" s="7"/>
      <c r="FN470" s="7"/>
      <c r="FO470" s="7"/>
      <c r="FP470" s="7"/>
      <c r="FQ470" s="7"/>
      <c r="FR470" s="7"/>
      <c r="FS470" s="7"/>
      <c r="FT470" s="7"/>
      <c r="FU470" s="7"/>
      <c r="FV470" s="7"/>
      <c r="FW470" s="7"/>
      <c r="FX470" s="7"/>
      <c r="FY470" s="7"/>
      <c r="FZ470" s="7"/>
      <c r="GA470" s="7"/>
      <c r="GB470" s="7"/>
      <c r="GC470" s="7"/>
      <c r="GD470" s="7"/>
      <c r="GE470" s="7"/>
      <c r="GF470" s="7"/>
      <c r="GG470" s="7"/>
      <c r="GH470" s="7"/>
      <c r="GI470" s="7"/>
      <c r="GJ470" s="7"/>
      <c r="GK470" s="7"/>
      <c r="GL470" s="7"/>
      <c r="GM470" s="7"/>
      <c r="GN470" s="7"/>
      <c r="GO470" s="7"/>
      <c r="GP470" s="7"/>
      <c r="GQ470" s="7"/>
      <c r="GR470" s="7"/>
      <c r="GS470" s="7"/>
      <c r="GT470" s="7"/>
      <c r="GU470" s="7"/>
      <c r="GV470" s="7"/>
      <c r="GW470" s="7"/>
      <c r="GX470" s="7"/>
      <c r="GY470" s="7"/>
      <c r="GZ470" s="7"/>
      <c r="HA470" s="7"/>
      <c r="HB470" s="7"/>
    </row>
    <row r="471" customFormat="false" ht="1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c r="FB471" s="7"/>
      <c r="FC471" s="7"/>
      <c r="FD471" s="7"/>
      <c r="FE471" s="7"/>
      <c r="FF471" s="7"/>
      <c r="FG471" s="7"/>
      <c r="FH471" s="7"/>
      <c r="FI471" s="7"/>
      <c r="FJ471" s="7"/>
      <c r="FK471" s="7"/>
      <c r="FL471" s="7"/>
      <c r="FM471" s="7"/>
      <c r="FN471" s="7"/>
      <c r="FO471" s="7"/>
      <c r="FP471" s="7"/>
      <c r="FQ471" s="7"/>
      <c r="FR471" s="7"/>
      <c r="FS471" s="7"/>
      <c r="FT471" s="7"/>
      <c r="FU471" s="7"/>
      <c r="FV471" s="7"/>
      <c r="FW471" s="7"/>
      <c r="FX471" s="7"/>
      <c r="FY471" s="7"/>
      <c r="FZ471" s="7"/>
      <c r="GA471" s="7"/>
      <c r="GB471" s="7"/>
      <c r="GC471" s="7"/>
      <c r="GD471" s="7"/>
      <c r="GE471" s="7"/>
      <c r="GF471" s="7"/>
      <c r="GG471" s="7"/>
      <c r="GH471" s="7"/>
      <c r="GI471" s="7"/>
      <c r="GJ471" s="7"/>
      <c r="GK471" s="7"/>
      <c r="GL471" s="7"/>
      <c r="GM471" s="7"/>
      <c r="GN471" s="7"/>
      <c r="GO471" s="7"/>
      <c r="GP471" s="7"/>
      <c r="GQ471" s="7"/>
      <c r="GR471" s="7"/>
      <c r="GS471" s="7"/>
      <c r="GT471" s="7"/>
      <c r="GU471" s="7"/>
      <c r="GV471" s="7"/>
      <c r="GW471" s="7"/>
      <c r="GX471" s="7"/>
      <c r="GY471" s="7"/>
      <c r="GZ471" s="7"/>
      <c r="HA471" s="7"/>
      <c r="HB471" s="7"/>
    </row>
    <row r="472" customFormat="false" ht="1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c r="FB472" s="7"/>
      <c r="FC472" s="7"/>
      <c r="FD472" s="7"/>
      <c r="FE472" s="7"/>
      <c r="FF472" s="7"/>
      <c r="FG472" s="7"/>
      <c r="FH472" s="7"/>
      <c r="FI472" s="7"/>
      <c r="FJ472" s="7"/>
      <c r="FK472" s="7"/>
      <c r="FL472" s="7"/>
      <c r="FM472" s="7"/>
      <c r="FN472" s="7"/>
      <c r="FO472" s="7"/>
      <c r="FP472" s="7"/>
      <c r="FQ472" s="7"/>
      <c r="FR472" s="7"/>
      <c r="FS472" s="7"/>
      <c r="FT472" s="7"/>
      <c r="FU472" s="7"/>
      <c r="FV472" s="7"/>
      <c r="FW472" s="7"/>
      <c r="FX472" s="7"/>
      <c r="FY472" s="7"/>
      <c r="FZ472" s="7"/>
      <c r="GA472" s="7"/>
      <c r="GB472" s="7"/>
      <c r="GC472" s="7"/>
      <c r="GD472" s="7"/>
      <c r="GE472" s="7"/>
      <c r="GF472" s="7"/>
      <c r="GG472" s="7"/>
      <c r="GH472" s="7"/>
      <c r="GI472" s="7"/>
      <c r="GJ472" s="7"/>
      <c r="GK472" s="7"/>
      <c r="GL472" s="7"/>
      <c r="GM472" s="7"/>
      <c r="GN472" s="7"/>
      <c r="GO472" s="7"/>
      <c r="GP472" s="7"/>
      <c r="GQ472" s="7"/>
      <c r="GR472" s="7"/>
      <c r="GS472" s="7"/>
      <c r="GT472" s="7"/>
      <c r="GU472" s="7"/>
      <c r="GV472" s="7"/>
      <c r="GW472" s="7"/>
      <c r="GX472" s="7"/>
      <c r="GY472" s="7"/>
      <c r="GZ472" s="7"/>
      <c r="HA472" s="7"/>
      <c r="HB472" s="7"/>
    </row>
    <row r="473" customFormat="false" ht="1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c r="FB473" s="7"/>
      <c r="FC473" s="7"/>
      <c r="FD473" s="7"/>
      <c r="FE473" s="7"/>
      <c r="FF473" s="7"/>
      <c r="FG473" s="7"/>
      <c r="FH473" s="7"/>
      <c r="FI473" s="7"/>
      <c r="FJ473" s="7"/>
      <c r="FK473" s="7"/>
      <c r="FL473" s="7"/>
      <c r="FM473" s="7"/>
      <c r="FN473" s="7"/>
      <c r="FO473" s="7"/>
      <c r="FP473" s="7"/>
      <c r="FQ473" s="7"/>
      <c r="FR473" s="7"/>
      <c r="FS473" s="7"/>
      <c r="FT473" s="7"/>
      <c r="FU473" s="7"/>
      <c r="FV473" s="7"/>
      <c r="FW473" s="7"/>
      <c r="FX473" s="7"/>
      <c r="FY473" s="7"/>
      <c r="FZ473" s="7"/>
      <c r="GA473" s="7"/>
      <c r="GB473" s="7"/>
      <c r="GC473" s="7"/>
      <c r="GD473" s="7"/>
      <c r="GE473" s="7"/>
      <c r="GF473" s="7"/>
      <c r="GG473" s="7"/>
      <c r="GH473" s="7"/>
      <c r="GI473" s="7"/>
      <c r="GJ473" s="7"/>
      <c r="GK473" s="7"/>
      <c r="GL473" s="7"/>
      <c r="GM473" s="7"/>
      <c r="GN473" s="7"/>
      <c r="GO473" s="7"/>
      <c r="GP473" s="7"/>
      <c r="GQ473" s="7"/>
      <c r="GR473" s="7"/>
      <c r="GS473" s="7"/>
      <c r="GT473" s="7"/>
      <c r="GU473" s="7"/>
      <c r="GV473" s="7"/>
      <c r="GW473" s="7"/>
      <c r="GX473" s="7"/>
      <c r="GY473" s="7"/>
      <c r="GZ473" s="7"/>
      <c r="HA473" s="7"/>
      <c r="HB473" s="7"/>
    </row>
    <row r="474" customFormat="false" ht="1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c r="FB474" s="7"/>
      <c r="FC474" s="7"/>
      <c r="FD474" s="7"/>
      <c r="FE474" s="7"/>
      <c r="FF474" s="7"/>
      <c r="FG474" s="7"/>
      <c r="FH474" s="7"/>
      <c r="FI474" s="7"/>
      <c r="FJ474" s="7"/>
      <c r="FK474" s="7"/>
      <c r="FL474" s="7"/>
      <c r="FM474" s="7"/>
      <c r="FN474" s="7"/>
      <c r="FO474" s="7"/>
      <c r="FP474" s="7"/>
      <c r="FQ474" s="7"/>
      <c r="FR474" s="7"/>
      <c r="FS474" s="7"/>
      <c r="FT474" s="7"/>
      <c r="FU474" s="7"/>
      <c r="FV474" s="7"/>
      <c r="FW474" s="7"/>
      <c r="FX474" s="7"/>
      <c r="FY474" s="7"/>
      <c r="FZ474" s="7"/>
      <c r="GA474" s="7"/>
      <c r="GB474" s="7"/>
      <c r="GC474" s="7"/>
      <c r="GD474" s="7"/>
      <c r="GE474" s="7"/>
      <c r="GF474" s="7"/>
      <c r="GG474" s="7"/>
      <c r="GH474" s="7"/>
      <c r="GI474" s="7"/>
      <c r="GJ474" s="7"/>
      <c r="GK474" s="7"/>
      <c r="GL474" s="7"/>
      <c r="GM474" s="7"/>
      <c r="GN474" s="7"/>
      <c r="GO474" s="7"/>
      <c r="GP474" s="7"/>
      <c r="GQ474" s="7"/>
      <c r="GR474" s="7"/>
      <c r="GS474" s="7"/>
      <c r="GT474" s="7"/>
      <c r="GU474" s="7"/>
      <c r="GV474" s="7"/>
      <c r="GW474" s="7"/>
      <c r="GX474" s="7"/>
      <c r="GY474" s="7"/>
      <c r="GZ474" s="7"/>
      <c r="HA474" s="7"/>
      <c r="HB474" s="7"/>
    </row>
    <row r="475" customFormat="false" ht="1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c r="FB475" s="7"/>
      <c r="FC475" s="7"/>
      <c r="FD475" s="7"/>
      <c r="FE475" s="7"/>
      <c r="FF475" s="7"/>
      <c r="FG475" s="7"/>
      <c r="FH475" s="7"/>
      <c r="FI475" s="7"/>
      <c r="FJ475" s="7"/>
      <c r="FK475" s="7"/>
      <c r="FL475" s="7"/>
      <c r="FM475" s="7"/>
      <c r="FN475" s="7"/>
      <c r="FO475" s="7"/>
      <c r="FP475" s="7"/>
      <c r="FQ475" s="7"/>
      <c r="FR475" s="7"/>
      <c r="FS475" s="7"/>
      <c r="FT475" s="7"/>
      <c r="FU475" s="7"/>
      <c r="FV475" s="7"/>
      <c r="FW475" s="7"/>
      <c r="FX475" s="7"/>
      <c r="FY475" s="7"/>
      <c r="FZ475" s="7"/>
      <c r="GA475" s="7"/>
      <c r="GB475" s="7"/>
      <c r="GC475" s="7"/>
      <c r="GD475" s="7"/>
      <c r="GE475" s="7"/>
      <c r="GF475" s="7"/>
      <c r="GG475" s="7"/>
      <c r="GH475" s="7"/>
      <c r="GI475" s="7"/>
      <c r="GJ475" s="7"/>
      <c r="GK475" s="7"/>
      <c r="GL475" s="7"/>
      <c r="GM475" s="7"/>
      <c r="GN475" s="7"/>
      <c r="GO475" s="7"/>
      <c r="GP475" s="7"/>
      <c r="GQ475" s="7"/>
      <c r="GR475" s="7"/>
      <c r="GS475" s="7"/>
      <c r="GT475" s="7"/>
      <c r="GU475" s="7"/>
      <c r="GV475" s="7"/>
      <c r="GW475" s="7"/>
      <c r="GX475" s="7"/>
      <c r="GY475" s="7"/>
      <c r="GZ475" s="7"/>
      <c r="HA475" s="7"/>
      <c r="HB475" s="7"/>
    </row>
    <row r="476" customFormat="false" ht="1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c r="FB476" s="7"/>
      <c r="FC476" s="7"/>
      <c r="FD476" s="7"/>
      <c r="FE476" s="7"/>
      <c r="FF476" s="7"/>
      <c r="FG476" s="7"/>
      <c r="FH476" s="7"/>
      <c r="FI476" s="7"/>
      <c r="FJ476" s="7"/>
      <c r="FK476" s="7"/>
      <c r="FL476" s="7"/>
      <c r="FM476" s="7"/>
      <c r="FN476" s="7"/>
      <c r="FO476" s="7"/>
      <c r="FP476" s="7"/>
      <c r="FQ476" s="7"/>
      <c r="FR476" s="7"/>
      <c r="FS476" s="7"/>
      <c r="FT476" s="7"/>
      <c r="FU476" s="7"/>
      <c r="FV476" s="7"/>
      <c r="FW476" s="7"/>
      <c r="FX476" s="7"/>
      <c r="FY476" s="7"/>
      <c r="FZ476" s="7"/>
      <c r="GA476" s="7"/>
      <c r="GB476" s="7"/>
      <c r="GC476" s="7"/>
      <c r="GD476" s="7"/>
      <c r="GE476" s="7"/>
      <c r="GF476" s="7"/>
      <c r="GG476" s="7"/>
      <c r="GH476" s="7"/>
      <c r="GI476" s="7"/>
      <c r="GJ476" s="7"/>
      <c r="GK476" s="7"/>
      <c r="GL476" s="7"/>
      <c r="GM476" s="7"/>
      <c r="GN476" s="7"/>
      <c r="GO476" s="7"/>
      <c r="GP476" s="7"/>
      <c r="GQ476" s="7"/>
      <c r="GR476" s="7"/>
      <c r="GS476" s="7"/>
      <c r="GT476" s="7"/>
      <c r="GU476" s="7"/>
      <c r="GV476" s="7"/>
      <c r="GW476" s="7"/>
      <c r="GX476" s="7"/>
      <c r="GY476" s="7"/>
      <c r="GZ476" s="7"/>
      <c r="HA476" s="7"/>
      <c r="HB476" s="7"/>
    </row>
    <row r="477" customFormat="false" ht="1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c r="FB477" s="7"/>
      <c r="FC477" s="7"/>
      <c r="FD477" s="7"/>
      <c r="FE477" s="7"/>
      <c r="FF477" s="7"/>
      <c r="FG477" s="7"/>
      <c r="FH477" s="7"/>
      <c r="FI477" s="7"/>
      <c r="FJ477" s="7"/>
      <c r="FK477" s="7"/>
      <c r="FL477" s="7"/>
      <c r="FM477" s="7"/>
      <c r="FN477" s="7"/>
      <c r="FO477" s="7"/>
      <c r="FP477" s="7"/>
      <c r="FQ477" s="7"/>
      <c r="FR477" s="7"/>
      <c r="FS477" s="7"/>
      <c r="FT477" s="7"/>
      <c r="FU477" s="7"/>
      <c r="FV477" s="7"/>
      <c r="FW477" s="7"/>
      <c r="FX477" s="7"/>
      <c r="FY477" s="7"/>
      <c r="FZ477" s="7"/>
      <c r="GA477" s="7"/>
      <c r="GB477" s="7"/>
      <c r="GC477" s="7"/>
      <c r="GD477" s="7"/>
      <c r="GE477" s="7"/>
      <c r="GF477" s="7"/>
      <c r="GG477" s="7"/>
      <c r="GH477" s="7"/>
      <c r="GI477" s="7"/>
      <c r="GJ477" s="7"/>
      <c r="GK477" s="7"/>
      <c r="GL477" s="7"/>
      <c r="GM477" s="7"/>
      <c r="GN477" s="7"/>
      <c r="GO477" s="7"/>
      <c r="GP477" s="7"/>
      <c r="GQ477" s="7"/>
      <c r="GR477" s="7"/>
      <c r="GS477" s="7"/>
      <c r="GT477" s="7"/>
      <c r="GU477" s="7"/>
      <c r="GV477" s="7"/>
      <c r="GW477" s="7"/>
      <c r="GX477" s="7"/>
      <c r="GY477" s="7"/>
      <c r="GZ477" s="7"/>
      <c r="HA477" s="7"/>
      <c r="HB477" s="7"/>
    </row>
    <row r="478" customFormat="false" ht="1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c r="FB478" s="7"/>
      <c r="FC478" s="7"/>
      <c r="FD478" s="7"/>
      <c r="FE478" s="7"/>
      <c r="FF478" s="7"/>
      <c r="FG478" s="7"/>
      <c r="FH478" s="7"/>
      <c r="FI478" s="7"/>
      <c r="FJ478" s="7"/>
      <c r="FK478" s="7"/>
      <c r="FL478" s="7"/>
      <c r="FM478" s="7"/>
      <c r="FN478" s="7"/>
      <c r="FO478" s="7"/>
      <c r="FP478" s="7"/>
      <c r="FQ478" s="7"/>
      <c r="FR478" s="7"/>
      <c r="FS478" s="7"/>
      <c r="FT478" s="7"/>
      <c r="FU478" s="7"/>
      <c r="FV478" s="7"/>
      <c r="FW478" s="7"/>
      <c r="FX478" s="7"/>
      <c r="FY478" s="7"/>
      <c r="FZ478" s="7"/>
      <c r="GA478" s="7"/>
      <c r="GB478" s="7"/>
      <c r="GC478" s="7"/>
      <c r="GD478" s="7"/>
      <c r="GE478" s="7"/>
      <c r="GF478" s="7"/>
      <c r="GG478" s="7"/>
      <c r="GH478" s="7"/>
      <c r="GI478" s="7"/>
      <c r="GJ478" s="7"/>
      <c r="GK478" s="7"/>
      <c r="GL478" s="7"/>
      <c r="GM478" s="7"/>
      <c r="GN478" s="7"/>
      <c r="GO478" s="7"/>
      <c r="GP478" s="7"/>
      <c r="GQ478" s="7"/>
      <c r="GR478" s="7"/>
      <c r="GS478" s="7"/>
      <c r="GT478" s="7"/>
      <c r="GU478" s="7"/>
      <c r="GV478" s="7"/>
      <c r="GW478" s="7"/>
      <c r="GX478" s="7"/>
      <c r="GY478" s="7"/>
      <c r="GZ478" s="7"/>
      <c r="HA478" s="7"/>
      <c r="HB478" s="7"/>
    </row>
    <row r="479" customFormat="false" ht="1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c r="FB479" s="7"/>
      <c r="FC479" s="7"/>
      <c r="FD479" s="7"/>
      <c r="FE479" s="7"/>
      <c r="FF479" s="7"/>
      <c r="FG479" s="7"/>
      <c r="FH479" s="7"/>
      <c r="FI479" s="7"/>
      <c r="FJ479" s="7"/>
      <c r="FK479" s="7"/>
      <c r="FL479" s="7"/>
      <c r="FM479" s="7"/>
      <c r="FN479" s="7"/>
      <c r="FO479" s="7"/>
      <c r="FP479" s="7"/>
      <c r="FQ479" s="7"/>
      <c r="FR479" s="7"/>
      <c r="FS479" s="7"/>
      <c r="FT479" s="7"/>
      <c r="FU479" s="7"/>
      <c r="FV479" s="7"/>
      <c r="FW479" s="7"/>
      <c r="FX479" s="7"/>
      <c r="FY479" s="7"/>
      <c r="FZ479" s="7"/>
      <c r="GA479" s="7"/>
      <c r="GB479" s="7"/>
      <c r="GC479" s="7"/>
      <c r="GD479" s="7"/>
      <c r="GE479" s="7"/>
      <c r="GF479" s="7"/>
      <c r="GG479" s="7"/>
      <c r="GH479" s="7"/>
      <c r="GI479" s="7"/>
      <c r="GJ479" s="7"/>
      <c r="GK479" s="7"/>
      <c r="GL479" s="7"/>
      <c r="GM479" s="7"/>
      <c r="GN479" s="7"/>
      <c r="GO479" s="7"/>
      <c r="GP479" s="7"/>
      <c r="GQ479" s="7"/>
      <c r="GR479" s="7"/>
      <c r="GS479" s="7"/>
      <c r="GT479" s="7"/>
      <c r="GU479" s="7"/>
      <c r="GV479" s="7"/>
      <c r="GW479" s="7"/>
      <c r="GX479" s="7"/>
      <c r="GY479" s="7"/>
      <c r="GZ479" s="7"/>
      <c r="HA479" s="7"/>
      <c r="HB479" s="7"/>
    </row>
    <row r="480" customFormat="false" ht="1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c r="FB480" s="7"/>
      <c r="FC480" s="7"/>
      <c r="FD480" s="7"/>
      <c r="FE480" s="7"/>
      <c r="FF480" s="7"/>
      <c r="FG480" s="7"/>
      <c r="FH480" s="7"/>
      <c r="FI480" s="7"/>
      <c r="FJ480" s="7"/>
      <c r="FK480" s="7"/>
      <c r="FL480" s="7"/>
      <c r="FM480" s="7"/>
      <c r="FN480" s="7"/>
      <c r="FO480" s="7"/>
      <c r="FP480" s="7"/>
      <c r="FQ480" s="7"/>
      <c r="FR480" s="7"/>
      <c r="FS480" s="7"/>
      <c r="FT480" s="7"/>
      <c r="FU480" s="7"/>
      <c r="FV480" s="7"/>
      <c r="FW480" s="7"/>
      <c r="FX480" s="7"/>
      <c r="FY480" s="7"/>
      <c r="FZ480" s="7"/>
      <c r="GA480" s="7"/>
      <c r="GB480" s="7"/>
      <c r="GC480" s="7"/>
      <c r="GD480" s="7"/>
      <c r="GE480" s="7"/>
      <c r="GF480" s="7"/>
      <c r="GG480" s="7"/>
      <c r="GH480" s="7"/>
      <c r="GI480" s="7"/>
      <c r="GJ480" s="7"/>
      <c r="GK480" s="7"/>
      <c r="GL480" s="7"/>
      <c r="GM480" s="7"/>
      <c r="GN480" s="7"/>
      <c r="GO480" s="7"/>
      <c r="GP480" s="7"/>
      <c r="GQ480" s="7"/>
      <c r="GR480" s="7"/>
      <c r="GS480" s="7"/>
      <c r="GT480" s="7"/>
      <c r="GU480" s="7"/>
      <c r="GV480" s="7"/>
      <c r="GW480" s="7"/>
      <c r="GX480" s="7"/>
      <c r="GY480" s="7"/>
      <c r="GZ480" s="7"/>
      <c r="HA480" s="7"/>
      <c r="HB480" s="7"/>
    </row>
    <row r="481" customFormat="false" ht="1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c r="FB481" s="7"/>
      <c r="FC481" s="7"/>
      <c r="FD481" s="7"/>
      <c r="FE481" s="7"/>
      <c r="FF481" s="7"/>
      <c r="FG481" s="7"/>
      <c r="FH481" s="7"/>
      <c r="FI481" s="7"/>
      <c r="FJ481" s="7"/>
      <c r="FK481" s="7"/>
      <c r="FL481" s="7"/>
      <c r="FM481" s="7"/>
      <c r="FN481" s="7"/>
      <c r="FO481" s="7"/>
      <c r="FP481" s="7"/>
      <c r="FQ481" s="7"/>
      <c r="FR481" s="7"/>
      <c r="FS481" s="7"/>
      <c r="FT481" s="7"/>
      <c r="FU481" s="7"/>
      <c r="FV481" s="7"/>
      <c r="FW481" s="7"/>
      <c r="FX481" s="7"/>
      <c r="FY481" s="7"/>
      <c r="FZ481" s="7"/>
      <c r="GA481" s="7"/>
      <c r="GB481" s="7"/>
      <c r="GC481" s="7"/>
      <c r="GD481" s="7"/>
      <c r="GE481" s="7"/>
      <c r="GF481" s="7"/>
      <c r="GG481" s="7"/>
      <c r="GH481" s="7"/>
      <c r="GI481" s="7"/>
      <c r="GJ481" s="7"/>
      <c r="GK481" s="7"/>
      <c r="GL481" s="7"/>
      <c r="GM481" s="7"/>
      <c r="GN481" s="7"/>
      <c r="GO481" s="7"/>
      <c r="GP481" s="7"/>
      <c r="GQ481" s="7"/>
      <c r="GR481" s="7"/>
      <c r="GS481" s="7"/>
      <c r="GT481" s="7"/>
      <c r="GU481" s="7"/>
      <c r="GV481" s="7"/>
      <c r="GW481" s="7"/>
      <c r="GX481" s="7"/>
      <c r="GY481" s="7"/>
      <c r="GZ481" s="7"/>
      <c r="HA481" s="7"/>
      <c r="HB481" s="7"/>
    </row>
    <row r="482" customFormat="false" ht="1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c r="FB482" s="7"/>
      <c r="FC482" s="7"/>
      <c r="FD482" s="7"/>
      <c r="FE482" s="7"/>
      <c r="FF482" s="7"/>
      <c r="FG482" s="7"/>
      <c r="FH482" s="7"/>
      <c r="FI482" s="7"/>
      <c r="FJ482" s="7"/>
      <c r="FK482" s="7"/>
      <c r="FL482" s="7"/>
      <c r="FM482" s="7"/>
      <c r="FN482" s="7"/>
      <c r="FO482" s="7"/>
      <c r="FP482" s="7"/>
      <c r="FQ482" s="7"/>
      <c r="FR482" s="7"/>
      <c r="FS482" s="7"/>
      <c r="FT482" s="7"/>
      <c r="FU482" s="7"/>
      <c r="FV482" s="7"/>
      <c r="FW482" s="7"/>
      <c r="FX482" s="7"/>
      <c r="FY482" s="7"/>
      <c r="FZ482" s="7"/>
      <c r="GA482" s="7"/>
      <c r="GB482" s="7"/>
      <c r="GC482" s="7"/>
      <c r="GD482" s="7"/>
      <c r="GE482" s="7"/>
      <c r="GF482" s="7"/>
      <c r="GG482" s="7"/>
      <c r="GH482" s="7"/>
      <c r="GI482" s="7"/>
      <c r="GJ482" s="7"/>
      <c r="GK482" s="7"/>
      <c r="GL482" s="7"/>
      <c r="GM482" s="7"/>
      <c r="GN482" s="7"/>
      <c r="GO482" s="7"/>
      <c r="GP482" s="7"/>
      <c r="GQ482" s="7"/>
      <c r="GR482" s="7"/>
      <c r="GS482" s="7"/>
      <c r="GT482" s="7"/>
      <c r="GU482" s="7"/>
      <c r="GV482" s="7"/>
      <c r="GW482" s="7"/>
      <c r="GX482" s="7"/>
      <c r="GY482" s="7"/>
      <c r="GZ482" s="7"/>
      <c r="HA482" s="7"/>
      <c r="HB482" s="7"/>
    </row>
    <row r="483" customFormat="false" ht="1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c r="FB483" s="7"/>
      <c r="FC483" s="7"/>
      <c r="FD483" s="7"/>
      <c r="FE483" s="7"/>
      <c r="FF483" s="7"/>
      <c r="FG483" s="7"/>
      <c r="FH483" s="7"/>
      <c r="FI483" s="7"/>
      <c r="FJ483" s="7"/>
      <c r="FK483" s="7"/>
      <c r="FL483" s="7"/>
      <c r="FM483" s="7"/>
      <c r="FN483" s="7"/>
      <c r="FO483" s="7"/>
      <c r="FP483" s="7"/>
      <c r="FQ483" s="7"/>
      <c r="FR483" s="7"/>
      <c r="FS483" s="7"/>
      <c r="FT483" s="7"/>
      <c r="FU483" s="7"/>
      <c r="FV483" s="7"/>
      <c r="FW483" s="7"/>
      <c r="FX483" s="7"/>
      <c r="FY483" s="7"/>
      <c r="FZ483" s="7"/>
      <c r="GA483" s="7"/>
      <c r="GB483" s="7"/>
      <c r="GC483" s="7"/>
      <c r="GD483" s="7"/>
      <c r="GE483" s="7"/>
      <c r="GF483" s="7"/>
      <c r="GG483" s="7"/>
      <c r="GH483" s="7"/>
      <c r="GI483" s="7"/>
      <c r="GJ483" s="7"/>
      <c r="GK483" s="7"/>
      <c r="GL483" s="7"/>
      <c r="GM483" s="7"/>
      <c r="GN483" s="7"/>
      <c r="GO483" s="7"/>
      <c r="GP483" s="7"/>
      <c r="GQ483" s="7"/>
      <c r="GR483" s="7"/>
      <c r="GS483" s="7"/>
      <c r="GT483" s="7"/>
      <c r="GU483" s="7"/>
      <c r="GV483" s="7"/>
      <c r="GW483" s="7"/>
      <c r="GX483" s="7"/>
      <c r="GY483" s="7"/>
      <c r="GZ483" s="7"/>
      <c r="HA483" s="7"/>
      <c r="HB483" s="7"/>
    </row>
    <row r="484" customFormat="false" ht="1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c r="FB484" s="7"/>
      <c r="FC484" s="7"/>
      <c r="FD484" s="7"/>
      <c r="FE484" s="7"/>
      <c r="FF484" s="7"/>
      <c r="FG484" s="7"/>
      <c r="FH484" s="7"/>
      <c r="FI484" s="7"/>
      <c r="FJ484" s="7"/>
      <c r="FK484" s="7"/>
      <c r="FL484" s="7"/>
      <c r="FM484" s="7"/>
      <c r="FN484" s="7"/>
      <c r="FO484" s="7"/>
      <c r="FP484" s="7"/>
      <c r="FQ484" s="7"/>
      <c r="FR484" s="7"/>
      <c r="FS484" s="7"/>
      <c r="FT484" s="7"/>
      <c r="FU484" s="7"/>
      <c r="FV484" s="7"/>
      <c r="FW484" s="7"/>
      <c r="FX484" s="7"/>
      <c r="FY484" s="7"/>
      <c r="FZ484" s="7"/>
      <c r="GA484" s="7"/>
      <c r="GB484" s="7"/>
      <c r="GC484" s="7"/>
      <c r="GD484" s="7"/>
      <c r="GE484" s="7"/>
      <c r="GF484" s="7"/>
      <c r="GG484" s="7"/>
      <c r="GH484" s="7"/>
      <c r="GI484" s="7"/>
      <c r="GJ484" s="7"/>
      <c r="GK484" s="7"/>
      <c r="GL484" s="7"/>
      <c r="GM484" s="7"/>
      <c r="GN484" s="7"/>
      <c r="GO484" s="7"/>
      <c r="GP484" s="7"/>
      <c r="GQ484" s="7"/>
      <c r="GR484" s="7"/>
      <c r="GS484" s="7"/>
      <c r="GT484" s="7"/>
      <c r="GU484" s="7"/>
      <c r="GV484" s="7"/>
      <c r="GW484" s="7"/>
      <c r="GX484" s="7"/>
      <c r="GY484" s="7"/>
      <c r="GZ484" s="7"/>
      <c r="HA484" s="7"/>
      <c r="HB484" s="7"/>
    </row>
    <row r="485" customFormat="false" ht="1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c r="FB485" s="7"/>
      <c r="FC485" s="7"/>
      <c r="FD485" s="7"/>
      <c r="FE485" s="7"/>
      <c r="FF485" s="7"/>
      <c r="FG485" s="7"/>
      <c r="FH485" s="7"/>
      <c r="FI485" s="7"/>
      <c r="FJ485" s="7"/>
      <c r="FK485" s="7"/>
      <c r="FL485" s="7"/>
      <c r="FM485" s="7"/>
      <c r="FN485" s="7"/>
      <c r="FO485" s="7"/>
      <c r="FP485" s="7"/>
      <c r="FQ485" s="7"/>
      <c r="FR485" s="7"/>
      <c r="FS485" s="7"/>
      <c r="FT485" s="7"/>
      <c r="FU485" s="7"/>
      <c r="FV485" s="7"/>
      <c r="FW485" s="7"/>
      <c r="FX485" s="7"/>
      <c r="FY485" s="7"/>
      <c r="FZ485" s="7"/>
      <c r="GA485" s="7"/>
      <c r="GB485" s="7"/>
      <c r="GC485" s="7"/>
      <c r="GD485" s="7"/>
      <c r="GE485" s="7"/>
      <c r="GF485" s="7"/>
      <c r="GG485" s="7"/>
      <c r="GH485" s="7"/>
      <c r="GI485" s="7"/>
      <c r="GJ485" s="7"/>
      <c r="GK485" s="7"/>
      <c r="GL485" s="7"/>
      <c r="GM485" s="7"/>
      <c r="GN485" s="7"/>
      <c r="GO485" s="7"/>
      <c r="GP485" s="7"/>
      <c r="GQ485" s="7"/>
      <c r="GR485" s="7"/>
      <c r="GS485" s="7"/>
      <c r="GT485" s="7"/>
      <c r="GU485" s="7"/>
      <c r="GV485" s="7"/>
      <c r="GW485" s="7"/>
      <c r="GX485" s="7"/>
      <c r="GY485" s="7"/>
      <c r="GZ485" s="7"/>
      <c r="HA485" s="7"/>
      <c r="HB485" s="7"/>
    </row>
    <row r="486" customFormat="false" ht="1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c r="FB486" s="7"/>
      <c r="FC486" s="7"/>
      <c r="FD486" s="7"/>
      <c r="FE486" s="7"/>
      <c r="FF486" s="7"/>
      <c r="FG486" s="7"/>
      <c r="FH486" s="7"/>
      <c r="FI486" s="7"/>
      <c r="FJ486" s="7"/>
      <c r="FK486" s="7"/>
      <c r="FL486" s="7"/>
      <c r="FM486" s="7"/>
      <c r="FN486" s="7"/>
      <c r="FO486" s="7"/>
      <c r="FP486" s="7"/>
      <c r="FQ486" s="7"/>
      <c r="FR486" s="7"/>
      <c r="FS486" s="7"/>
      <c r="FT486" s="7"/>
      <c r="FU486" s="7"/>
      <c r="FV486" s="7"/>
      <c r="FW486" s="7"/>
      <c r="FX486" s="7"/>
      <c r="FY486" s="7"/>
      <c r="FZ486" s="7"/>
      <c r="GA486" s="7"/>
      <c r="GB486" s="7"/>
      <c r="GC486" s="7"/>
      <c r="GD486" s="7"/>
      <c r="GE486" s="7"/>
      <c r="GF486" s="7"/>
      <c r="GG486" s="7"/>
      <c r="GH486" s="7"/>
      <c r="GI486" s="7"/>
      <c r="GJ486" s="7"/>
      <c r="GK486" s="7"/>
      <c r="GL486" s="7"/>
      <c r="GM486" s="7"/>
      <c r="GN486" s="7"/>
      <c r="GO486" s="7"/>
      <c r="GP486" s="7"/>
      <c r="GQ486" s="7"/>
      <c r="GR486" s="7"/>
      <c r="GS486" s="7"/>
      <c r="GT486" s="7"/>
      <c r="GU486" s="7"/>
      <c r="GV486" s="7"/>
      <c r="GW486" s="7"/>
      <c r="GX486" s="7"/>
      <c r="GY486" s="7"/>
      <c r="GZ486" s="7"/>
      <c r="HA486" s="7"/>
      <c r="HB486" s="7"/>
    </row>
    <row r="487" customFormat="false" ht="1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c r="FB487" s="7"/>
      <c r="FC487" s="7"/>
      <c r="FD487" s="7"/>
      <c r="FE487" s="7"/>
      <c r="FF487" s="7"/>
      <c r="FG487" s="7"/>
      <c r="FH487" s="7"/>
      <c r="FI487" s="7"/>
      <c r="FJ487" s="7"/>
      <c r="FK487" s="7"/>
      <c r="FL487" s="7"/>
      <c r="FM487" s="7"/>
      <c r="FN487" s="7"/>
      <c r="FO487" s="7"/>
      <c r="FP487" s="7"/>
      <c r="FQ487" s="7"/>
      <c r="FR487" s="7"/>
      <c r="FS487" s="7"/>
      <c r="FT487" s="7"/>
      <c r="FU487" s="7"/>
      <c r="FV487" s="7"/>
      <c r="FW487" s="7"/>
      <c r="FX487" s="7"/>
      <c r="FY487" s="7"/>
      <c r="FZ487" s="7"/>
      <c r="GA487" s="7"/>
      <c r="GB487" s="7"/>
      <c r="GC487" s="7"/>
      <c r="GD487" s="7"/>
      <c r="GE487" s="7"/>
      <c r="GF487" s="7"/>
      <c r="GG487" s="7"/>
      <c r="GH487" s="7"/>
      <c r="GI487" s="7"/>
      <c r="GJ487" s="7"/>
      <c r="GK487" s="7"/>
      <c r="GL487" s="7"/>
      <c r="GM487" s="7"/>
      <c r="GN487" s="7"/>
      <c r="GO487" s="7"/>
      <c r="GP487" s="7"/>
      <c r="GQ487" s="7"/>
      <c r="GR487" s="7"/>
      <c r="GS487" s="7"/>
      <c r="GT487" s="7"/>
      <c r="GU487" s="7"/>
      <c r="GV487" s="7"/>
      <c r="GW487" s="7"/>
      <c r="GX487" s="7"/>
      <c r="GY487" s="7"/>
      <c r="GZ487" s="7"/>
      <c r="HA487" s="7"/>
      <c r="HB487" s="7"/>
    </row>
    <row r="488" customFormat="false" ht="1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c r="FB488" s="7"/>
      <c r="FC488" s="7"/>
      <c r="FD488" s="7"/>
      <c r="FE488" s="7"/>
      <c r="FF488" s="7"/>
      <c r="FG488" s="7"/>
      <c r="FH488" s="7"/>
      <c r="FI488" s="7"/>
      <c r="FJ488" s="7"/>
      <c r="FK488" s="7"/>
      <c r="FL488" s="7"/>
      <c r="FM488" s="7"/>
      <c r="FN488" s="7"/>
      <c r="FO488" s="7"/>
      <c r="FP488" s="7"/>
      <c r="FQ488" s="7"/>
      <c r="FR488" s="7"/>
      <c r="FS488" s="7"/>
      <c r="FT488" s="7"/>
      <c r="FU488" s="7"/>
      <c r="FV488" s="7"/>
      <c r="FW488" s="7"/>
      <c r="FX488" s="7"/>
      <c r="FY488" s="7"/>
      <c r="FZ488" s="7"/>
      <c r="GA488" s="7"/>
      <c r="GB488" s="7"/>
      <c r="GC488" s="7"/>
      <c r="GD488" s="7"/>
      <c r="GE488" s="7"/>
      <c r="GF488" s="7"/>
      <c r="GG488" s="7"/>
      <c r="GH488" s="7"/>
      <c r="GI488" s="7"/>
      <c r="GJ488" s="7"/>
      <c r="GK488" s="7"/>
      <c r="GL488" s="7"/>
      <c r="GM488" s="7"/>
      <c r="GN488" s="7"/>
      <c r="GO488" s="7"/>
      <c r="GP488" s="7"/>
      <c r="GQ488" s="7"/>
      <c r="GR488" s="7"/>
      <c r="GS488" s="7"/>
      <c r="GT488" s="7"/>
      <c r="GU488" s="7"/>
      <c r="GV488" s="7"/>
      <c r="GW488" s="7"/>
      <c r="GX488" s="7"/>
      <c r="GY488" s="7"/>
      <c r="GZ488" s="7"/>
      <c r="HA488" s="7"/>
      <c r="HB488" s="7"/>
    </row>
    <row r="489" customFormat="false" ht="1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c r="FB489" s="7"/>
      <c r="FC489" s="7"/>
      <c r="FD489" s="7"/>
      <c r="FE489" s="7"/>
      <c r="FF489" s="7"/>
      <c r="FG489" s="7"/>
      <c r="FH489" s="7"/>
      <c r="FI489" s="7"/>
      <c r="FJ489" s="7"/>
      <c r="FK489" s="7"/>
      <c r="FL489" s="7"/>
      <c r="FM489" s="7"/>
      <c r="FN489" s="7"/>
      <c r="FO489" s="7"/>
      <c r="FP489" s="7"/>
      <c r="FQ489" s="7"/>
      <c r="FR489" s="7"/>
      <c r="FS489" s="7"/>
      <c r="FT489" s="7"/>
      <c r="FU489" s="7"/>
      <c r="FV489" s="7"/>
      <c r="FW489" s="7"/>
      <c r="FX489" s="7"/>
      <c r="FY489" s="7"/>
      <c r="FZ489" s="7"/>
      <c r="GA489" s="7"/>
      <c r="GB489" s="7"/>
      <c r="GC489" s="7"/>
      <c r="GD489" s="7"/>
      <c r="GE489" s="7"/>
      <c r="GF489" s="7"/>
      <c r="GG489" s="7"/>
      <c r="GH489" s="7"/>
      <c r="GI489" s="7"/>
      <c r="GJ489" s="7"/>
      <c r="GK489" s="7"/>
      <c r="GL489" s="7"/>
      <c r="GM489" s="7"/>
      <c r="GN489" s="7"/>
      <c r="GO489" s="7"/>
      <c r="GP489" s="7"/>
      <c r="GQ489" s="7"/>
      <c r="GR489" s="7"/>
      <c r="GS489" s="7"/>
      <c r="GT489" s="7"/>
      <c r="GU489" s="7"/>
      <c r="GV489" s="7"/>
      <c r="GW489" s="7"/>
      <c r="GX489" s="7"/>
      <c r="GY489" s="7"/>
      <c r="GZ489" s="7"/>
      <c r="HA489" s="7"/>
      <c r="HB489" s="7"/>
    </row>
    <row r="490" customFormat="false" ht="1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c r="FB490" s="7"/>
      <c r="FC490" s="7"/>
      <c r="FD490" s="7"/>
      <c r="FE490" s="7"/>
      <c r="FF490" s="7"/>
      <c r="FG490" s="7"/>
      <c r="FH490" s="7"/>
      <c r="FI490" s="7"/>
      <c r="FJ490" s="7"/>
      <c r="FK490" s="7"/>
      <c r="FL490" s="7"/>
      <c r="FM490" s="7"/>
      <c r="FN490" s="7"/>
      <c r="FO490" s="7"/>
      <c r="FP490" s="7"/>
      <c r="FQ490" s="7"/>
      <c r="FR490" s="7"/>
      <c r="FS490" s="7"/>
      <c r="FT490" s="7"/>
      <c r="FU490" s="7"/>
      <c r="FV490" s="7"/>
      <c r="FW490" s="7"/>
      <c r="FX490" s="7"/>
      <c r="FY490" s="7"/>
      <c r="FZ490" s="7"/>
      <c r="GA490" s="7"/>
      <c r="GB490" s="7"/>
      <c r="GC490" s="7"/>
      <c r="GD490" s="7"/>
      <c r="GE490" s="7"/>
      <c r="GF490" s="7"/>
      <c r="GG490" s="7"/>
      <c r="GH490" s="7"/>
      <c r="GI490" s="7"/>
      <c r="GJ490" s="7"/>
      <c r="GK490" s="7"/>
      <c r="GL490" s="7"/>
      <c r="GM490" s="7"/>
      <c r="GN490" s="7"/>
      <c r="GO490" s="7"/>
      <c r="GP490" s="7"/>
      <c r="GQ490" s="7"/>
      <c r="GR490" s="7"/>
      <c r="GS490" s="7"/>
      <c r="GT490" s="7"/>
      <c r="GU490" s="7"/>
      <c r="GV490" s="7"/>
      <c r="GW490" s="7"/>
      <c r="GX490" s="7"/>
      <c r="GY490" s="7"/>
      <c r="GZ490" s="7"/>
      <c r="HA490" s="7"/>
      <c r="HB490" s="7"/>
    </row>
    <row r="491" customFormat="false" ht="1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c r="FB491" s="7"/>
      <c r="FC491" s="7"/>
      <c r="FD491" s="7"/>
      <c r="FE491" s="7"/>
      <c r="FF491" s="7"/>
      <c r="FG491" s="7"/>
      <c r="FH491" s="7"/>
      <c r="FI491" s="7"/>
      <c r="FJ491" s="7"/>
      <c r="FK491" s="7"/>
      <c r="FL491" s="7"/>
      <c r="FM491" s="7"/>
      <c r="FN491" s="7"/>
      <c r="FO491" s="7"/>
      <c r="FP491" s="7"/>
      <c r="FQ491" s="7"/>
      <c r="FR491" s="7"/>
      <c r="FS491" s="7"/>
      <c r="FT491" s="7"/>
      <c r="FU491" s="7"/>
      <c r="FV491" s="7"/>
      <c r="FW491" s="7"/>
      <c r="FX491" s="7"/>
      <c r="FY491" s="7"/>
      <c r="FZ491" s="7"/>
      <c r="GA491" s="7"/>
      <c r="GB491" s="7"/>
      <c r="GC491" s="7"/>
      <c r="GD491" s="7"/>
      <c r="GE491" s="7"/>
      <c r="GF491" s="7"/>
      <c r="GG491" s="7"/>
      <c r="GH491" s="7"/>
      <c r="GI491" s="7"/>
      <c r="GJ491" s="7"/>
      <c r="GK491" s="7"/>
      <c r="GL491" s="7"/>
      <c r="GM491" s="7"/>
      <c r="GN491" s="7"/>
      <c r="GO491" s="7"/>
      <c r="GP491" s="7"/>
      <c r="GQ491" s="7"/>
      <c r="GR491" s="7"/>
      <c r="GS491" s="7"/>
      <c r="GT491" s="7"/>
      <c r="GU491" s="7"/>
      <c r="GV491" s="7"/>
      <c r="GW491" s="7"/>
      <c r="GX491" s="7"/>
      <c r="GY491" s="7"/>
      <c r="GZ491" s="7"/>
      <c r="HA491" s="7"/>
      <c r="HB491" s="7"/>
    </row>
    <row r="492" customFormat="false" ht="1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c r="FB492" s="7"/>
      <c r="FC492" s="7"/>
      <c r="FD492" s="7"/>
      <c r="FE492" s="7"/>
      <c r="FF492" s="7"/>
      <c r="FG492" s="7"/>
      <c r="FH492" s="7"/>
      <c r="FI492" s="7"/>
      <c r="FJ492" s="7"/>
      <c r="FK492" s="7"/>
      <c r="FL492" s="7"/>
      <c r="FM492" s="7"/>
      <c r="FN492" s="7"/>
      <c r="FO492" s="7"/>
      <c r="FP492" s="7"/>
      <c r="FQ492" s="7"/>
      <c r="FR492" s="7"/>
      <c r="FS492" s="7"/>
      <c r="FT492" s="7"/>
      <c r="FU492" s="7"/>
      <c r="FV492" s="7"/>
      <c r="FW492" s="7"/>
      <c r="FX492" s="7"/>
      <c r="FY492" s="7"/>
      <c r="FZ492" s="7"/>
      <c r="GA492" s="7"/>
      <c r="GB492" s="7"/>
      <c r="GC492" s="7"/>
      <c r="GD492" s="7"/>
      <c r="GE492" s="7"/>
      <c r="GF492" s="7"/>
      <c r="GG492" s="7"/>
      <c r="GH492" s="7"/>
      <c r="GI492" s="7"/>
      <c r="GJ492" s="7"/>
      <c r="GK492" s="7"/>
      <c r="GL492" s="7"/>
      <c r="GM492" s="7"/>
      <c r="GN492" s="7"/>
      <c r="GO492" s="7"/>
      <c r="GP492" s="7"/>
      <c r="GQ492" s="7"/>
      <c r="GR492" s="7"/>
      <c r="GS492" s="7"/>
      <c r="GT492" s="7"/>
      <c r="GU492" s="7"/>
      <c r="GV492" s="7"/>
      <c r="GW492" s="7"/>
      <c r="GX492" s="7"/>
      <c r="GY492" s="7"/>
      <c r="GZ492" s="7"/>
      <c r="HA492" s="7"/>
      <c r="HB492" s="7"/>
    </row>
    <row r="493" customFormat="false" ht="1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c r="FB493" s="7"/>
      <c r="FC493" s="7"/>
      <c r="FD493" s="7"/>
      <c r="FE493" s="7"/>
      <c r="FF493" s="7"/>
      <c r="FG493" s="7"/>
      <c r="FH493" s="7"/>
      <c r="FI493" s="7"/>
      <c r="FJ493" s="7"/>
      <c r="FK493" s="7"/>
      <c r="FL493" s="7"/>
      <c r="FM493" s="7"/>
      <c r="FN493" s="7"/>
      <c r="FO493" s="7"/>
      <c r="FP493" s="7"/>
      <c r="FQ493" s="7"/>
      <c r="FR493" s="7"/>
      <c r="FS493" s="7"/>
      <c r="FT493" s="7"/>
      <c r="FU493" s="7"/>
      <c r="FV493" s="7"/>
      <c r="FW493" s="7"/>
      <c r="FX493" s="7"/>
      <c r="FY493" s="7"/>
      <c r="FZ493" s="7"/>
      <c r="GA493" s="7"/>
      <c r="GB493" s="7"/>
      <c r="GC493" s="7"/>
      <c r="GD493" s="7"/>
      <c r="GE493" s="7"/>
      <c r="GF493" s="7"/>
      <c r="GG493" s="7"/>
      <c r="GH493" s="7"/>
      <c r="GI493" s="7"/>
      <c r="GJ493" s="7"/>
      <c r="GK493" s="7"/>
      <c r="GL493" s="7"/>
      <c r="GM493" s="7"/>
      <c r="GN493" s="7"/>
      <c r="GO493" s="7"/>
      <c r="GP493" s="7"/>
      <c r="GQ493" s="7"/>
      <c r="GR493" s="7"/>
      <c r="GS493" s="7"/>
      <c r="GT493" s="7"/>
      <c r="GU493" s="7"/>
      <c r="GV493" s="7"/>
      <c r="GW493" s="7"/>
      <c r="GX493" s="7"/>
      <c r="GY493" s="7"/>
      <c r="GZ493" s="7"/>
      <c r="HA493" s="7"/>
      <c r="HB493" s="7"/>
    </row>
    <row r="494" customFormat="false" ht="1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c r="FB494" s="7"/>
      <c r="FC494" s="7"/>
      <c r="FD494" s="7"/>
      <c r="FE494" s="7"/>
      <c r="FF494" s="7"/>
      <c r="FG494" s="7"/>
      <c r="FH494" s="7"/>
      <c r="FI494" s="7"/>
      <c r="FJ494" s="7"/>
      <c r="FK494" s="7"/>
      <c r="FL494" s="7"/>
      <c r="FM494" s="7"/>
      <c r="FN494" s="7"/>
      <c r="FO494" s="7"/>
      <c r="FP494" s="7"/>
      <c r="FQ494" s="7"/>
      <c r="FR494" s="7"/>
      <c r="FS494" s="7"/>
      <c r="FT494" s="7"/>
      <c r="FU494" s="7"/>
      <c r="FV494" s="7"/>
      <c r="FW494" s="7"/>
      <c r="FX494" s="7"/>
      <c r="FY494" s="7"/>
      <c r="FZ494" s="7"/>
      <c r="GA494" s="7"/>
      <c r="GB494" s="7"/>
      <c r="GC494" s="7"/>
      <c r="GD494" s="7"/>
      <c r="GE494" s="7"/>
      <c r="GF494" s="7"/>
      <c r="GG494" s="7"/>
      <c r="GH494" s="7"/>
      <c r="GI494" s="7"/>
      <c r="GJ494" s="7"/>
      <c r="GK494" s="7"/>
      <c r="GL494" s="7"/>
      <c r="GM494" s="7"/>
      <c r="GN494" s="7"/>
      <c r="GO494" s="7"/>
      <c r="GP494" s="7"/>
      <c r="GQ494" s="7"/>
      <c r="GR494" s="7"/>
      <c r="GS494" s="7"/>
      <c r="GT494" s="7"/>
      <c r="GU494" s="7"/>
      <c r="GV494" s="7"/>
      <c r="GW494" s="7"/>
      <c r="GX494" s="7"/>
      <c r="GY494" s="7"/>
      <c r="GZ494" s="7"/>
      <c r="HA494" s="7"/>
      <c r="HB494" s="7"/>
    </row>
    <row r="495" customFormat="false" ht="1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c r="FB495" s="7"/>
      <c r="FC495" s="7"/>
      <c r="FD495" s="7"/>
      <c r="FE495" s="7"/>
      <c r="FF495" s="7"/>
      <c r="FG495" s="7"/>
      <c r="FH495" s="7"/>
      <c r="FI495" s="7"/>
      <c r="FJ495" s="7"/>
      <c r="FK495" s="7"/>
      <c r="FL495" s="7"/>
      <c r="FM495" s="7"/>
      <c r="FN495" s="7"/>
      <c r="FO495" s="7"/>
      <c r="FP495" s="7"/>
      <c r="FQ495" s="7"/>
      <c r="FR495" s="7"/>
      <c r="FS495" s="7"/>
      <c r="FT495" s="7"/>
      <c r="FU495" s="7"/>
      <c r="FV495" s="7"/>
      <c r="FW495" s="7"/>
      <c r="FX495" s="7"/>
      <c r="FY495" s="7"/>
      <c r="FZ495" s="7"/>
      <c r="GA495" s="7"/>
      <c r="GB495" s="7"/>
      <c r="GC495" s="7"/>
      <c r="GD495" s="7"/>
      <c r="GE495" s="7"/>
      <c r="GF495" s="7"/>
      <c r="GG495" s="7"/>
      <c r="GH495" s="7"/>
      <c r="GI495" s="7"/>
      <c r="GJ495" s="7"/>
      <c r="GK495" s="7"/>
      <c r="GL495" s="7"/>
      <c r="GM495" s="7"/>
      <c r="GN495" s="7"/>
      <c r="GO495" s="7"/>
      <c r="GP495" s="7"/>
      <c r="GQ495" s="7"/>
      <c r="GR495" s="7"/>
      <c r="GS495" s="7"/>
      <c r="GT495" s="7"/>
      <c r="GU495" s="7"/>
      <c r="GV495" s="7"/>
      <c r="GW495" s="7"/>
      <c r="GX495" s="7"/>
      <c r="GY495" s="7"/>
      <c r="GZ495" s="7"/>
      <c r="HA495" s="7"/>
      <c r="HB495" s="7"/>
    </row>
    <row r="496" customFormat="false" ht="1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c r="FB496" s="7"/>
      <c r="FC496" s="7"/>
      <c r="FD496" s="7"/>
      <c r="FE496" s="7"/>
      <c r="FF496" s="7"/>
      <c r="FG496" s="7"/>
      <c r="FH496" s="7"/>
      <c r="FI496" s="7"/>
      <c r="FJ496" s="7"/>
      <c r="FK496" s="7"/>
      <c r="FL496" s="7"/>
      <c r="FM496" s="7"/>
      <c r="FN496" s="7"/>
      <c r="FO496" s="7"/>
      <c r="FP496" s="7"/>
      <c r="FQ496" s="7"/>
      <c r="FR496" s="7"/>
      <c r="FS496" s="7"/>
      <c r="FT496" s="7"/>
      <c r="FU496" s="7"/>
      <c r="FV496" s="7"/>
      <c r="FW496" s="7"/>
      <c r="FX496" s="7"/>
      <c r="FY496" s="7"/>
      <c r="FZ496" s="7"/>
      <c r="GA496" s="7"/>
      <c r="GB496" s="7"/>
      <c r="GC496" s="7"/>
      <c r="GD496" s="7"/>
      <c r="GE496" s="7"/>
      <c r="GF496" s="7"/>
      <c r="GG496" s="7"/>
      <c r="GH496" s="7"/>
      <c r="GI496" s="7"/>
      <c r="GJ496" s="7"/>
      <c r="GK496" s="7"/>
      <c r="GL496" s="7"/>
      <c r="GM496" s="7"/>
      <c r="GN496" s="7"/>
      <c r="GO496" s="7"/>
      <c r="GP496" s="7"/>
      <c r="GQ496" s="7"/>
      <c r="GR496" s="7"/>
      <c r="GS496" s="7"/>
      <c r="GT496" s="7"/>
      <c r="GU496" s="7"/>
      <c r="GV496" s="7"/>
      <c r="GW496" s="7"/>
      <c r="GX496" s="7"/>
      <c r="GY496" s="7"/>
      <c r="GZ496" s="7"/>
      <c r="HA496" s="7"/>
      <c r="HB496" s="7"/>
    </row>
    <row r="497" customFormat="false" ht="1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c r="FB497" s="7"/>
      <c r="FC497" s="7"/>
      <c r="FD497" s="7"/>
      <c r="FE497" s="7"/>
      <c r="FF497" s="7"/>
      <c r="FG497" s="7"/>
      <c r="FH497" s="7"/>
      <c r="FI497" s="7"/>
      <c r="FJ497" s="7"/>
      <c r="FK497" s="7"/>
      <c r="FL497" s="7"/>
      <c r="FM497" s="7"/>
      <c r="FN497" s="7"/>
      <c r="FO497" s="7"/>
      <c r="FP497" s="7"/>
      <c r="FQ497" s="7"/>
      <c r="FR497" s="7"/>
      <c r="FS497" s="7"/>
      <c r="FT497" s="7"/>
      <c r="FU497" s="7"/>
      <c r="FV497" s="7"/>
      <c r="FW497" s="7"/>
      <c r="FX497" s="7"/>
      <c r="FY497" s="7"/>
      <c r="FZ497" s="7"/>
      <c r="GA497" s="7"/>
      <c r="GB497" s="7"/>
      <c r="GC497" s="7"/>
      <c r="GD497" s="7"/>
      <c r="GE497" s="7"/>
      <c r="GF497" s="7"/>
      <c r="GG497" s="7"/>
      <c r="GH497" s="7"/>
      <c r="GI497" s="7"/>
      <c r="GJ497" s="7"/>
      <c r="GK497" s="7"/>
      <c r="GL497" s="7"/>
      <c r="GM497" s="7"/>
      <c r="GN497" s="7"/>
      <c r="GO497" s="7"/>
      <c r="GP497" s="7"/>
      <c r="GQ497" s="7"/>
      <c r="GR497" s="7"/>
      <c r="GS497" s="7"/>
      <c r="GT497" s="7"/>
      <c r="GU497" s="7"/>
      <c r="GV497" s="7"/>
      <c r="GW497" s="7"/>
      <c r="GX497" s="7"/>
      <c r="GY497" s="7"/>
      <c r="GZ497" s="7"/>
      <c r="HA497" s="7"/>
      <c r="HB497" s="7"/>
    </row>
    <row r="498" customFormat="false" ht="1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c r="FB498" s="7"/>
      <c r="FC498" s="7"/>
      <c r="FD498" s="7"/>
      <c r="FE498" s="7"/>
      <c r="FF498" s="7"/>
      <c r="FG498" s="7"/>
      <c r="FH498" s="7"/>
      <c r="FI498" s="7"/>
      <c r="FJ498" s="7"/>
      <c r="FK498" s="7"/>
      <c r="FL498" s="7"/>
      <c r="FM498" s="7"/>
      <c r="FN498" s="7"/>
      <c r="FO498" s="7"/>
      <c r="FP498" s="7"/>
      <c r="FQ498" s="7"/>
      <c r="FR498" s="7"/>
      <c r="FS498" s="7"/>
      <c r="FT498" s="7"/>
      <c r="FU498" s="7"/>
      <c r="FV498" s="7"/>
      <c r="FW498" s="7"/>
      <c r="FX498" s="7"/>
      <c r="FY498" s="7"/>
      <c r="FZ498" s="7"/>
      <c r="GA498" s="7"/>
      <c r="GB498" s="7"/>
      <c r="GC498" s="7"/>
      <c r="GD498" s="7"/>
      <c r="GE498" s="7"/>
      <c r="GF498" s="7"/>
      <c r="GG498" s="7"/>
      <c r="GH498" s="7"/>
      <c r="GI498" s="7"/>
      <c r="GJ498" s="7"/>
      <c r="GK498" s="7"/>
      <c r="GL498" s="7"/>
      <c r="GM498" s="7"/>
      <c r="GN498" s="7"/>
      <c r="GO498" s="7"/>
      <c r="GP498" s="7"/>
      <c r="GQ498" s="7"/>
      <c r="GR498" s="7"/>
      <c r="GS498" s="7"/>
      <c r="GT498" s="7"/>
      <c r="GU498" s="7"/>
      <c r="GV498" s="7"/>
      <c r="GW498" s="7"/>
      <c r="GX498" s="7"/>
      <c r="GY498" s="7"/>
      <c r="GZ498" s="7"/>
      <c r="HA498" s="7"/>
      <c r="HB498" s="7"/>
    </row>
    <row r="499" customFormat="false" ht="1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c r="FB499" s="7"/>
      <c r="FC499" s="7"/>
      <c r="FD499" s="7"/>
      <c r="FE499" s="7"/>
      <c r="FF499" s="7"/>
      <c r="FG499" s="7"/>
      <c r="FH499" s="7"/>
      <c r="FI499" s="7"/>
      <c r="FJ499" s="7"/>
      <c r="FK499" s="7"/>
      <c r="FL499" s="7"/>
      <c r="FM499" s="7"/>
      <c r="FN499" s="7"/>
      <c r="FO499" s="7"/>
      <c r="FP499" s="7"/>
      <c r="FQ499" s="7"/>
      <c r="FR499" s="7"/>
      <c r="FS499" s="7"/>
      <c r="FT499" s="7"/>
      <c r="FU499" s="7"/>
      <c r="FV499" s="7"/>
      <c r="FW499" s="7"/>
      <c r="FX499" s="7"/>
      <c r="FY499" s="7"/>
      <c r="FZ499" s="7"/>
      <c r="GA499" s="7"/>
      <c r="GB499" s="7"/>
      <c r="GC499" s="7"/>
      <c r="GD499" s="7"/>
      <c r="GE499" s="7"/>
      <c r="GF499" s="7"/>
      <c r="GG499" s="7"/>
      <c r="GH499" s="7"/>
      <c r="GI499" s="7"/>
      <c r="GJ499" s="7"/>
      <c r="GK499" s="7"/>
      <c r="GL499" s="7"/>
      <c r="GM499" s="7"/>
      <c r="GN499" s="7"/>
      <c r="GO499" s="7"/>
      <c r="GP499" s="7"/>
      <c r="GQ499" s="7"/>
      <c r="GR499" s="7"/>
      <c r="GS499" s="7"/>
      <c r="GT499" s="7"/>
      <c r="GU499" s="7"/>
      <c r="GV499" s="7"/>
      <c r="GW499" s="7"/>
      <c r="GX499" s="7"/>
      <c r="GY499" s="7"/>
      <c r="GZ499" s="7"/>
      <c r="HA499" s="7"/>
      <c r="HB499" s="7"/>
    </row>
    <row r="500" customFormat="false" ht="1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c r="FB500" s="7"/>
      <c r="FC500" s="7"/>
      <c r="FD500" s="7"/>
      <c r="FE500" s="7"/>
      <c r="FF500" s="7"/>
      <c r="FG500" s="7"/>
      <c r="FH500" s="7"/>
      <c r="FI500" s="7"/>
      <c r="FJ500" s="7"/>
      <c r="FK500" s="7"/>
      <c r="FL500" s="7"/>
      <c r="FM500" s="7"/>
      <c r="FN500" s="7"/>
      <c r="FO500" s="7"/>
      <c r="FP500" s="7"/>
      <c r="FQ500" s="7"/>
      <c r="FR500" s="7"/>
      <c r="FS500" s="7"/>
      <c r="FT500" s="7"/>
      <c r="FU500" s="7"/>
      <c r="FV500" s="7"/>
      <c r="FW500" s="7"/>
      <c r="FX500" s="7"/>
      <c r="FY500" s="7"/>
      <c r="FZ500" s="7"/>
      <c r="GA500" s="7"/>
      <c r="GB500" s="7"/>
      <c r="GC500" s="7"/>
      <c r="GD500" s="7"/>
      <c r="GE500" s="7"/>
      <c r="GF500" s="7"/>
      <c r="GG500" s="7"/>
      <c r="GH500" s="7"/>
      <c r="GI500" s="7"/>
      <c r="GJ500" s="7"/>
      <c r="GK500" s="7"/>
      <c r="GL500" s="7"/>
      <c r="GM500" s="7"/>
      <c r="GN500" s="7"/>
      <c r="GO500" s="7"/>
      <c r="GP500" s="7"/>
      <c r="GQ500" s="7"/>
      <c r="GR500" s="7"/>
      <c r="GS500" s="7"/>
      <c r="GT500" s="7"/>
      <c r="GU500" s="7"/>
      <c r="GV500" s="7"/>
      <c r="GW500" s="7"/>
      <c r="GX500" s="7"/>
      <c r="GY500" s="7"/>
      <c r="GZ500" s="7"/>
      <c r="HA500" s="7"/>
      <c r="HB500" s="7"/>
    </row>
    <row r="501" customFormat="false" ht="1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c r="FB501" s="7"/>
      <c r="FC501" s="7"/>
      <c r="FD501" s="7"/>
      <c r="FE501" s="7"/>
      <c r="FF501" s="7"/>
      <c r="FG501" s="7"/>
      <c r="FH501" s="7"/>
      <c r="FI501" s="7"/>
      <c r="FJ501" s="7"/>
      <c r="FK501" s="7"/>
      <c r="FL501" s="7"/>
      <c r="FM501" s="7"/>
      <c r="FN501" s="7"/>
      <c r="FO501" s="7"/>
      <c r="FP501" s="7"/>
      <c r="FQ501" s="7"/>
      <c r="FR501" s="7"/>
      <c r="FS501" s="7"/>
      <c r="FT501" s="7"/>
      <c r="FU501" s="7"/>
      <c r="FV501" s="7"/>
      <c r="FW501" s="7"/>
      <c r="FX501" s="7"/>
      <c r="FY501" s="7"/>
      <c r="FZ501" s="7"/>
      <c r="GA501" s="7"/>
      <c r="GB501" s="7"/>
      <c r="GC501" s="7"/>
      <c r="GD501" s="7"/>
      <c r="GE501" s="7"/>
      <c r="GF501" s="7"/>
      <c r="GG501" s="7"/>
      <c r="GH501" s="7"/>
      <c r="GI501" s="7"/>
      <c r="GJ501" s="7"/>
      <c r="GK501" s="7"/>
      <c r="GL501" s="7"/>
      <c r="GM501" s="7"/>
      <c r="GN501" s="7"/>
      <c r="GO501" s="7"/>
      <c r="GP501" s="7"/>
      <c r="GQ501" s="7"/>
      <c r="GR501" s="7"/>
      <c r="GS501" s="7"/>
      <c r="GT501" s="7"/>
      <c r="GU501" s="7"/>
      <c r="GV501" s="7"/>
      <c r="GW501" s="7"/>
      <c r="GX501" s="7"/>
      <c r="GY501" s="7"/>
      <c r="GZ501" s="7"/>
      <c r="HA501" s="7"/>
      <c r="HB501" s="7"/>
    </row>
    <row r="502" customFormat="false" ht="1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c r="FB502" s="7"/>
      <c r="FC502" s="7"/>
      <c r="FD502" s="7"/>
      <c r="FE502" s="7"/>
      <c r="FF502" s="7"/>
      <c r="FG502" s="7"/>
      <c r="FH502" s="7"/>
      <c r="FI502" s="7"/>
      <c r="FJ502" s="7"/>
      <c r="FK502" s="7"/>
      <c r="FL502" s="7"/>
      <c r="FM502" s="7"/>
      <c r="FN502" s="7"/>
      <c r="FO502" s="7"/>
      <c r="FP502" s="7"/>
      <c r="FQ502" s="7"/>
      <c r="FR502" s="7"/>
      <c r="FS502" s="7"/>
      <c r="FT502" s="7"/>
      <c r="FU502" s="7"/>
      <c r="FV502" s="7"/>
      <c r="FW502" s="7"/>
      <c r="FX502" s="7"/>
      <c r="FY502" s="7"/>
      <c r="FZ502" s="7"/>
      <c r="GA502" s="7"/>
      <c r="GB502" s="7"/>
      <c r="GC502" s="7"/>
      <c r="GD502" s="7"/>
      <c r="GE502" s="7"/>
      <c r="GF502" s="7"/>
      <c r="GG502" s="7"/>
      <c r="GH502" s="7"/>
      <c r="GI502" s="7"/>
      <c r="GJ502" s="7"/>
      <c r="GK502" s="7"/>
      <c r="GL502" s="7"/>
      <c r="GM502" s="7"/>
      <c r="GN502" s="7"/>
      <c r="GO502" s="7"/>
      <c r="GP502" s="7"/>
      <c r="GQ502" s="7"/>
      <c r="GR502" s="7"/>
      <c r="GS502" s="7"/>
      <c r="GT502" s="7"/>
      <c r="GU502" s="7"/>
      <c r="GV502" s="7"/>
      <c r="GW502" s="7"/>
      <c r="GX502" s="7"/>
      <c r="GY502" s="7"/>
      <c r="GZ502" s="7"/>
      <c r="HA502" s="7"/>
      <c r="HB502" s="7"/>
    </row>
    <row r="503" customFormat="false" ht="1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c r="FB503" s="7"/>
      <c r="FC503" s="7"/>
      <c r="FD503" s="7"/>
      <c r="FE503" s="7"/>
      <c r="FF503" s="7"/>
      <c r="FG503" s="7"/>
      <c r="FH503" s="7"/>
      <c r="FI503" s="7"/>
      <c r="FJ503" s="7"/>
      <c r="FK503" s="7"/>
      <c r="FL503" s="7"/>
      <c r="FM503" s="7"/>
      <c r="FN503" s="7"/>
      <c r="FO503" s="7"/>
      <c r="FP503" s="7"/>
      <c r="FQ503" s="7"/>
      <c r="FR503" s="7"/>
      <c r="FS503" s="7"/>
      <c r="FT503" s="7"/>
      <c r="FU503" s="7"/>
      <c r="FV503" s="7"/>
      <c r="FW503" s="7"/>
      <c r="FX503" s="7"/>
      <c r="FY503" s="7"/>
      <c r="FZ503" s="7"/>
      <c r="GA503" s="7"/>
      <c r="GB503" s="7"/>
      <c r="GC503" s="7"/>
      <c r="GD503" s="7"/>
      <c r="GE503" s="7"/>
      <c r="GF503" s="7"/>
      <c r="GG503" s="7"/>
      <c r="GH503" s="7"/>
      <c r="GI503" s="7"/>
      <c r="GJ503" s="7"/>
      <c r="GK503" s="7"/>
      <c r="GL503" s="7"/>
      <c r="GM503" s="7"/>
      <c r="GN503" s="7"/>
      <c r="GO503" s="7"/>
      <c r="GP503" s="7"/>
      <c r="GQ503" s="7"/>
      <c r="GR503" s="7"/>
      <c r="GS503" s="7"/>
      <c r="GT503" s="7"/>
      <c r="GU503" s="7"/>
      <c r="GV503" s="7"/>
      <c r="GW503" s="7"/>
      <c r="GX503" s="7"/>
      <c r="GY503" s="7"/>
      <c r="GZ503" s="7"/>
      <c r="HA503" s="7"/>
      <c r="HB503" s="7"/>
    </row>
    <row r="504" customFormat="false" ht="1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c r="DA504" s="7"/>
      <c r="DB504" s="7"/>
      <c r="DC504" s="7"/>
      <c r="DD504" s="7"/>
      <c r="DE504" s="7"/>
      <c r="DF504" s="7"/>
      <c r="DG504" s="7"/>
      <c r="DH504" s="7"/>
      <c r="DI504" s="7"/>
      <c r="DJ504" s="7"/>
      <c r="DK504" s="7"/>
      <c r="DL504" s="7"/>
      <c r="DM504" s="7"/>
      <c r="DN504" s="7"/>
      <c r="DO504" s="7"/>
      <c r="DP504" s="7"/>
      <c r="DQ504" s="7"/>
      <c r="DR504" s="7"/>
      <c r="DS504" s="7"/>
      <c r="DT504" s="7"/>
      <c r="DU504" s="7"/>
      <c r="DV504" s="7"/>
      <c r="DW504" s="7"/>
      <c r="DX504" s="7"/>
      <c r="DY504" s="7"/>
      <c r="DZ504" s="7"/>
      <c r="EA504" s="7"/>
      <c r="EB504" s="7"/>
      <c r="EC504" s="7"/>
      <c r="ED504" s="7"/>
      <c r="EE504" s="7"/>
      <c r="EF504" s="7"/>
      <c r="EG504" s="7"/>
      <c r="EH504" s="7"/>
      <c r="EI504" s="7"/>
      <c r="EJ504" s="7"/>
      <c r="EK504" s="7"/>
      <c r="EL504" s="7"/>
      <c r="EM504" s="7"/>
      <c r="EN504" s="7"/>
      <c r="EO504" s="7"/>
      <c r="EP504" s="7"/>
      <c r="EQ504" s="7"/>
      <c r="ER504" s="7"/>
      <c r="ES504" s="7"/>
      <c r="ET504" s="7"/>
      <c r="EU504" s="7"/>
      <c r="EV504" s="7"/>
      <c r="EW504" s="7"/>
      <c r="EX504" s="7"/>
      <c r="EY504" s="7"/>
      <c r="EZ504" s="7"/>
      <c r="FA504" s="7"/>
      <c r="FB504" s="7"/>
      <c r="FC504" s="7"/>
      <c r="FD504" s="7"/>
      <c r="FE504" s="7"/>
      <c r="FF504" s="7"/>
      <c r="FG504" s="7"/>
      <c r="FH504" s="7"/>
      <c r="FI504" s="7"/>
      <c r="FJ504" s="7"/>
      <c r="FK504" s="7"/>
      <c r="FL504" s="7"/>
      <c r="FM504" s="7"/>
      <c r="FN504" s="7"/>
      <c r="FO504" s="7"/>
      <c r="FP504" s="7"/>
      <c r="FQ504" s="7"/>
      <c r="FR504" s="7"/>
      <c r="FS504" s="7"/>
      <c r="FT504" s="7"/>
      <c r="FU504" s="7"/>
      <c r="FV504" s="7"/>
      <c r="FW504" s="7"/>
      <c r="FX504" s="7"/>
      <c r="FY504" s="7"/>
      <c r="FZ504" s="7"/>
      <c r="GA504" s="7"/>
      <c r="GB504" s="7"/>
      <c r="GC504" s="7"/>
      <c r="GD504" s="7"/>
      <c r="GE504" s="7"/>
      <c r="GF504" s="7"/>
      <c r="GG504" s="7"/>
      <c r="GH504" s="7"/>
      <c r="GI504" s="7"/>
      <c r="GJ504" s="7"/>
      <c r="GK504" s="7"/>
      <c r="GL504" s="7"/>
      <c r="GM504" s="7"/>
      <c r="GN504" s="7"/>
      <c r="GO504" s="7"/>
      <c r="GP504" s="7"/>
      <c r="GQ504" s="7"/>
      <c r="GR504" s="7"/>
      <c r="GS504" s="7"/>
      <c r="GT504" s="7"/>
      <c r="GU504" s="7"/>
      <c r="GV504" s="7"/>
      <c r="GW504" s="7"/>
      <c r="GX504" s="7"/>
      <c r="GY504" s="7"/>
      <c r="GZ504" s="7"/>
      <c r="HA504" s="7"/>
      <c r="HB504" s="7"/>
    </row>
    <row r="505" customFormat="false" ht="1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c r="DA505" s="7"/>
      <c r="DB505" s="7"/>
      <c r="DC505" s="7"/>
      <c r="DD505" s="7"/>
      <c r="DE505" s="7"/>
      <c r="DF505" s="7"/>
      <c r="DG505" s="7"/>
      <c r="DH505" s="7"/>
      <c r="DI505" s="7"/>
      <c r="DJ505" s="7"/>
      <c r="DK505" s="7"/>
      <c r="DL505" s="7"/>
      <c r="DM505" s="7"/>
      <c r="DN505" s="7"/>
      <c r="DO505" s="7"/>
      <c r="DP505" s="7"/>
      <c r="DQ505" s="7"/>
      <c r="DR505" s="7"/>
      <c r="DS505" s="7"/>
      <c r="DT505" s="7"/>
      <c r="DU505" s="7"/>
      <c r="DV505" s="7"/>
      <c r="DW505" s="7"/>
      <c r="DX505" s="7"/>
      <c r="DY505" s="7"/>
      <c r="DZ505" s="7"/>
      <c r="EA505" s="7"/>
      <c r="EB505" s="7"/>
      <c r="EC505" s="7"/>
      <c r="ED505" s="7"/>
      <c r="EE505" s="7"/>
      <c r="EF505" s="7"/>
      <c r="EG505" s="7"/>
      <c r="EH505" s="7"/>
      <c r="EI505" s="7"/>
      <c r="EJ505" s="7"/>
      <c r="EK505" s="7"/>
      <c r="EL505" s="7"/>
      <c r="EM505" s="7"/>
      <c r="EN505" s="7"/>
      <c r="EO505" s="7"/>
      <c r="EP505" s="7"/>
      <c r="EQ505" s="7"/>
      <c r="ER505" s="7"/>
      <c r="ES505" s="7"/>
      <c r="ET505" s="7"/>
      <c r="EU505" s="7"/>
      <c r="EV505" s="7"/>
      <c r="EW505" s="7"/>
      <c r="EX505" s="7"/>
      <c r="EY505" s="7"/>
      <c r="EZ505" s="7"/>
      <c r="FA505" s="7"/>
      <c r="FB505" s="7"/>
      <c r="FC505" s="7"/>
      <c r="FD505" s="7"/>
      <c r="FE505" s="7"/>
      <c r="FF505" s="7"/>
      <c r="FG505" s="7"/>
      <c r="FH505" s="7"/>
      <c r="FI505" s="7"/>
      <c r="FJ505" s="7"/>
      <c r="FK505" s="7"/>
      <c r="FL505" s="7"/>
      <c r="FM505" s="7"/>
      <c r="FN505" s="7"/>
      <c r="FO505" s="7"/>
      <c r="FP505" s="7"/>
      <c r="FQ505" s="7"/>
      <c r="FR505" s="7"/>
      <c r="FS505" s="7"/>
      <c r="FT505" s="7"/>
      <c r="FU505" s="7"/>
      <c r="FV505" s="7"/>
      <c r="FW505" s="7"/>
      <c r="FX505" s="7"/>
      <c r="FY505" s="7"/>
      <c r="FZ505" s="7"/>
      <c r="GA505" s="7"/>
      <c r="GB505" s="7"/>
      <c r="GC505" s="7"/>
      <c r="GD505" s="7"/>
      <c r="GE505" s="7"/>
      <c r="GF505" s="7"/>
      <c r="GG505" s="7"/>
      <c r="GH505" s="7"/>
      <c r="GI505" s="7"/>
      <c r="GJ505" s="7"/>
      <c r="GK505" s="7"/>
      <c r="GL505" s="7"/>
      <c r="GM505" s="7"/>
      <c r="GN505" s="7"/>
      <c r="GO505" s="7"/>
      <c r="GP505" s="7"/>
      <c r="GQ505" s="7"/>
      <c r="GR505" s="7"/>
      <c r="GS505" s="7"/>
      <c r="GT505" s="7"/>
      <c r="GU505" s="7"/>
      <c r="GV505" s="7"/>
      <c r="GW505" s="7"/>
      <c r="GX505" s="7"/>
      <c r="GY505" s="7"/>
      <c r="GZ505" s="7"/>
      <c r="HA505" s="7"/>
      <c r="HB505" s="7"/>
    </row>
    <row r="506" customFormat="false" ht="1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c r="DA506" s="7"/>
      <c r="DB506" s="7"/>
      <c r="DC506" s="7"/>
      <c r="DD506" s="7"/>
      <c r="DE506" s="7"/>
      <c r="DF506" s="7"/>
      <c r="DG506" s="7"/>
      <c r="DH506" s="7"/>
      <c r="DI506" s="7"/>
      <c r="DJ506" s="7"/>
      <c r="DK506" s="7"/>
      <c r="DL506" s="7"/>
      <c r="DM506" s="7"/>
      <c r="DN506" s="7"/>
      <c r="DO506" s="7"/>
      <c r="DP506" s="7"/>
      <c r="DQ506" s="7"/>
      <c r="DR506" s="7"/>
      <c r="DS506" s="7"/>
      <c r="DT506" s="7"/>
      <c r="DU506" s="7"/>
      <c r="DV506" s="7"/>
      <c r="DW506" s="7"/>
      <c r="DX506" s="7"/>
      <c r="DY506" s="7"/>
      <c r="DZ506" s="7"/>
      <c r="EA506" s="7"/>
      <c r="EB506" s="7"/>
      <c r="EC506" s="7"/>
      <c r="ED506" s="7"/>
      <c r="EE506" s="7"/>
      <c r="EF506" s="7"/>
      <c r="EG506" s="7"/>
      <c r="EH506" s="7"/>
      <c r="EI506" s="7"/>
      <c r="EJ506" s="7"/>
      <c r="EK506" s="7"/>
      <c r="EL506" s="7"/>
      <c r="EM506" s="7"/>
      <c r="EN506" s="7"/>
      <c r="EO506" s="7"/>
      <c r="EP506" s="7"/>
      <c r="EQ506" s="7"/>
      <c r="ER506" s="7"/>
      <c r="ES506" s="7"/>
      <c r="ET506" s="7"/>
      <c r="EU506" s="7"/>
      <c r="EV506" s="7"/>
      <c r="EW506" s="7"/>
      <c r="EX506" s="7"/>
      <c r="EY506" s="7"/>
      <c r="EZ506" s="7"/>
      <c r="FA506" s="7"/>
      <c r="FB506" s="7"/>
      <c r="FC506" s="7"/>
      <c r="FD506" s="7"/>
      <c r="FE506" s="7"/>
      <c r="FF506" s="7"/>
      <c r="FG506" s="7"/>
      <c r="FH506" s="7"/>
      <c r="FI506" s="7"/>
      <c r="FJ506" s="7"/>
      <c r="FK506" s="7"/>
      <c r="FL506" s="7"/>
      <c r="FM506" s="7"/>
      <c r="FN506" s="7"/>
      <c r="FO506" s="7"/>
      <c r="FP506" s="7"/>
      <c r="FQ506" s="7"/>
      <c r="FR506" s="7"/>
      <c r="FS506" s="7"/>
      <c r="FT506" s="7"/>
      <c r="FU506" s="7"/>
      <c r="FV506" s="7"/>
      <c r="FW506" s="7"/>
      <c r="FX506" s="7"/>
      <c r="FY506" s="7"/>
      <c r="FZ506" s="7"/>
      <c r="GA506" s="7"/>
      <c r="GB506" s="7"/>
      <c r="GC506" s="7"/>
      <c r="GD506" s="7"/>
      <c r="GE506" s="7"/>
      <c r="GF506" s="7"/>
      <c r="GG506" s="7"/>
      <c r="GH506" s="7"/>
      <c r="GI506" s="7"/>
      <c r="GJ506" s="7"/>
      <c r="GK506" s="7"/>
      <c r="GL506" s="7"/>
      <c r="GM506" s="7"/>
      <c r="GN506" s="7"/>
      <c r="GO506" s="7"/>
      <c r="GP506" s="7"/>
      <c r="GQ506" s="7"/>
      <c r="GR506" s="7"/>
      <c r="GS506" s="7"/>
      <c r="GT506" s="7"/>
      <c r="GU506" s="7"/>
      <c r="GV506" s="7"/>
      <c r="GW506" s="7"/>
      <c r="GX506" s="7"/>
      <c r="GY506" s="7"/>
      <c r="GZ506" s="7"/>
      <c r="HA506" s="7"/>
      <c r="HB506" s="7"/>
    </row>
    <row r="507" customFormat="false" ht="1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c r="DA507" s="7"/>
      <c r="DB507" s="7"/>
      <c r="DC507" s="7"/>
      <c r="DD507" s="7"/>
      <c r="DE507" s="7"/>
      <c r="DF507" s="7"/>
      <c r="DG507" s="7"/>
      <c r="DH507" s="7"/>
      <c r="DI507" s="7"/>
      <c r="DJ507" s="7"/>
      <c r="DK507" s="7"/>
      <c r="DL507" s="7"/>
      <c r="DM507" s="7"/>
      <c r="DN507" s="7"/>
      <c r="DO507" s="7"/>
      <c r="DP507" s="7"/>
      <c r="DQ507" s="7"/>
      <c r="DR507" s="7"/>
      <c r="DS507" s="7"/>
      <c r="DT507" s="7"/>
      <c r="DU507" s="7"/>
      <c r="DV507" s="7"/>
      <c r="DW507" s="7"/>
      <c r="DX507" s="7"/>
      <c r="DY507" s="7"/>
      <c r="DZ507" s="7"/>
      <c r="EA507" s="7"/>
      <c r="EB507" s="7"/>
      <c r="EC507" s="7"/>
      <c r="ED507" s="7"/>
      <c r="EE507" s="7"/>
      <c r="EF507" s="7"/>
      <c r="EG507" s="7"/>
      <c r="EH507" s="7"/>
      <c r="EI507" s="7"/>
      <c r="EJ507" s="7"/>
      <c r="EK507" s="7"/>
      <c r="EL507" s="7"/>
      <c r="EM507" s="7"/>
      <c r="EN507" s="7"/>
      <c r="EO507" s="7"/>
      <c r="EP507" s="7"/>
      <c r="EQ507" s="7"/>
      <c r="ER507" s="7"/>
      <c r="ES507" s="7"/>
      <c r="ET507" s="7"/>
      <c r="EU507" s="7"/>
      <c r="EV507" s="7"/>
      <c r="EW507" s="7"/>
      <c r="EX507" s="7"/>
      <c r="EY507" s="7"/>
      <c r="EZ507" s="7"/>
      <c r="FA507" s="7"/>
      <c r="FB507" s="7"/>
      <c r="FC507" s="7"/>
      <c r="FD507" s="7"/>
      <c r="FE507" s="7"/>
      <c r="FF507" s="7"/>
      <c r="FG507" s="7"/>
      <c r="FH507" s="7"/>
      <c r="FI507" s="7"/>
      <c r="FJ507" s="7"/>
      <c r="FK507" s="7"/>
      <c r="FL507" s="7"/>
      <c r="FM507" s="7"/>
      <c r="FN507" s="7"/>
      <c r="FO507" s="7"/>
      <c r="FP507" s="7"/>
      <c r="FQ507" s="7"/>
      <c r="FR507" s="7"/>
      <c r="FS507" s="7"/>
      <c r="FT507" s="7"/>
      <c r="FU507" s="7"/>
      <c r="FV507" s="7"/>
      <c r="FW507" s="7"/>
      <c r="FX507" s="7"/>
      <c r="FY507" s="7"/>
      <c r="FZ507" s="7"/>
      <c r="GA507" s="7"/>
      <c r="GB507" s="7"/>
      <c r="GC507" s="7"/>
      <c r="GD507" s="7"/>
      <c r="GE507" s="7"/>
      <c r="GF507" s="7"/>
      <c r="GG507" s="7"/>
      <c r="GH507" s="7"/>
      <c r="GI507" s="7"/>
      <c r="GJ507" s="7"/>
      <c r="GK507" s="7"/>
      <c r="GL507" s="7"/>
      <c r="GM507" s="7"/>
      <c r="GN507" s="7"/>
      <c r="GO507" s="7"/>
      <c r="GP507" s="7"/>
      <c r="GQ507" s="7"/>
      <c r="GR507" s="7"/>
      <c r="GS507" s="7"/>
      <c r="GT507" s="7"/>
      <c r="GU507" s="7"/>
      <c r="GV507" s="7"/>
      <c r="GW507" s="7"/>
      <c r="GX507" s="7"/>
      <c r="GY507" s="7"/>
      <c r="GZ507" s="7"/>
      <c r="HA507" s="7"/>
      <c r="HB507" s="7"/>
    </row>
    <row r="508" customFormat="false" ht="1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c r="DA508" s="7"/>
      <c r="DB508" s="7"/>
      <c r="DC508" s="7"/>
      <c r="DD508" s="7"/>
      <c r="DE508" s="7"/>
      <c r="DF508" s="7"/>
      <c r="DG508" s="7"/>
      <c r="DH508" s="7"/>
      <c r="DI508" s="7"/>
      <c r="DJ508" s="7"/>
      <c r="DK508" s="7"/>
      <c r="DL508" s="7"/>
      <c r="DM508" s="7"/>
      <c r="DN508" s="7"/>
      <c r="DO508" s="7"/>
      <c r="DP508" s="7"/>
      <c r="DQ508" s="7"/>
      <c r="DR508" s="7"/>
      <c r="DS508" s="7"/>
      <c r="DT508" s="7"/>
      <c r="DU508" s="7"/>
      <c r="DV508" s="7"/>
      <c r="DW508" s="7"/>
      <c r="DX508" s="7"/>
      <c r="DY508" s="7"/>
      <c r="DZ508" s="7"/>
      <c r="EA508" s="7"/>
      <c r="EB508" s="7"/>
      <c r="EC508" s="7"/>
      <c r="ED508" s="7"/>
      <c r="EE508" s="7"/>
      <c r="EF508" s="7"/>
      <c r="EG508" s="7"/>
      <c r="EH508" s="7"/>
      <c r="EI508" s="7"/>
      <c r="EJ508" s="7"/>
      <c r="EK508" s="7"/>
      <c r="EL508" s="7"/>
      <c r="EM508" s="7"/>
      <c r="EN508" s="7"/>
      <c r="EO508" s="7"/>
      <c r="EP508" s="7"/>
      <c r="EQ508" s="7"/>
      <c r="ER508" s="7"/>
      <c r="ES508" s="7"/>
      <c r="ET508" s="7"/>
      <c r="EU508" s="7"/>
      <c r="EV508" s="7"/>
      <c r="EW508" s="7"/>
      <c r="EX508" s="7"/>
      <c r="EY508" s="7"/>
      <c r="EZ508" s="7"/>
      <c r="FA508" s="7"/>
      <c r="FB508" s="7"/>
      <c r="FC508" s="7"/>
      <c r="FD508" s="7"/>
      <c r="FE508" s="7"/>
      <c r="FF508" s="7"/>
      <c r="FG508" s="7"/>
      <c r="FH508" s="7"/>
      <c r="FI508" s="7"/>
      <c r="FJ508" s="7"/>
      <c r="FK508" s="7"/>
      <c r="FL508" s="7"/>
      <c r="FM508" s="7"/>
      <c r="FN508" s="7"/>
      <c r="FO508" s="7"/>
      <c r="FP508" s="7"/>
      <c r="FQ508" s="7"/>
      <c r="FR508" s="7"/>
      <c r="FS508" s="7"/>
      <c r="FT508" s="7"/>
      <c r="FU508" s="7"/>
      <c r="FV508" s="7"/>
      <c r="FW508" s="7"/>
      <c r="FX508" s="7"/>
      <c r="FY508" s="7"/>
      <c r="FZ508" s="7"/>
      <c r="GA508" s="7"/>
      <c r="GB508" s="7"/>
      <c r="GC508" s="7"/>
      <c r="GD508" s="7"/>
      <c r="GE508" s="7"/>
      <c r="GF508" s="7"/>
      <c r="GG508" s="7"/>
      <c r="GH508" s="7"/>
      <c r="GI508" s="7"/>
      <c r="GJ508" s="7"/>
      <c r="GK508" s="7"/>
      <c r="GL508" s="7"/>
      <c r="GM508" s="7"/>
      <c r="GN508" s="7"/>
      <c r="GO508" s="7"/>
      <c r="GP508" s="7"/>
      <c r="GQ508" s="7"/>
      <c r="GR508" s="7"/>
      <c r="GS508" s="7"/>
      <c r="GT508" s="7"/>
      <c r="GU508" s="7"/>
      <c r="GV508" s="7"/>
      <c r="GW508" s="7"/>
      <c r="GX508" s="7"/>
      <c r="GY508" s="7"/>
      <c r="GZ508" s="7"/>
      <c r="HA508" s="7"/>
      <c r="HB508" s="7"/>
    </row>
    <row r="509" customFormat="false" ht="1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c r="DA509" s="7"/>
      <c r="DB509" s="7"/>
      <c r="DC509" s="7"/>
      <c r="DD509" s="7"/>
      <c r="DE509" s="7"/>
      <c r="DF509" s="7"/>
      <c r="DG509" s="7"/>
      <c r="DH509" s="7"/>
      <c r="DI509" s="7"/>
      <c r="DJ509" s="7"/>
      <c r="DK509" s="7"/>
      <c r="DL509" s="7"/>
      <c r="DM509" s="7"/>
      <c r="DN509" s="7"/>
      <c r="DO509" s="7"/>
      <c r="DP509" s="7"/>
      <c r="DQ509" s="7"/>
      <c r="DR509" s="7"/>
      <c r="DS509" s="7"/>
      <c r="DT509" s="7"/>
      <c r="DU509" s="7"/>
      <c r="DV509" s="7"/>
      <c r="DW509" s="7"/>
      <c r="DX509" s="7"/>
      <c r="DY509" s="7"/>
      <c r="DZ509" s="7"/>
      <c r="EA509" s="7"/>
      <c r="EB509" s="7"/>
      <c r="EC509" s="7"/>
      <c r="ED509" s="7"/>
      <c r="EE509" s="7"/>
      <c r="EF509" s="7"/>
      <c r="EG509" s="7"/>
      <c r="EH509" s="7"/>
      <c r="EI509" s="7"/>
      <c r="EJ509" s="7"/>
      <c r="EK509" s="7"/>
      <c r="EL509" s="7"/>
      <c r="EM509" s="7"/>
      <c r="EN509" s="7"/>
      <c r="EO509" s="7"/>
      <c r="EP509" s="7"/>
      <c r="EQ509" s="7"/>
      <c r="ER509" s="7"/>
      <c r="ES509" s="7"/>
      <c r="ET509" s="7"/>
      <c r="EU509" s="7"/>
      <c r="EV509" s="7"/>
      <c r="EW509" s="7"/>
      <c r="EX509" s="7"/>
      <c r="EY509" s="7"/>
      <c r="EZ509" s="7"/>
      <c r="FA509" s="7"/>
      <c r="FB509" s="7"/>
      <c r="FC509" s="7"/>
      <c r="FD509" s="7"/>
      <c r="FE509" s="7"/>
      <c r="FF509" s="7"/>
      <c r="FG509" s="7"/>
      <c r="FH509" s="7"/>
      <c r="FI509" s="7"/>
      <c r="FJ509" s="7"/>
      <c r="FK509" s="7"/>
      <c r="FL509" s="7"/>
      <c r="FM509" s="7"/>
      <c r="FN509" s="7"/>
      <c r="FO509" s="7"/>
      <c r="FP509" s="7"/>
      <c r="FQ509" s="7"/>
      <c r="FR509" s="7"/>
      <c r="FS509" s="7"/>
      <c r="FT509" s="7"/>
      <c r="FU509" s="7"/>
      <c r="FV509" s="7"/>
      <c r="FW509" s="7"/>
      <c r="FX509" s="7"/>
      <c r="FY509" s="7"/>
      <c r="FZ509" s="7"/>
      <c r="GA509" s="7"/>
      <c r="GB509" s="7"/>
      <c r="GC509" s="7"/>
      <c r="GD509" s="7"/>
      <c r="GE509" s="7"/>
      <c r="GF509" s="7"/>
      <c r="GG509" s="7"/>
      <c r="GH509" s="7"/>
      <c r="GI509" s="7"/>
      <c r="GJ509" s="7"/>
      <c r="GK509" s="7"/>
      <c r="GL509" s="7"/>
      <c r="GM509" s="7"/>
      <c r="GN509" s="7"/>
      <c r="GO509" s="7"/>
      <c r="GP509" s="7"/>
      <c r="GQ509" s="7"/>
      <c r="GR509" s="7"/>
      <c r="GS509" s="7"/>
      <c r="GT509" s="7"/>
      <c r="GU509" s="7"/>
      <c r="GV509" s="7"/>
      <c r="GW509" s="7"/>
      <c r="GX509" s="7"/>
      <c r="GY509" s="7"/>
      <c r="GZ509" s="7"/>
      <c r="HA509" s="7"/>
      <c r="HB509" s="7"/>
    </row>
    <row r="510" customFormat="false" ht="1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c r="DA510" s="7"/>
      <c r="DB510" s="7"/>
      <c r="DC510" s="7"/>
      <c r="DD510" s="7"/>
      <c r="DE510" s="7"/>
      <c r="DF510" s="7"/>
      <c r="DG510" s="7"/>
      <c r="DH510" s="7"/>
      <c r="DI510" s="7"/>
      <c r="DJ510" s="7"/>
      <c r="DK510" s="7"/>
      <c r="DL510" s="7"/>
      <c r="DM510" s="7"/>
      <c r="DN510" s="7"/>
      <c r="DO510" s="7"/>
      <c r="DP510" s="7"/>
      <c r="DQ510" s="7"/>
      <c r="DR510" s="7"/>
      <c r="DS510" s="7"/>
      <c r="DT510" s="7"/>
      <c r="DU510" s="7"/>
      <c r="DV510" s="7"/>
      <c r="DW510" s="7"/>
      <c r="DX510" s="7"/>
      <c r="DY510" s="7"/>
      <c r="DZ510" s="7"/>
      <c r="EA510" s="7"/>
      <c r="EB510" s="7"/>
      <c r="EC510" s="7"/>
      <c r="ED510" s="7"/>
      <c r="EE510" s="7"/>
      <c r="EF510" s="7"/>
      <c r="EG510" s="7"/>
      <c r="EH510" s="7"/>
      <c r="EI510" s="7"/>
      <c r="EJ510" s="7"/>
      <c r="EK510" s="7"/>
      <c r="EL510" s="7"/>
      <c r="EM510" s="7"/>
      <c r="EN510" s="7"/>
      <c r="EO510" s="7"/>
      <c r="EP510" s="7"/>
      <c r="EQ510" s="7"/>
      <c r="ER510" s="7"/>
      <c r="ES510" s="7"/>
      <c r="ET510" s="7"/>
      <c r="EU510" s="7"/>
      <c r="EV510" s="7"/>
      <c r="EW510" s="7"/>
      <c r="EX510" s="7"/>
      <c r="EY510" s="7"/>
      <c r="EZ510" s="7"/>
      <c r="FA510" s="7"/>
      <c r="FB510" s="7"/>
      <c r="FC510" s="7"/>
      <c r="FD510" s="7"/>
      <c r="FE510" s="7"/>
      <c r="FF510" s="7"/>
      <c r="FG510" s="7"/>
      <c r="FH510" s="7"/>
      <c r="FI510" s="7"/>
      <c r="FJ510" s="7"/>
      <c r="FK510" s="7"/>
      <c r="FL510" s="7"/>
      <c r="FM510" s="7"/>
      <c r="FN510" s="7"/>
      <c r="FO510" s="7"/>
      <c r="FP510" s="7"/>
      <c r="FQ510" s="7"/>
      <c r="FR510" s="7"/>
      <c r="FS510" s="7"/>
      <c r="FT510" s="7"/>
      <c r="FU510" s="7"/>
      <c r="FV510" s="7"/>
      <c r="FW510" s="7"/>
      <c r="FX510" s="7"/>
      <c r="FY510" s="7"/>
      <c r="FZ510" s="7"/>
      <c r="GA510" s="7"/>
      <c r="GB510" s="7"/>
      <c r="GC510" s="7"/>
      <c r="GD510" s="7"/>
      <c r="GE510" s="7"/>
      <c r="GF510" s="7"/>
      <c r="GG510" s="7"/>
      <c r="GH510" s="7"/>
      <c r="GI510" s="7"/>
      <c r="GJ510" s="7"/>
      <c r="GK510" s="7"/>
      <c r="GL510" s="7"/>
      <c r="GM510" s="7"/>
      <c r="GN510" s="7"/>
      <c r="GO510" s="7"/>
      <c r="GP510" s="7"/>
      <c r="GQ510" s="7"/>
      <c r="GR510" s="7"/>
      <c r="GS510" s="7"/>
      <c r="GT510" s="7"/>
      <c r="GU510" s="7"/>
      <c r="GV510" s="7"/>
      <c r="GW510" s="7"/>
      <c r="GX510" s="7"/>
      <c r="GY510" s="7"/>
      <c r="GZ510" s="7"/>
      <c r="HA510" s="7"/>
      <c r="HB510" s="7"/>
    </row>
    <row r="511" customFormat="false" ht="1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c r="DA511" s="7"/>
      <c r="DB511" s="7"/>
      <c r="DC511" s="7"/>
      <c r="DD511" s="7"/>
      <c r="DE511" s="7"/>
      <c r="DF511" s="7"/>
      <c r="DG511" s="7"/>
      <c r="DH511" s="7"/>
      <c r="DI511" s="7"/>
      <c r="DJ511" s="7"/>
      <c r="DK511" s="7"/>
      <c r="DL511" s="7"/>
      <c r="DM511" s="7"/>
      <c r="DN511" s="7"/>
      <c r="DO511" s="7"/>
      <c r="DP511" s="7"/>
      <c r="DQ511" s="7"/>
      <c r="DR511" s="7"/>
      <c r="DS511" s="7"/>
      <c r="DT511" s="7"/>
      <c r="DU511" s="7"/>
      <c r="DV511" s="7"/>
      <c r="DW511" s="7"/>
      <c r="DX511" s="7"/>
      <c r="DY511" s="7"/>
      <c r="DZ511" s="7"/>
      <c r="EA511" s="7"/>
      <c r="EB511" s="7"/>
      <c r="EC511" s="7"/>
      <c r="ED511" s="7"/>
      <c r="EE511" s="7"/>
      <c r="EF511" s="7"/>
      <c r="EG511" s="7"/>
      <c r="EH511" s="7"/>
      <c r="EI511" s="7"/>
      <c r="EJ511" s="7"/>
      <c r="EK511" s="7"/>
      <c r="EL511" s="7"/>
      <c r="EM511" s="7"/>
      <c r="EN511" s="7"/>
      <c r="EO511" s="7"/>
      <c r="EP511" s="7"/>
      <c r="EQ511" s="7"/>
      <c r="ER511" s="7"/>
      <c r="ES511" s="7"/>
      <c r="ET511" s="7"/>
      <c r="EU511" s="7"/>
      <c r="EV511" s="7"/>
      <c r="EW511" s="7"/>
      <c r="EX511" s="7"/>
      <c r="EY511" s="7"/>
      <c r="EZ511" s="7"/>
      <c r="FA511" s="7"/>
      <c r="FB511" s="7"/>
      <c r="FC511" s="7"/>
      <c r="FD511" s="7"/>
      <c r="FE511" s="7"/>
      <c r="FF511" s="7"/>
      <c r="FG511" s="7"/>
      <c r="FH511" s="7"/>
      <c r="FI511" s="7"/>
      <c r="FJ511" s="7"/>
      <c r="FK511" s="7"/>
      <c r="FL511" s="7"/>
      <c r="FM511" s="7"/>
      <c r="FN511" s="7"/>
      <c r="FO511" s="7"/>
      <c r="FP511" s="7"/>
      <c r="FQ511" s="7"/>
      <c r="FR511" s="7"/>
      <c r="FS511" s="7"/>
      <c r="FT511" s="7"/>
      <c r="FU511" s="7"/>
      <c r="FV511" s="7"/>
      <c r="FW511" s="7"/>
      <c r="FX511" s="7"/>
      <c r="FY511" s="7"/>
      <c r="FZ511" s="7"/>
      <c r="GA511" s="7"/>
      <c r="GB511" s="7"/>
      <c r="GC511" s="7"/>
      <c r="GD511" s="7"/>
      <c r="GE511" s="7"/>
      <c r="GF511" s="7"/>
      <c r="GG511" s="7"/>
      <c r="GH511" s="7"/>
      <c r="GI511" s="7"/>
      <c r="GJ511" s="7"/>
      <c r="GK511" s="7"/>
      <c r="GL511" s="7"/>
      <c r="GM511" s="7"/>
      <c r="GN511" s="7"/>
      <c r="GO511" s="7"/>
      <c r="GP511" s="7"/>
      <c r="GQ511" s="7"/>
      <c r="GR511" s="7"/>
      <c r="GS511" s="7"/>
      <c r="GT511" s="7"/>
      <c r="GU511" s="7"/>
      <c r="GV511" s="7"/>
      <c r="GW511" s="7"/>
      <c r="GX511" s="7"/>
      <c r="GY511" s="7"/>
      <c r="GZ511" s="7"/>
      <c r="HA511" s="7"/>
      <c r="HB511" s="7"/>
    </row>
    <row r="512" customFormat="false" ht="1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c r="DA512" s="7"/>
      <c r="DB512" s="7"/>
      <c r="DC512" s="7"/>
      <c r="DD512" s="7"/>
      <c r="DE512" s="7"/>
      <c r="DF512" s="7"/>
      <c r="DG512" s="7"/>
      <c r="DH512" s="7"/>
      <c r="DI512" s="7"/>
      <c r="DJ512" s="7"/>
      <c r="DK512" s="7"/>
      <c r="DL512" s="7"/>
      <c r="DM512" s="7"/>
      <c r="DN512" s="7"/>
      <c r="DO512" s="7"/>
      <c r="DP512" s="7"/>
      <c r="DQ512" s="7"/>
      <c r="DR512" s="7"/>
      <c r="DS512" s="7"/>
      <c r="DT512" s="7"/>
      <c r="DU512" s="7"/>
      <c r="DV512" s="7"/>
      <c r="DW512" s="7"/>
      <c r="DX512" s="7"/>
      <c r="DY512" s="7"/>
      <c r="DZ512" s="7"/>
      <c r="EA512" s="7"/>
      <c r="EB512" s="7"/>
      <c r="EC512" s="7"/>
      <c r="ED512" s="7"/>
      <c r="EE512" s="7"/>
      <c r="EF512" s="7"/>
      <c r="EG512" s="7"/>
      <c r="EH512" s="7"/>
      <c r="EI512" s="7"/>
      <c r="EJ512" s="7"/>
      <c r="EK512" s="7"/>
      <c r="EL512" s="7"/>
      <c r="EM512" s="7"/>
      <c r="EN512" s="7"/>
      <c r="EO512" s="7"/>
      <c r="EP512" s="7"/>
      <c r="EQ512" s="7"/>
      <c r="ER512" s="7"/>
      <c r="ES512" s="7"/>
      <c r="ET512" s="7"/>
      <c r="EU512" s="7"/>
      <c r="EV512" s="7"/>
      <c r="EW512" s="7"/>
      <c r="EX512" s="7"/>
      <c r="EY512" s="7"/>
      <c r="EZ512" s="7"/>
      <c r="FA512" s="7"/>
      <c r="FB512" s="7"/>
      <c r="FC512" s="7"/>
      <c r="FD512" s="7"/>
      <c r="FE512" s="7"/>
      <c r="FF512" s="7"/>
      <c r="FG512" s="7"/>
      <c r="FH512" s="7"/>
      <c r="FI512" s="7"/>
      <c r="FJ512" s="7"/>
      <c r="FK512" s="7"/>
      <c r="FL512" s="7"/>
      <c r="FM512" s="7"/>
      <c r="FN512" s="7"/>
      <c r="FO512" s="7"/>
      <c r="FP512" s="7"/>
      <c r="FQ512" s="7"/>
      <c r="FR512" s="7"/>
      <c r="FS512" s="7"/>
      <c r="FT512" s="7"/>
      <c r="FU512" s="7"/>
      <c r="FV512" s="7"/>
      <c r="FW512" s="7"/>
      <c r="FX512" s="7"/>
      <c r="FY512" s="7"/>
      <c r="FZ512" s="7"/>
      <c r="GA512" s="7"/>
      <c r="GB512" s="7"/>
      <c r="GC512" s="7"/>
      <c r="GD512" s="7"/>
      <c r="GE512" s="7"/>
      <c r="GF512" s="7"/>
      <c r="GG512" s="7"/>
      <c r="GH512" s="7"/>
      <c r="GI512" s="7"/>
      <c r="GJ512" s="7"/>
      <c r="GK512" s="7"/>
      <c r="GL512" s="7"/>
      <c r="GM512" s="7"/>
      <c r="GN512" s="7"/>
      <c r="GO512" s="7"/>
      <c r="GP512" s="7"/>
      <c r="GQ512" s="7"/>
      <c r="GR512" s="7"/>
      <c r="GS512" s="7"/>
      <c r="GT512" s="7"/>
      <c r="GU512" s="7"/>
      <c r="GV512" s="7"/>
      <c r="GW512" s="7"/>
      <c r="GX512" s="7"/>
      <c r="GY512" s="7"/>
      <c r="GZ512" s="7"/>
      <c r="HA512" s="7"/>
      <c r="HB512" s="7"/>
    </row>
    <row r="513" customFormat="false" ht="1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c r="DA513" s="7"/>
      <c r="DB513" s="7"/>
      <c r="DC513" s="7"/>
      <c r="DD513" s="7"/>
      <c r="DE513" s="7"/>
      <c r="DF513" s="7"/>
      <c r="DG513" s="7"/>
      <c r="DH513" s="7"/>
      <c r="DI513" s="7"/>
      <c r="DJ513" s="7"/>
      <c r="DK513" s="7"/>
      <c r="DL513" s="7"/>
      <c r="DM513" s="7"/>
      <c r="DN513" s="7"/>
      <c r="DO513" s="7"/>
      <c r="DP513" s="7"/>
      <c r="DQ513" s="7"/>
      <c r="DR513" s="7"/>
      <c r="DS513" s="7"/>
      <c r="DT513" s="7"/>
      <c r="DU513" s="7"/>
      <c r="DV513" s="7"/>
      <c r="DW513" s="7"/>
      <c r="DX513" s="7"/>
      <c r="DY513" s="7"/>
      <c r="DZ513" s="7"/>
      <c r="EA513" s="7"/>
      <c r="EB513" s="7"/>
      <c r="EC513" s="7"/>
      <c r="ED513" s="7"/>
      <c r="EE513" s="7"/>
      <c r="EF513" s="7"/>
      <c r="EG513" s="7"/>
      <c r="EH513" s="7"/>
      <c r="EI513" s="7"/>
      <c r="EJ513" s="7"/>
      <c r="EK513" s="7"/>
      <c r="EL513" s="7"/>
      <c r="EM513" s="7"/>
      <c r="EN513" s="7"/>
      <c r="EO513" s="7"/>
      <c r="EP513" s="7"/>
      <c r="EQ513" s="7"/>
      <c r="ER513" s="7"/>
      <c r="ES513" s="7"/>
      <c r="ET513" s="7"/>
      <c r="EU513" s="7"/>
      <c r="EV513" s="7"/>
      <c r="EW513" s="7"/>
      <c r="EX513" s="7"/>
      <c r="EY513" s="7"/>
      <c r="EZ513" s="7"/>
      <c r="FA513" s="7"/>
      <c r="FB513" s="7"/>
      <c r="FC513" s="7"/>
      <c r="FD513" s="7"/>
      <c r="FE513" s="7"/>
      <c r="FF513" s="7"/>
      <c r="FG513" s="7"/>
      <c r="FH513" s="7"/>
      <c r="FI513" s="7"/>
      <c r="FJ513" s="7"/>
      <c r="FK513" s="7"/>
      <c r="FL513" s="7"/>
      <c r="FM513" s="7"/>
      <c r="FN513" s="7"/>
      <c r="FO513" s="7"/>
      <c r="FP513" s="7"/>
      <c r="FQ513" s="7"/>
      <c r="FR513" s="7"/>
      <c r="FS513" s="7"/>
      <c r="FT513" s="7"/>
      <c r="FU513" s="7"/>
      <c r="FV513" s="7"/>
      <c r="FW513" s="7"/>
      <c r="FX513" s="7"/>
      <c r="FY513" s="7"/>
      <c r="FZ513" s="7"/>
      <c r="GA513" s="7"/>
      <c r="GB513" s="7"/>
      <c r="GC513" s="7"/>
      <c r="GD513" s="7"/>
      <c r="GE513" s="7"/>
      <c r="GF513" s="7"/>
      <c r="GG513" s="7"/>
      <c r="GH513" s="7"/>
      <c r="GI513" s="7"/>
      <c r="GJ513" s="7"/>
      <c r="GK513" s="7"/>
      <c r="GL513" s="7"/>
      <c r="GM513" s="7"/>
      <c r="GN513" s="7"/>
      <c r="GO513" s="7"/>
      <c r="GP513" s="7"/>
      <c r="GQ513" s="7"/>
      <c r="GR513" s="7"/>
      <c r="GS513" s="7"/>
      <c r="GT513" s="7"/>
      <c r="GU513" s="7"/>
      <c r="GV513" s="7"/>
      <c r="GW513" s="7"/>
      <c r="GX513" s="7"/>
      <c r="GY513" s="7"/>
      <c r="GZ513" s="7"/>
      <c r="HA513" s="7"/>
      <c r="HB513" s="7"/>
    </row>
    <row r="514" customFormat="false" ht="1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c r="DA514" s="7"/>
      <c r="DB514" s="7"/>
      <c r="DC514" s="7"/>
      <c r="DD514" s="7"/>
      <c r="DE514" s="7"/>
      <c r="DF514" s="7"/>
      <c r="DG514" s="7"/>
      <c r="DH514" s="7"/>
      <c r="DI514" s="7"/>
      <c r="DJ514" s="7"/>
      <c r="DK514" s="7"/>
      <c r="DL514" s="7"/>
      <c r="DM514" s="7"/>
      <c r="DN514" s="7"/>
      <c r="DO514" s="7"/>
      <c r="DP514" s="7"/>
      <c r="DQ514" s="7"/>
      <c r="DR514" s="7"/>
      <c r="DS514" s="7"/>
      <c r="DT514" s="7"/>
      <c r="DU514" s="7"/>
      <c r="DV514" s="7"/>
      <c r="DW514" s="7"/>
      <c r="DX514" s="7"/>
      <c r="DY514" s="7"/>
      <c r="DZ514" s="7"/>
      <c r="EA514" s="7"/>
      <c r="EB514" s="7"/>
      <c r="EC514" s="7"/>
      <c r="ED514" s="7"/>
      <c r="EE514" s="7"/>
      <c r="EF514" s="7"/>
      <c r="EG514" s="7"/>
      <c r="EH514" s="7"/>
      <c r="EI514" s="7"/>
      <c r="EJ514" s="7"/>
      <c r="EK514" s="7"/>
      <c r="EL514" s="7"/>
      <c r="EM514" s="7"/>
      <c r="EN514" s="7"/>
      <c r="EO514" s="7"/>
      <c r="EP514" s="7"/>
      <c r="EQ514" s="7"/>
      <c r="ER514" s="7"/>
      <c r="ES514" s="7"/>
      <c r="ET514" s="7"/>
      <c r="EU514" s="7"/>
      <c r="EV514" s="7"/>
      <c r="EW514" s="7"/>
      <c r="EX514" s="7"/>
      <c r="EY514" s="7"/>
      <c r="EZ514" s="7"/>
      <c r="FA514" s="7"/>
      <c r="FB514" s="7"/>
      <c r="FC514" s="7"/>
      <c r="FD514" s="7"/>
      <c r="FE514" s="7"/>
      <c r="FF514" s="7"/>
      <c r="FG514" s="7"/>
      <c r="FH514" s="7"/>
      <c r="FI514" s="7"/>
      <c r="FJ514" s="7"/>
      <c r="FK514" s="7"/>
      <c r="FL514" s="7"/>
      <c r="FM514" s="7"/>
      <c r="FN514" s="7"/>
      <c r="FO514" s="7"/>
      <c r="FP514" s="7"/>
      <c r="FQ514" s="7"/>
      <c r="FR514" s="7"/>
      <c r="FS514" s="7"/>
      <c r="FT514" s="7"/>
      <c r="FU514" s="7"/>
      <c r="FV514" s="7"/>
      <c r="FW514" s="7"/>
      <c r="FX514" s="7"/>
      <c r="FY514" s="7"/>
      <c r="FZ514" s="7"/>
      <c r="GA514" s="7"/>
      <c r="GB514" s="7"/>
      <c r="GC514" s="7"/>
      <c r="GD514" s="7"/>
      <c r="GE514" s="7"/>
      <c r="GF514" s="7"/>
      <c r="GG514" s="7"/>
      <c r="GH514" s="7"/>
      <c r="GI514" s="7"/>
      <c r="GJ514" s="7"/>
      <c r="GK514" s="7"/>
      <c r="GL514" s="7"/>
      <c r="GM514" s="7"/>
      <c r="GN514" s="7"/>
      <c r="GO514" s="7"/>
      <c r="GP514" s="7"/>
      <c r="GQ514" s="7"/>
      <c r="GR514" s="7"/>
      <c r="GS514" s="7"/>
      <c r="GT514" s="7"/>
      <c r="GU514" s="7"/>
      <c r="GV514" s="7"/>
      <c r="GW514" s="7"/>
      <c r="GX514" s="7"/>
      <c r="GY514" s="7"/>
      <c r="GZ514" s="7"/>
      <c r="HA514" s="7"/>
      <c r="HB514" s="7"/>
    </row>
    <row r="515" customFormat="false" ht="1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c r="DA515" s="7"/>
      <c r="DB515" s="7"/>
      <c r="DC515" s="7"/>
      <c r="DD515" s="7"/>
      <c r="DE515" s="7"/>
      <c r="DF515" s="7"/>
      <c r="DG515" s="7"/>
      <c r="DH515" s="7"/>
      <c r="DI515" s="7"/>
      <c r="DJ515" s="7"/>
      <c r="DK515" s="7"/>
      <c r="DL515" s="7"/>
      <c r="DM515" s="7"/>
      <c r="DN515" s="7"/>
      <c r="DO515" s="7"/>
      <c r="DP515" s="7"/>
      <c r="DQ515" s="7"/>
      <c r="DR515" s="7"/>
      <c r="DS515" s="7"/>
      <c r="DT515" s="7"/>
      <c r="DU515" s="7"/>
      <c r="DV515" s="7"/>
      <c r="DW515" s="7"/>
      <c r="DX515" s="7"/>
      <c r="DY515" s="7"/>
      <c r="DZ515" s="7"/>
      <c r="EA515" s="7"/>
      <c r="EB515" s="7"/>
      <c r="EC515" s="7"/>
      <c r="ED515" s="7"/>
      <c r="EE515" s="7"/>
      <c r="EF515" s="7"/>
      <c r="EG515" s="7"/>
      <c r="EH515" s="7"/>
      <c r="EI515" s="7"/>
      <c r="EJ515" s="7"/>
      <c r="EK515" s="7"/>
      <c r="EL515" s="7"/>
      <c r="EM515" s="7"/>
      <c r="EN515" s="7"/>
      <c r="EO515" s="7"/>
      <c r="EP515" s="7"/>
      <c r="EQ515" s="7"/>
      <c r="ER515" s="7"/>
      <c r="ES515" s="7"/>
      <c r="ET515" s="7"/>
      <c r="EU515" s="7"/>
      <c r="EV515" s="7"/>
      <c r="EW515" s="7"/>
      <c r="EX515" s="7"/>
      <c r="EY515" s="7"/>
      <c r="EZ515" s="7"/>
      <c r="FA515" s="7"/>
      <c r="FB515" s="7"/>
      <c r="FC515" s="7"/>
      <c r="FD515" s="7"/>
      <c r="FE515" s="7"/>
      <c r="FF515" s="7"/>
      <c r="FG515" s="7"/>
      <c r="FH515" s="7"/>
      <c r="FI515" s="7"/>
      <c r="FJ515" s="7"/>
      <c r="FK515" s="7"/>
      <c r="FL515" s="7"/>
      <c r="FM515" s="7"/>
      <c r="FN515" s="7"/>
      <c r="FO515" s="7"/>
      <c r="FP515" s="7"/>
      <c r="FQ515" s="7"/>
      <c r="FR515" s="7"/>
      <c r="FS515" s="7"/>
      <c r="FT515" s="7"/>
      <c r="FU515" s="7"/>
      <c r="FV515" s="7"/>
      <c r="FW515" s="7"/>
      <c r="FX515" s="7"/>
      <c r="FY515" s="7"/>
      <c r="FZ515" s="7"/>
      <c r="GA515" s="7"/>
      <c r="GB515" s="7"/>
      <c r="GC515" s="7"/>
      <c r="GD515" s="7"/>
      <c r="GE515" s="7"/>
      <c r="GF515" s="7"/>
      <c r="GG515" s="7"/>
      <c r="GH515" s="7"/>
      <c r="GI515" s="7"/>
      <c r="GJ515" s="7"/>
      <c r="GK515" s="7"/>
      <c r="GL515" s="7"/>
      <c r="GM515" s="7"/>
      <c r="GN515" s="7"/>
      <c r="GO515" s="7"/>
      <c r="GP515" s="7"/>
      <c r="GQ515" s="7"/>
      <c r="GR515" s="7"/>
      <c r="GS515" s="7"/>
      <c r="GT515" s="7"/>
      <c r="GU515" s="7"/>
      <c r="GV515" s="7"/>
      <c r="GW515" s="7"/>
      <c r="GX515" s="7"/>
      <c r="GY515" s="7"/>
      <c r="GZ515" s="7"/>
      <c r="HA515" s="7"/>
      <c r="HB515" s="7"/>
    </row>
    <row r="516" customFormat="false" ht="1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c r="DA516" s="7"/>
      <c r="DB516" s="7"/>
      <c r="DC516" s="7"/>
      <c r="DD516" s="7"/>
      <c r="DE516" s="7"/>
      <c r="DF516" s="7"/>
      <c r="DG516" s="7"/>
      <c r="DH516" s="7"/>
      <c r="DI516" s="7"/>
      <c r="DJ516" s="7"/>
      <c r="DK516" s="7"/>
      <c r="DL516" s="7"/>
      <c r="DM516" s="7"/>
      <c r="DN516" s="7"/>
      <c r="DO516" s="7"/>
      <c r="DP516" s="7"/>
      <c r="DQ516" s="7"/>
      <c r="DR516" s="7"/>
      <c r="DS516" s="7"/>
      <c r="DT516" s="7"/>
      <c r="DU516" s="7"/>
      <c r="DV516" s="7"/>
      <c r="DW516" s="7"/>
      <c r="DX516" s="7"/>
      <c r="DY516" s="7"/>
      <c r="DZ516" s="7"/>
      <c r="EA516" s="7"/>
      <c r="EB516" s="7"/>
      <c r="EC516" s="7"/>
      <c r="ED516" s="7"/>
      <c r="EE516" s="7"/>
      <c r="EF516" s="7"/>
      <c r="EG516" s="7"/>
      <c r="EH516" s="7"/>
      <c r="EI516" s="7"/>
      <c r="EJ516" s="7"/>
      <c r="EK516" s="7"/>
      <c r="EL516" s="7"/>
      <c r="EM516" s="7"/>
      <c r="EN516" s="7"/>
      <c r="EO516" s="7"/>
      <c r="EP516" s="7"/>
      <c r="EQ516" s="7"/>
      <c r="ER516" s="7"/>
      <c r="ES516" s="7"/>
      <c r="ET516" s="7"/>
      <c r="EU516" s="7"/>
      <c r="EV516" s="7"/>
      <c r="EW516" s="7"/>
      <c r="EX516" s="7"/>
      <c r="EY516" s="7"/>
      <c r="EZ516" s="7"/>
      <c r="FA516" s="7"/>
      <c r="FB516" s="7"/>
      <c r="FC516" s="7"/>
      <c r="FD516" s="7"/>
      <c r="FE516" s="7"/>
      <c r="FF516" s="7"/>
      <c r="FG516" s="7"/>
      <c r="FH516" s="7"/>
      <c r="FI516" s="7"/>
      <c r="FJ516" s="7"/>
      <c r="FK516" s="7"/>
      <c r="FL516" s="7"/>
      <c r="FM516" s="7"/>
      <c r="FN516" s="7"/>
      <c r="FO516" s="7"/>
      <c r="FP516" s="7"/>
      <c r="FQ516" s="7"/>
      <c r="FR516" s="7"/>
      <c r="FS516" s="7"/>
      <c r="FT516" s="7"/>
      <c r="FU516" s="7"/>
      <c r="FV516" s="7"/>
      <c r="FW516" s="7"/>
      <c r="FX516" s="7"/>
      <c r="FY516" s="7"/>
      <c r="FZ516" s="7"/>
      <c r="GA516" s="7"/>
      <c r="GB516" s="7"/>
      <c r="GC516" s="7"/>
      <c r="GD516" s="7"/>
      <c r="GE516" s="7"/>
      <c r="GF516" s="7"/>
      <c r="GG516" s="7"/>
      <c r="GH516" s="7"/>
      <c r="GI516" s="7"/>
      <c r="GJ516" s="7"/>
      <c r="GK516" s="7"/>
      <c r="GL516" s="7"/>
      <c r="GM516" s="7"/>
      <c r="GN516" s="7"/>
      <c r="GO516" s="7"/>
      <c r="GP516" s="7"/>
      <c r="GQ516" s="7"/>
      <c r="GR516" s="7"/>
      <c r="GS516" s="7"/>
      <c r="GT516" s="7"/>
      <c r="GU516" s="7"/>
      <c r="GV516" s="7"/>
      <c r="GW516" s="7"/>
      <c r="GX516" s="7"/>
      <c r="GY516" s="7"/>
      <c r="GZ516" s="7"/>
      <c r="HA516" s="7"/>
      <c r="HB516" s="7"/>
    </row>
    <row r="517" customFormat="false" ht="1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c r="DA517" s="7"/>
      <c r="DB517" s="7"/>
      <c r="DC517" s="7"/>
      <c r="DD517" s="7"/>
      <c r="DE517" s="7"/>
      <c r="DF517" s="7"/>
      <c r="DG517" s="7"/>
      <c r="DH517" s="7"/>
      <c r="DI517" s="7"/>
      <c r="DJ517" s="7"/>
      <c r="DK517" s="7"/>
      <c r="DL517" s="7"/>
      <c r="DM517" s="7"/>
      <c r="DN517" s="7"/>
      <c r="DO517" s="7"/>
      <c r="DP517" s="7"/>
      <c r="DQ517" s="7"/>
      <c r="DR517" s="7"/>
      <c r="DS517" s="7"/>
      <c r="DT517" s="7"/>
      <c r="DU517" s="7"/>
      <c r="DV517" s="7"/>
      <c r="DW517" s="7"/>
      <c r="DX517" s="7"/>
      <c r="DY517" s="7"/>
      <c r="DZ517" s="7"/>
      <c r="EA517" s="7"/>
      <c r="EB517" s="7"/>
      <c r="EC517" s="7"/>
      <c r="ED517" s="7"/>
      <c r="EE517" s="7"/>
      <c r="EF517" s="7"/>
      <c r="EG517" s="7"/>
      <c r="EH517" s="7"/>
      <c r="EI517" s="7"/>
      <c r="EJ517" s="7"/>
      <c r="EK517" s="7"/>
      <c r="EL517" s="7"/>
      <c r="EM517" s="7"/>
      <c r="EN517" s="7"/>
      <c r="EO517" s="7"/>
      <c r="EP517" s="7"/>
      <c r="EQ517" s="7"/>
      <c r="ER517" s="7"/>
      <c r="ES517" s="7"/>
      <c r="ET517" s="7"/>
      <c r="EU517" s="7"/>
      <c r="EV517" s="7"/>
      <c r="EW517" s="7"/>
      <c r="EX517" s="7"/>
      <c r="EY517" s="7"/>
      <c r="EZ517" s="7"/>
      <c r="FA517" s="7"/>
      <c r="FB517" s="7"/>
      <c r="FC517" s="7"/>
      <c r="FD517" s="7"/>
      <c r="FE517" s="7"/>
      <c r="FF517" s="7"/>
      <c r="FG517" s="7"/>
      <c r="FH517" s="7"/>
      <c r="FI517" s="7"/>
      <c r="FJ517" s="7"/>
      <c r="FK517" s="7"/>
      <c r="FL517" s="7"/>
      <c r="FM517" s="7"/>
      <c r="FN517" s="7"/>
      <c r="FO517" s="7"/>
      <c r="FP517" s="7"/>
      <c r="FQ517" s="7"/>
      <c r="FR517" s="7"/>
      <c r="FS517" s="7"/>
      <c r="FT517" s="7"/>
      <c r="FU517" s="7"/>
      <c r="FV517" s="7"/>
      <c r="FW517" s="7"/>
      <c r="FX517" s="7"/>
      <c r="FY517" s="7"/>
      <c r="FZ517" s="7"/>
      <c r="GA517" s="7"/>
      <c r="GB517" s="7"/>
      <c r="GC517" s="7"/>
      <c r="GD517" s="7"/>
      <c r="GE517" s="7"/>
      <c r="GF517" s="7"/>
      <c r="GG517" s="7"/>
      <c r="GH517" s="7"/>
      <c r="GI517" s="7"/>
      <c r="GJ517" s="7"/>
      <c r="GK517" s="7"/>
      <c r="GL517" s="7"/>
      <c r="GM517" s="7"/>
      <c r="GN517" s="7"/>
      <c r="GO517" s="7"/>
      <c r="GP517" s="7"/>
      <c r="GQ517" s="7"/>
      <c r="GR517" s="7"/>
      <c r="GS517" s="7"/>
      <c r="GT517" s="7"/>
      <c r="GU517" s="7"/>
      <c r="GV517" s="7"/>
      <c r="GW517" s="7"/>
      <c r="GX517" s="7"/>
      <c r="GY517" s="7"/>
      <c r="GZ517" s="7"/>
      <c r="HA517" s="7"/>
      <c r="HB517" s="7"/>
    </row>
    <row r="518" customFormat="false" ht="1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c r="DA518" s="7"/>
      <c r="DB518" s="7"/>
      <c r="DC518" s="7"/>
      <c r="DD518" s="7"/>
      <c r="DE518" s="7"/>
      <c r="DF518" s="7"/>
      <c r="DG518" s="7"/>
      <c r="DH518" s="7"/>
      <c r="DI518" s="7"/>
      <c r="DJ518" s="7"/>
      <c r="DK518" s="7"/>
      <c r="DL518" s="7"/>
      <c r="DM518" s="7"/>
      <c r="DN518" s="7"/>
      <c r="DO518" s="7"/>
      <c r="DP518" s="7"/>
      <c r="DQ518" s="7"/>
      <c r="DR518" s="7"/>
      <c r="DS518" s="7"/>
      <c r="DT518" s="7"/>
      <c r="DU518" s="7"/>
      <c r="DV518" s="7"/>
      <c r="DW518" s="7"/>
      <c r="DX518" s="7"/>
      <c r="DY518" s="7"/>
      <c r="DZ518" s="7"/>
      <c r="EA518" s="7"/>
      <c r="EB518" s="7"/>
      <c r="EC518" s="7"/>
      <c r="ED518" s="7"/>
      <c r="EE518" s="7"/>
      <c r="EF518" s="7"/>
      <c r="EG518" s="7"/>
      <c r="EH518" s="7"/>
      <c r="EI518" s="7"/>
      <c r="EJ518" s="7"/>
      <c r="EK518" s="7"/>
      <c r="EL518" s="7"/>
      <c r="EM518" s="7"/>
      <c r="EN518" s="7"/>
      <c r="EO518" s="7"/>
      <c r="EP518" s="7"/>
      <c r="EQ518" s="7"/>
      <c r="ER518" s="7"/>
      <c r="ES518" s="7"/>
      <c r="ET518" s="7"/>
      <c r="EU518" s="7"/>
      <c r="EV518" s="7"/>
      <c r="EW518" s="7"/>
      <c r="EX518" s="7"/>
      <c r="EY518" s="7"/>
      <c r="EZ518" s="7"/>
      <c r="FA518" s="7"/>
      <c r="FB518" s="7"/>
      <c r="FC518" s="7"/>
      <c r="FD518" s="7"/>
      <c r="FE518" s="7"/>
      <c r="FF518" s="7"/>
      <c r="FG518" s="7"/>
      <c r="FH518" s="7"/>
      <c r="FI518" s="7"/>
      <c r="FJ518" s="7"/>
      <c r="FK518" s="7"/>
      <c r="FL518" s="7"/>
      <c r="FM518" s="7"/>
      <c r="FN518" s="7"/>
      <c r="FO518" s="7"/>
      <c r="FP518" s="7"/>
      <c r="FQ518" s="7"/>
      <c r="FR518" s="7"/>
      <c r="FS518" s="7"/>
      <c r="FT518" s="7"/>
      <c r="FU518" s="7"/>
      <c r="FV518" s="7"/>
      <c r="FW518" s="7"/>
      <c r="FX518" s="7"/>
      <c r="FY518" s="7"/>
      <c r="FZ518" s="7"/>
      <c r="GA518" s="7"/>
      <c r="GB518" s="7"/>
      <c r="GC518" s="7"/>
      <c r="GD518" s="7"/>
      <c r="GE518" s="7"/>
      <c r="GF518" s="7"/>
      <c r="GG518" s="7"/>
      <c r="GH518" s="7"/>
      <c r="GI518" s="7"/>
      <c r="GJ518" s="7"/>
      <c r="GK518" s="7"/>
      <c r="GL518" s="7"/>
      <c r="GM518" s="7"/>
      <c r="GN518" s="7"/>
      <c r="GO518" s="7"/>
      <c r="GP518" s="7"/>
      <c r="GQ518" s="7"/>
      <c r="GR518" s="7"/>
      <c r="GS518" s="7"/>
      <c r="GT518" s="7"/>
      <c r="GU518" s="7"/>
      <c r="GV518" s="7"/>
      <c r="GW518" s="7"/>
      <c r="GX518" s="7"/>
      <c r="GY518" s="7"/>
      <c r="GZ518" s="7"/>
      <c r="HA518" s="7"/>
      <c r="HB518" s="7"/>
    </row>
    <row r="519" customFormat="false" ht="1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c r="DA519" s="7"/>
      <c r="DB519" s="7"/>
      <c r="DC519" s="7"/>
      <c r="DD519" s="7"/>
      <c r="DE519" s="7"/>
      <c r="DF519" s="7"/>
      <c r="DG519" s="7"/>
      <c r="DH519" s="7"/>
      <c r="DI519" s="7"/>
      <c r="DJ519" s="7"/>
      <c r="DK519" s="7"/>
      <c r="DL519" s="7"/>
      <c r="DM519" s="7"/>
      <c r="DN519" s="7"/>
      <c r="DO519" s="7"/>
      <c r="DP519" s="7"/>
      <c r="DQ519" s="7"/>
      <c r="DR519" s="7"/>
      <c r="DS519" s="7"/>
      <c r="DT519" s="7"/>
      <c r="DU519" s="7"/>
      <c r="DV519" s="7"/>
      <c r="DW519" s="7"/>
      <c r="DX519" s="7"/>
      <c r="DY519" s="7"/>
      <c r="DZ519" s="7"/>
      <c r="EA519" s="7"/>
      <c r="EB519" s="7"/>
      <c r="EC519" s="7"/>
      <c r="ED519" s="7"/>
      <c r="EE519" s="7"/>
      <c r="EF519" s="7"/>
      <c r="EG519" s="7"/>
      <c r="EH519" s="7"/>
      <c r="EI519" s="7"/>
      <c r="EJ519" s="7"/>
      <c r="EK519" s="7"/>
      <c r="EL519" s="7"/>
      <c r="EM519" s="7"/>
      <c r="EN519" s="7"/>
      <c r="EO519" s="7"/>
      <c r="EP519" s="7"/>
      <c r="EQ519" s="7"/>
      <c r="ER519" s="7"/>
      <c r="ES519" s="7"/>
      <c r="ET519" s="7"/>
      <c r="EU519" s="7"/>
      <c r="EV519" s="7"/>
      <c r="EW519" s="7"/>
      <c r="EX519" s="7"/>
      <c r="EY519" s="7"/>
      <c r="EZ519" s="7"/>
      <c r="FA519" s="7"/>
      <c r="FB519" s="7"/>
      <c r="FC519" s="7"/>
      <c r="FD519" s="7"/>
      <c r="FE519" s="7"/>
      <c r="FF519" s="7"/>
      <c r="FG519" s="7"/>
      <c r="FH519" s="7"/>
      <c r="FI519" s="7"/>
      <c r="FJ519" s="7"/>
      <c r="FK519" s="7"/>
      <c r="FL519" s="7"/>
      <c r="FM519" s="7"/>
      <c r="FN519" s="7"/>
      <c r="FO519" s="7"/>
      <c r="FP519" s="7"/>
      <c r="FQ519" s="7"/>
      <c r="FR519" s="7"/>
      <c r="FS519" s="7"/>
      <c r="FT519" s="7"/>
      <c r="FU519" s="7"/>
      <c r="FV519" s="7"/>
      <c r="FW519" s="7"/>
      <c r="FX519" s="7"/>
      <c r="FY519" s="7"/>
      <c r="FZ519" s="7"/>
      <c r="GA519" s="7"/>
      <c r="GB519" s="7"/>
      <c r="GC519" s="7"/>
      <c r="GD519" s="7"/>
      <c r="GE519" s="7"/>
      <c r="GF519" s="7"/>
      <c r="GG519" s="7"/>
      <c r="GH519" s="7"/>
      <c r="GI519" s="7"/>
      <c r="GJ519" s="7"/>
      <c r="GK519" s="7"/>
      <c r="GL519" s="7"/>
      <c r="GM519" s="7"/>
      <c r="GN519" s="7"/>
      <c r="GO519" s="7"/>
      <c r="GP519" s="7"/>
      <c r="GQ519" s="7"/>
      <c r="GR519" s="7"/>
      <c r="GS519" s="7"/>
      <c r="GT519" s="7"/>
      <c r="GU519" s="7"/>
      <c r="GV519" s="7"/>
      <c r="GW519" s="7"/>
      <c r="GX519" s="7"/>
      <c r="GY519" s="7"/>
      <c r="GZ519" s="7"/>
      <c r="HA519" s="7"/>
      <c r="HB519" s="7"/>
    </row>
    <row r="520" customFormat="false" ht="1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c r="DA520" s="7"/>
      <c r="DB520" s="7"/>
      <c r="DC520" s="7"/>
      <c r="DD520" s="7"/>
      <c r="DE520" s="7"/>
      <c r="DF520" s="7"/>
      <c r="DG520" s="7"/>
      <c r="DH520" s="7"/>
      <c r="DI520" s="7"/>
      <c r="DJ520" s="7"/>
      <c r="DK520" s="7"/>
      <c r="DL520" s="7"/>
      <c r="DM520" s="7"/>
      <c r="DN520" s="7"/>
      <c r="DO520" s="7"/>
      <c r="DP520" s="7"/>
      <c r="DQ520" s="7"/>
      <c r="DR520" s="7"/>
      <c r="DS520" s="7"/>
      <c r="DT520" s="7"/>
      <c r="DU520" s="7"/>
      <c r="DV520" s="7"/>
      <c r="DW520" s="7"/>
      <c r="DX520" s="7"/>
      <c r="DY520" s="7"/>
      <c r="DZ520" s="7"/>
      <c r="EA520" s="7"/>
      <c r="EB520" s="7"/>
      <c r="EC520" s="7"/>
      <c r="ED520" s="7"/>
      <c r="EE520" s="7"/>
      <c r="EF520" s="7"/>
      <c r="EG520" s="7"/>
      <c r="EH520" s="7"/>
      <c r="EI520" s="7"/>
      <c r="EJ520" s="7"/>
      <c r="EK520" s="7"/>
      <c r="EL520" s="7"/>
      <c r="EM520" s="7"/>
      <c r="EN520" s="7"/>
      <c r="EO520" s="7"/>
      <c r="EP520" s="7"/>
      <c r="EQ520" s="7"/>
      <c r="ER520" s="7"/>
      <c r="ES520" s="7"/>
      <c r="ET520" s="7"/>
      <c r="EU520" s="7"/>
      <c r="EV520" s="7"/>
      <c r="EW520" s="7"/>
      <c r="EX520" s="7"/>
      <c r="EY520" s="7"/>
      <c r="EZ520" s="7"/>
      <c r="FA520" s="7"/>
      <c r="FB520" s="7"/>
      <c r="FC520" s="7"/>
      <c r="FD520" s="7"/>
      <c r="FE520" s="7"/>
      <c r="FF520" s="7"/>
      <c r="FG520" s="7"/>
      <c r="FH520" s="7"/>
      <c r="FI520" s="7"/>
      <c r="FJ520" s="7"/>
      <c r="FK520" s="7"/>
      <c r="FL520" s="7"/>
      <c r="FM520" s="7"/>
      <c r="FN520" s="7"/>
      <c r="FO520" s="7"/>
      <c r="FP520" s="7"/>
      <c r="FQ520" s="7"/>
      <c r="FR520" s="7"/>
      <c r="FS520" s="7"/>
      <c r="FT520" s="7"/>
      <c r="FU520" s="7"/>
      <c r="FV520" s="7"/>
      <c r="FW520" s="7"/>
      <c r="FX520" s="7"/>
      <c r="FY520" s="7"/>
      <c r="FZ520" s="7"/>
      <c r="GA520" s="7"/>
      <c r="GB520" s="7"/>
      <c r="GC520" s="7"/>
      <c r="GD520" s="7"/>
      <c r="GE520" s="7"/>
      <c r="GF520" s="7"/>
      <c r="GG520" s="7"/>
      <c r="GH520" s="7"/>
      <c r="GI520" s="7"/>
      <c r="GJ520" s="7"/>
      <c r="GK520" s="7"/>
      <c r="GL520" s="7"/>
      <c r="GM520" s="7"/>
      <c r="GN520" s="7"/>
      <c r="GO520" s="7"/>
      <c r="GP520" s="7"/>
      <c r="GQ520" s="7"/>
      <c r="GR520" s="7"/>
      <c r="GS520" s="7"/>
      <c r="GT520" s="7"/>
      <c r="GU520" s="7"/>
      <c r="GV520" s="7"/>
      <c r="GW520" s="7"/>
      <c r="GX520" s="7"/>
      <c r="GY520" s="7"/>
      <c r="GZ520" s="7"/>
      <c r="HA520" s="7"/>
      <c r="HB520" s="7"/>
    </row>
    <row r="521" customFormat="false" ht="1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c r="DA521" s="7"/>
      <c r="DB521" s="7"/>
      <c r="DC521" s="7"/>
      <c r="DD521" s="7"/>
      <c r="DE521" s="7"/>
      <c r="DF521" s="7"/>
      <c r="DG521" s="7"/>
      <c r="DH521" s="7"/>
      <c r="DI521" s="7"/>
      <c r="DJ521" s="7"/>
      <c r="DK521" s="7"/>
      <c r="DL521" s="7"/>
      <c r="DM521" s="7"/>
      <c r="DN521" s="7"/>
      <c r="DO521" s="7"/>
      <c r="DP521" s="7"/>
      <c r="DQ521" s="7"/>
      <c r="DR521" s="7"/>
      <c r="DS521" s="7"/>
      <c r="DT521" s="7"/>
      <c r="DU521" s="7"/>
      <c r="DV521" s="7"/>
      <c r="DW521" s="7"/>
      <c r="DX521" s="7"/>
      <c r="DY521" s="7"/>
      <c r="DZ521" s="7"/>
      <c r="EA521" s="7"/>
      <c r="EB521" s="7"/>
      <c r="EC521" s="7"/>
      <c r="ED521" s="7"/>
      <c r="EE521" s="7"/>
      <c r="EF521" s="7"/>
      <c r="EG521" s="7"/>
      <c r="EH521" s="7"/>
      <c r="EI521" s="7"/>
      <c r="EJ521" s="7"/>
      <c r="EK521" s="7"/>
      <c r="EL521" s="7"/>
      <c r="EM521" s="7"/>
      <c r="EN521" s="7"/>
      <c r="EO521" s="7"/>
      <c r="EP521" s="7"/>
      <c r="EQ521" s="7"/>
      <c r="ER521" s="7"/>
      <c r="ES521" s="7"/>
      <c r="ET521" s="7"/>
      <c r="EU521" s="7"/>
      <c r="EV521" s="7"/>
      <c r="EW521" s="7"/>
      <c r="EX521" s="7"/>
      <c r="EY521" s="7"/>
      <c r="EZ521" s="7"/>
      <c r="FA521" s="7"/>
      <c r="FB521" s="7"/>
      <c r="FC521" s="7"/>
      <c r="FD521" s="7"/>
      <c r="FE521" s="7"/>
      <c r="FF521" s="7"/>
      <c r="FG521" s="7"/>
      <c r="FH521" s="7"/>
      <c r="FI521" s="7"/>
      <c r="FJ521" s="7"/>
      <c r="FK521" s="7"/>
      <c r="FL521" s="7"/>
      <c r="FM521" s="7"/>
      <c r="FN521" s="7"/>
      <c r="FO521" s="7"/>
      <c r="FP521" s="7"/>
      <c r="FQ521" s="7"/>
      <c r="FR521" s="7"/>
      <c r="FS521" s="7"/>
      <c r="FT521" s="7"/>
      <c r="FU521" s="7"/>
      <c r="FV521" s="7"/>
      <c r="FW521" s="7"/>
      <c r="FX521" s="7"/>
      <c r="FY521" s="7"/>
      <c r="FZ521" s="7"/>
      <c r="GA521" s="7"/>
      <c r="GB521" s="7"/>
      <c r="GC521" s="7"/>
      <c r="GD521" s="7"/>
      <c r="GE521" s="7"/>
      <c r="GF521" s="7"/>
      <c r="GG521" s="7"/>
      <c r="GH521" s="7"/>
      <c r="GI521" s="7"/>
      <c r="GJ521" s="7"/>
      <c r="GK521" s="7"/>
      <c r="GL521" s="7"/>
      <c r="GM521" s="7"/>
      <c r="GN521" s="7"/>
      <c r="GO521" s="7"/>
      <c r="GP521" s="7"/>
      <c r="GQ521" s="7"/>
      <c r="GR521" s="7"/>
      <c r="GS521" s="7"/>
      <c r="GT521" s="7"/>
      <c r="GU521" s="7"/>
      <c r="GV521" s="7"/>
      <c r="GW521" s="7"/>
      <c r="GX521" s="7"/>
      <c r="GY521" s="7"/>
      <c r="GZ521" s="7"/>
      <c r="HA521" s="7"/>
      <c r="HB521" s="7"/>
    </row>
    <row r="522" customFormat="false" ht="1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c r="DA522" s="7"/>
      <c r="DB522" s="7"/>
      <c r="DC522" s="7"/>
      <c r="DD522" s="7"/>
      <c r="DE522" s="7"/>
      <c r="DF522" s="7"/>
      <c r="DG522" s="7"/>
      <c r="DH522" s="7"/>
      <c r="DI522" s="7"/>
      <c r="DJ522" s="7"/>
      <c r="DK522" s="7"/>
      <c r="DL522" s="7"/>
      <c r="DM522" s="7"/>
      <c r="DN522" s="7"/>
      <c r="DO522" s="7"/>
      <c r="DP522" s="7"/>
      <c r="DQ522" s="7"/>
      <c r="DR522" s="7"/>
      <c r="DS522" s="7"/>
      <c r="DT522" s="7"/>
      <c r="DU522" s="7"/>
      <c r="DV522" s="7"/>
      <c r="DW522" s="7"/>
      <c r="DX522" s="7"/>
      <c r="DY522" s="7"/>
      <c r="DZ522" s="7"/>
      <c r="EA522" s="7"/>
      <c r="EB522" s="7"/>
      <c r="EC522" s="7"/>
      <c r="ED522" s="7"/>
      <c r="EE522" s="7"/>
      <c r="EF522" s="7"/>
      <c r="EG522" s="7"/>
      <c r="EH522" s="7"/>
      <c r="EI522" s="7"/>
      <c r="EJ522" s="7"/>
      <c r="EK522" s="7"/>
      <c r="EL522" s="7"/>
      <c r="EM522" s="7"/>
      <c r="EN522" s="7"/>
      <c r="EO522" s="7"/>
      <c r="EP522" s="7"/>
      <c r="EQ522" s="7"/>
      <c r="ER522" s="7"/>
      <c r="ES522" s="7"/>
      <c r="ET522" s="7"/>
      <c r="EU522" s="7"/>
      <c r="EV522" s="7"/>
      <c r="EW522" s="7"/>
      <c r="EX522" s="7"/>
      <c r="EY522" s="7"/>
      <c r="EZ522" s="7"/>
      <c r="FA522" s="7"/>
      <c r="FB522" s="7"/>
      <c r="FC522" s="7"/>
      <c r="FD522" s="7"/>
      <c r="FE522" s="7"/>
      <c r="FF522" s="7"/>
      <c r="FG522" s="7"/>
      <c r="FH522" s="7"/>
      <c r="FI522" s="7"/>
      <c r="FJ522" s="7"/>
      <c r="FK522" s="7"/>
      <c r="FL522" s="7"/>
      <c r="FM522" s="7"/>
      <c r="FN522" s="7"/>
      <c r="FO522" s="7"/>
      <c r="FP522" s="7"/>
      <c r="FQ522" s="7"/>
      <c r="FR522" s="7"/>
      <c r="FS522" s="7"/>
      <c r="FT522" s="7"/>
      <c r="FU522" s="7"/>
      <c r="FV522" s="7"/>
      <c r="FW522" s="7"/>
      <c r="FX522" s="7"/>
      <c r="FY522" s="7"/>
      <c r="FZ522" s="7"/>
      <c r="GA522" s="7"/>
      <c r="GB522" s="7"/>
      <c r="GC522" s="7"/>
      <c r="GD522" s="7"/>
      <c r="GE522" s="7"/>
      <c r="GF522" s="7"/>
      <c r="GG522" s="7"/>
      <c r="GH522" s="7"/>
      <c r="GI522" s="7"/>
      <c r="GJ522" s="7"/>
      <c r="GK522" s="7"/>
      <c r="GL522" s="7"/>
      <c r="GM522" s="7"/>
      <c r="GN522" s="7"/>
      <c r="GO522" s="7"/>
      <c r="GP522" s="7"/>
      <c r="GQ522" s="7"/>
      <c r="GR522" s="7"/>
      <c r="GS522" s="7"/>
      <c r="GT522" s="7"/>
      <c r="GU522" s="7"/>
      <c r="GV522" s="7"/>
      <c r="GW522" s="7"/>
      <c r="GX522" s="7"/>
      <c r="GY522" s="7"/>
      <c r="GZ522" s="7"/>
      <c r="HA522" s="7"/>
      <c r="HB522" s="7"/>
    </row>
    <row r="523" customFormat="false" ht="1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c r="DA523" s="7"/>
      <c r="DB523" s="7"/>
      <c r="DC523" s="7"/>
      <c r="DD523" s="7"/>
      <c r="DE523" s="7"/>
      <c r="DF523" s="7"/>
      <c r="DG523" s="7"/>
      <c r="DH523" s="7"/>
      <c r="DI523" s="7"/>
      <c r="DJ523" s="7"/>
      <c r="DK523" s="7"/>
      <c r="DL523" s="7"/>
      <c r="DM523" s="7"/>
      <c r="DN523" s="7"/>
      <c r="DO523" s="7"/>
      <c r="DP523" s="7"/>
      <c r="DQ523" s="7"/>
      <c r="DR523" s="7"/>
      <c r="DS523" s="7"/>
      <c r="DT523" s="7"/>
      <c r="DU523" s="7"/>
      <c r="DV523" s="7"/>
      <c r="DW523" s="7"/>
      <c r="DX523" s="7"/>
      <c r="DY523" s="7"/>
      <c r="DZ523" s="7"/>
      <c r="EA523" s="7"/>
      <c r="EB523" s="7"/>
      <c r="EC523" s="7"/>
      <c r="ED523" s="7"/>
      <c r="EE523" s="7"/>
      <c r="EF523" s="7"/>
      <c r="EG523" s="7"/>
      <c r="EH523" s="7"/>
      <c r="EI523" s="7"/>
      <c r="EJ523" s="7"/>
      <c r="EK523" s="7"/>
      <c r="EL523" s="7"/>
      <c r="EM523" s="7"/>
      <c r="EN523" s="7"/>
      <c r="EO523" s="7"/>
      <c r="EP523" s="7"/>
      <c r="EQ523" s="7"/>
      <c r="ER523" s="7"/>
      <c r="ES523" s="7"/>
      <c r="ET523" s="7"/>
      <c r="EU523" s="7"/>
      <c r="EV523" s="7"/>
      <c r="EW523" s="7"/>
      <c r="EX523" s="7"/>
      <c r="EY523" s="7"/>
      <c r="EZ523" s="7"/>
      <c r="FA523" s="7"/>
      <c r="FB523" s="7"/>
      <c r="FC523" s="7"/>
      <c r="FD523" s="7"/>
      <c r="FE523" s="7"/>
      <c r="FF523" s="7"/>
      <c r="FG523" s="7"/>
      <c r="FH523" s="7"/>
      <c r="FI523" s="7"/>
      <c r="FJ523" s="7"/>
      <c r="FK523" s="7"/>
      <c r="FL523" s="7"/>
      <c r="FM523" s="7"/>
      <c r="FN523" s="7"/>
      <c r="FO523" s="7"/>
      <c r="FP523" s="7"/>
      <c r="FQ523" s="7"/>
      <c r="FR523" s="7"/>
      <c r="FS523" s="7"/>
      <c r="FT523" s="7"/>
      <c r="FU523" s="7"/>
      <c r="FV523" s="7"/>
      <c r="FW523" s="7"/>
      <c r="FX523" s="7"/>
      <c r="FY523" s="7"/>
      <c r="FZ523" s="7"/>
      <c r="GA523" s="7"/>
      <c r="GB523" s="7"/>
      <c r="GC523" s="7"/>
      <c r="GD523" s="7"/>
      <c r="GE523" s="7"/>
      <c r="GF523" s="7"/>
      <c r="GG523" s="7"/>
      <c r="GH523" s="7"/>
      <c r="GI523" s="7"/>
      <c r="GJ523" s="7"/>
      <c r="GK523" s="7"/>
      <c r="GL523" s="7"/>
      <c r="GM523" s="7"/>
      <c r="GN523" s="7"/>
      <c r="GO523" s="7"/>
      <c r="GP523" s="7"/>
      <c r="GQ523" s="7"/>
      <c r="GR523" s="7"/>
      <c r="GS523" s="7"/>
      <c r="GT523" s="7"/>
      <c r="GU523" s="7"/>
      <c r="GV523" s="7"/>
      <c r="GW523" s="7"/>
      <c r="GX523" s="7"/>
      <c r="GY523" s="7"/>
      <c r="GZ523" s="7"/>
      <c r="HA523" s="7"/>
      <c r="HB523" s="7"/>
    </row>
    <row r="524" customFormat="false" ht="1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c r="DA524" s="7"/>
      <c r="DB524" s="7"/>
      <c r="DC524" s="7"/>
      <c r="DD524" s="7"/>
      <c r="DE524" s="7"/>
      <c r="DF524" s="7"/>
      <c r="DG524" s="7"/>
      <c r="DH524" s="7"/>
      <c r="DI524" s="7"/>
      <c r="DJ524" s="7"/>
      <c r="DK524" s="7"/>
      <c r="DL524" s="7"/>
      <c r="DM524" s="7"/>
      <c r="DN524" s="7"/>
      <c r="DO524" s="7"/>
      <c r="DP524" s="7"/>
      <c r="DQ524" s="7"/>
      <c r="DR524" s="7"/>
      <c r="DS524" s="7"/>
      <c r="DT524" s="7"/>
      <c r="DU524" s="7"/>
      <c r="DV524" s="7"/>
      <c r="DW524" s="7"/>
      <c r="DX524" s="7"/>
      <c r="DY524" s="7"/>
      <c r="DZ524" s="7"/>
      <c r="EA524" s="7"/>
      <c r="EB524" s="7"/>
      <c r="EC524" s="7"/>
      <c r="ED524" s="7"/>
      <c r="EE524" s="7"/>
      <c r="EF524" s="7"/>
      <c r="EG524" s="7"/>
      <c r="EH524" s="7"/>
      <c r="EI524" s="7"/>
      <c r="EJ524" s="7"/>
      <c r="EK524" s="7"/>
      <c r="EL524" s="7"/>
      <c r="EM524" s="7"/>
      <c r="EN524" s="7"/>
      <c r="EO524" s="7"/>
      <c r="EP524" s="7"/>
      <c r="EQ524" s="7"/>
      <c r="ER524" s="7"/>
      <c r="ES524" s="7"/>
      <c r="ET524" s="7"/>
      <c r="EU524" s="7"/>
      <c r="EV524" s="7"/>
      <c r="EW524" s="7"/>
      <c r="EX524" s="7"/>
      <c r="EY524" s="7"/>
      <c r="EZ524" s="7"/>
      <c r="FA524" s="7"/>
      <c r="FB524" s="7"/>
      <c r="FC524" s="7"/>
      <c r="FD524" s="7"/>
      <c r="FE524" s="7"/>
      <c r="FF524" s="7"/>
      <c r="FG524" s="7"/>
      <c r="FH524" s="7"/>
      <c r="FI524" s="7"/>
      <c r="FJ524" s="7"/>
      <c r="FK524" s="7"/>
      <c r="FL524" s="7"/>
      <c r="FM524" s="7"/>
      <c r="FN524" s="7"/>
      <c r="FO524" s="7"/>
      <c r="FP524" s="7"/>
      <c r="FQ524" s="7"/>
      <c r="FR524" s="7"/>
      <c r="FS524" s="7"/>
      <c r="FT524" s="7"/>
      <c r="FU524" s="7"/>
      <c r="FV524" s="7"/>
      <c r="FW524" s="7"/>
      <c r="FX524" s="7"/>
      <c r="FY524" s="7"/>
      <c r="FZ524" s="7"/>
      <c r="GA524" s="7"/>
      <c r="GB524" s="7"/>
      <c r="GC524" s="7"/>
      <c r="GD524" s="7"/>
      <c r="GE524" s="7"/>
      <c r="GF524" s="7"/>
      <c r="GG524" s="7"/>
      <c r="GH524" s="7"/>
      <c r="GI524" s="7"/>
      <c r="GJ524" s="7"/>
      <c r="GK524" s="7"/>
      <c r="GL524" s="7"/>
      <c r="GM524" s="7"/>
      <c r="GN524" s="7"/>
      <c r="GO524" s="7"/>
      <c r="GP524" s="7"/>
      <c r="GQ524" s="7"/>
      <c r="GR524" s="7"/>
      <c r="GS524" s="7"/>
      <c r="GT524" s="7"/>
      <c r="GU524" s="7"/>
      <c r="GV524" s="7"/>
      <c r="GW524" s="7"/>
      <c r="GX524" s="7"/>
      <c r="GY524" s="7"/>
      <c r="GZ524" s="7"/>
      <c r="HA524" s="7"/>
      <c r="HB524" s="7"/>
    </row>
    <row r="525" customFormat="false" ht="1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c r="DA525" s="7"/>
      <c r="DB525" s="7"/>
      <c r="DC525" s="7"/>
      <c r="DD525" s="7"/>
      <c r="DE525" s="7"/>
      <c r="DF525" s="7"/>
      <c r="DG525" s="7"/>
      <c r="DH525" s="7"/>
      <c r="DI525" s="7"/>
      <c r="DJ525" s="7"/>
      <c r="DK525" s="7"/>
      <c r="DL525" s="7"/>
      <c r="DM525" s="7"/>
      <c r="DN525" s="7"/>
      <c r="DO525" s="7"/>
      <c r="DP525" s="7"/>
      <c r="DQ525" s="7"/>
      <c r="DR525" s="7"/>
      <c r="DS525" s="7"/>
      <c r="DT525" s="7"/>
      <c r="DU525" s="7"/>
      <c r="DV525" s="7"/>
      <c r="DW525" s="7"/>
      <c r="DX525" s="7"/>
      <c r="DY525" s="7"/>
      <c r="DZ525" s="7"/>
      <c r="EA525" s="7"/>
      <c r="EB525" s="7"/>
      <c r="EC525" s="7"/>
      <c r="ED525" s="7"/>
      <c r="EE525" s="7"/>
      <c r="EF525" s="7"/>
      <c r="EG525" s="7"/>
      <c r="EH525" s="7"/>
      <c r="EI525" s="7"/>
      <c r="EJ525" s="7"/>
      <c r="EK525" s="7"/>
      <c r="EL525" s="7"/>
      <c r="EM525" s="7"/>
      <c r="EN525" s="7"/>
      <c r="EO525" s="7"/>
      <c r="EP525" s="7"/>
      <c r="EQ525" s="7"/>
      <c r="ER525" s="7"/>
      <c r="ES525" s="7"/>
      <c r="ET525" s="7"/>
      <c r="EU525" s="7"/>
      <c r="EV525" s="7"/>
      <c r="EW525" s="7"/>
      <c r="EX525" s="7"/>
      <c r="EY525" s="7"/>
      <c r="EZ525" s="7"/>
      <c r="FA525" s="7"/>
      <c r="FB525" s="7"/>
      <c r="FC525" s="7"/>
      <c r="FD525" s="7"/>
      <c r="FE525" s="7"/>
      <c r="FF525" s="7"/>
      <c r="FG525" s="7"/>
      <c r="FH525" s="7"/>
      <c r="FI525" s="7"/>
      <c r="FJ525" s="7"/>
      <c r="FK525" s="7"/>
      <c r="FL525" s="7"/>
      <c r="FM525" s="7"/>
      <c r="FN525" s="7"/>
      <c r="FO525" s="7"/>
      <c r="FP525" s="7"/>
      <c r="FQ525" s="7"/>
      <c r="FR525" s="7"/>
      <c r="FS525" s="7"/>
      <c r="FT525" s="7"/>
      <c r="FU525" s="7"/>
      <c r="FV525" s="7"/>
      <c r="FW525" s="7"/>
      <c r="FX525" s="7"/>
      <c r="FY525" s="7"/>
      <c r="FZ525" s="7"/>
      <c r="GA525" s="7"/>
      <c r="GB525" s="7"/>
      <c r="GC525" s="7"/>
      <c r="GD525" s="7"/>
      <c r="GE525" s="7"/>
      <c r="GF525" s="7"/>
      <c r="GG525" s="7"/>
      <c r="GH525" s="7"/>
      <c r="GI525" s="7"/>
      <c r="GJ525" s="7"/>
      <c r="GK525" s="7"/>
      <c r="GL525" s="7"/>
      <c r="GM525" s="7"/>
      <c r="GN525" s="7"/>
      <c r="GO525" s="7"/>
      <c r="GP525" s="7"/>
      <c r="GQ525" s="7"/>
      <c r="GR525" s="7"/>
      <c r="GS525" s="7"/>
      <c r="GT525" s="7"/>
      <c r="GU525" s="7"/>
      <c r="GV525" s="7"/>
      <c r="GW525" s="7"/>
      <c r="GX525" s="7"/>
      <c r="GY525" s="7"/>
      <c r="GZ525" s="7"/>
      <c r="HA525" s="7"/>
      <c r="HB525" s="7"/>
    </row>
    <row r="526" customFormat="false" ht="1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c r="DA526" s="7"/>
      <c r="DB526" s="7"/>
      <c r="DC526" s="7"/>
      <c r="DD526" s="7"/>
      <c r="DE526" s="7"/>
      <c r="DF526" s="7"/>
      <c r="DG526" s="7"/>
      <c r="DH526" s="7"/>
      <c r="DI526" s="7"/>
      <c r="DJ526" s="7"/>
      <c r="DK526" s="7"/>
      <c r="DL526" s="7"/>
      <c r="DM526" s="7"/>
      <c r="DN526" s="7"/>
      <c r="DO526" s="7"/>
      <c r="DP526" s="7"/>
      <c r="DQ526" s="7"/>
      <c r="DR526" s="7"/>
      <c r="DS526" s="7"/>
      <c r="DT526" s="7"/>
      <c r="DU526" s="7"/>
      <c r="DV526" s="7"/>
      <c r="DW526" s="7"/>
      <c r="DX526" s="7"/>
      <c r="DY526" s="7"/>
      <c r="DZ526" s="7"/>
      <c r="EA526" s="7"/>
      <c r="EB526" s="7"/>
      <c r="EC526" s="7"/>
      <c r="ED526" s="7"/>
      <c r="EE526" s="7"/>
      <c r="EF526" s="7"/>
      <c r="EG526" s="7"/>
      <c r="EH526" s="7"/>
      <c r="EI526" s="7"/>
      <c r="EJ526" s="7"/>
      <c r="EK526" s="7"/>
      <c r="EL526" s="7"/>
      <c r="EM526" s="7"/>
      <c r="EN526" s="7"/>
      <c r="EO526" s="7"/>
      <c r="EP526" s="7"/>
      <c r="EQ526" s="7"/>
      <c r="ER526" s="7"/>
      <c r="ES526" s="7"/>
      <c r="ET526" s="7"/>
      <c r="EU526" s="7"/>
      <c r="EV526" s="7"/>
      <c r="EW526" s="7"/>
      <c r="EX526" s="7"/>
      <c r="EY526" s="7"/>
      <c r="EZ526" s="7"/>
      <c r="FA526" s="7"/>
      <c r="FB526" s="7"/>
      <c r="FC526" s="7"/>
      <c r="FD526" s="7"/>
      <c r="FE526" s="7"/>
      <c r="FF526" s="7"/>
      <c r="FG526" s="7"/>
      <c r="FH526" s="7"/>
      <c r="FI526" s="7"/>
      <c r="FJ526" s="7"/>
      <c r="FK526" s="7"/>
      <c r="FL526" s="7"/>
      <c r="FM526" s="7"/>
      <c r="FN526" s="7"/>
      <c r="FO526" s="7"/>
      <c r="FP526" s="7"/>
      <c r="FQ526" s="7"/>
      <c r="FR526" s="7"/>
      <c r="FS526" s="7"/>
      <c r="FT526" s="7"/>
      <c r="FU526" s="7"/>
      <c r="FV526" s="7"/>
      <c r="FW526" s="7"/>
      <c r="FX526" s="7"/>
      <c r="FY526" s="7"/>
      <c r="FZ526" s="7"/>
      <c r="GA526" s="7"/>
      <c r="GB526" s="7"/>
      <c r="GC526" s="7"/>
      <c r="GD526" s="7"/>
      <c r="GE526" s="7"/>
      <c r="GF526" s="7"/>
      <c r="GG526" s="7"/>
      <c r="GH526" s="7"/>
      <c r="GI526" s="7"/>
      <c r="GJ526" s="7"/>
      <c r="GK526" s="7"/>
      <c r="GL526" s="7"/>
      <c r="GM526" s="7"/>
      <c r="GN526" s="7"/>
      <c r="GO526" s="7"/>
      <c r="GP526" s="7"/>
      <c r="GQ526" s="7"/>
      <c r="GR526" s="7"/>
      <c r="GS526" s="7"/>
      <c r="GT526" s="7"/>
      <c r="GU526" s="7"/>
      <c r="GV526" s="7"/>
      <c r="GW526" s="7"/>
      <c r="GX526" s="7"/>
      <c r="GY526" s="7"/>
      <c r="GZ526" s="7"/>
      <c r="HA526" s="7"/>
      <c r="HB526" s="7"/>
    </row>
    <row r="527" customFormat="false" ht="1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c r="DA527" s="7"/>
      <c r="DB527" s="7"/>
      <c r="DC527" s="7"/>
      <c r="DD527" s="7"/>
      <c r="DE527" s="7"/>
      <c r="DF527" s="7"/>
      <c r="DG527" s="7"/>
      <c r="DH527" s="7"/>
      <c r="DI527" s="7"/>
      <c r="DJ527" s="7"/>
      <c r="DK527" s="7"/>
      <c r="DL527" s="7"/>
      <c r="DM527" s="7"/>
      <c r="DN527" s="7"/>
      <c r="DO527" s="7"/>
      <c r="DP527" s="7"/>
      <c r="DQ527" s="7"/>
      <c r="DR527" s="7"/>
      <c r="DS527" s="7"/>
      <c r="DT527" s="7"/>
      <c r="DU527" s="7"/>
      <c r="DV527" s="7"/>
      <c r="DW527" s="7"/>
      <c r="DX527" s="7"/>
      <c r="DY527" s="7"/>
      <c r="DZ527" s="7"/>
      <c r="EA527" s="7"/>
      <c r="EB527" s="7"/>
      <c r="EC527" s="7"/>
      <c r="ED527" s="7"/>
      <c r="EE527" s="7"/>
      <c r="EF527" s="7"/>
      <c r="EG527" s="7"/>
      <c r="EH527" s="7"/>
      <c r="EI527" s="7"/>
      <c r="EJ527" s="7"/>
      <c r="EK527" s="7"/>
      <c r="EL527" s="7"/>
      <c r="EM527" s="7"/>
      <c r="EN527" s="7"/>
      <c r="EO527" s="7"/>
      <c r="EP527" s="7"/>
      <c r="EQ527" s="7"/>
      <c r="ER527" s="7"/>
      <c r="ES527" s="7"/>
      <c r="ET527" s="7"/>
      <c r="EU527" s="7"/>
      <c r="EV527" s="7"/>
      <c r="EW527" s="7"/>
      <c r="EX527" s="7"/>
      <c r="EY527" s="7"/>
      <c r="EZ527" s="7"/>
      <c r="FA527" s="7"/>
      <c r="FB527" s="7"/>
      <c r="FC527" s="7"/>
      <c r="FD527" s="7"/>
      <c r="FE527" s="7"/>
      <c r="FF527" s="7"/>
      <c r="FG527" s="7"/>
      <c r="FH527" s="7"/>
      <c r="FI527" s="7"/>
      <c r="FJ527" s="7"/>
      <c r="FK527" s="7"/>
      <c r="FL527" s="7"/>
      <c r="FM527" s="7"/>
      <c r="FN527" s="7"/>
      <c r="FO527" s="7"/>
      <c r="FP527" s="7"/>
      <c r="FQ527" s="7"/>
      <c r="FR527" s="7"/>
      <c r="FS527" s="7"/>
      <c r="FT527" s="7"/>
      <c r="FU527" s="7"/>
      <c r="FV527" s="7"/>
      <c r="FW527" s="7"/>
      <c r="FX527" s="7"/>
      <c r="FY527" s="7"/>
      <c r="FZ527" s="7"/>
      <c r="GA527" s="7"/>
      <c r="GB527" s="7"/>
      <c r="GC527" s="7"/>
      <c r="GD527" s="7"/>
      <c r="GE527" s="7"/>
      <c r="GF527" s="7"/>
      <c r="GG527" s="7"/>
      <c r="GH527" s="7"/>
      <c r="GI527" s="7"/>
      <c r="GJ527" s="7"/>
      <c r="GK527" s="7"/>
      <c r="GL527" s="7"/>
      <c r="GM527" s="7"/>
      <c r="GN527" s="7"/>
      <c r="GO527" s="7"/>
      <c r="GP527" s="7"/>
      <c r="GQ527" s="7"/>
      <c r="GR527" s="7"/>
      <c r="GS527" s="7"/>
      <c r="GT527" s="7"/>
      <c r="GU527" s="7"/>
      <c r="GV527" s="7"/>
      <c r="GW527" s="7"/>
      <c r="GX527" s="7"/>
      <c r="GY527" s="7"/>
      <c r="GZ527" s="7"/>
      <c r="HA527" s="7"/>
      <c r="HB527" s="7"/>
    </row>
    <row r="528" customFormat="false" ht="1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c r="DA528" s="7"/>
      <c r="DB528" s="7"/>
      <c r="DC528" s="7"/>
      <c r="DD528" s="7"/>
      <c r="DE528" s="7"/>
      <c r="DF528" s="7"/>
      <c r="DG528" s="7"/>
      <c r="DH528" s="7"/>
      <c r="DI528" s="7"/>
      <c r="DJ528" s="7"/>
      <c r="DK528" s="7"/>
      <c r="DL528" s="7"/>
      <c r="DM528" s="7"/>
      <c r="DN528" s="7"/>
      <c r="DO528" s="7"/>
      <c r="DP528" s="7"/>
      <c r="DQ528" s="7"/>
      <c r="DR528" s="7"/>
      <c r="DS528" s="7"/>
      <c r="DT528" s="7"/>
      <c r="DU528" s="7"/>
      <c r="DV528" s="7"/>
      <c r="DW528" s="7"/>
      <c r="DX528" s="7"/>
      <c r="DY528" s="7"/>
      <c r="DZ528" s="7"/>
      <c r="EA528" s="7"/>
      <c r="EB528" s="7"/>
      <c r="EC528" s="7"/>
      <c r="ED528" s="7"/>
      <c r="EE528" s="7"/>
      <c r="EF528" s="7"/>
      <c r="EG528" s="7"/>
      <c r="EH528" s="7"/>
      <c r="EI528" s="7"/>
      <c r="EJ528" s="7"/>
      <c r="EK528" s="7"/>
      <c r="EL528" s="7"/>
      <c r="EM528" s="7"/>
      <c r="EN528" s="7"/>
      <c r="EO528" s="7"/>
      <c r="EP528" s="7"/>
      <c r="EQ528" s="7"/>
      <c r="ER528" s="7"/>
      <c r="ES528" s="7"/>
      <c r="ET528" s="7"/>
      <c r="EU528" s="7"/>
      <c r="EV528" s="7"/>
      <c r="EW528" s="7"/>
      <c r="EX528" s="7"/>
      <c r="EY528" s="7"/>
      <c r="EZ528" s="7"/>
      <c r="FA528" s="7"/>
      <c r="FB528" s="7"/>
      <c r="FC528" s="7"/>
      <c r="FD528" s="7"/>
      <c r="FE528" s="7"/>
      <c r="FF528" s="7"/>
      <c r="FG528" s="7"/>
      <c r="FH528" s="7"/>
      <c r="FI528" s="7"/>
      <c r="FJ528" s="7"/>
      <c r="FK528" s="7"/>
      <c r="FL528" s="7"/>
      <c r="FM528" s="7"/>
      <c r="FN528" s="7"/>
      <c r="FO528" s="7"/>
      <c r="FP528" s="7"/>
      <c r="FQ528" s="7"/>
      <c r="FR528" s="7"/>
      <c r="FS528" s="7"/>
      <c r="FT528" s="7"/>
      <c r="FU528" s="7"/>
      <c r="FV528" s="7"/>
      <c r="FW528" s="7"/>
      <c r="FX528" s="7"/>
      <c r="FY528" s="7"/>
      <c r="FZ528" s="7"/>
      <c r="GA528" s="7"/>
      <c r="GB528" s="7"/>
      <c r="GC528" s="7"/>
      <c r="GD528" s="7"/>
      <c r="GE528" s="7"/>
      <c r="GF528" s="7"/>
      <c r="GG528" s="7"/>
      <c r="GH528" s="7"/>
      <c r="GI528" s="7"/>
      <c r="GJ528" s="7"/>
      <c r="GK528" s="7"/>
      <c r="GL528" s="7"/>
      <c r="GM528" s="7"/>
      <c r="GN528" s="7"/>
      <c r="GO528" s="7"/>
      <c r="GP528" s="7"/>
      <c r="GQ528" s="7"/>
      <c r="GR528" s="7"/>
      <c r="GS528" s="7"/>
      <c r="GT528" s="7"/>
      <c r="GU528" s="7"/>
      <c r="GV528" s="7"/>
      <c r="GW528" s="7"/>
      <c r="GX528" s="7"/>
      <c r="GY528" s="7"/>
      <c r="GZ528" s="7"/>
      <c r="HA528" s="7"/>
      <c r="HB528" s="7"/>
    </row>
    <row r="529" customFormat="false" ht="1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c r="DA529" s="7"/>
      <c r="DB529" s="7"/>
      <c r="DC529" s="7"/>
      <c r="DD529" s="7"/>
      <c r="DE529" s="7"/>
      <c r="DF529" s="7"/>
      <c r="DG529" s="7"/>
      <c r="DH529" s="7"/>
      <c r="DI529" s="7"/>
      <c r="DJ529" s="7"/>
      <c r="DK529" s="7"/>
      <c r="DL529" s="7"/>
      <c r="DM529" s="7"/>
      <c r="DN529" s="7"/>
      <c r="DO529" s="7"/>
      <c r="DP529" s="7"/>
      <c r="DQ529" s="7"/>
      <c r="DR529" s="7"/>
      <c r="DS529" s="7"/>
      <c r="DT529" s="7"/>
      <c r="DU529" s="7"/>
      <c r="DV529" s="7"/>
      <c r="DW529" s="7"/>
      <c r="DX529" s="7"/>
      <c r="DY529" s="7"/>
      <c r="DZ529" s="7"/>
      <c r="EA529" s="7"/>
      <c r="EB529" s="7"/>
      <c r="EC529" s="7"/>
      <c r="ED529" s="7"/>
      <c r="EE529" s="7"/>
      <c r="EF529" s="7"/>
      <c r="EG529" s="7"/>
      <c r="EH529" s="7"/>
      <c r="EI529" s="7"/>
      <c r="EJ529" s="7"/>
      <c r="EK529" s="7"/>
      <c r="EL529" s="7"/>
      <c r="EM529" s="7"/>
      <c r="EN529" s="7"/>
      <c r="EO529" s="7"/>
      <c r="EP529" s="7"/>
      <c r="EQ529" s="7"/>
      <c r="ER529" s="7"/>
      <c r="ES529" s="7"/>
      <c r="ET529" s="7"/>
      <c r="EU529" s="7"/>
      <c r="EV529" s="7"/>
      <c r="EW529" s="7"/>
      <c r="EX529" s="7"/>
      <c r="EY529" s="7"/>
      <c r="EZ529" s="7"/>
      <c r="FA529" s="7"/>
      <c r="FB529" s="7"/>
      <c r="FC529" s="7"/>
      <c r="FD529" s="7"/>
      <c r="FE529" s="7"/>
      <c r="FF529" s="7"/>
      <c r="FG529" s="7"/>
      <c r="FH529" s="7"/>
      <c r="FI529" s="7"/>
      <c r="FJ529" s="7"/>
      <c r="FK529" s="7"/>
      <c r="FL529" s="7"/>
      <c r="FM529" s="7"/>
      <c r="FN529" s="7"/>
      <c r="FO529" s="7"/>
      <c r="FP529" s="7"/>
      <c r="FQ529" s="7"/>
      <c r="FR529" s="7"/>
      <c r="FS529" s="7"/>
      <c r="FT529" s="7"/>
      <c r="FU529" s="7"/>
      <c r="FV529" s="7"/>
      <c r="FW529" s="7"/>
      <c r="FX529" s="7"/>
      <c r="FY529" s="7"/>
      <c r="FZ529" s="7"/>
      <c r="GA529" s="7"/>
      <c r="GB529" s="7"/>
      <c r="GC529" s="7"/>
      <c r="GD529" s="7"/>
      <c r="GE529" s="7"/>
      <c r="GF529" s="7"/>
      <c r="GG529" s="7"/>
      <c r="GH529" s="7"/>
      <c r="GI529" s="7"/>
      <c r="GJ529" s="7"/>
      <c r="GK529" s="7"/>
      <c r="GL529" s="7"/>
      <c r="GM529" s="7"/>
      <c r="GN529" s="7"/>
      <c r="GO529" s="7"/>
      <c r="GP529" s="7"/>
      <c r="GQ529" s="7"/>
      <c r="GR529" s="7"/>
      <c r="GS529" s="7"/>
      <c r="GT529" s="7"/>
      <c r="GU529" s="7"/>
      <c r="GV529" s="7"/>
      <c r="GW529" s="7"/>
      <c r="GX529" s="7"/>
      <c r="GY529" s="7"/>
      <c r="GZ529" s="7"/>
      <c r="HA529" s="7"/>
      <c r="HB529" s="7"/>
    </row>
    <row r="530" customFormat="false" ht="1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c r="DA530" s="7"/>
      <c r="DB530" s="7"/>
      <c r="DC530" s="7"/>
      <c r="DD530" s="7"/>
      <c r="DE530" s="7"/>
      <c r="DF530" s="7"/>
      <c r="DG530" s="7"/>
      <c r="DH530" s="7"/>
      <c r="DI530" s="7"/>
      <c r="DJ530" s="7"/>
      <c r="DK530" s="7"/>
      <c r="DL530" s="7"/>
      <c r="DM530" s="7"/>
      <c r="DN530" s="7"/>
      <c r="DO530" s="7"/>
      <c r="DP530" s="7"/>
      <c r="DQ530" s="7"/>
      <c r="DR530" s="7"/>
      <c r="DS530" s="7"/>
      <c r="DT530" s="7"/>
      <c r="DU530" s="7"/>
      <c r="DV530" s="7"/>
      <c r="DW530" s="7"/>
      <c r="DX530" s="7"/>
      <c r="DY530" s="7"/>
      <c r="DZ530" s="7"/>
      <c r="EA530" s="7"/>
      <c r="EB530" s="7"/>
      <c r="EC530" s="7"/>
      <c r="ED530" s="7"/>
      <c r="EE530" s="7"/>
      <c r="EF530" s="7"/>
      <c r="EG530" s="7"/>
      <c r="EH530" s="7"/>
      <c r="EI530" s="7"/>
      <c r="EJ530" s="7"/>
      <c r="EK530" s="7"/>
      <c r="EL530" s="7"/>
      <c r="EM530" s="7"/>
      <c r="EN530" s="7"/>
      <c r="EO530" s="7"/>
      <c r="EP530" s="7"/>
      <c r="EQ530" s="7"/>
      <c r="ER530" s="7"/>
      <c r="ES530" s="7"/>
      <c r="ET530" s="7"/>
      <c r="EU530" s="7"/>
      <c r="EV530" s="7"/>
      <c r="EW530" s="7"/>
      <c r="EX530" s="7"/>
      <c r="EY530" s="7"/>
      <c r="EZ530" s="7"/>
      <c r="FA530" s="7"/>
      <c r="FB530" s="7"/>
      <c r="FC530" s="7"/>
      <c r="FD530" s="7"/>
      <c r="FE530" s="7"/>
      <c r="FF530" s="7"/>
      <c r="FG530" s="7"/>
      <c r="FH530" s="7"/>
      <c r="FI530" s="7"/>
      <c r="FJ530" s="7"/>
      <c r="FK530" s="7"/>
      <c r="FL530" s="7"/>
      <c r="FM530" s="7"/>
      <c r="FN530" s="7"/>
      <c r="FO530" s="7"/>
      <c r="FP530" s="7"/>
      <c r="FQ530" s="7"/>
      <c r="FR530" s="7"/>
      <c r="FS530" s="7"/>
      <c r="FT530" s="7"/>
      <c r="FU530" s="7"/>
      <c r="FV530" s="7"/>
      <c r="FW530" s="7"/>
      <c r="FX530" s="7"/>
      <c r="FY530" s="7"/>
      <c r="FZ530" s="7"/>
      <c r="GA530" s="7"/>
      <c r="GB530" s="7"/>
      <c r="GC530" s="7"/>
      <c r="GD530" s="7"/>
      <c r="GE530" s="7"/>
      <c r="GF530" s="7"/>
      <c r="GG530" s="7"/>
      <c r="GH530" s="7"/>
      <c r="GI530" s="7"/>
      <c r="GJ530" s="7"/>
      <c r="GK530" s="7"/>
      <c r="GL530" s="7"/>
      <c r="GM530" s="7"/>
      <c r="GN530" s="7"/>
      <c r="GO530" s="7"/>
      <c r="GP530" s="7"/>
      <c r="GQ530" s="7"/>
      <c r="GR530" s="7"/>
      <c r="GS530" s="7"/>
      <c r="GT530" s="7"/>
      <c r="GU530" s="7"/>
      <c r="GV530" s="7"/>
      <c r="GW530" s="7"/>
      <c r="GX530" s="7"/>
      <c r="GY530" s="7"/>
      <c r="GZ530" s="7"/>
      <c r="HA530" s="7"/>
      <c r="HB530" s="7"/>
    </row>
    <row r="531" customFormat="false" ht="1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c r="DA531" s="7"/>
      <c r="DB531" s="7"/>
      <c r="DC531" s="7"/>
      <c r="DD531" s="7"/>
      <c r="DE531" s="7"/>
      <c r="DF531" s="7"/>
      <c r="DG531" s="7"/>
      <c r="DH531" s="7"/>
      <c r="DI531" s="7"/>
      <c r="DJ531" s="7"/>
      <c r="DK531" s="7"/>
      <c r="DL531" s="7"/>
      <c r="DM531" s="7"/>
      <c r="DN531" s="7"/>
      <c r="DO531" s="7"/>
      <c r="DP531" s="7"/>
      <c r="DQ531" s="7"/>
      <c r="DR531" s="7"/>
      <c r="DS531" s="7"/>
      <c r="DT531" s="7"/>
      <c r="DU531" s="7"/>
      <c r="DV531" s="7"/>
      <c r="DW531" s="7"/>
      <c r="DX531" s="7"/>
      <c r="DY531" s="7"/>
      <c r="DZ531" s="7"/>
      <c r="EA531" s="7"/>
      <c r="EB531" s="7"/>
      <c r="EC531" s="7"/>
      <c r="ED531" s="7"/>
      <c r="EE531" s="7"/>
      <c r="EF531" s="7"/>
      <c r="EG531" s="7"/>
      <c r="EH531" s="7"/>
      <c r="EI531" s="7"/>
      <c r="EJ531" s="7"/>
      <c r="EK531" s="7"/>
      <c r="EL531" s="7"/>
      <c r="EM531" s="7"/>
      <c r="EN531" s="7"/>
      <c r="EO531" s="7"/>
      <c r="EP531" s="7"/>
      <c r="EQ531" s="7"/>
      <c r="ER531" s="7"/>
      <c r="ES531" s="7"/>
      <c r="ET531" s="7"/>
      <c r="EU531" s="7"/>
      <c r="EV531" s="7"/>
      <c r="EW531" s="7"/>
      <c r="EX531" s="7"/>
      <c r="EY531" s="7"/>
      <c r="EZ531" s="7"/>
      <c r="FA531" s="7"/>
      <c r="FB531" s="7"/>
      <c r="FC531" s="7"/>
      <c r="FD531" s="7"/>
      <c r="FE531" s="7"/>
      <c r="FF531" s="7"/>
      <c r="FG531" s="7"/>
      <c r="FH531" s="7"/>
      <c r="FI531" s="7"/>
      <c r="FJ531" s="7"/>
      <c r="FK531" s="7"/>
      <c r="FL531" s="7"/>
      <c r="FM531" s="7"/>
      <c r="FN531" s="7"/>
      <c r="FO531" s="7"/>
      <c r="FP531" s="7"/>
      <c r="FQ531" s="7"/>
      <c r="FR531" s="7"/>
      <c r="FS531" s="7"/>
      <c r="FT531" s="7"/>
      <c r="FU531" s="7"/>
      <c r="FV531" s="7"/>
      <c r="FW531" s="7"/>
      <c r="FX531" s="7"/>
      <c r="FY531" s="7"/>
      <c r="FZ531" s="7"/>
      <c r="GA531" s="7"/>
      <c r="GB531" s="7"/>
      <c r="GC531" s="7"/>
      <c r="GD531" s="7"/>
      <c r="GE531" s="7"/>
      <c r="GF531" s="7"/>
      <c r="GG531" s="7"/>
      <c r="GH531" s="7"/>
      <c r="GI531" s="7"/>
      <c r="GJ531" s="7"/>
      <c r="GK531" s="7"/>
      <c r="GL531" s="7"/>
      <c r="GM531" s="7"/>
      <c r="GN531" s="7"/>
      <c r="GO531" s="7"/>
      <c r="GP531" s="7"/>
      <c r="GQ531" s="7"/>
      <c r="GR531" s="7"/>
      <c r="GS531" s="7"/>
      <c r="GT531" s="7"/>
      <c r="GU531" s="7"/>
      <c r="GV531" s="7"/>
      <c r="GW531" s="7"/>
      <c r="GX531" s="7"/>
      <c r="GY531" s="7"/>
      <c r="GZ531" s="7"/>
      <c r="HA531" s="7"/>
      <c r="HB531" s="7"/>
    </row>
    <row r="532" customFormat="false" ht="1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c r="DA532" s="7"/>
      <c r="DB532" s="7"/>
      <c r="DC532" s="7"/>
      <c r="DD532" s="7"/>
      <c r="DE532" s="7"/>
      <c r="DF532" s="7"/>
      <c r="DG532" s="7"/>
      <c r="DH532" s="7"/>
      <c r="DI532" s="7"/>
      <c r="DJ532" s="7"/>
      <c r="DK532" s="7"/>
      <c r="DL532" s="7"/>
      <c r="DM532" s="7"/>
      <c r="DN532" s="7"/>
      <c r="DO532" s="7"/>
      <c r="DP532" s="7"/>
      <c r="DQ532" s="7"/>
      <c r="DR532" s="7"/>
      <c r="DS532" s="7"/>
      <c r="DT532" s="7"/>
      <c r="DU532" s="7"/>
      <c r="DV532" s="7"/>
      <c r="DW532" s="7"/>
      <c r="DX532" s="7"/>
      <c r="DY532" s="7"/>
      <c r="DZ532" s="7"/>
      <c r="EA532" s="7"/>
      <c r="EB532" s="7"/>
      <c r="EC532" s="7"/>
      <c r="ED532" s="7"/>
      <c r="EE532" s="7"/>
      <c r="EF532" s="7"/>
      <c r="EG532" s="7"/>
      <c r="EH532" s="7"/>
      <c r="EI532" s="7"/>
      <c r="EJ532" s="7"/>
      <c r="EK532" s="7"/>
      <c r="EL532" s="7"/>
      <c r="EM532" s="7"/>
      <c r="EN532" s="7"/>
      <c r="EO532" s="7"/>
      <c r="EP532" s="7"/>
      <c r="EQ532" s="7"/>
      <c r="ER532" s="7"/>
      <c r="ES532" s="7"/>
      <c r="ET532" s="7"/>
      <c r="EU532" s="7"/>
      <c r="EV532" s="7"/>
      <c r="EW532" s="7"/>
      <c r="EX532" s="7"/>
      <c r="EY532" s="7"/>
      <c r="EZ532" s="7"/>
      <c r="FA532" s="7"/>
      <c r="FB532" s="7"/>
      <c r="FC532" s="7"/>
      <c r="FD532" s="7"/>
      <c r="FE532" s="7"/>
      <c r="FF532" s="7"/>
      <c r="FG532" s="7"/>
      <c r="FH532" s="7"/>
      <c r="FI532" s="7"/>
      <c r="FJ532" s="7"/>
      <c r="FK532" s="7"/>
      <c r="FL532" s="7"/>
      <c r="FM532" s="7"/>
      <c r="FN532" s="7"/>
      <c r="FO532" s="7"/>
      <c r="FP532" s="7"/>
      <c r="FQ532" s="7"/>
      <c r="FR532" s="7"/>
      <c r="FS532" s="7"/>
      <c r="FT532" s="7"/>
      <c r="FU532" s="7"/>
      <c r="FV532" s="7"/>
      <c r="FW532" s="7"/>
      <c r="FX532" s="7"/>
      <c r="FY532" s="7"/>
      <c r="FZ532" s="7"/>
      <c r="GA532" s="7"/>
      <c r="GB532" s="7"/>
      <c r="GC532" s="7"/>
      <c r="GD532" s="7"/>
      <c r="GE532" s="7"/>
      <c r="GF532" s="7"/>
      <c r="GG532" s="7"/>
      <c r="GH532" s="7"/>
      <c r="GI532" s="7"/>
      <c r="GJ532" s="7"/>
      <c r="GK532" s="7"/>
      <c r="GL532" s="7"/>
      <c r="GM532" s="7"/>
      <c r="GN532" s="7"/>
      <c r="GO532" s="7"/>
      <c r="GP532" s="7"/>
      <c r="GQ532" s="7"/>
      <c r="GR532" s="7"/>
      <c r="GS532" s="7"/>
      <c r="GT532" s="7"/>
      <c r="GU532" s="7"/>
      <c r="GV532" s="7"/>
      <c r="GW532" s="7"/>
      <c r="GX532" s="7"/>
      <c r="GY532" s="7"/>
      <c r="GZ532" s="7"/>
      <c r="HA532" s="7"/>
      <c r="HB532" s="7"/>
    </row>
    <row r="533" customFormat="false" ht="1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c r="DA533" s="7"/>
      <c r="DB533" s="7"/>
      <c r="DC533" s="7"/>
      <c r="DD533" s="7"/>
      <c r="DE533" s="7"/>
      <c r="DF533" s="7"/>
      <c r="DG533" s="7"/>
      <c r="DH533" s="7"/>
      <c r="DI533" s="7"/>
      <c r="DJ533" s="7"/>
      <c r="DK533" s="7"/>
      <c r="DL533" s="7"/>
      <c r="DM533" s="7"/>
      <c r="DN533" s="7"/>
      <c r="DO533" s="7"/>
      <c r="DP533" s="7"/>
      <c r="DQ533" s="7"/>
      <c r="DR533" s="7"/>
      <c r="DS533" s="7"/>
      <c r="DT533" s="7"/>
      <c r="DU533" s="7"/>
      <c r="DV533" s="7"/>
      <c r="DW533" s="7"/>
      <c r="DX533" s="7"/>
      <c r="DY533" s="7"/>
      <c r="DZ533" s="7"/>
      <c r="EA533" s="7"/>
      <c r="EB533" s="7"/>
      <c r="EC533" s="7"/>
      <c r="ED533" s="7"/>
      <c r="EE533" s="7"/>
      <c r="EF533" s="7"/>
      <c r="EG533" s="7"/>
      <c r="EH533" s="7"/>
      <c r="EI533" s="7"/>
      <c r="EJ533" s="7"/>
      <c r="EK533" s="7"/>
      <c r="EL533" s="7"/>
      <c r="EM533" s="7"/>
      <c r="EN533" s="7"/>
      <c r="EO533" s="7"/>
      <c r="EP533" s="7"/>
      <c r="EQ533" s="7"/>
      <c r="ER533" s="7"/>
      <c r="ES533" s="7"/>
      <c r="ET533" s="7"/>
      <c r="EU533" s="7"/>
      <c r="EV533" s="7"/>
      <c r="EW533" s="7"/>
      <c r="EX533" s="7"/>
      <c r="EY533" s="7"/>
      <c r="EZ533" s="7"/>
      <c r="FA533" s="7"/>
      <c r="FB533" s="7"/>
      <c r="FC533" s="7"/>
      <c r="FD533" s="7"/>
      <c r="FE533" s="7"/>
      <c r="FF533" s="7"/>
      <c r="FG533" s="7"/>
      <c r="FH533" s="7"/>
      <c r="FI533" s="7"/>
      <c r="FJ533" s="7"/>
      <c r="FK533" s="7"/>
      <c r="FL533" s="7"/>
      <c r="FM533" s="7"/>
      <c r="FN533" s="7"/>
      <c r="FO533" s="7"/>
      <c r="FP533" s="7"/>
      <c r="FQ533" s="7"/>
      <c r="FR533" s="7"/>
      <c r="FS533" s="7"/>
      <c r="FT533" s="7"/>
      <c r="FU533" s="7"/>
      <c r="FV533" s="7"/>
      <c r="FW533" s="7"/>
      <c r="FX533" s="7"/>
      <c r="FY533" s="7"/>
      <c r="FZ533" s="7"/>
      <c r="GA533" s="7"/>
      <c r="GB533" s="7"/>
      <c r="GC533" s="7"/>
      <c r="GD533" s="7"/>
      <c r="GE533" s="7"/>
      <c r="GF533" s="7"/>
      <c r="GG533" s="7"/>
      <c r="GH533" s="7"/>
      <c r="GI533" s="7"/>
      <c r="GJ533" s="7"/>
      <c r="GK533" s="7"/>
      <c r="GL533" s="7"/>
      <c r="GM533" s="7"/>
      <c r="GN533" s="7"/>
      <c r="GO533" s="7"/>
      <c r="GP533" s="7"/>
      <c r="GQ533" s="7"/>
      <c r="GR533" s="7"/>
      <c r="GS533" s="7"/>
      <c r="GT533" s="7"/>
      <c r="GU533" s="7"/>
      <c r="GV533" s="7"/>
      <c r="GW533" s="7"/>
      <c r="GX533" s="7"/>
      <c r="GY533" s="7"/>
      <c r="GZ533" s="7"/>
      <c r="HA533" s="7"/>
      <c r="HB533" s="7"/>
    </row>
    <row r="534" customFormat="false" ht="1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c r="DA534" s="7"/>
      <c r="DB534" s="7"/>
      <c r="DC534" s="7"/>
      <c r="DD534" s="7"/>
      <c r="DE534" s="7"/>
      <c r="DF534" s="7"/>
      <c r="DG534" s="7"/>
      <c r="DH534" s="7"/>
      <c r="DI534" s="7"/>
      <c r="DJ534" s="7"/>
      <c r="DK534" s="7"/>
      <c r="DL534" s="7"/>
      <c r="DM534" s="7"/>
      <c r="DN534" s="7"/>
      <c r="DO534" s="7"/>
      <c r="DP534" s="7"/>
      <c r="DQ534" s="7"/>
      <c r="DR534" s="7"/>
      <c r="DS534" s="7"/>
      <c r="DT534" s="7"/>
      <c r="DU534" s="7"/>
      <c r="DV534" s="7"/>
      <c r="DW534" s="7"/>
      <c r="DX534" s="7"/>
      <c r="DY534" s="7"/>
      <c r="DZ534" s="7"/>
      <c r="EA534" s="7"/>
      <c r="EB534" s="7"/>
      <c r="EC534" s="7"/>
      <c r="ED534" s="7"/>
      <c r="EE534" s="7"/>
      <c r="EF534" s="7"/>
      <c r="EG534" s="7"/>
      <c r="EH534" s="7"/>
      <c r="EI534" s="7"/>
      <c r="EJ534" s="7"/>
      <c r="EK534" s="7"/>
      <c r="EL534" s="7"/>
      <c r="EM534" s="7"/>
      <c r="EN534" s="7"/>
      <c r="EO534" s="7"/>
      <c r="EP534" s="7"/>
      <c r="EQ534" s="7"/>
      <c r="ER534" s="7"/>
      <c r="ES534" s="7"/>
      <c r="ET534" s="7"/>
      <c r="EU534" s="7"/>
      <c r="EV534" s="7"/>
      <c r="EW534" s="7"/>
      <c r="EX534" s="7"/>
      <c r="EY534" s="7"/>
      <c r="EZ534" s="7"/>
      <c r="FA534" s="7"/>
      <c r="FB534" s="7"/>
      <c r="FC534" s="7"/>
      <c r="FD534" s="7"/>
      <c r="FE534" s="7"/>
      <c r="FF534" s="7"/>
      <c r="FG534" s="7"/>
      <c r="FH534" s="7"/>
      <c r="FI534" s="7"/>
      <c r="FJ534" s="7"/>
      <c r="FK534" s="7"/>
      <c r="FL534" s="7"/>
      <c r="FM534" s="7"/>
      <c r="FN534" s="7"/>
      <c r="FO534" s="7"/>
      <c r="FP534" s="7"/>
      <c r="FQ534" s="7"/>
      <c r="FR534" s="7"/>
      <c r="FS534" s="7"/>
      <c r="FT534" s="7"/>
      <c r="FU534" s="7"/>
      <c r="FV534" s="7"/>
      <c r="FW534" s="7"/>
      <c r="FX534" s="7"/>
      <c r="FY534" s="7"/>
      <c r="FZ534" s="7"/>
      <c r="GA534" s="7"/>
      <c r="GB534" s="7"/>
      <c r="GC534" s="7"/>
      <c r="GD534" s="7"/>
      <c r="GE534" s="7"/>
      <c r="GF534" s="7"/>
      <c r="GG534" s="7"/>
      <c r="GH534" s="7"/>
      <c r="GI534" s="7"/>
      <c r="GJ534" s="7"/>
      <c r="GK534" s="7"/>
      <c r="GL534" s="7"/>
      <c r="GM534" s="7"/>
      <c r="GN534" s="7"/>
      <c r="GO534" s="7"/>
      <c r="GP534" s="7"/>
      <c r="GQ534" s="7"/>
      <c r="GR534" s="7"/>
      <c r="GS534" s="7"/>
      <c r="GT534" s="7"/>
      <c r="GU534" s="7"/>
      <c r="GV534" s="7"/>
      <c r="GW534" s="7"/>
      <c r="GX534" s="7"/>
      <c r="GY534" s="7"/>
      <c r="GZ534" s="7"/>
      <c r="HA534" s="7"/>
      <c r="HB534" s="7"/>
    </row>
    <row r="535" customFormat="false" ht="1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c r="DA535" s="7"/>
      <c r="DB535" s="7"/>
      <c r="DC535" s="7"/>
      <c r="DD535" s="7"/>
      <c r="DE535" s="7"/>
      <c r="DF535" s="7"/>
      <c r="DG535" s="7"/>
      <c r="DH535" s="7"/>
      <c r="DI535" s="7"/>
      <c r="DJ535" s="7"/>
      <c r="DK535" s="7"/>
      <c r="DL535" s="7"/>
      <c r="DM535" s="7"/>
      <c r="DN535" s="7"/>
      <c r="DO535" s="7"/>
      <c r="DP535" s="7"/>
      <c r="DQ535" s="7"/>
      <c r="DR535" s="7"/>
      <c r="DS535" s="7"/>
      <c r="DT535" s="7"/>
      <c r="DU535" s="7"/>
      <c r="DV535" s="7"/>
      <c r="DW535" s="7"/>
      <c r="DX535" s="7"/>
      <c r="DY535" s="7"/>
      <c r="DZ535" s="7"/>
      <c r="EA535" s="7"/>
      <c r="EB535" s="7"/>
      <c r="EC535" s="7"/>
      <c r="ED535" s="7"/>
      <c r="EE535" s="7"/>
      <c r="EF535" s="7"/>
      <c r="EG535" s="7"/>
      <c r="EH535" s="7"/>
      <c r="EI535" s="7"/>
      <c r="EJ535" s="7"/>
      <c r="EK535" s="7"/>
      <c r="EL535" s="7"/>
      <c r="EM535" s="7"/>
      <c r="EN535" s="7"/>
      <c r="EO535" s="7"/>
      <c r="EP535" s="7"/>
      <c r="EQ535" s="7"/>
      <c r="ER535" s="7"/>
      <c r="ES535" s="7"/>
      <c r="ET535" s="7"/>
      <c r="EU535" s="7"/>
      <c r="EV535" s="7"/>
      <c r="EW535" s="7"/>
      <c r="EX535" s="7"/>
      <c r="EY535" s="7"/>
      <c r="EZ535" s="7"/>
      <c r="FA535" s="7"/>
      <c r="FB535" s="7"/>
      <c r="FC535" s="7"/>
      <c r="FD535" s="7"/>
      <c r="FE535" s="7"/>
      <c r="FF535" s="7"/>
      <c r="FG535" s="7"/>
      <c r="FH535" s="7"/>
      <c r="FI535" s="7"/>
      <c r="FJ535" s="7"/>
      <c r="FK535" s="7"/>
      <c r="FL535" s="7"/>
      <c r="FM535" s="7"/>
      <c r="FN535" s="7"/>
      <c r="FO535" s="7"/>
      <c r="FP535" s="7"/>
      <c r="FQ535" s="7"/>
      <c r="FR535" s="7"/>
      <c r="FS535" s="7"/>
      <c r="FT535" s="7"/>
      <c r="FU535" s="7"/>
      <c r="FV535" s="7"/>
      <c r="FW535" s="7"/>
      <c r="FX535" s="7"/>
      <c r="FY535" s="7"/>
      <c r="FZ535" s="7"/>
      <c r="GA535" s="7"/>
      <c r="GB535" s="7"/>
      <c r="GC535" s="7"/>
      <c r="GD535" s="7"/>
      <c r="GE535" s="7"/>
      <c r="GF535" s="7"/>
      <c r="GG535" s="7"/>
      <c r="GH535" s="7"/>
      <c r="GI535" s="7"/>
      <c r="GJ535" s="7"/>
      <c r="GK535" s="7"/>
      <c r="GL535" s="7"/>
      <c r="GM535" s="7"/>
      <c r="GN535" s="7"/>
      <c r="GO535" s="7"/>
      <c r="GP535" s="7"/>
      <c r="GQ535" s="7"/>
      <c r="GR535" s="7"/>
      <c r="GS535" s="7"/>
      <c r="GT535" s="7"/>
      <c r="GU535" s="7"/>
      <c r="GV535" s="7"/>
      <c r="GW535" s="7"/>
      <c r="GX535" s="7"/>
      <c r="GY535" s="7"/>
      <c r="GZ535" s="7"/>
      <c r="HA535" s="7"/>
      <c r="HB535" s="7"/>
    </row>
    <row r="536" customFormat="false" ht="1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c r="DA536" s="7"/>
      <c r="DB536" s="7"/>
      <c r="DC536" s="7"/>
      <c r="DD536" s="7"/>
      <c r="DE536" s="7"/>
      <c r="DF536" s="7"/>
      <c r="DG536" s="7"/>
      <c r="DH536" s="7"/>
      <c r="DI536" s="7"/>
      <c r="DJ536" s="7"/>
      <c r="DK536" s="7"/>
      <c r="DL536" s="7"/>
      <c r="DM536" s="7"/>
      <c r="DN536" s="7"/>
      <c r="DO536" s="7"/>
      <c r="DP536" s="7"/>
      <c r="DQ536" s="7"/>
      <c r="DR536" s="7"/>
      <c r="DS536" s="7"/>
      <c r="DT536" s="7"/>
      <c r="DU536" s="7"/>
      <c r="DV536" s="7"/>
      <c r="DW536" s="7"/>
      <c r="DX536" s="7"/>
      <c r="DY536" s="7"/>
      <c r="DZ536" s="7"/>
      <c r="EA536" s="7"/>
      <c r="EB536" s="7"/>
      <c r="EC536" s="7"/>
      <c r="ED536" s="7"/>
      <c r="EE536" s="7"/>
      <c r="EF536" s="7"/>
      <c r="EG536" s="7"/>
      <c r="EH536" s="7"/>
      <c r="EI536" s="7"/>
      <c r="EJ536" s="7"/>
      <c r="EK536" s="7"/>
      <c r="EL536" s="7"/>
      <c r="EM536" s="7"/>
      <c r="EN536" s="7"/>
      <c r="EO536" s="7"/>
      <c r="EP536" s="7"/>
      <c r="EQ536" s="7"/>
      <c r="ER536" s="7"/>
      <c r="ES536" s="7"/>
      <c r="ET536" s="7"/>
      <c r="EU536" s="7"/>
      <c r="EV536" s="7"/>
      <c r="EW536" s="7"/>
      <c r="EX536" s="7"/>
      <c r="EY536" s="7"/>
      <c r="EZ536" s="7"/>
      <c r="FA536" s="7"/>
      <c r="FB536" s="7"/>
      <c r="FC536" s="7"/>
      <c r="FD536" s="7"/>
      <c r="FE536" s="7"/>
      <c r="FF536" s="7"/>
      <c r="FG536" s="7"/>
      <c r="FH536" s="7"/>
      <c r="FI536" s="7"/>
      <c r="FJ536" s="7"/>
      <c r="FK536" s="7"/>
      <c r="FL536" s="7"/>
      <c r="FM536" s="7"/>
      <c r="FN536" s="7"/>
      <c r="FO536" s="7"/>
      <c r="FP536" s="7"/>
      <c r="FQ536" s="7"/>
      <c r="FR536" s="7"/>
      <c r="FS536" s="7"/>
      <c r="FT536" s="7"/>
      <c r="FU536" s="7"/>
      <c r="FV536" s="7"/>
      <c r="FW536" s="7"/>
      <c r="FX536" s="7"/>
      <c r="FY536" s="7"/>
      <c r="FZ536" s="7"/>
      <c r="GA536" s="7"/>
      <c r="GB536" s="7"/>
      <c r="GC536" s="7"/>
      <c r="GD536" s="7"/>
      <c r="GE536" s="7"/>
      <c r="GF536" s="7"/>
      <c r="GG536" s="7"/>
      <c r="GH536" s="7"/>
      <c r="GI536" s="7"/>
      <c r="GJ536" s="7"/>
      <c r="GK536" s="7"/>
      <c r="GL536" s="7"/>
      <c r="GM536" s="7"/>
      <c r="GN536" s="7"/>
      <c r="GO536" s="7"/>
      <c r="GP536" s="7"/>
      <c r="GQ536" s="7"/>
      <c r="GR536" s="7"/>
      <c r="GS536" s="7"/>
      <c r="GT536" s="7"/>
      <c r="GU536" s="7"/>
      <c r="GV536" s="7"/>
      <c r="GW536" s="7"/>
      <c r="GX536" s="7"/>
      <c r="GY536" s="7"/>
      <c r="GZ536" s="7"/>
      <c r="HA536" s="7"/>
      <c r="HB536" s="7"/>
    </row>
    <row r="537" customFormat="false" ht="1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c r="DA537" s="7"/>
      <c r="DB537" s="7"/>
      <c r="DC537" s="7"/>
      <c r="DD537" s="7"/>
      <c r="DE537" s="7"/>
      <c r="DF537" s="7"/>
      <c r="DG537" s="7"/>
      <c r="DH537" s="7"/>
      <c r="DI537" s="7"/>
      <c r="DJ537" s="7"/>
      <c r="DK537" s="7"/>
      <c r="DL537" s="7"/>
      <c r="DM537" s="7"/>
      <c r="DN537" s="7"/>
      <c r="DO537" s="7"/>
      <c r="DP537" s="7"/>
      <c r="DQ537" s="7"/>
      <c r="DR537" s="7"/>
      <c r="DS537" s="7"/>
      <c r="DT537" s="7"/>
      <c r="DU537" s="7"/>
      <c r="DV537" s="7"/>
      <c r="DW537" s="7"/>
      <c r="DX537" s="7"/>
      <c r="DY537" s="7"/>
      <c r="DZ537" s="7"/>
      <c r="EA537" s="7"/>
      <c r="EB537" s="7"/>
      <c r="EC537" s="7"/>
      <c r="ED537" s="7"/>
      <c r="EE537" s="7"/>
      <c r="EF537" s="7"/>
      <c r="EG537" s="7"/>
      <c r="EH537" s="7"/>
      <c r="EI537" s="7"/>
      <c r="EJ537" s="7"/>
      <c r="EK537" s="7"/>
      <c r="EL537" s="7"/>
      <c r="EM537" s="7"/>
      <c r="EN537" s="7"/>
      <c r="EO537" s="7"/>
      <c r="EP537" s="7"/>
      <c r="EQ537" s="7"/>
      <c r="ER537" s="7"/>
      <c r="ES537" s="7"/>
      <c r="ET537" s="7"/>
      <c r="EU537" s="7"/>
      <c r="EV537" s="7"/>
      <c r="EW537" s="7"/>
      <c r="EX537" s="7"/>
      <c r="EY537" s="7"/>
      <c r="EZ537" s="7"/>
      <c r="FA537" s="7"/>
      <c r="FB537" s="7"/>
      <c r="FC537" s="7"/>
      <c r="FD537" s="7"/>
      <c r="FE537" s="7"/>
      <c r="FF537" s="7"/>
      <c r="FG537" s="7"/>
      <c r="FH537" s="7"/>
      <c r="FI537" s="7"/>
      <c r="FJ537" s="7"/>
      <c r="FK537" s="7"/>
      <c r="FL537" s="7"/>
      <c r="FM537" s="7"/>
      <c r="FN537" s="7"/>
      <c r="FO537" s="7"/>
      <c r="FP537" s="7"/>
      <c r="FQ537" s="7"/>
      <c r="FR537" s="7"/>
      <c r="FS537" s="7"/>
      <c r="FT537" s="7"/>
      <c r="FU537" s="7"/>
      <c r="FV537" s="7"/>
      <c r="FW537" s="7"/>
      <c r="FX537" s="7"/>
      <c r="FY537" s="7"/>
      <c r="FZ537" s="7"/>
      <c r="GA537" s="7"/>
      <c r="GB537" s="7"/>
      <c r="GC537" s="7"/>
      <c r="GD537" s="7"/>
      <c r="GE537" s="7"/>
      <c r="GF537" s="7"/>
      <c r="GG537" s="7"/>
      <c r="GH537" s="7"/>
      <c r="GI537" s="7"/>
      <c r="GJ537" s="7"/>
      <c r="GK537" s="7"/>
      <c r="GL537" s="7"/>
      <c r="GM537" s="7"/>
      <c r="GN537" s="7"/>
      <c r="GO537" s="7"/>
      <c r="GP537" s="7"/>
      <c r="GQ537" s="7"/>
      <c r="GR537" s="7"/>
      <c r="GS537" s="7"/>
      <c r="GT537" s="7"/>
      <c r="GU537" s="7"/>
      <c r="GV537" s="7"/>
      <c r="GW537" s="7"/>
      <c r="GX537" s="7"/>
      <c r="GY537" s="7"/>
      <c r="GZ537" s="7"/>
      <c r="HA537" s="7"/>
      <c r="HB537" s="7"/>
    </row>
    <row r="538" customFormat="false" ht="1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c r="DA538" s="7"/>
      <c r="DB538" s="7"/>
      <c r="DC538" s="7"/>
      <c r="DD538" s="7"/>
      <c r="DE538" s="7"/>
      <c r="DF538" s="7"/>
      <c r="DG538" s="7"/>
      <c r="DH538" s="7"/>
      <c r="DI538" s="7"/>
      <c r="DJ538" s="7"/>
      <c r="DK538" s="7"/>
      <c r="DL538" s="7"/>
      <c r="DM538" s="7"/>
      <c r="DN538" s="7"/>
      <c r="DO538" s="7"/>
      <c r="DP538" s="7"/>
      <c r="DQ538" s="7"/>
      <c r="DR538" s="7"/>
      <c r="DS538" s="7"/>
      <c r="DT538" s="7"/>
      <c r="DU538" s="7"/>
      <c r="DV538" s="7"/>
      <c r="DW538" s="7"/>
      <c r="DX538" s="7"/>
      <c r="DY538" s="7"/>
      <c r="DZ538" s="7"/>
      <c r="EA538" s="7"/>
      <c r="EB538" s="7"/>
      <c r="EC538" s="7"/>
      <c r="ED538" s="7"/>
      <c r="EE538" s="7"/>
      <c r="EF538" s="7"/>
      <c r="EG538" s="7"/>
      <c r="EH538" s="7"/>
      <c r="EI538" s="7"/>
      <c r="EJ538" s="7"/>
      <c r="EK538" s="7"/>
      <c r="EL538" s="7"/>
      <c r="EM538" s="7"/>
      <c r="EN538" s="7"/>
      <c r="EO538" s="7"/>
      <c r="EP538" s="7"/>
      <c r="EQ538" s="7"/>
      <c r="ER538" s="7"/>
      <c r="ES538" s="7"/>
      <c r="ET538" s="7"/>
      <c r="EU538" s="7"/>
      <c r="EV538" s="7"/>
      <c r="EW538" s="7"/>
      <c r="EX538" s="7"/>
      <c r="EY538" s="7"/>
      <c r="EZ538" s="7"/>
      <c r="FA538" s="7"/>
      <c r="FB538" s="7"/>
      <c r="FC538" s="7"/>
      <c r="FD538" s="7"/>
      <c r="FE538" s="7"/>
      <c r="FF538" s="7"/>
      <c r="FG538" s="7"/>
      <c r="FH538" s="7"/>
      <c r="FI538" s="7"/>
      <c r="FJ538" s="7"/>
      <c r="FK538" s="7"/>
      <c r="FL538" s="7"/>
      <c r="FM538" s="7"/>
      <c r="FN538" s="7"/>
      <c r="FO538" s="7"/>
      <c r="FP538" s="7"/>
      <c r="FQ538" s="7"/>
      <c r="FR538" s="7"/>
      <c r="FS538" s="7"/>
      <c r="FT538" s="7"/>
      <c r="FU538" s="7"/>
      <c r="FV538" s="7"/>
      <c r="FW538" s="7"/>
      <c r="FX538" s="7"/>
      <c r="FY538" s="7"/>
      <c r="FZ538" s="7"/>
      <c r="GA538" s="7"/>
      <c r="GB538" s="7"/>
      <c r="GC538" s="7"/>
      <c r="GD538" s="7"/>
      <c r="GE538" s="7"/>
      <c r="GF538" s="7"/>
      <c r="GG538" s="7"/>
      <c r="GH538" s="7"/>
      <c r="GI538" s="7"/>
      <c r="GJ538" s="7"/>
      <c r="GK538" s="7"/>
      <c r="GL538" s="7"/>
      <c r="GM538" s="7"/>
      <c r="GN538" s="7"/>
      <c r="GO538" s="7"/>
      <c r="GP538" s="7"/>
      <c r="GQ538" s="7"/>
      <c r="GR538" s="7"/>
      <c r="GS538" s="7"/>
      <c r="GT538" s="7"/>
      <c r="GU538" s="7"/>
      <c r="GV538" s="7"/>
      <c r="GW538" s="7"/>
      <c r="GX538" s="7"/>
      <c r="GY538" s="7"/>
      <c r="GZ538" s="7"/>
      <c r="HA538" s="7"/>
      <c r="HB538" s="7"/>
    </row>
    <row r="539" customFormat="false" ht="1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c r="DA539" s="7"/>
      <c r="DB539" s="7"/>
      <c r="DC539" s="7"/>
      <c r="DD539" s="7"/>
      <c r="DE539" s="7"/>
      <c r="DF539" s="7"/>
      <c r="DG539" s="7"/>
      <c r="DH539" s="7"/>
      <c r="DI539" s="7"/>
      <c r="DJ539" s="7"/>
      <c r="DK539" s="7"/>
      <c r="DL539" s="7"/>
      <c r="DM539" s="7"/>
      <c r="DN539" s="7"/>
      <c r="DO539" s="7"/>
      <c r="DP539" s="7"/>
      <c r="DQ539" s="7"/>
      <c r="DR539" s="7"/>
      <c r="DS539" s="7"/>
      <c r="DT539" s="7"/>
      <c r="DU539" s="7"/>
      <c r="DV539" s="7"/>
      <c r="DW539" s="7"/>
      <c r="DX539" s="7"/>
      <c r="DY539" s="7"/>
      <c r="DZ539" s="7"/>
      <c r="EA539" s="7"/>
      <c r="EB539" s="7"/>
      <c r="EC539" s="7"/>
      <c r="ED539" s="7"/>
      <c r="EE539" s="7"/>
      <c r="EF539" s="7"/>
      <c r="EG539" s="7"/>
      <c r="EH539" s="7"/>
      <c r="EI539" s="7"/>
      <c r="EJ539" s="7"/>
      <c r="EK539" s="7"/>
      <c r="EL539" s="7"/>
      <c r="EM539" s="7"/>
      <c r="EN539" s="7"/>
      <c r="EO539" s="7"/>
      <c r="EP539" s="7"/>
      <c r="EQ539" s="7"/>
      <c r="ER539" s="7"/>
      <c r="ES539" s="7"/>
      <c r="ET539" s="7"/>
      <c r="EU539" s="7"/>
      <c r="EV539" s="7"/>
      <c r="EW539" s="7"/>
      <c r="EX539" s="7"/>
      <c r="EY539" s="7"/>
      <c r="EZ539" s="7"/>
      <c r="FA539" s="7"/>
      <c r="FB539" s="7"/>
      <c r="FC539" s="7"/>
      <c r="FD539" s="7"/>
      <c r="FE539" s="7"/>
      <c r="FF539" s="7"/>
      <c r="FG539" s="7"/>
      <c r="FH539" s="7"/>
      <c r="FI539" s="7"/>
      <c r="FJ539" s="7"/>
      <c r="FK539" s="7"/>
      <c r="FL539" s="7"/>
      <c r="FM539" s="7"/>
      <c r="FN539" s="7"/>
      <c r="FO539" s="7"/>
      <c r="FP539" s="7"/>
      <c r="FQ539" s="7"/>
      <c r="FR539" s="7"/>
      <c r="FS539" s="7"/>
      <c r="FT539" s="7"/>
      <c r="FU539" s="7"/>
      <c r="FV539" s="7"/>
      <c r="FW539" s="7"/>
      <c r="FX539" s="7"/>
      <c r="FY539" s="7"/>
      <c r="FZ539" s="7"/>
      <c r="GA539" s="7"/>
      <c r="GB539" s="7"/>
      <c r="GC539" s="7"/>
      <c r="GD539" s="7"/>
      <c r="GE539" s="7"/>
      <c r="GF539" s="7"/>
      <c r="GG539" s="7"/>
      <c r="GH539" s="7"/>
      <c r="GI539" s="7"/>
      <c r="GJ539" s="7"/>
      <c r="GK539" s="7"/>
      <c r="GL539" s="7"/>
      <c r="GM539" s="7"/>
      <c r="GN539" s="7"/>
      <c r="GO539" s="7"/>
      <c r="GP539" s="7"/>
      <c r="GQ539" s="7"/>
      <c r="GR539" s="7"/>
      <c r="GS539" s="7"/>
      <c r="GT539" s="7"/>
      <c r="GU539" s="7"/>
      <c r="GV539" s="7"/>
      <c r="GW539" s="7"/>
      <c r="GX539" s="7"/>
      <c r="GY539" s="7"/>
      <c r="GZ539" s="7"/>
      <c r="HA539" s="7"/>
      <c r="HB539" s="7"/>
    </row>
    <row r="540" customFormat="false" ht="1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c r="DA540" s="7"/>
      <c r="DB540" s="7"/>
      <c r="DC540" s="7"/>
      <c r="DD540" s="7"/>
      <c r="DE540" s="7"/>
      <c r="DF540" s="7"/>
      <c r="DG540" s="7"/>
      <c r="DH540" s="7"/>
      <c r="DI540" s="7"/>
      <c r="DJ540" s="7"/>
      <c r="DK540" s="7"/>
      <c r="DL540" s="7"/>
      <c r="DM540" s="7"/>
      <c r="DN540" s="7"/>
      <c r="DO540" s="7"/>
      <c r="DP540" s="7"/>
      <c r="DQ540" s="7"/>
      <c r="DR540" s="7"/>
      <c r="DS540" s="7"/>
      <c r="DT540" s="7"/>
      <c r="DU540" s="7"/>
      <c r="DV540" s="7"/>
      <c r="DW540" s="7"/>
      <c r="DX540" s="7"/>
      <c r="DY540" s="7"/>
      <c r="DZ540" s="7"/>
      <c r="EA540" s="7"/>
      <c r="EB540" s="7"/>
      <c r="EC540" s="7"/>
      <c r="ED540" s="7"/>
      <c r="EE540" s="7"/>
      <c r="EF540" s="7"/>
      <c r="EG540" s="7"/>
      <c r="EH540" s="7"/>
      <c r="EI540" s="7"/>
      <c r="EJ540" s="7"/>
      <c r="EK540" s="7"/>
      <c r="EL540" s="7"/>
      <c r="EM540" s="7"/>
      <c r="EN540" s="7"/>
      <c r="EO540" s="7"/>
      <c r="EP540" s="7"/>
      <c r="EQ540" s="7"/>
      <c r="ER540" s="7"/>
      <c r="ES540" s="7"/>
      <c r="ET540" s="7"/>
      <c r="EU540" s="7"/>
      <c r="EV540" s="7"/>
      <c r="EW540" s="7"/>
      <c r="EX540" s="7"/>
      <c r="EY540" s="7"/>
      <c r="EZ540" s="7"/>
      <c r="FA540" s="7"/>
      <c r="FB540" s="7"/>
      <c r="FC540" s="7"/>
      <c r="FD540" s="7"/>
      <c r="FE540" s="7"/>
      <c r="FF540" s="7"/>
      <c r="FG540" s="7"/>
      <c r="FH540" s="7"/>
      <c r="FI540" s="7"/>
      <c r="FJ540" s="7"/>
      <c r="FK540" s="7"/>
      <c r="FL540" s="7"/>
      <c r="FM540" s="7"/>
      <c r="FN540" s="7"/>
      <c r="FO540" s="7"/>
      <c r="FP540" s="7"/>
      <c r="FQ540" s="7"/>
      <c r="FR540" s="7"/>
      <c r="FS540" s="7"/>
      <c r="FT540" s="7"/>
      <c r="FU540" s="7"/>
      <c r="FV540" s="7"/>
      <c r="FW540" s="7"/>
      <c r="FX540" s="7"/>
      <c r="FY540" s="7"/>
      <c r="FZ540" s="7"/>
      <c r="GA540" s="7"/>
      <c r="GB540" s="7"/>
      <c r="GC540" s="7"/>
      <c r="GD540" s="7"/>
      <c r="GE540" s="7"/>
      <c r="GF540" s="7"/>
      <c r="GG540" s="7"/>
      <c r="GH540" s="7"/>
      <c r="GI540" s="7"/>
      <c r="GJ540" s="7"/>
      <c r="GK540" s="7"/>
      <c r="GL540" s="7"/>
      <c r="GM540" s="7"/>
      <c r="GN540" s="7"/>
      <c r="GO540" s="7"/>
      <c r="GP540" s="7"/>
      <c r="GQ540" s="7"/>
      <c r="GR540" s="7"/>
      <c r="GS540" s="7"/>
      <c r="GT540" s="7"/>
      <c r="GU540" s="7"/>
      <c r="GV540" s="7"/>
      <c r="GW540" s="7"/>
      <c r="GX540" s="7"/>
      <c r="GY540" s="7"/>
      <c r="GZ540" s="7"/>
      <c r="HA540" s="7"/>
      <c r="HB540" s="7"/>
    </row>
    <row r="541" customFormat="false" ht="1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c r="DA541" s="7"/>
      <c r="DB541" s="7"/>
      <c r="DC541" s="7"/>
      <c r="DD541" s="7"/>
      <c r="DE541" s="7"/>
      <c r="DF541" s="7"/>
      <c r="DG541" s="7"/>
      <c r="DH541" s="7"/>
      <c r="DI541" s="7"/>
      <c r="DJ541" s="7"/>
      <c r="DK541" s="7"/>
      <c r="DL541" s="7"/>
      <c r="DM541" s="7"/>
      <c r="DN541" s="7"/>
      <c r="DO541" s="7"/>
      <c r="DP541" s="7"/>
      <c r="DQ541" s="7"/>
      <c r="DR541" s="7"/>
      <c r="DS541" s="7"/>
      <c r="DT541" s="7"/>
      <c r="DU541" s="7"/>
      <c r="DV541" s="7"/>
      <c r="DW541" s="7"/>
      <c r="DX541" s="7"/>
      <c r="DY541" s="7"/>
      <c r="DZ541" s="7"/>
      <c r="EA541" s="7"/>
      <c r="EB541" s="7"/>
      <c r="EC541" s="7"/>
      <c r="ED541" s="7"/>
      <c r="EE541" s="7"/>
      <c r="EF541" s="7"/>
      <c r="EG541" s="7"/>
      <c r="EH541" s="7"/>
      <c r="EI541" s="7"/>
      <c r="EJ541" s="7"/>
      <c r="EK541" s="7"/>
      <c r="EL541" s="7"/>
      <c r="EM541" s="7"/>
      <c r="EN541" s="7"/>
      <c r="EO541" s="7"/>
      <c r="EP541" s="7"/>
      <c r="EQ541" s="7"/>
      <c r="ER541" s="7"/>
      <c r="ES541" s="7"/>
      <c r="ET541" s="7"/>
      <c r="EU541" s="7"/>
      <c r="EV541" s="7"/>
      <c r="EW541" s="7"/>
      <c r="EX541" s="7"/>
      <c r="EY541" s="7"/>
      <c r="EZ541" s="7"/>
      <c r="FA541" s="7"/>
      <c r="FB541" s="7"/>
      <c r="FC541" s="7"/>
      <c r="FD541" s="7"/>
      <c r="FE541" s="7"/>
      <c r="FF541" s="7"/>
      <c r="FG541" s="7"/>
      <c r="FH541" s="7"/>
      <c r="FI541" s="7"/>
      <c r="FJ541" s="7"/>
      <c r="FK541" s="7"/>
      <c r="FL541" s="7"/>
      <c r="FM541" s="7"/>
      <c r="FN541" s="7"/>
      <c r="FO541" s="7"/>
      <c r="FP541" s="7"/>
      <c r="FQ541" s="7"/>
      <c r="FR541" s="7"/>
      <c r="FS541" s="7"/>
      <c r="FT541" s="7"/>
      <c r="FU541" s="7"/>
      <c r="FV541" s="7"/>
      <c r="FW541" s="7"/>
      <c r="FX541" s="7"/>
      <c r="FY541" s="7"/>
      <c r="FZ541" s="7"/>
      <c r="GA541" s="7"/>
      <c r="GB541" s="7"/>
      <c r="GC541" s="7"/>
      <c r="GD541" s="7"/>
      <c r="GE541" s="7"/>
      <c r="GF541" s="7"/>
      <c r="GG541" s="7"/>
      <c r="GH541" s="7"/>
      <c r="GI541" s="7"/>
      <c r="GJ541" s="7"/>
      <c r="GK541" s="7"/>
      <c r="GL541" s="7"/>
      <c r="GM541" s="7"/>
      <c r="GN541" s="7"/>
      <c r="GO541" s="7"/>
      <c r="GP541" s="7"/>
      <c r="GQ541" s="7"/>
      <c r="GR541" s="7"/>
      <c r="GS541" s="7"/>
      <c r="GT541" s="7"/>
      <c r="GU541" s="7"/>
      <c r="GV541" s="7"/>
      <c r="GW541" s="7"/>
      <c r="GX541" s="7"/>
      <c r="GY541" s="7"/>
      <c r="GZ541" s="7"/>
      <c r="HA541" s="7"/>
      <c r="HB541" s="7"/>
    </row>
    <row r="542" customFormat="false" ht="1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c r="DA542" s="7"/>
      <c r="DB542" s="7"/>
      <c r="DC542" s="7"/>
      <c r="DD542" s="7"/>
      <c r="DE542" s="7"/>
      <c r="DF542" s="7"/>
      <c r="DG542" s="7"/>
      <c r="DH542" s="7"/>
      <c r="DI542" s="7"/>
      <c r="DJ542" s="7"/>
      <c r="DK542" s="7"/>
      <c r="DL542" s="7"/>
      <c r="DM542" s="7"/>
      <c r="DN542" s="7"/>
      <c r="DO542" s="7"/>
      <c r="DP542" s="7"/>
      <c r="DQ542" s="7"/>
      <c r="DR542" s="7"/>
      <c r="DS542" s="7"/>
      <c r="DT542" s="7"/>
      <c r="DU542" s="7"/>
      <c r="DV542" s="7"/>
      <c r="DW542" s="7"/>
      <c r="DX542" s="7"/>
      <c r="DY542" s="7"/>
      <c r="DZ542" s="7"/>
      <c r="EA542" s="7"/>
      <c r="EB542" s="7"/>
      <c r="EC542" s="7"/>
      <c r="ED542" s="7"/>
      <c r="EE542" s="7"/>
      <c r="EF542" s="7"/>
      <c r="EG542" s="7"/>
      <c r="EH542" s="7"/>
      <c r="EI542" s="7"/>
      <c r="EJ542" s="7"/>
      <c r="EK542" s="7"/>
      <c r="EL542" s="7"/>
      <c r="EM542" s="7"/>
      <c r="EN542" s="7"/>
      <c r="EO542" s="7"/>
      <c r="EP542" s="7"/>
      <c r="EQ542" s="7"/>
      <c r="ER542" s="7"/>
      <c r="ES542" s="7"/>
      <c r="ET542" s="7"/>
      <c r="EU542" s="7"/>
      <c r="EV542" s="7"/>
      <c r="EW542" s="7"/>
      <c r="EX542" s="7"/>
      <c r="EY542" s="7"/>
      <c r="EZ542" s="7"/>
      <c r="FA542" s="7"/>
      <c r="FB542" s="7"/>
      <c r="FC542" s="7"/>
      <c r="FD542" s="7"/>
      <c r="FE542" s="7"/>
      <c r="FF542" s="7"/>
      <c r="FG542" s="7"/>
      <c r="FH542" s="7"/>
      <c r="FI542" s="7"/>
      <c r="FJ542" s="7"/>
      <c r="FK542" s="7"/>
      <c r="FL542" s="7"/>
      <c r="FM542" s="7"/>
      <c r="FN542" s="7"/>
      <c r="FO542" s="7"/>
      <c r="FP542" s="7"/>
      <c r="FQ542" s="7"/>
      <c r="FR542" s="7"/>
      <c r="FS542" s="7"/>
      <c r="FT542" s="7"/>
      <c r="FU542" s="7"/>
      <c r="FV542" s="7"/>
      <c r="FW542" s="7"/>
      <c r="FX542" s="7"/>
      <c r="FY542" s="7"/>
      <c r="FZ542" s="7"/>
      <c r="GA542" s="7"/>
      <c r="GB542" s="7"/>
      <c r="GC542" s="7"/>
      <c r="GD542" s="7"/>
      <c r="GE542" s="7"/>
      <c r="GF542" s="7"/>
      <c r="GG542" s="7"/>
      <c r="GH542" s="7"/>
      <c r="GI542" s="7"/>
      <c r="GJ542" s="7"/>
      <c r="GK542" s="7"/>
      <c r="GL542" s="7"/>
      <c r="GM542" s="7"/>
      <c r="GN542" s="7"/>
      <c r="GO542" s="7"/>
      <c r="GP542" s="7"/>
      <c r="GQ542" s="7"/>
      <c r="GR542" s="7"/>
      <c r="GS542" s="7"/>
      <c r="GT542" s="7"/>
      <c r="GU542" s="7"/>
      <c r="GV542" s="7"/>
      <c r="GW542" s="7"/>
      <c r="GX542" s="7"/>
      <c r="GY542" s="7"/>
      <c r="GZ542" s="7"/>
      <c r="HA542" s="7"/>
      <c r="HB542" s="7"/>
    </row>
    <row r="543" customFormat="false" ht="1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c r="DA543" s="7"/>
      <c r="DB543" s="7"/>
      <c r="DC543" s="7"/>
      <c r="DD543" s="7"/>
      <c r="DE543" s="7"/>
      <c r="DF543" s="7"/>
      <c r="DG543" s="7"/>
      <c r="DH543" s="7"/>
      <c r="DI543" s="7"/>
      <c r="DJ543" s="7"/>
      <c r="DK543" s="7"/>
      <c r="DL543" s="7"/>
      <c r="DM543" s="7"/>
      <c r="DN543" s="7"/>
      <c r="DO543" s="7"/>
      <c r="DP543" s="7"/>
      <c r="DQ543" s="7"/>
      <c r="DR543" s="7"/>
      <c r="DS543" s="7"/>
      <c r="DT543" s="7"/>
      <c r="DU543" s="7"/>
      <c r="DV543" s="7"/>
      <c r="DW543" s="7"/>
      <c r="DX543" s="7"/>
      <c r="DY543" s="7"/>
      <c r="DZ543" s="7"/>
      <c r="EA543" s="7"/>
      <c r="EB543" s="7"/>
      <c r="EC543" s="7"/>
      <c r="ED543" s="7"/>
      <c r="EE543" s="7"/>
      <c r="EF543" s="7"/>
      <c r="EG543" s="7"/>
      <c r="EH543" s="7"/>
      <c r="EI543" s="7"/>
      <c r="EJ543" s="7"/>
      <c r="EK543" s="7"/>
      <c r="EL543" s="7"/>
      <c r="EM543" s="7"/>
      <c r="EN543" s="7"/>
      <c r="EO543" s="7"/>
      <c r="EP543" s="7"/>
      <c r="EQ543" s="7"/>
      <c r="ER543" s="7"/>
      <c r="ES543" s="7"/>
      <c r="ET543" s="7"/>
      <c r="EU543" s="7"/>
      <c r="EV543" s="7"/>
      <c r="EW543" s="7"/>
      <c r="EX543" s="7"/>
      <c r="EY543" s="7"/>
      <c r="EZ543" s="7"/>
      <c r="FA543" s="7"/>
      <c r="FB543" s="7"/>
      <c r="FC543" s="7"/>
      <c r="FD543" s="7"/>
      <c r="FE543" s="7"/>
      <c r="FF543" s="7"/>
      <c r="FG543" s="7"/>
      <c r="FH543" s="7"/>
      <c r="FI543" s="7"/>
      <c r="FJ543" s="7"/>
      <c r="FK543" s="7"/>
      <c r="FL543" s="7"/>
      <c r="FM543" s="7"/>
      <c r="FN543" s="7"/>
      <c r="FO543" s="7"/>
      <c r="FP543" s="7"/>
      <c r="FQ543" s="7"/>
      <c r="FR543" s="7"/>
      <c r="FS543" s="7"/>
      <c r="FT543" s="7"/>
      <c r="FU543" s="7"/>
      <c r="FV543" s="7"/>
      <c r="FW543" s="7"/>
      <c r="FX543" s="7"/>
      <c r="FY543" s="7"/>
      <c r="FZ543" s="7"/>
      <c r="GA543" s="7"/>
      <c r="GB543" s="7"/>
      <c r="GC543" s="7"/>
      <c r="GD543" s="7"/>
      <c r="GE543" s="7"/>
      <c r="GF543" s="7"/>
      <c r="GG543" s="7"/>
      <c r="GH543" s="7"/>
      <c r="GI543" s="7"/>
      <c r="GJ543" s="7"/>
      <c r="GK543" s="7"/>
      <c r="GL543" s="7"/>
      <c r="GM543" s="7"/>
      <c r="GN543" s="7"/>
      <c r="GO543" s="7"/>
      <c r="GP543" s="7"/>
      <c r="GQ543" s="7"/>
      <c r="GR543" s="7"/>
      <c r="GS543" s="7"/>
      <c r="GT543" s="7"/>
      <c r="GU543" s="7"/>
      <c r="GV543" s="7"/>
      <c r="GW543" s="7"/>
      <c r="GX543" s="7"/>
      <c r="GY543" s="7"/>
      <c r="GZ543" s="7"/>
      <c r="HA543" s="7"/>
      <c r="HB543" s="7"/>
    </row>
    <row r="544" customFormat="false" ht="1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c r="DA544" s="7"/>
      <c r="DB544" s="7"/>
      <c r="DC544" s="7"/>
      <c r="DD544" s="7"/>
      <c r="DE544" s="7"/>
      <c r="DF544" s="7"/>
      <c r="DG544" s="7"/>
      <c r="DH544" s="7"/>
      <c r="DI544" s="7"/>
      <c r="DJ544" s="7"/>
      <c r="DK544" s="7"/>
      <c r="DL544" s="7"/>
      <c r="DM544" s="7"/>
      <c r="DN544" s="7"/>
      <c r="DO544" s="7"/>
      <c r="DP544" s="7"/>
      <c r="DQ544" s="7"/>
      <c r="DR544" s="7"/>
      <c r="DS544" s="7"/>
      <c r="DT544" s="7"/>
      <c r="DU544" s="7"/>
      <c r="DV544" s="7"/>
      <c r="DW544" s="7"/>
      <c r="DX544" s="7"/>
      <c r="DY544" s="7"/>
      <c r="DZ544" s="7"/>
      <c r="EA544" s="7"/>
      <c r="EB544" s="7"/>
      <c r="EC544" s="7"/>
      <c r="ED544" s="7"/>
      <c r="EE544" s="7"/>
      <c r="EF544" s="7"/>
      <c r="EG544" s="7"/>
      <c r="EH544" s="7"/>
      <c r="EI544" s="7"/>
      <c r="EJ544" s="7"/>
      <c r="EK544" s="7"/>
      <c r="EL544" s="7"/>
      <c r="EM544" s="7"/>
      <c r="EN544" s="7"/>
      <c r="EO544" s="7"/>
      <c r="EP544" s="7"/>
      <c r="EQ544" s="7"/>
      <c r="ER544" s="7"/>
      <c r="ES544" s="7"/>
      <c r="ET544" s="7"/>
      <c r="EU544" s="7"/>
      <c r="EV544" s="7"/>
      <c r="EW544" s="7"/>
      <c r="EX544" s="7"/>
      <c r="EY544" s="7"/>
      <c r="EZ544" s="7"/>
      <c r="FA544" s="7"/>
      <c r="FB544" s="7"/>
      <c r="FC544" s="7"/>
      <c r="FD544" s="7"/>
      <c r="FE544" s="7"/>
      <c r="FF544" s="7"/>
      <c r="FG544" s="7"/>
      <c r="FH544" s="7"/>
      <c r="FI544" s="7"/>
      <c r="FJ544" s="7"/>
      <c r="FK544" s="7"/>
      <c r="FL544" s="7"/>
      <c r="FM544" s="7"/>
      <c r="FN544" s="7"/>
      <c r="FO544" s="7"/>
      <c r="FP544" s="7"/>
      <c r="FQ544" s="7"/>
      <c r="FR544" s="7"/>
      <c r="FS544" s="7"/>
      <c r="FT544" s="7"/>
      <c r="FU544" s="7"/>
      <c r="FV544" s="7"/>
      <c r="FW544" s="7"/>
      <c r="FX544" s="7"/>
      <c r="FY544" s="7"/>
      <c r="FZ544" s="7"/>
      <c r="GA544" s="7"/>
      <c r="GB544" s="7"/>
      <c r="GC544" s="7"/>
      <c r="GD544" s="7"/>
      <c r="GE544" s="7"/>
      <c r="GF544" s="7"/>
      <c r="GG544" s="7"/>
      <c r="GH544" s="7"/>
      <c r="GI544" s="7"/>
      <c r="GJ544" s="7"/>
      <c r="GK544" s="7"/>
      <c r="GL544" s="7"/>
      <c r="GM544" s="7"/>
      <c r="GN544" s="7"/>
      <c r="GO544" s="7"/>
      <c r="GP544" s="7"/>
      <c r="GQ544" s="7"/>
      <c r="GR544" s="7"/>
      <c r="GS544" s="7"/>
      <c r="GT544" s="7"/>
      <c r="GU544" s="7"/>
      <c r="GV544" s="7"/>
      <c r="GW544" s="7"/>
      <c r="GX544" s="7"/>
      <c r="GY544" s="7"/>
      <c r="GZ544" s="7"/>
      <c r="HA544" s="7"/>
      <c r="HB544" s="7"/>
    </row>
    <row r="545" customFormat="false" ht="1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c r="DA545" s="7"/>
      <c r="DB545" s="7"/>
      <c r="DC545" s="7"/>
      <c r="DD545" s="7"/>
      <c r="DE545" s="7"/>
      <c r="DF545" s="7"/>
      <c r="DG545" s="7"/>
      <c r="DH545" s="7"/>
      <c r="DI545" s="7"/>
      <c r="DJ545" s="7"/>
      <c r="DK545" s="7"/>
      <c r="DL545" s="7"/>
      <c r="DM545" s="7"/>
      <c r="DN545" s="7"/>
      <c r="DO545" s="7"/>
      <c r="DP545" s="7"/>
      <c r="DQ545" s="7"/>
      <c r="DR545" s="7"/>
      <c r="DS545" s="7"/>
      <c r="DT545" s="7"/>
      <c r="DU545" s="7"/>
      <c r="DV545" s="7"/>
      <c r="DW545" s="7"/>
      <c r="DX545" s="7"/>
      <c r="DY545" s="7"/>
      <c r="DZ545" s="7"/>
      <c r="EA545" s="7"/>
      <c r="EB545" s="7"/>
      <c r="EC545" s="7"/>
      <c r="ED545" s="7"/>
      <c r="EE545" s="7"/>
      <c r="EF545" s="7"/>
      <c r="EG545" s="7"/>
      <c r="EH545" s="7"/>
      <c r="EI545" s="7"/>
      <c r="EJ545" s="7"/>
      <c r="EK545" s="7"/>
      <c r="EL545" s="7"/>
      <c r="EM545" s="7"/>
      <c r="EN545" s="7"/>
      <c r="EO545" s="7"/>
      <c r="EP545" s="7"/>
      <c r="EQ545" s="7"/>
      <c r="ER545" s="7"/>
      <c r="ES545" s="7"/>
      <c r="ET545" s="7"/>
      <c r="EU545" s="7"/>
      <c r="EV545" s="7"/>
      <c r="EW545" s="7"/>
      <c r="EX545" s="7"/>
      <c r="EY545" s="7"/>
      <c r="EZ545" s="7"/>
      <c r="FA545" s="7"/>
      <c r="FB545" s="7"/>
      <c r="FC545" s="7"/>
      <c r="FD545" s="7"/>
      <c r="FE545" s="7"/>
      <c r="FF545" s="7"/>
      <c r="FG545" s="7"/>
      <c r="FH545" s="7"/>
      <c r="FI545" s="7"/>
      <c r="FJ545" s="7"/>
      <c r="FK545" s="7"/>
      <c r="FL545" s="7"/>
      <c r="FM545" s="7"/>
      <c r="FN545" s="7"/>
      <c r="FO545" s="7"/>
      <c r="FP545" s="7"/>
      <c r="FQ545" s="7"/>
      <c r="FR545" s="7"/>
      <c r="FS545" s="7"/>
      <c r="FT545" s="7"/>
      <c r="FU545" s="7"/>
      <c r="FV545" s="7"/>
      <c r="FW545" s="7"/>
      <c r="FX545" s="7"/>
      <c r="FY545" s="7"/>
      <c r="FZ545" s="7"/>
      <c r="GA545" s="7"/>
      <c r="GB545" s="7"/>
      <c r="GC545" s="7"/>
      <c r="GD545" s="7"/>
      <c r="GE545" s="7"/>
      <c r="GF545" s="7"/>
      <c r="GG545" s="7"/>
      <c r="GH545" s="7"/>
      <c r="GI545" s="7"/>
      <c r="GJ545" s="7"/>
      <c r="GK545" s="7"/>
      <c r="GL545" s="7"/>
      <c r="GM545" s="7"/>
      <c r="GN545" s="7"/>
      <c r="GO545" s="7"/>
      <c r="GP545" s="7"/>
      <c r="GQ545" s="7"/>
      <c r="GR545" s="7"/>
      <c r="GS545" s="7"/>
      <c r="GT545" s="7"/>
      <c r="GU545" s="7"/>
      <c r="GV545" s="7"/>
      <c r="GW545" s="7"/>
      <c r="GX545" s="7"/>
      <c r="GY545" s="7"/>
      <c r="GZ545" s="7"/>
      <c r="HA545" s="7"/>
      <c r="HB545" s="7"/>
    </row>
    <row r="546" customFormat="false" ht="1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c r="DA546" s="7"/>
      <c r="DB546" s="7"/>
      <c r="DC546" s="7"/>
      <c r="DD546" s="7"/>
      <c r="DE546" s="7"/>
      <c r="DF546" s="7"/>
      <c r="DG546" s="7"/>
      <c r="DH546" s="7"/>
      <c r="DI546" s="7"/>
      <c r="DJ546" s="7"/>
      <c r="DK546" s="7"/>
      <c r="DL546" s="7"/>
      <c r="DM546" s="7"/>
      <c r="DN546" s="7"/>
      <c r="DO546" s="7"/>
      <c r="DP546" s="7"/>
      <c r="DQ546" s="7"/>
      <c r="DR546" s="7"/>
      <c r="DS546" s="7"/>
      <c r="DT546" s="7"/>
      <c r="DU546" s="7"/>
      <c r="DV546" s="7"/>
      <c r="DW546" s="7"/>
      <c r="DX546" s="7"/>
      <c r="DY546" s="7"/>
      <c r="DZ546" s="7"/>
      <c r="EA546" s="7"/>
      <c r="EB546" s="7"/>
      <c r="EC546" s="7"/>
      <c r="ED546" s="7"/>
      <c r="EE546" s="7"/>
      <c r="EF546" s="7"/>
      <c r="EG546" s="7"/>
      <c r="EH546" s="7"/>
      <c r="EI546" s="7"/>
      <c r="EJ546" s="7"/>
      <c r="EK546" s="7"/>
      <c r="EL546" s="7"/>
      <c r="EM546" s="7"/>
      <c r="EN546" s="7"/>
      <c r="EO546" s="7"/>
      <c r="EP546" s="7"/>
      <c r="EQ546" s="7"/>
      <c r="ER546" s="7"/>
      <c r="ES546" s="7"/>
      <c r="ET546" s="7"/>
      <c r="EU546" s="7"/>
      <c r="EV546" s="7"/>
      <c r="EW546" s="7"/>
      <c r="EX546" s="7"/>
      <c r="EY546" s="7"/>
      <c r="EZ546" s="7"/>
      <c r="FA546" s="7"/>
      <c r="FB546" s="7"/>
      <c r="FC546" s="7"/>
      <c r="FD546" s="7"/>
      <c r="FE546" s="7"/>
      <c r="FF546" s="7"/>
      <c r="FG546" s="7"/>
      <c r="FH546" s="7"/>
      <c r="FI546" s="7"/>
      <c r="FJ546" s="7"/>
      <c r="FK546" s="7"/>
      <c r="FL546" s="7"/>
      <c r="FM546" s="7"/>
      <c r="FN546" s="7"/>
      <c r="FO546" s="7"/>
      <c r="FP546" s="7"/>
      <c r="FQ546" s="7"/>
      <c r="FR546" s="7"/>
      <c r="FS546" s="7"/>
      <c r="FT546" s="7"/>
      <c r="FU546" s="7"/>
      <c r="FV546" s="7"/>
      <c r="FW546" s="7"/>
      <c r="FX546" s="7"/>
      <c r="FY546" s="7"/>
      <c r="FZ546" s="7"/>
      <c r="GA546" s="7"/>
      <c r="GB546" s="7"/>
      <c r="GC546" s="7"/>
      <c r="GD546" s="7"/>
      <c r="GE546" s="7"/>
      <c r="GF546" s="7"/>
      <c r="GG546" s="7"/>
      <c r="GH546" s="7"/>
      <c r="GI546" s="7"/>
      <c r="GJ546" s="7"/>
      <c r="GK546" s="7"/>
      <c r="GL546" s="7"/>
      <c r="GM546" s="7"/>
      <c r="GN546" s="7"/>
      <c r="GO546" s="7"/>
      <c r="GP546" s="7"/>
      <c r="GQ546" s="7"/>
      <c r="GR546" s="7"/>
      <c r="GS546" s="7"/>
      <c r="GT546" s="7"/>
      <c r="GU546" s="7"/>
      <c r="GV546" s="7"/>
      <c r="GW546" s="7"/>
      <c r="GX546" s="7"/>
      <c r="GY546" s="7"/>
      <c r="GZ546" s="7"/>
      <c r="HA546" s="7"/>
      <c r="HB546" s="7"/>
    </row>
    <row r="547" customFormat="false" ht="1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c r="DA547" s="7"/>
      <c r="DB547" s="7"/>
      <c r="DC547" s="7"/>
      <c r="DD547" s="7"/>
      <c r="DE547" s="7"/>
      <c r="DF547" s="7"/>
      <c r="DG547" s="7"/>
      <c r="DH547" s="7"/>
      <c r="DI547" s="7"/>
      <c r="DJ547" s="7"/>
      <c r="DK547" s="7"/>
      <c r="DL547" s="7"/>
      <c r="DM547" s="7"/>
      <c r="DN547" s="7"/>
      <c r="DO547" s="7"/>
      <c r="DP547" s="7"/>
      <c r="DQ547" s="7"/>
      <c r="DR547" s="7"/>
      <c r="DS547" s="7"/>
      <c r="DT547" s="7"/>
      <c r="DU547" s="7"/>
      <c r="DV547" s="7"/>
      <c r="DW547" s="7"/>
      <c r="DX547" s="7"/>
      <c r="DY547" s="7"/>
      <c r="DZ547" s="7"/>
      <c r="EA547" s="7"/>
      <c r="EB547" s="7"/>
      <c r="EC547" s="7"/>
      <c r="ED547" s="7"/>
      <c r="EE547" s="7"/>
      <c r="EF547" s="7"/>
      <c r="EG547" s="7"/>
      <c r="EH547" s="7"/>
      <c r="EI547" s="7"/>
      <c r="EJ547" s="7"/>
      <c r="EK547" s="7"/>
      <c r="EL547" s="7"/>
      <c r="EM547" s="7"/>
      <c r="EN547" s="7"/>
      <c r="EO547" s="7"/>
      <c r="EP547" s="7"/>
      <c r="EQ547" s="7"/>
      <c r="ER547" s="7"/>
      <c r="ES547" s="7"/>
      <c r="ET547" s="7"/>
      <c r="EU547" s="7"/>
      <c r="EV547" s="7"/>
      <c r="EW547" s="7"/>
      <c r="EX547" s="7"/>
      <c r="EY547" s="7"/>
      <c r="EZ547" s="7"/>
      <c r="FA547" s="7"/>
      <c r="FB547" s="7"/>
      <c r="FC547" s="7"/>
      <c r="FD547" s="7"/>
      <c r="FE547" s="7"/>
      <c r="FF547" s="7"/>
      <c r="FG547" s="7"/>
      <c r="FH547" s="7"/>
      <c r="FI547" s="7"/>
      <c r="FJ547" s="7"/>
      <c r="FK547" s="7"/>
      <c r="FL547" s="7"/>
      <c r="FM547" s="7"/>
      <c r="FN547" s="7"/>
      <c r="FO547" s="7"/>
      <c r="FP547" s="7"/>
      <c r="FQ547" s="7"/>
      <c r="FR547" s="7"/>
      <c r="FS547" s="7"/>
      <c r="FT547" s="7"/>
      <c r="FU547" s="7"/>
      <c r="FV547" s="7"/>
      <c r="FW547" s="7"/>
      <c r="FX547" s="7"/>
      <c r="FY547" s="7"/>
      <c r="FZ547" s="7"/>
      <c r="GA547" s="7"/>
      <c r="GB547" s="7"/>
      <c r="GC547" s="7"/>
      <c r="GD547" s="7"/>
      <c r="GE547" s="7"/>
      <c r="GF547" s="7"/>
      <c r="GG547" s="7"/>
      <c r="GH547" s="7"/>
      <c r="GI547" s="7"/>
      <c r="GJ547" s="7"/>
      <c r="GK547" s="7"/>
      <c r="GL547" s="7"/>
      <c r="GM547" s="7"/>
      <c r="GN547" s="7"/>
      <c r="GO547" s="7"/>
      <c r="GP547" s="7"/>
      <c r="GQ547" s="7"/>
      <c r="GR547" s="7"/>
      <c r="GS547" s="7"/>
      <c r="GT547" s="7"/>
      <c r="GU547" s="7"/>
      <c r="GV547" s="7"/>
      <c r="GW547" s="7"/>
      <c r="GX547" s="7"/>
      <c r="GY547" s="7"/>
      <c r="GZ547" s="7"/>
      <c r="HA547" s="7"/>
      <c r="HB547" s="7"/>
    </row>
    <row r="548" customFormat="false" ht="1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c r="DA548" s="7"/>
      <c r="DB548" s="7"/>
      <c r="DC548" s="7"/>
      <c r="DD548" s="7"/>
      <c r="DE548" s="7"/>
      <c r="DF548" s="7"/>
      <c r="DG548" s="7"/>
      <c r="DH548" s="7"/>
      <c r="DI548" s="7"/>
      <c r="DJ548" s="7"/>
      <c r="DK548" s="7"/>
      <c r="DL548" s="7"/>
      <c r="DM548" s="7"/>
      <c r="DN548" s="7"/>
      <c r="DO548" s="7"/>
      <c r="DP548" s="7"/>
      <c r="DQ548" s="7"/>
      <c r="DR548" s="7"/>
      <c r="DS548" s="7"/>
      <c r="DT548" s="7"/>
      <c r="DU548" s="7"/>
      <c r="DV548" s="7"/>
      <c r="DW548" s="7"/>
      <c r="DX548" s="7"/>
      <c r="DY548" s="7"/>
      <c r="DZ548" s="7"/>
      <c r="EA548" s="7"/>
      <c r="EB548" s="7"/>
      <c r="EC548" s="7"/>
      <c r="ED548" s="7"/>
      <c r="EE548" s="7"/>
      <c r="EF548" s="7"/>
      <c r="EG548" s="7"/>
      <c r="EH548" s="7"/>
      <c r="EI548" s="7"/>
      <c r="EJ548" s="7"/>
      <c r="EK548" s="7"/>
      <c r="EL548" s="7"/>
      <c r="EM548" s="7"/>
      <c r="EN548" s="7"/>
      <c r="EO548" s="7"/>
      <c r="EP548" s="7"/>
      <c r="EQ548" s="7"/>
      <c r="ER548" s="7"/>
      <c r="ES548" s="7"/>
      <c r="ET548" s="7"/>
      <c r="EU548" s="7"/>
      <c r="EV548" s="7"/>
      <c r="EW548" s="7"/>
      <c r="EX548" s="7"/>
      <c r="EY548" s="7"/>
      <c r="EZ548" s="7"/>
      <c r="FA548" s="7"/>
      <c r="FB548" s="7"/>
      <c r="FC548" s="7"/>
      <c r="FD548" s="7"/>
      <c r="FE548" s="7"/>
      <c r="FF548" s="7"/>
      <c r="FG548" s="7"/>
      <c r="FH548" s="7"/>
      <c r="FI548" s="7"/>
      <c r="FJ548" s="7"/>
      <c r="FK548" s="7"/>
      <c r="FL548" s="7"/>
      <c r="FM548" s="7"/>
      <c r="FN548" s="7"/>
      <c r="FO548" s="7"/>
      <c r="FP548" s="7"/>
      <c r="FQ548" s="7"/>
      <c r="FR548" s="7"/>
      <c r="FS548" s="7"/>
      <c r="FT548" s="7"/>
      <c r="FU548" s="7"/>
      <c r="FV548" s="7"/>
      <c r="FW548" s="7"/>
      <c r="FX548" s="7"/>
      <c r="FY548" s="7"/>
      <c r="FZ548" s="7"/>
      <c r="GA548" s="7"/>
      <c r="GB548" s="7"/>
      <c r="GC548" s="7"/>
      <c r="GD548" s="7"/>
      <c r="GE548" s="7"/>
      <c r="GF548" s="7"/>
      <c r="GG548" s="7"/>
      <c r="GH548" s="7"/>
      <c r="GI548" s="7"/>
      <c r="GJ548" s="7"/>
      <c r="GK548" s="7"/>
      <c r="GL548" s="7"/>
      <c r="GM548" s="7"/>
      <c r="GN548" s="7"/>
      <c r="GO548" s="7"/>
      <c r="GP548" s="7"/>
      <c r="GQ548" s="7"/>
      <c r="GR548" s="7"/>
      <c r="GS548" s="7"/>
      <c r="GT548" s="7"/>
      <c r="GU548" s="7"/>
      <c r="GV548" s="7"/>
      <c r="GW548" s="7"/>
      <c r="GX548" s="7"/>
      <c r="GY548" s="7"/>
      <c r="GZ548" s="7"/>
      <c r="HA548" s="7"/>
      <c r="HB548" s="7"/>
    </row>
    <row r="549" customFormat="false" ht="1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c r="DA549" s="7"/>
      <c r="DB549" s="7"/>
      <c r="DC549" s="7"/>
      <c r="DD549" s="7"/>
      <c r="DE549" s="7"/>
      <c r="DF549" s="7"/>
      <c r="DG549" s="7"/>
      <c r="DH549" s="7"/>
      <c r="DI549" s="7"/>
      <c r="DJ549" s="7"/>
      <c r="DK549" s="7"/>
      <c r="DL549" s="7"/>
      <c r="DM549" s="7"/>
      <c r="DN549" s="7"/>
      <c r="DO549" s="7"/>
      <c r="DP549" s="7"/>
      <c r="DQ549" s="7"/>
      <c r="DR549" s="7"/>
      <c r="DS549" s="7"/>
      <c r="DT549" s="7"/>
      <c r="DU549" s="7"/>
      <c r="DV549" s="7"/>
      <c r="DW549" s="7"/>
      <c r="DX549" s="7"/>
      <c r="DY549" s="7"/>
      <c r="DZ549" s="7"/>
      <c r="EA549" s="7"/>
      <c r="EB549" s="7"/>
      <c r="EC549" s="7"/>
      <c r="ED549" s="7"/>
      <c r="EE549" s="7"/>
      <c r="EF549" s="7"/>
      <c r="EG549" s="7"/>
      <c r="EH549" s="7"/>
      <c r="EI549" s="7"/>
      <c r="EJ549" s="7"/>
      <c r="EK549" s="7"/>
      <c r="EL549" s="7"/>
      <c r="EM549" s="7"/>
      <c r="EN549" s="7"/>
      <c r="EO549" s="7"/>
      <c r="EP549" s="7"/>
      <c r="EQ549" s="7"/>
      <c r="ER549" s="7"/>
      <c r="ES549" s="7"/>
      <c r="ET549" s="7"/>
      <c r="EU549" s="7"/>
      <c r="EV549" s="7"/>
      <c r="EW549" s="7"/>
      <c r="EX549" s="7"/>
      <c r="EY549" s="7"/>
      <c r="EZ549" s="7"/>
      <c r="FA549" s="7"/>
      <c r="FB549" s="7"/>
      <c r="FC549" s="7"/>
      <c r="FD549" s="7"/>
      <c r="FE549" s="7"/>
      <c r="FF549" s="7"/>
      <c r="FG549" s="7"/>
      <c r="FH549" s="7"/>
      <c r="FI549" s="7"/>
      <c r="FJ549" s="7"/>
      <c r="FK549" s="7"/>
      <c r="FL549" s="7"/>
      <c r="FM549" s="7"/>
      <c r="FN549" s="7"/>
      <c r="FO549" s="7"/>
      <c r="FP549" s="7"/>
      <c r="FQ549" s="7"/>
      <c r="FR549" s="7"/>
      <c r="FS549" s="7"/>
      <c r="FT549" s="7"/>
      <c r="FU549" s="7"/>
      <c r="FV549" s="7"/>
      <c r="FW549" s="7"/>
      <c r="FX549" s="7"/>
      <c r="FY549" s="7"/>
      <c r="FZ549" s="7"/>
      <c r="GA549" s="7"/>
      <c r="GB549" s="7"/>
      <c r="GC549" s="7"/>
      <c r="GD549" s="7"/>
      <c r="GE549" s="7"/>
      <c r="GF549" s="7"/>
      <c r="GG549" s="7"/>
      <c r="GH549" s="7"/>
      <c r="GI549" s="7"/>
      <c r="GJ549" s="7"/>
      <c r="GK549" s="7"/>
      <c r="GL549" s="7"/>
      <c r="GM549" s="7"/>
      <c r="GN549" s="7"/>
      <c r="GO549" s="7"/>
      <c r="GP549" s="7"/>
      <c r="GQ549" s="7"/>
      <c r="GR549" s="7"/>
      <c r="GS549" s="7"/>
      <c r="GT549" s="7"/>
      <c r="GU549" s="7"/>
      <c r="GV549" s="7"/>
      <c r="GW549" s="7"/>
      <c r="GX549" s="7"/>
      <c r="GY549" s="7"/>
      <c r="GZ549" s="7"/>
      <c r="HA549" s="7"/>
      <c r="HB549" s="7"/>
    </row>
    <row r="550" customFormat="false" ht="1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c r="DA550" s="7"/>
      <c r="DB550" s="7"/>
      <c r="DC550" s="7"/>
      <c r="DD550" s="7"/>
      <c r="DE550" s="7"/>
      <c r="DF550" s="7"/>
      <c r="DG550" s="7"/>
      <c r="DH550" s="7"/>
      <c r="DI550" s="7"/>
      <c r="DJ550" s="7"/>
      <c r="DK550" s="7"/>
      <c r="DL550" s="7"/>
      <c r="DM550" s="7"/>
      <c r="DN550" s="7"/>
      <c r="DO550" s="7"/>
      <c r="DP550" s="7"/>
      <c r="DQ550" s="7"/>
      <c r="DR550" s="7"/>
      <c r="DS550" s="7"/>
      <c r="DT550" s="7"/>
      <c r="DU550" s="7"/>
      <c r="DV550" s="7"/>
      <c r="DW550" s="7"/>
      <c r="DX550" s="7"/>
      <c r="DY550" s="7"/>
      <c r="DZ550" s="7"/>
      <c r="EA550" s="7"/>
      <c r="EB550" s="7"/>
      <c r="EC550" s="7"/>
      <c r="ED550" s="7"/>
      <c r="EE550" s="7"/>
      <c r="EF550" s="7"/>
      <c r="EG550" s="7"/>
      <c r="EH550" s="7"/>
      <c r="EI550" s="7"/>
      <c r="EJ550" s="7"/>
      <c r="EK550" s="7"/>
      <c r="EL550" s="7"/>
      <c r="EM550" s="7"/>
      <c r="EN550" s="7"/>
      <c r="EO550" s="7"/>
      <c r="EP550" s="7"/>
      <c r="EQ550" s="7"/>
      <c r="ER550" s="7"/>
      <c r="ES550" s="7"/>
      <c r="ET550" s="7"/>
      <c r="EU550" s="7"/>
      <c r="EV550" s="7"/>
      <c r="EW550" s="7"/>
      <c r="EX550" s="7"/>
      <c r="EY550" s="7"/>
      <c r="EZ550" s="7"/>
      <c r="FA550" s="7"/>
      <c r="FB550" s="7"/>
      <c r="FC550" s="7"/>
      <c r="FD550" s="7"/>
      <c r="FE550" s="7"/>
      <c r="FF550" s="7"/>
      <c r="FG550" s="7"/>
      <c r="FH550" s="7"/>
      <c r="FI550" s="7"/>
      <c r="FJ550" s="7"/>
      <c r="FK550" s="7"/>
      <c r="FL550" s="7"/>
      <c r="FM550" s="7"/>
      <c r="FN550" s="7"/>
      <c r="FO550" s="7"/>
      <c r="FP550" s="7"/>
      <c r="FQ550" s="7"/>
      <c r="FR550" s="7"/>
      <c r="FS550" s="7"/>
      <c r="FT550" s="7"/>
      <c r="FU550" s="7"/>
      <c r="FV550" s="7"/>
      <c r="FW550" s="7"/>
      <c r="FX550" s="7"/>
      <c r="FY550" s="7"/>
      <c r="FZ550" s="7"/>
      <c r="GA550" s="7"/>
      <c r="GB550" s="7"/>
      <c r="GC550" s="7"/>
      <c r="GD550" s="7"/>
      <c r="GE550" s="7"/>
      <c r="GF550" s="7"/>
      <c r="GG550" s="7"/>
      <c r="GH550" s="7"/>
      <c r="GI550" s="7"/>
      <c r="GJ550" s="7"/>
      <c r="GK550" s="7"/>
      <c r="GL550" s="7"/>
      <c r="GM550" s="7"/>
      <c r="GN550" s="7"/>
      <c r="GO550" s="7"/>
      <c r="GP550" s="7"/>
      <c r="GQ550" s="7"/>
      <c r="GR550" s="7"/>
      <c r="GS550" s="7"/>
      <c r="GT550" s="7"/>
      <c r="GU550" s="7"/>
      <c r="GV550" s="7"/>
      <c r="GW550" s="7"/>
      <c r="GX550" s="7"/>
      <c r="GY550" s="7"/>
      <c r="GZ550" s="7"/>
      <c r="HA550" s="7"/>
      <c r="HB550" s="7"/>
    </row>
    <row r="551" customFormat="false" ht="1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c r="DA551" s="7"/>
      <c r="DB551" s="7"/>
      <c r="DC551" s="7"/>
      <c r="DD551" s="7"/>
      <c r="DE551" s="7"/>
      <c r="DF551" s="7"/>
      <c r="DG551" s="7"/>
      <c r="DH551" s="7"/>
      <c r="DI551" s="7"/>
      <c r="DJ551" s="7"/>
      <c r="DK551" s="7"/>
      <c r="DL551" s="7"/>
      <c r="DM551" s="7"/>
      <c r="DN551" s="7"/>
      <c r="DO551" s="7"/>
      <c r="DP551" s="7"/>
      <c r="DQ551" s="7"/>
      <c r="DR551" s="7"/>
      <c r="DS551" s="7"/>
      <c r="DT551" s="7"/>
      <c r="DU551" s="7"/>
      <c r="DV551" s="7"/>
      <c r="DW551" s="7"/>
      <c r="DX551" s="7"/>
      <c r="DY551" s="7"/>
      <c r="DZ551" s="7"/>
      <c r="EA551" s="7"/>
      <c r="EB551" s="7"/>
      <c r="EC551" s="7"/>
      <c r="ED551" s="7"/>
      <c r="EE551" s="7"/>
      <c r="EF551" s="7"/>
      <c r="EG551" s="7"/>
      <c r="EH551" s="7"/>
      <c r="EI551" s="7"/>
      <c r="EJ551" s="7"/>
      <c r="EK551" s="7"/>
      <c r="EL551" s="7"/>
      <c r="EM551" s="7"/>
      <c r="EN551" s="7"/>
      <c r="EO551" s="7"/>
      <c r="EP551" s="7"/>
      <c r="EQ551" s="7"/>
      <c r="ER551" s="7"/>
      <c r="ES551" s="7"/>
      <c r="ET551" s="7"/>
      <c r="EU551" s="7"/>
      <c r="EV551" s="7"/>
      <c r="EW551" s="7"/>
      <c r="EX551" s="7"/>
      <c r="EY551" s="7"/>
      <c r="EZ551" s="7"/>
      <c r="FA551" s="7"/>
      <c r="FB551" s="7"/>
      <c r="FC551" s="7"/>
      <c r="FD551" s="7"/>
      <c r="FE551" s="7"/>
      <c r="FF551" s="7"/>
      <c r="FG551" s="7"/>
      <c r="FH551" s="7"/>
      <c r="FI551" s="7"/>
      <c r="FJ551" s="7"/>
      <c r="FK551" s="7"/>
      <c r="FL551" s="7"/>
      <c r="FM551" s="7"/>
      <c r="FN551" s="7"/>
      <c r="FO551" s="7"/>
      <c r="FP551" s="7"/>
      <c r="FQ551" s="7"/>
      <c r="FR551" s="7"/>
      <c r="FS551" s="7"/>
      <c r="FT551" s="7"/>
      <c r="FU551" s="7"/>
      <c r="FV551" s="7"/>
      <c r="FW551" s="7"/>
      <c r="FX551" s="7"/>
      <c r="FY551" s="7"/>
      <c r="FZ551" s="7"/>
      <c r="GA551" s="7"/>
      <c r="GB551" s="7"/>
      <c r="GC551" s="7"/>
      <c r="GD551" s="7"/>
      <c r="GE551" s="7"/>
      <c r="GF551" s="7"/>
      <c r="GG551" s="7"/>
      <c r="GH551" s="7"/>
      <c r="GI551" s="7"/>
      <c r="GJ551" s="7"/>
      <c r="GK551" s="7"/>
      <c r="GL551" s="7"/>
      <c r="GM551" s="7"/>
      <c r="GN551" s="7"/>
      <c r="GO551" s="7"/>
      <c r="GP551" s="7"/>
      <c r="GQ551" s="7"/>
      <c r="GR551" s="7"/>
      <c r="GS551" s="7"/>
      <c r="GT551" s="7"/>
      <c r="GU551" s="7"/>
      <c r="GV551" s="7"/>
      <c r="GW551" s="7"/>
      <c r="GX551" s="7"/>
      <c r="GY551" s="7"/>
      <c r="GZ551" s="7"/>
      <c r="HA551" s="7"/>
      <c r="HB551" s="7"/>
    </row>
    <row r="552" customFormat="false" ht="1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c r="DA552" s="7"/>
      <c r="DB552" s="7"/>
      <c r="DC552" s="7"/>
      <c r="DD552" s="7"/>
      <c r="DE552" s="7"/>
      <c r="DF552" s="7"/>
      <c r="DG552" s="7"/>
      <c r="DH552" s="7"/>
      <c r="DI552" s="7"/>
      <c r="DJ552" s="7"/>
      <c r="DK552" s="7"/>
      <c r="DL552" s="7"/>
      <c r="DM552" s="7"/>
      <c r="DN552" s="7"/>
      <c r="DO552" s="7"/>
      <c r="DP552" s="7"/>
      <c r="DQ552" s="7"/>
      <c r="DR552" s="7"/>
      <c r="DS552" s="7"/>
      <c r="DT552" s="7"/>
      <c r="DU552" s="7"/>
      <c r="DV552" s="7"/>
      <c r="DW552" s="7"/>
      <c r="DX552" s="7"/>
      <c r="DY552" s="7"/>
      <c r="DZ552" s="7"/>
      <c r="EA552" s="7"/>
      <c r="EB552" s="7"/>
      <c r="EC552" s="7"/>
      <c r="ED552" s="7"/>
      <c r="EE552" s="7"/>
      <c r="EF552" s="7"/>
      <c r="EG552" s="7"/>
      <c r="EH552" s="7"/>
      <c r="EI552" s="7"/>
      <c r="EJ552" s="7"/>
      <c r="EK552" s="7"/>
      <c r="EL552" s="7"/>
      <c r="EM552" s="7"/>
      <c r="EN552" s="7"/>
      <c r="EO552" s="7"/>
      <c r="EP552" s="7"/>
      <c r="EQ552" s="7"/>
      <c r="ER552" s="7"/>
      <c r="ES552" s="7"/>
      <c r="ET552" s="7"/>
      <c r="EU552" s="7"/>
      <c r="EV552" s="7"/>
      <c r="EW552" s="7"/>
      <c r="EX552" s="7"/>
      <c r="EY552" s="7"/>
      <c r="EZ552" s="7"/>
      <c r="FA552" s="7"/>
      <c r="FB552" s="7"/>
      <c r="FC552" s="7"/>
      <c r="FD552" s="7"/>
      <c r="FE552" s="7"/>
      <c r="FF552" s="7"/>
      <c r="FG552" s="7"/>
      <c r="FH552" s="7"/>
      <c r="FI552" s="7"/>
      <c r="FJ552" s="7"/>
      <c r="FK552" s="7"/>
      <c r="FL552" s="7"/>
      <c r="FM552" s="7"/>
      <c r="FN552" s="7"/>
      <c r="FO552" s="7"/>
      <c r="FP552" s="7"/>
      <c r="FQ552" s="7"/>
      <c r="FR552" s="7"/>
      <c r="FS552" s="7"/>
      <c r="FT552" s="7"/>
      <c r="FU552" s="7"/>
      <c r="FV552" s="7"/>
      <c r="FW552" s="7"/>
      <c r="FX552" s="7"/>
      <c r="FY552" s="7"/>
      <c r="FZ552" s="7"/>
      <c r="GA552" s="7"/>
      <c r="GB552" s="7"/>
      <c r="GC552" s="7"/>
      <c r="GD552" s="7"/>
      <c r="GE552" s="7"/>
      <c r="GF552" s="7"/>
      <c r="GG552" s="7"/>
      <c r="GH552" s="7"/>
      <c r="GI552" s="7"/>
      <c r="GJ552" s="7"/>
      <c r="GK552" s="7"/>
      <c r="GL552" s="7"/>
      <c r="GM552" s="7"/>
      <c r="GN552" s="7"/>
      <c r="GO552" s="7"/>
      <c r="GP552" s="7"/>
      <c r="GQ552" s="7"/>
      <c r="GR552" s="7"/>
      <c r="GS552" s="7"/>
      <c r="GT552" s="7"/>
      <c r="GU552" s="7"/>
      <c r="GV552" s="7"/>
      <c r="GW552" s="7"/>
      <c r="GX552" s="7"/>
      <c r="GY552" s="7"/>
      <c r="GZ552" s="7"/>
      <c r="HA552" s="7"/>
      <c r="HB552" s="7"/>
    </row>
    <row r="553" customFormat="false" ht="1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c r="DA553" s="7"/>
      <c r="DB553" s="7"/>
      <c r="DC553" s="7"/>
      <c r="DD553" s="7"/>
      <c r="DE553" s="7"/>
      <c r="DF553" s="7"/>
      <c r="DG553" s="7"/>
      <c r="DH553" s="7"/>
      <c r="DI553" s="7"/>
      <c r="DJ553" s="7"/>
      <c r="DK553" s="7"/>
      <c r="DL553" s="7"/>
      <c r="DM553" s="7"/>
      <c r="DN553" s="7"/>
      <c r="DO553" s="7"/>
      <c r="DP553" s="7"/>
      <c r="DQ553" s="7"/>
      <c r="DR553" s="7"/>
      <c r="DS553" s="7"/>
      <c r="DT553" s="7"/>
      <c r="DU553" s="7"/>
      <c r="DV553" s="7"/>
      <c r="DW553" s="7"/>
      <c r="DX553" s="7"/>
      <c r="DY553" s="7"/>
      <c r="DZ553" s="7"/>
      <c r="EA553" s="7"/>
      <c r="EB553" s="7"/>
      <c r="EC553" s="7"/>
      <c r="ED553" s="7"/>
      <c r="EE553" s="7"/>
      <c r="EF553" s="7"/>
      <c r="EG553" s="7"/>
      <c r="EH553" s="7"/>
      <c r="EI553" s="7"/>
      <c r="EJ553" s="7"/>
      <c r="EK553" s="7"/>
      <c r="EL553" s="7"/>
      <c r="EM553" s="7"/>
      <c r="EN553" s="7"/>
      <c r="EO553" s="7"/>
      <c r="EP553" s="7"/>
      <c r="EQ553" s="7"/>
      <c r="ER553" s="7"/>
      <c r="ES553" s="7"/>
      <c r="ET553" s="7"/>
      <c r="EU553" s="7"/>
      <c r="EV553" s="7"/>
      <c r="EW553" s="7"/>
      <c r="EX553" s="7"/>
      <c r="EY553" s="7"/>
      <c r="EZ553" s="7"/>
      <c r="FA553" s="7"/>
      <c r="FB553" s="7"/>
      <c r="FC553" s="7"/>
      <c r="FD553" s="7"/>
      <c r="FE553" s="7"/>
      <c r="FF553" s="7"/>
      <c r="FG553" s="7"/>
      <c r="FH553" s="7"/>
      <c r="FI553" s="7"/>
      <c r="FJ553" s="7"/>
      <c r="FK553" s="7"/>
      <c r="FL553" s="7"/>
      <c r="FM553" s="7"/>
      <c r="FN553" s="7"/>
      <c r="FO553" s="7"/>
      <c r="FP553" s="7"/>
      <c r="FQ553" s="7"/>
      <c r="FR553" s="7"/>
      <c r="FS553" s="7"/>
      <c r="FT553" s="7"/>
      <c r="FU553" s="7"/>
      <c r="FV553" s="7"/>
      <c r="FW553" s="7"/>
      <c r="FX553" s="7"/>
      <c r="FY553" s="7"/>
      <c r="FZ553" s="7"/>
      <c r="GA553" s="7"/>
      <c r="GB553" s="7"/>
      <c r="GC553" s="7"/>
      <c r="GD553" s="7"/>
      <c r="GE553" s="7"/>
      <c r="GF553" s="7"/>
      <c r="GG553" s="7"/>
      <c r="GH553" s="7"/>
      <c r="GI553" s="7"/>
      <c r="GJ553" s="7"/>
      <c r="GK553" s="7"/>
      <c r="GL553" s="7"/>
      <c r="GM553" s="7"/>
      <c r="GN553" s="7"/>
      <c r="GO553" s="7"/>
      <c r="GP553" s="7"/>
      <c r="GQ553" s="7"/>
      <c r="GR553" s="7"/>
      <c r="GS553" s="7"/>
      <c r="GT553" s="7"/>
      <c r="GU553" s="7"/>
      <c r="GV553" s="7"/>
      <c r="GW553" s="7"/>
      <c r="GX553" s="7"/>
      <c r="GY553" s="7"/>
      <c r="GZ553" s="7"/>
      <c r="HA553" s="7"/>
      <c r="HB553" s="7"/>
    </row>
    <row r="554" customFormat="false" ht="1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c r="DA554" s="7"/>
      <c r="DB554" s="7"/>
      <c r="DC554" s="7"/>
      <c r="DD554" s="7"/>
      <c r="DE554" s="7"/>
      <c r="DF554" s="7"/>
      <c r="DG554" s="7"/>
      <c r="DH554" s="7"/>
      <c r="DI554" s="7"/>
      <c r="DJ554" s="7"/>
      <c r="DK554" s="7"/>
      <c r="DL554" s="7"/>
      <c r="DM554" s="7"/>
      <c r="DN554" s="7"/>
      <c r="DO554" s="7"/>
      <c r="DP554" s="7"/>
      <c r="DQ554" s="7"/>
      <c r="DR554" s="7"/>
      <c r="DS554" s="7"/>
      <c r="DT554" s="7"/>
      <c r="DU554" s="7"/>
      <c r="DV554" s="7"/>
      <c r="DW554" s="7"/>
      <c r="DX554" s="7"/>
      <c r="DY554" s="7"/>
      <c r="DZ554" s="7"/>
      <c r="EA554" s="7"/>
      <c r="EB554" s="7"/>
      <c r="EC554" s="7"/>
      <c r="ED554" s="7"/>
      <c r="EE554" s="7"/>
      <c r="EF554" s="7"/>
      <c r="EG554" s="7"/>
      <c r="EH554" s="7"/>
      <c r="EI554" s="7"/>
      <c r="EJ554" s="7"/>
      <c r="EK554" s="7"/>
      <c r="EL554" s="7"/>
      <c r="EM554" s="7"/>
      <c r="EN554" s="7"/>
      <c r="EO554" s="7"/>
      <c r="EP554" s="7"/>
      <c r="EQ554" s="7"/>
      <c r="ER554" s="7"/>
      <c r="ES554" s="7"/>
      <c r="ET554" s="7"/>
      <c r="EU554" s="7"/>
      <c r="EV554" s="7"/>
      <c r="EW554" s="7"/>
      <c r="EX554" s="7"/>
      <c r="EY554" s="7"/>
      <c r="EZ554" s="7"/>
      <c r="FA554" s="7"/>
      <c r="FB554" s="7"/>
      <c r="FC554" s="7"/>
      <c r="FD554" s="7"/>
      <c r="FE554" s="7"/>
      <c r="FF554" s="7"/>
      <c r="FG554" s="7"/>
      <c r="FH554" s="7"/>
      <c r="FI554" s="7"/>
      <c r="FJ554" s="7"/>
      <c r="FK554" s="7"/>
      <c r="FL554" s="7"/>
      <c r="FM554" s="7"/>
      <c r="FN554" s="7"/>
      <c r="FO554" s="7"/>
      <c r="FP554" s="7"/>
      <c r="FQ554" s="7"/>
      <c r="FR554" s="7"/>
      <c r="FS554" s="7"/>
      <c r="FT554" s="7"/>
      <c r="FU554" s="7"/>
      <c r="FV554" s="7"/>
      <c r="FW554" s="7"/>
      <c r="FX554" s="7"/>
      <c r="FY554" s="7"/>
      <c r="FZ554" s="7"/>
      <c r="GA554" s="7"/>
      <c r="GB554" s="7"/>
      <c r="GC554" s="7"/>
      <c r="GD554" s="7"/>
      <c r="GE554" s="7"/>
      <c r="GF554" s="7"/>
      <c r="GG554" s="7"/>
      <c r="GH554" s="7"/>
      <c r="GI554" s="7"/>
      <c r="GJ554" s="7"/>
      <c r="GK554" s="7"/>
      <c r="GL554" s="7"/>
      <c r="GM554" s="7"/>
      <c r="GN554" s="7"/>
      <c r="GO554" s="7"/>
      <c r="GP554" s="7"/>
      <c r="GQ554" s="7"/>
      <c r="GR554" s="7"/>
      <c r="GS554" s="7"/>
      <c r="GT554" s="7"/>
      <c r="GU554" s="7"/>
      <c r="GV554" s="7"/>
      <c r="GW554" s="7"/>
      <c r="GX554" s="7"/>
      <c r="GY554" s="7"/>
      <c r="GZ554" s="7"/>
      <c r="HA554" s="7"/>
      <c r="HB554" s="7"/>
    </row>
    <row r="555" customFormat="false" ht="1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c r="DA555" s="7"/>
      <c r="DB555" s="7"/>
      <c r="DC555" s="7"/>
      <c r="DD555" s="7"/>
      <c r="DE555" s="7"/>
      <c r="DF555" s="7"/>
      <c r="DG555" s="7"/>
      <c r="DH555" s="7"/>
      <c r="DI555" s="7"/>
      <c r="DJ555" s="7"/>
      <c r="DK555" s="7"/>
      <c r="DL555" s="7"/>
      <c r="DM555" s="7"/>
      <c r="DN555" s="7"/>
      <c r="DO555" s="7"/>
      <c r="DP555" s="7"/>
      <c r="DQ555" s="7"/>
      <c r="DR555" s="7"/>
      <c r="DS555" s="7"/>
      <c r="DT555" s="7"/>
      <c r="DU555" s="7"/>
      <c r="DV555" s="7"/>
      <c r="DW555" s="7"/>
      <c r="DX555" s="7"/>
      <c r="DY555" s="7"/>
      <c r="DZ555" s="7"/>
      <c r="EA555" s="7"/>
      <c r="EB555" s="7"/>
      <c r="EC555" s="7"/>
      <c r="ED555" s="7"/>
      <c r="EE555" s="7"/>
      <c r="EF555" s="7"/>
      <c r="EG555" s="7"/>
      <c r="EH555" s="7"/>
      <c r="EI555" s="7"/>
      <c r="EJ555" s="7"/>
      <c r="EK555" s="7"/>
      <c r="EL555" s="7"/>
      <c r="EM555" s="7"/>
      <c r="EN555" s="7"/>
      <c r="EO555" s="7"/>
      <c r="EP555" s="7"/>
      <c r="EQ555" s="7"/>
      <c r="ER555" s="7"/>
      <c r="ES555" s="7"/>
      <c r="ET555" s="7"/>
      <c r="EU555" s="7"/>
      <c r="EV555" s="7"/>
      <c r="EW555" s="7"/>
      <c r="EX555" s="7"/>
      <c r="EY555" s="7"/>
      <c r="EZ555" s="7"/>
      <c r="FA555" s="7"/>
      <c r="FB555" s="7"/>
      <c r="FC555" s="7"/>
      <c r="FD555" s="7"/>
      <c r="FE555" s="7"/>
      <c r="FF555" s="7"/>
      <c r="FG555" s="7"/>
      <c r="FH555" s="7"/>
      <c r="FI555" s="7"/>
      <c r="FJ555" s="7"/>
      <c r="FK555" s="7"/>
      <c r="FL555" s="7"/>
      <c r="FM555" s="7"/>
      <c r="FN555" s="7"/>
      <c r="FO555" s="7"/>
      <c r="FP555" s="7"/>
      <c r="FQ555" s="7"/>
      <c r="FR555" s="7"/>
      <c r="FS555" s="7"/>
      <c r="FT555" s="7"/>
      <c r="FU555" s="7"/>
      <c r="FV555" s="7"/>
      <c r="FW555" s="7"/>
      <c r="FX555" s="7"/>
      <c r="FY555" s="7"/>
      <c r="FZ555" s="7"/>
      <c r="GA555" s="7"/>
      <c r="GB555" s="7"/>
      <c r="GC555" s="7"/>
      <c r="GD555" s="7"/>
      <c r="GE555" s="7"/>
      <c r="GF555" s="7"/>
      <c r="GG555" s="7"/>
      <c r="GH555" s="7"/>
      <c r="GI555" s="7"/>
      <c r="GJ555" s="7"/>
      <c r="GK555" s="7"/>
      <c r="GL555" s="7"/>
      <c r="GM555" s="7"/>
      <c r="GN555" s="7"/>
      <c r="GO555" s="7"/>
      <c r="GP555" s="7"/>
      <c r="GQ555" s="7"/>
      <c r="GR555" s="7"/>
      <c r="GS555" s="7"/>
      <c r="GT555" s="7"/>
      <c r="GU555" s="7"/>
      <c r="GV555" s="7"/>
      <c r="GW555" s="7"/>
      <c r="GX555" s="7"/>
      <c r="GY555" s="7"/>
      <c r="GZ555" s="7"/>
      <c r="HA555" s="7"/>
      <c r="HB555" s="7"/>
    </row>
    <row r="556" customFormat="false" ht="1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c r="DA556" s="7"/>
      <c r="DB556" s="7"/>
      <c r="DC556" s="7"/>
      <c r="DD556" s="7"/>
      <c r="DE556" s="7"/>
      <c r="DF556" s="7"/>
      <c r="DG556" s="7"/>
      <c r="DH556" s="7"/>
      <c r="DI556" s="7"/>
      <c r="DJ556" s="7"/>
      <c r="DK556" s="7"/>
      <c r="DL556" s="7"/>
      <c r="DM556" s="7"/>
      <c r="DN556" s="7"/>
      <c r="DO556" s="7"/>
      <c r="DP556" s="7"/>
      <c r="DQ556" s="7"/>
      <c r="DR556" s="7"/>
      <c r="DS556" s="7"/>
      <c r="DT556" s="7"/>
      <c r="DU556" s="7"/>
      <c r="DV556" s="7"/>
      <c r="DW556" s="7"/>
      <c r="DX556" s="7"/>
      <c r="DY556" s="7"/>
      <c r="DZ556" s="7"/>
      <c r="EA556" s="7"/>
      <c r="EB556" s="7"/>
      <c r="EC556" s="7"/>
      <c r="ED556" s="7"/>
      <c r="EE556" s="7"/>
      <c r="EF556" s="7"/>
      <c r="EG556" s="7"/>
      <c r="EH556" s="7"/>
      <c r="EI556" s="7"/>
      <c r="EJ556" s="7"/>
      <c r="EK556" s="7"/>
      <c r="EL556" s="7"/>
      <c r="EM556" s="7"/>
      <c r="EN556" s="7"/>
      <c r="EO556" s="7"/>
      <c r="EP556" s="7"/>
      <c r="EQ556" s="7"/>
      <c r="ER556" s="7"/>
      <c r="ES556" s="7"/>
      <c r="ET556" s="7"/>
      <c r="EU556" s="7"/>
      <c r="EV556" s="7"/>
      <c r="EW556" s="7"/>
      <c r="EX556" s="7"/>
      <c r="EY556" s="7"/>
      <c r="EZ556" s="7"/>
      <c r="FA556" s="7"/>
      <c r="FB556" s="7"/>
      <c r="FC556" s="7"/>
      <c r="FD556" s="7"/>
      <c r="FE556" s="7"/>
      <c r="FF556" s="7"/>
      <c r="FG556" s="7"/>
      <c r="FH556" s="7"/>
      <c r="FI556" s="7"/>
      <c r="FJ556" s="7"/>
      <c r="FK556" s="7"/>
      <c r="FL556" s="7"/>
      <c r="FM556" s="7"/>
      <c r="FN556" s="7"/>
      <c r="FO556" s="7"/>
      <c r="FP556" s="7"/>
      <c r="FQ556" s="7"/>
      <c r="FR556" s="7"/>
      <c r="FS556" s="7"/>
      <c r="FT556" s="7"/>
      <c r="FU556" s="7"/>
      <c r="FV556" s="7"/>
      <c r="FW556" s="7"/>
      <c r="FX556" s="7"/>
      <c r="FY556" s="7"/>
      <c r="FZ556" s="7"/>
      <c r="GA556" s="7"/>
      <c r="GB556" s="7"/>
      <c r="GC556" s="7"/>
      <c r="GD556" s="7"/>
      <c r="GE556" s="7"/>
      <c r="GF556" s="7"/>
      <c r="GG556" s="7"/>
      <c r="GH556" s="7"/>
      <c r="GI556" s="7"/>
      <c r="GJ556" s="7"/>
      <c r="GK556" s="7"/>
      <c r="GL556" s="7"/>
      <c r="GM556" s="7"/>
      <c r="GN556" s="7"/>
      <c r="GO556" s="7"/>
      <c r="GP556" s="7"/>
      <c r="GQ556" s="7"/>
      <c r="GR556" s="7"/>
      <c r="GS556" s="7"/>
      <c r="GT556" s="7"/>
      <c r="GU556" s="7"/>
      <c r="GV556" s="7"/>
      <c r="GW556" s="7"/>
      <c r="GX556" s="7"/>
      <c r="GY556" s="7"/>
      <c r="GZ556" s="7"/>
      <c r="HA556" s="7"/>
      <c r="HB556" s="7"/>
    </row>
    <row r="557" customFormat="false" ht="1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c r="DA557" s="7"/>
      <c r="DB557" s="7"/>
      <c r="DC557" s="7"/>
      <c r="DD557" s="7"/>
      <c r="DE557" s="7"/>
      <c r="DF557" s="7"/>
      <c r="DG557" s="7"/>
      <c r="DH557" s="7"/>
      <c r="DI557" s="7"/>
      <c r="DJ557" s="7"/>
      <c r="DK557" s="7"/>
      <c r="DL557" s="7"/>
      <c r="DM557" s="7"/>
      <c r="DN557" s="7"/>
      <c r="DO557" s="7"/>
      <c r="DP557" s="7"/>
      <c r="DQ557" s="7"/>
      <c r="DR557" s="7"/>
      <c r="DS557" s="7"/>
      <c r="DT557" s="7"/>
      <c r="DU557" s="7"/>
      <c r="DV557" s="7"/>
      <c r="DW557" s="7"/>
      <c r="DX557" s="7"/>
      <c r="DY557" s="7"/>
      <c r="DZ557" s="7"/>
      <c r="EA557" s="7"/>
      <c r="EB557" s="7"/>
      <c r="EC557" s="7"/>
      <c r="ED557" s="7"/>
      <c r="EE557" s="7"/>
      <c r="EF557" s="7"/>
      <c r="EG557" s="7"/>
      <c r="EH557" s="7"/>
      <c r="EI557" s="7"/>
      <c r="EJ557" s="7"/>
      <c r="EK557" s="7"/>
      <c r="EL557" s="7"/>
      <c r="EM557" s="7"/>
      <c r="EN557" s="7"/>
      <c r="EO557" s="7"/>
      <c r="EP557" s="7"/>
      <c r="EQ557" s="7"/>
      <c r="ER557" s="7"/>
      <c r="ES557" s="7"/>
      <c r="ET557" s="7"/>
      <c r="EU557" s="7"/>
      <c r="EV557" s="7"/>
      <c r="EW557" s="7"/>
      <c r="EX557" s="7"/>
      <c r="EY557" s="7"/>
      <c r="EZ557" s="7"/>
      <c r="FA557" s="7"/>
      <c r="FB557" s="7"/>
      <c r="FC557" s="7"/>
      <c r="FD557" s="7"/>
      <c r="FE557" s="7"/>
      <c r="FF557" s="7"/>
      <c r="FG557" s="7"/>
      <c r="FH557" s="7"/>
      <c r="FI557" s="7"/>
      <c r="FJ557" s="7"/>
      <c r="FK557" s="7"/>
      <c r="FL557" s="7"/>
      <c r="FM557" s="7"/>
      <c r="FN557" s="7"/>
      <c r="FO557" s="7"/>
      <c r="FP557" s="7"/>
      <c r="FQ557" s="7"/>
      <c r="FR557" s="7"/>
      <c r="FS557" s="7"/>
      <c r="FT557" s="7"/>
      <c r="FU557" s="7"/>
      <c r="FV557" s="7"/>
      <c r="FW557" s="7"/>
      <c r="FX557" s="7"/>
      <c r="FY557" s="7"/>
      <c r="FZ557" s="7"/>
      <c r="GA557" s="7"/>
      <c r="GB557" s="7"/>
      <c r="GC557" s="7"/>
      <c r="GD557" s="7"/>
      <c r="GE557" s="7"/>
      <c r="GF557" s="7"/>
      <c r="GG557" s="7"/>
      <c r="GH557" s="7"/>
      <c r="GI557" s="7"/>
      <c r="GJ557" s="7"/>
      <c r="GK557" s="7"/>
      <c r="GL557" s="7"/>
      <c r="GM557" s="7"/>
      <c r="GN557" s="7"/>
      <c r="GO557" s="7"/>
      <c r="GP557" s="7"/>
      <c r="GQ557" s="7"/>
      <c r="GR557" s="7"/>
      <c r="GS557" s="7"/>
      <c r="GT557" s="7"/>
      <c r="GU557" s="7"/>
      <c r="GV557" s="7"/>
      <c r="GW557" s="7"/>
      <c r="GX557" s="7"/>
      <c r="GY557" s="7"/>
      <c r="GZ557" s="7"/>
      <c r="HA557" s="7"/>
      <c r="HB557" s="7"/>
    </row>
    <row r="558" customFormat="false" ht="1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c r="DA558" s="7"/>
      <c r="DB558" s="7"/>
      <c r="DC558" s="7"/>
      <c r="DD558" s="7"/>
      <c r="DE558" s="7"/>
      <c r="DF558" s="7"/>
      <c r="DG558" s="7"/>
      <c r="DH558" s="7"/>
      <c r="DI558" s="7"/>
      <c r="DJ558" s="7"/>
      <c r="DK558" s="7"/>
      <c r="DL558" s="7"/>
      <c r="DM558" s="7"/>
      <c r="DN558" s="7"/>
      <c r="DO558" s="7"/>
      <c r="DP558" s="7"/>
      <c r="DQ558" s="7"/>
      <c r="DR558" s="7"/>
      <c r="DS558" s="7"/>
      <c r="DT558" s="7"/>
      <c r="DU558" s="7"/>
      <c r="DV558" s="7"/>
      <c r="DW558" s="7"/>
      <c r="DX558" s="7"/>
      <c r="DY558" s="7"/>
      <c r="DZ558" s="7"/>
      <c r="EA558" s="7"/>
      <c r="EB558" s="7"/>
      <c r="EC558" s="7"/>
      <c r="ED558" s="7"/>
      <c r="EE558" s="7"/>
      <c r="EF558" s="7"/>
      <c r="EG558" s="7"/>
      <c r="EH558" s="7"/>
      <c r="EI558" s="7"/>
      <c r="EJ558" s="7"/>
      <c r="EK558" s="7"/>
      <c r="EL558" s="7"/>
      <c r="EM558" s="7"/>
      <c r="EN558" s="7"/>
      <c r="EO558" s="7"/>
      <c r="EP558" s="7"/>
      <c r="EQ558" s="7"/>
      <c r="ER558" s="7"/>
      <c r="ES558" s="7"/>
      <c r="ET558" s="7"/>
      <c r="EU558" s="7"/>
      <c r="EV558" s="7"/>
      <c r="EW558" s="7"/>
      <c r="EX558" s="7"/>
      <c r="EY558" s="7"/>
      <c r="EZ558" s="7"/>
      <c r="FA558" s="7"/>
      <c r="FB558" s="7"/>
      <c r="FC558" s="7"/>
      <c r="FD558" s="7"/>
      <c r="FE558" s="7"/>
      <c r="FF558" s="7"/>
      <c r="FG558" s="7"/>
      <c r="FH558" s="7"/>
      <c r="FI558" s="7"/>
      <c r="FJ558" s="7"/>
      <c r="FK558" s="7"/>
      <c r="FL558" s="7"/>
      <c r="FM558" s="7"/>
      <c r="FN558" s="7"/>
      <c r="FO558" s="7"/>
      <c r="FP558" s="7"/>
      <c r="FQ558" s="7"/>
      <c r="FR558" s="7"/>
      <c r="FS558" s="7"/>
      <c r="FT558" s="7"/>
      <c r="FU558" s="7"/>
      <c r="FV558" s="7"/>
      <c r="FW558" s="7"/>
      <c r="FX558" s="7"/>
      <c r="FY558" s="7"/>
      <c r="FZ558" s="7"/>
      <c r="GA558" s="7"/>
      <c r="GB558" s="7"/>
      <c r="GC558" s="7"/>
      <c r="GD558" s="7"/>
      <c r="GE558" s="7"/>
      <c r="GF558" s="7"/>
      <c r="GG558" s="7"/>
      <c r="GH558" s="7"/>
      <c r="GI558" s="7"/>
      <c r="GJ558" s="7"/>
      <c r="GK558" s="7"/>
      <c r="GL558" s="7"/>
      <c r="GM558" s="7"/>
      <c r="GN558" s="7"/>
      <c r="GO558" s="7"/>
      <c r="GP558" s="7"/>
      <c r="GQ558" s="7"/>
      <c r="GR558" s="7"/>
      <c r="GS558" s="7"/>
      <c r="GT558" s="7"/>
      <c r="GU558" s="7"/>
      <c r="GV558" s="7"/>
      <c r="GW558" s="7"/>
      <c r="GX558" s="7"/>
      <c r="GY558" s="7"/>
      <c r="GZ558" s="7"/>
      <c r="HA558" s="7"/>
      <c r="HB558" s="7"/>
    </row>
    <row r="559" customFormat="false" ht="1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c r="DA559" s="7"/>
      <c r="DB559" s="7"/>
      <c r="DC559" s="7"/>
      <c r="DD559" s="7"/>
      <c r="DE559" s="7"/>
      <c r="DF559" s="7"/>
      <c r="DG559" s="7"/>
      <c r="DH559" s="7"/>
      <c r="DI559" s="7"/>
      <c r="DJ559" s="7"/>
      <c r="DK559" s="7"/>
      <c r="DL559" s="7"/>
      <c r="DM559" s="7"/>
      <c r="DN559" s="7"/>
      <c r="DO559" s="7"/>
      <c r="DP559" s="7"/>
      <c r="DQ559" s="7"/>
      <c r="DR559" s="7"/>
      <c r="DS559" s="7"/>
      <c r="DT559" s="7"/>
      <c r="DU559" s="7"/>
      <c r="DV559" s="7"/>
      <c r="DW559" s="7"/>
      <c r="DX559" s="7"/>
      <c r="DY559" s="7"/>
      <c r="DZ559" s="7"/>
      <c r="EA559" s="7"/>
      <c r="EB559" s="7"/>
      <c r="EC559" s="7"/>
      <c r="ED559" s="7"/>
      <c r="EE559" s="7"/>
      <c r="EF559" s="7"/>
      <c r="EG559" s="7"/>
      <c r="EH559" s="7"/>
      <c r="EI559" s="7"/>
      <c r="EJ559" s="7"/>
      <c r="EK559" s="7"/>
      <c r="EL559" s="7"/>
      <c r="EM559" s="7"/>
      <c r="EN559" s="7"/>
      <c r="EO559" s="7"/>
      <c r="EP559" s="7"/>
      <c r="EQ559" s="7"/>
      <c r="ER559" s="7"/>
      <c r="ES559" s="7"/>
      <c r="ET559" s="7"/>
      <c r="EU559" s="7"/>
      <c r="EV559" s="7"/>
      <c r="EW559" s="7"/>
      <c r="EX559" s="7"/>
      <c r="EY559" s="7"/>
      <c r="EZ559" s="7"/>
      <c r="FA559" s="7"/>
      <c r="FB559" s="7"/>
      <c r="FC559" s="7"/>
      <c r="FD559" s="7"/>
      <c r="FE559" s="7"/>
      <c r="FF559" s="7"/>
      <c r="FG559" s="7"/>
      <c r="FH559" s="7"/>
      <c r="FI559" s="7"/>
      <c r="FJ559" s="7"/>
      <c r="FK559" s="7"/>
      <c r="FL559" s="7"/>
      <c r="FM559" s="7"/>
      <c r="FN559" s="7"/>
      <c r="FO559" s="7"/>
      <c r="FP559" s="7"/>
      <c r="FQ559" s="7"/>
      <c r="FR559" s="7"/>
      <c r="FS559" s="7"/>
      <c r="FT559" s="7"/>
      <c r="FU559" s="7"/>
      <c r="FV559" s="7"/>
      <c r="FW559" s="7"/>
      <c r="FX559" s="7"/>
      <c r="FY559" s="7"/>
      <c r="FZ559" s="7"/>
      <c r="GA559" s="7"/>
      <c r="GB559" s="7"/>
      <c r="GC559" s="7"/>
      <c r="GD559" s="7"/>
      <c r="GE559" s="7"/>
      <c r="GF559" s="7"/>
      <c r="GG559" s="7"/>
      <c r="GH559" s="7"/>
      <c r="GI559" s="7"/>
      <c r="GJ559" s="7"/>
      <c r="GK559" s="7"/>
      <c r="GL559" s="7"/>
      <c r="GM559" s="7"/>
      <c r="GN559" s="7"/>
      <c r="GO559" s="7"/>
      <c r="GP559" s="7"/>
      <c r="GQ559" s="7"/>
      <c r="GR559" s="7"/>
      <c r="GS559" s="7"/>
      <c r="GT559" s="7"/>
      <c r="GU559" s="7"/>
      <c r="GV559" s="7"/>
      <c r="GW559" s="7"/>
      <c r="GX559" s="7"/>
      <c r="GY559" s="7"/>
      <c r="GZ559" s="7"/>
      <c r="HA559" s="7"/>
      <c r="HB559" s="7"/>
    </row>
    <row r="560" customFormat="false" ht="1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c r="DA560" s="7"/>
      <c r="DB560" s="7"/>
      <c r="DC560" s="7"/>
      <c r="DD560" s="7"/>
      <c r="DE560" s="7"/>
      <c r="DF560" s="7"/>
      <c r="DG560" s="7"/>
      <c r="DH560" s="7"/>
      <c r="DI560" s="7"/>
      <c r="DJ560" s="7"/>
      <c r="DK560" s="7"/>
      <c r="DL560" s="7"/>
      <c r="DM560" s="7"/>
      <c r="DN560" s="7"/>
      <c r="DO560" s="7"/>
      <c r="DP560" s="7"/>
      <c r="DQ560" s="7"/>
      <c r="DR560" s="7"/>
      <c r="DS560" s="7"/>
      <c r="DT560" s="7"/>
      <c r="DU560" s="7"/>
      <c r="DV560" s="7"/>
      <c r="DW560" s="7"/>
      <c r="DX560" s="7"/>
      <c r="DY560" s="7"/>
      <c r="DZ560" s="7"/>
      <c r="EA560" s="7"/>
      <c r="EB560" s="7"/>
      <c r="EC560" s="7"/>
      <c r="ED560" s="7"/>
      <c r="EE560" s="7"/>
      <c r="EF560" s="7"/>
      <c r="EG560" s="7"/>
      <c r="EH560" s="7"/>
      <c r="EI560" s="7"/>
      <c r="EJ560" s="7"/>
      <c r="EK560" s="7"/>
      <c r="EL560" s="7"/>
      <c r="EM560" s="7"/>
      <c r="EN560" s="7"/>
      <c r="EO560" s="7"/>
      <c r="EP560" s="7"/>
      <c r="EQ560" s="7"/>
      <c r="ER560" s="7"/>
      <c r="ES560" s="7"/>
      <c r="ET560" s="7"/>
      <c r="EU560" s="7"/>
      <c r="EV560" s="7"/>
      <c r="EW560" s="7"/>
      <c r="EX560" s="7"/>
      <c r="EY560" s="7"/>
      <c r="EZ560" s="7"/>
      <c r="FA560" s="7"/>
      <c r="FB560" s="7"/>
      <c r="FC560" s="7"/>
      <c r="FD560" s="7"/>
      <c r="FE560" s="7"/>
      <c r="FF560" s="7"/>
      <c r="FG560" s="7"/>
      <c r="FH560" s="7"/>
      <c r="FI560" s="7"/>
      <c r="FJ560" s="7"/>
      <c r="FK560" s="7"/>
      <c r="FL560" s="7"/>
      <c r="FM560" s="7"/>
      <c r="FN560" s="7"/>
      <c r="FO560" s="7"/>
      <c r="FP560" s="7"/>
      <c r="FQ560" s="7"/>
      <c r="FR560" s="7"/>
      <c r="FS560" s="7"/>
      <c r="FT560" s="7"/>
      <c r="FU560" s="7"/>
      <c r="FV560" s="7"/>
      <c r="FW560" s="7"/>
      <c r="FX560" s="7"/>
      <c r="FY560" s="7"/>
      <c r="FZ560" s="7"/>
      <c r="GA560" s="7"/>
      <c r="GB560" s="7"/>
      <c r="GC560" s="7"/>
      <c r="GD560" s="7"/>
      <c r="GE560" s="7"/>
      <c r="GF560" s="7"/>
      <c r="GG560" s="7"/>
      <c r="GH560" s="7"/>
      <c r="GI560" s="7"/>
      <c r="GJ560" s="7"/>
      <c r="GK560" s="7"/>
      <c r="GL560" s="7"/>
      <c r="GM560" s="7"/>
      <c r="GN560" s="7"/>
      <c r="GO560" s="7"/>
      <c r="GP560" s="7"/>
      <c r="GQ560" s="7"/>
      <c r="GR560" s="7"/>
      <c r="GS560" s="7"/>
      <c r="GT560" s="7"/>
      <c r="GU560" s="7"/>
      <c r="GV560" s="7"/>
      <c r="GW560" s="7"/>
      <c r="GX560" s="7"/>
      <c r="GY560" s="7"/>
      <c r="GZ560" s="7"/>
      <c r="HA560" s="7"/>
      <c r="HB560" s="7"/>
    </row>
    <row r="561" customFormat="false" ht="1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c r="DA561" s="7"/>
      <c r="DB561" s="7"/>
      <c r="DC561" s="7"/>
      <c r="DD561" s="7"/>
      <c r="DE561" s="7"/>
      <c r="DF561" s="7"/>
      <c r="DG561" s="7"/>
      <c r="DH561" s="7"/>
      <c r="DI561" s="7"/>
      <c r="DJ561" s="7"/>
      <c r="DK561" s="7"/>
      <c r="DL561" s="7"/>
      <c r="DM561" s="7"/>
      <c r="DN561" s="7"/>
      <c r="DO561" s="7"/>
      <c r="DP561" s="7"/>
      <c r="DQ561" s="7"/>
      <c r="DR561" s="7"/>
      <c r="DS561" s="7"/>
      <c r="DT561" s="7"/>
      <c r="DU561" s="7"/>
      <c r="DV561" s="7"/>
      <c r="DW561" s="7"/>
      <c r="DX561" s="7"/>
      <c r="DY561" s="7"/>
      <c r="DZ561" s="7"/>
      <c r="EA561" s="7"/>
      <c r="EB561" s="7"/>
      <c r="EC561" s="7"/>
      <c r="ED561" s="7"/>
      <c r="EE561" s="7"/>
      <c r="EF561" s="7"/>
      <c r="EG561" s="7"/>
      <c r="EH561" s="7"/>
      <c r="EI561" s="7"/>
      <c r="EJ561" s="7"/>
      <c r="EK561" s="7"/>
      <c r="EL561" s="7"/>
      <c r="EM561" s="7"/>
      <c r="EN561" s="7"/>
      <c r="EO561" s="7"/>
      <c r="EP561" s="7"/>
      <c r="EQ561" s="7"/>
      <c r="ER561" s="7"/>
      <c r="ES561" s="7"/>
      <c r="ET561" s="7"/>
      <c r="EU561" s="7"/>
      <c r="EV561" s="7"/>
      <c r="EW561" s="7"/>
      <c r="EX561" s="7"/>
      <c r="EY561" s="7"/>
      <c r="EZ561" s="7"/>
      <c r="FA561" s="7"/>
      <c r="FB561" s="7"/>
      <c r="FC561" s="7"/>
      <c r="FD561" s="7"/>
      <c r="FE561" s="7"/>
      <c r="FF561" s="7"/>
      <c r="FG561" s="7"/>
      <c r="FH561" s="7"/>
      <c r="FI561" s="7"/>
      <c r="FJ561" s="7"/>
      <c r="FK561" s="7"/>
      <c r="FL561" s="7"/>
      <c r="FM561" s="7"/>
      <c r="FN561" s="7"/>
      <c r="FO561" s="7"/>
      <c r="FP561" s="7"/>
      <c r="FQ561" s="7"/>
      <c r="FR561" s="7"/>
      <c r="FS561" s="7"/>
      <c r="FT561" s="7"/>
      <c r="FU561" s="7"/>
      <c r="FV561" s="7"/>
      <c r="FW561" s="7"/>
      <c r="FX561" s="7"/>
      <c r="FY561" s="7"/>
      <c r="FZ561" s="7"/>
      <c r="GA561" s="7"/>
      <c r="GB561" s="7"/>
      <c r="GC561" s="7"/>
      <c r="GD561" s="7"/>
      <c r="GE561" s="7"/>
      <c r="GF561" s="7"/>
      <c r="GG561" s="7"/>
      <c r="GH561" s="7"/>
      <c r="GI561" s="7"/>
      <c r="GJ561" s="7"/>
      <c r="GK561" s="7"/>
      <c r="GL561" s="7"/>
      <c r="GM561" s="7"/>
      <c r="GN561" s="7"/>
      <c r="GO561" s="7"/>
      <c r="GP561" s="7"/>
      <c r="GQ561" s="7"/>
      <c r="GR561" s="7"/>
      <c r="GS561" s="7"/>
      <c r="GT561" s="7"/>
      <c r="GU561" s="7"/>
      <c r="GV561" s="7"/>
      <c r="GW561" s="7"/>
      <c r="GX561" s="7"/>
      <c r="GY561" s="7"/>
      <c r="GZ561" s="7"/>
      <c r="HA561" s="7"/>
      <c r="HB561" s="7"/>
    </row>
    <row r="562" customFormat="false" ht="1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c r="DA562" s="7"/>
      <c r="DB562" s="7"/>
      <c r="DC562" s="7"/>
      <c r="DD562" s="7"/>
      <c r="DE562" s="7"/>
      <c r="DF562" s="7"/>
      <c r="DG562" s="7"/>
      <c r="DH562" s="7"/>
      <c r="DI562" s="7"/>
      <c r="DJ562" s="7"/>
      <c r="DK562" s="7"/>
      <c r="DL562" s="7"/>
      <c r="DM562" s="7"/>
      <c r="DN562" s="7"/>
      <c r="DO562" s="7"/>
      <c r="DP562" s="7"/>
      <c r="DQ562" s="7"/>
      <c r="DR562" s="7"/>
      <c r="DS562" s="7"/>
      <c r="DT562" s="7"/>
      <c r="DU562" s="7"/>
      <c r="DV562" s="7"/>
      <c r="DW562" s="7"/>
      <c r="DX562" s="7"/>
      <c r="DY562" s="7"/>
      <c r="DZ562" s="7"/>
      <c r="EA562" s="7"/>
      <c r="EB562" s="7"/>
      <c r="EC562" s="7"/>
      <c r="ED562" s="7"/>
      <c r="EE562" s="7"/>
      <c r="EF562" s="7"/>
      <c r="EG562" s="7"/>
      <c r="EH562" s="7"/>
      <c r="EI562" s="7"/>
      <c r="EJ562" s="7"/>
      <c r="EK562" s="7"/>
      <c r="EL562" s="7"/>
      <c r="EM562" s="7"/>
      <c r="EN562" s="7"/>
      <c r="EO562" s="7"/>
      <c r="EP562" s="7"/>
      <c r="EQ562" s="7"/>
      <c r="ER562" s="7"/>
      <c r="ES562" s="7"/>
      <c r="ET562" s="7"/>
      <c r="EU562" s="7"/>
      <c r="EV562" s="7"/>
      <c r="EW562" s="7"/>
      <c r="EX562" s="7"/>
      <c r="EY562" s="7"/>
      <c r="EZ562" s="7"/>
      <c r="FA562" s="7"/>
      <c r="FB562" s="7"/>
      <c r="FC562" s="7"/>
      <c r="FD562" s="7"/>
      <c r="FE562" s="7"/>
      <c r="FF562" s="7"/>
      <c r="FG562" s="7"/>
      <c r="FH562" s="7"/>
      <c r="FI562" s="7"/>
      <c r="FJ562" s="7"/>
      <c r="FK562" s="7"/>
      <c r="FL562" s="7"/>
      <c r="FM562" s="7"/>
      <c r="FN562" s="7"/>
      <c r="FO562" s="7"/>
      <c r="FP562" s="7"/>
      <c r="FQ562" s="7"/>
      <c r="FR562" s="7"/>
      <c r="FS562" s="7"/>
      <c r="FT562" s="7"/>
      <c r="FU562" s="7"/>
      <c r="FV562" s="7"/>
      <c r="FW562" s="7"/>
      <c r="FX562" s="7"/>
      <c r="FY562" s="7"/>
      <c r="FZ562" s="7"/>
      <c r="GA562" s="7"/>
      <c r="GB562" s="7"/>
      <c r="GC562" s="7"/>
      <c r="GD562" s="7"/>
      <c r="GE562" s="7"/>
      <c r="GF562" s="7"/>
      <c r="GG562" s="7"/>
      <c r="GH562" s="7"/>
      <c r="GI562" s="7"/>
      <c r="GJ562" s="7"/>
      <c r="GK562" s="7"/>
      <c r="GL562" s="7"/>
      <c r="GM562" s="7"/>
      <c r="GN562" s="7"/>
      <c r="GO562" s="7"/>
      <c r="GP562" s="7"/>
      <c r="GQ562" s="7"/>
      <c r="GR562" s="7"/>
      <c r="GS562" s="7"/>
      <c r="GT562" s="7"/>
      <c r="GU562" s="7"/>
      <c r="GV562" s="7"/>
      <c r="GW562" s="7"/>
      <c r="GX562" s="7"/>
      <c r="GY562" s="7"/>
      <c r="GZ562" s="7"/>
      <c r="HA562" s="7"/>
      <c r="HB562" s="7"/>
    </row>
    <row r="563" customFormat="false" ht="1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c r="DA563" s="7"/>
      <c r="DB563" s="7"/>
      <c r="DC563" s="7"/>
      <c r="DD563" s="7"/>
      <c r="DE563" s="7"/>
      <c r="DF563" s="7"/>
      <c r="DG563" s="7"/>
      <c r="DH563" s="7"/>
      <c r="DI563" s="7"/>
      <c r="DJ563" s="7"/>
      <c r="DK563" s="7"/>
      <c r="DL563" s="7"/>
      <c r="DM563" s="7"/>
      <c r="DN563" s="7"/>
      <c r="DO563" s="7"/>
      <c r="DP563" s="7"/>
      <c r="DQ563" s="7"/>
      <c r="DR563" s="7"/>
      <c r="DS563" s="7"/>
      <c r="DT563" s="7"/>
      <c r="DU563" s="7"/>
      <c r="DV563" s="7"/>
      <c r="DW563" s="7"/>
      <c r="DX563" s="7"/>
      <c r="DY563" s="7"/>
      <c r="DZ563" s="7"/>
      <c r="EA563" s="7"/>
      <c r="EB563" s="7"/>
      <c r="EC563" s="7"/>
      <c r="ED563" s="7"/>
      <c r="EE563" s="7"/>
      <c r="EF563" s="7"/>
      <c r="EG563" s="7"/>
      <c r="EH563" s="7"/>
      <c r="EI563" s="7"/>
      <c r="EJ563" s="7"/>
      <c r="EK563" s="7"/>
      <c r="EL563" s="7"/>
      <c r="EM563" s="7"/>
      <c r="EN563" s="7"/>
      <c r="EO563" s="7"/>
      <c r="EP563" s="7"/>
      <c r="EQ563" s="7"/>
      <c r="ER563" s="7"/>
      <c r="ES563" s="7"/>
      <c r="ET563" s="7"/>
      <c r="EU563" s="7"/>
      <c r="EV563" s="7"/>
      <c r="EW563" s="7"/>
      <c r="EX563" s="7"/>
      <c r="EY563" s="7"/>
      <c r="EZ563" s="7"/>
      <c r="FA563" s="7"/>
      <c r="FB563" s="7"/>
      <c r="FC563" s="7"/>
      <c r="FD563" s="7"/>
      <c r="FE563" s="7"/>
      <c r="FF563" s="7"/>
      <c r="FG563" s="7"/>
      <c r="FH563" s="7"/>
      <c r="FI563" s="7"/>
      <c r="FJ563" s="7"/>
      <c r="FK563" s="7"/>
      <c r="FL563" s="7"/>
      <c r="FM563" s="7"/>
      <c r="FN563" s="7"/>
      <c r="FO563" s="7"/>
      <c r="FP563" s="7"/>
      <c r="FQ563" s="7"/>
      <c r="FR563" s="7"/>
      <c r="FS563" s="7"/>
      <c r="FT563" s="7"/>
      <c r="FU563" s="7"/>
      <c r="FV563" s="7"/>
      <c r="FW563" s="7"/>
      <c r="FX563" s="7"/>
      <c r="FY563" s="7"/>
      <c r="FZ563" s="7"/>
      <c r="GA563" s="7"/>
      <c r="GB563" s="7"/>
      <c r="GC563" s="7"/>
      <c r="GD563" s="7"/>
      <c r="GE563" s="7"/>
      <c r="GF563" s="7"/>
      <c r="GG563" s="7"/>
      <c r="GH563" s="7"/>
      <c r="GI563" s="7"/>
      <c r="GJ563" s="7"/>
      <c r="GK563" s="7"/>
      <c r="GL563" s="7"/>
      <c r="GM563" s="7"/>
      <c r="GN563" s="7"/>
      <c r="GO563" s="7"/>
      <c r="GP563" s="7"/>
      <c r="GQ563" s="7"/>
      <c r="GR563" s="7"/>
      <c r="GS563" s="7"/>
      <c r="GT563" s="7"/>
      <c r="GU563" s="7"/>
      <c r="GV563" s="7"/>
      <c r="GW563" s="7"/>
      <c r="GX563" s="7"/>
      <c r="GY563" s="7"/>
      <c r="GZ563" s="7"/>
      <c r="HA563" s="7"/>
      <c r="HB563" s="7"/>
    </row>
    <row r="564" customFormat="false" ht="1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c r="DA564" s="7"/>
      <c r="DB564" s="7"/>
      <c r="DC564" s="7"/>
      <c r="DD564" s="7"/>
      <c r="DE564" s="7"/>
      <c r="DF564" s="7"/>
      <c r="DG564" s="7"/>
      <c r="DH564" s="7"/>
      <c r="DI564" s="7"/>
      <c r="DJ564" s="7"/>
      <c r="DK564" s="7"/>
      <c r="DL564" s="7"/>
      <c r="DM564" s="7"/>
      <c r="DN564" s="7"/>
      <c r="DO564" s="7"/>
      <c r="DP564" s="7"/>
      <c r="DQ564" s="7"/>
      <c r="DR564" s="7"/>
      <c r="DS564" s="7"/>
      <c r="DT564" s="7"/>
      <c r="DU564" s="7"/>
      <c r="DV564" s="7"/>
      <c r="DW564" s="7"/>
      <c r="DX564" s="7"/>
      <c r="DY564" s="7"/>
      <c r="DZ564" s="7"/>
      <c r="EA564" s="7"/>
      <c r="EB564" s="7"/>
      <c r="EC564" s="7"/>
      <c r="ED564" s="7"/>
      <c r="EE564" s="7"/>
      <c r="EF564" s="7"/>
      <c r="EG564" s="7"/>
      <c r="EH564" s="7"/>
      <c r="EI564" s="7"/>
      <c r="EJ564" s="7"/>
      <c r="EK564" s="7"/>
      <c r="EL564" s="7"/>
      <c r="EM564" s="7"/>
      <c r="EN564" s="7"/>
      <c r="EO564" s="7"/>
      <c r="EP564" s="7"/>
      <c r="EQ564" s="7"/>
      <c r="ER564" s="7"/>
      <c r="ES564" s="7"/>
      <c r="ET564" s="7"/>
      <c r="EU564" s="7"/>
      <c r="EV564" s="7"/>
      <c r="EW564" s="7"/>
      <c r="EX564" s="7"/>
      <c r="EY564" s="7"/>
      <c r="EZ564" s="7"/>
      <c r="FA564" s="7"/>
      <c r="FB564" s="7"/>
      <c r="FC564" s="7"/>
      <c r="FD564" s="7"/>
      <c r="FE564" s="7"/>
      <c r="FF564" s="7"/>
      <c r="FG564" s="7"/>
      <c r="FH564" s="7"/>
      <c r="FI564" s="7"/>
      <c r="FJ564" s="7"/>
      <c r="FK564" s="7"/>
      <c r="FL564" s="7"/>
      <c r="FM564" s="7"/>
      <c r="FN564" s="7"/>
      <c r="FO564" s="7"/>
      <c r="FP564" s="7"/>
      <c r="FQ564" s="7"/>
      <c r="FR564" s="7"/>
      <c r="FS564" s="7"/>
      <c r="FT564" s="7"/>
      <c r="FU564" s="7"/>
      <c r="FV564" s="7"/>
      <c r="FW564" s="7"/>
      <c r="FX564" s="7"/>
      <c r="FY564" s="7"/>
      <c r="FZ564" s="7"/>
      <c r="GA564" s="7"/>
      <c r="GB564" s="7"/>
      <c r="GC564" s="7"/>
      <c r="GD564" s="7"/>
      <c r="GE564" s="7"/>
      <c r="GF564" s="7"/>
      <c r="GG564" s="7"/>
      <c r="GH564" s="7"/>
      <c r="GI564" s="7"/>
      <c r="GJ564" s="7"/>
      <c r="GK564" s="7"/>
      <c r="GL564" s="7"/>
      <c r="GM564" s="7"/>
      <c r="GN564" s="7"/>
      <c r="GO564" s="7"/>
      <c r="GP564" s="7"/>
      <c r="GQ564" s="7"/>
      <c r="GR564" s="7"/>
      <c r="GS564" s="7"/>
      <c r="GT564" s="7"/>
      <c r="GU564" s="7"/>
      <c r="GV564" s="7"/>
      <c r="GW564" s="7"/>
      <c r="GX564" s="7"/>
      <c r="GY564" s="7"/>
      <c r="GZ564" s="7"/>
      <c r="HA564" s="7"/>
      <c r="HB564" s="7"/>
    </row>
    <row r="565" customFormat="false" ht="1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c r="DA565" s="7"/>
      <c r="DB565" s="7"/>
      <c r="DC565" s="7"/>
      <c r="DD565" s="7"/>
      <c r="DE565" s="7"/>
      <c r="DF565" s="7"/>
      <c r="DG565" s="7"/>
      <c r="DH565" s="7"/>
      <c r="DI565" s="7"/>
      <c r="DJ565" s="7"/>
      <c r="DK565" s="7"/>
      <c r="DL565" s="7"/>
      <c r="DM565" s="7"/>
      <c r="DN565" s="7"/>
      <c r="DO565" s="7"/>
      <c r="DP565" s="7"/>
      <c r="DQ565" s="7"/>
      <c r="DR565" s="7"/>
      <c r="DS565" s="7"/>
      <c r="DT565" s="7"/>
      <c r="DU565" s="7"/>
      <c r="DV565" s="7"/>
      <c r="DW565" s="7"/>
      <c r="DX565" s="7"/>
      <c r="DY565" s="7"/>
      <c r="DZ565" s="7"/>
      <c r="EA565" s="7"/>
      <c r="EB565" s="7"/>
      <c r="EC565" s="7"/>
      <c r="ED565" s="7"/>
      <c r="EE565" s="7"/>
      <c r="EF565" s="7"/>
      <c r="EG565" s="7"/>
      <c r="EH565" s="7"/>
      <c r="EI565" s="7"/>
      <c r="EJ565" s="7"/>
      <c r="EK565" s="7"/>
      <c r="EL565" s="7"/>
      <c r="EM565" s="7"/>
      <c r="EN565" s="7"/>
      <c r="EO565" s="7"/>
      <c r="EP565" s="7"/>
      <c r="EQ565" s="7"/>
      <c r="ER565" s="7"/>
      <c r="ES565" s="7"/>
      <c r="ET565" s="7"/>
      <c r="EU565" s="7"/>
      <c r="EV565" s="7"/>
      <c r="EW565" s="7"/>
      <c r="EX565" s="7"/>
      <c r="EY565" s="7"/>
      <c r="EZ565" s="7"/>
      <c r="FA565" s="7"/>
      <c r="FB565" s="7"/>
      <c r="FC565" s="7"/>
      <c r="FD565" s="7"/>
      <c r="FE565" s="7"/>
      <c r="FF565" s="7"/>
      <c r="FG565" s="7"/>
      <c r="FH565" s="7"/>
      <c r="FI565" s="7"/>
      <c r="FJ565" s="7"/>
      <c r="FK565" s="7"/>
      <c r="FL565" s="7"/>
      <c r="FM565" s="7"/>
      <c r="FN565" s="7"/>
      <c r="FO565" s="7"/>
      <c r="FP565" s="7"/>
      <c r="FQ565" s="7"/>
      <c r="FR565" s="7"/>
      <c r="FS565" s="7"/>
      <c r="FT565" s="7"/>
      <c r="FU565" s="7"/>
      <c r="FV565" s="7"/>
      <c r="FW565" s="7"/>
      <c r="FX565" s="7"/>
      <c r="FY565" s="7"/>
      <c r="FZ565" s="7"/>
      <c r="GA565" s="7"/>
      <c r="GB565" s="7"/>
      <c r="GC565" s="7"/>
      <c r="GD565" s="7"/>
      <c r="GE565" s="7"/>
      <c r="GF565" s="7"/>
      <c r="GG565" s="7"/>
      <c r="GH565" s="7"/>
      <c r="GI565" s="7"/>
      <c r="GJ565" s="7"/>
      <c r="GK565" s="7"/>
      <c r="GL565" s="7"/>
      <c r="GM565" s="7"/>
      <c r="GN565" s="7"/>
      <c r="GO565" s="7"/>
      <c r="GP565" s="7"/>
      <c r="GQ565" s="7"/>
      <c r="GR565" s="7"/>
      <c r="GS565" s="7"/>
      <c r="GT565" s="7"/>
      <c r="GU565" s="7"/>
      <c r="GV565" s="7"/>
      <c r="GW565" s="7"/>
      <c r="GX565" s="7"/>
      <c r="GY565" s="7"/>
      <c r="GZ565" s="7"/>
      <c r="HA565" s="7"/>
      <c r="HB565" s="7"/>
    </row>
  </sheetData>
  <sheetProtection algorithmName="SHA-512" hashValue="z2SiqfMobrQHFAChLy7qc1h5XV7ojp9p3iCTwLg5o+9wWFfMfHyaLVTxsQSyyvL61n9rd4vPk1FjS1FTjdoT6A==" saltValue="V+pcxyLBQiKdj65jTem28Q==" spinCount="100000" sheet="true" selectLockedCells="true"/>
  <mergeCells count="2">
    <mergeCell ref="A5:C5"/>
    <mergeCell ref="A15:C15"/>
  </mergeCells>
  <conditionalFormatting sqref="Z15:Z22">
    <cfRule type="expression" priority="2" aboveAverage="0" equalAverage="0" bottom="0" percent="0" rank="0" text="" dxfId="44">
      <formula>IF($E$3=$M$27, 0,1)</formula>
    </cfRule>
  </conditionalFormatting>
  <conditionalFormatting sqref="AA15:AA22">
    <cfRule type="expression" priority="3" aboveAverage="0" equalAverage="0" bottom="0" percent="0" rank="0" text="" dxfId="45">
      <formula>IF($E$3=$M$27, 0,1)</formula>
    </cfRule>
  </conditionalFormatting>
  <conditionalFormatting sqref="D183:Z183">
    <cfRule type="expression" priority="4" aboveAverage="0" equalAverage="0" bottom="0" percent="0" rank="0" text="" dxfId="46">
      <formula>IF($E$3=$M$27, 0,1)</formula>
    </cfRule>
  </conditionalFormatting>
  <conditionalFormatting sqref="D184:Z197">
    <cfRule type="expression" priority="5" aboveAverage="0" equalAverage="0" bottom="0" percent="0" rank="0" text="" dxfId="47">
      <formula>IF($E$3=$M$27, 0,1)</formula>
    </cfRule>
  </conditionalFormatting>
  <conditionalFormatting sqref="A183:C183 Z23:Z182 Z5:Z14">
    <cfRule type="expression" priority="6" aboveAverage="0" equalAverage="0" bottom="0" percent="0" rank="0" text="" dxfId="48">
      <formula>IF($E$3=$M$27, 0,1)</formula>
    </cfRule>
  </conditionalFormatting>
  <conditionalFormatting sqref="A198:Z357 A184:C197 AA23:AA357 AA1:AA14">
    <cfRule type="expression" priority="7" aboveAverage="0" equalAverage="0" bottom="0" percent="0" rank="0" text="" dxfId="49">
      <formula>IF($E$3=$M$27, 0,1)</formula>
    </cfRule>
  </conditionalFormatting>
  <dataValidations count="4">
    <dataValidation allowBlank="true" errorStyle="stop" operator="between" showDropDown="false" showErrorMessage="true" showInputMessage="true" sqref="E9" type="list">
      <formula1>$H$9:$K$9</formula1>
      <formula2>0</formula2>
    </dataValidation>
    <dataValidation allowBlank="true" errorStyle="stop" operator="between" showDropDown="false" showErrorMessage="true" showInputMessage="true" sqref="E6" type="list">
      <formula1>$H$6:$K$6</formula1>
      <formula2>0</formula2>
    </dataValidation>
    <dataValidation allowBlank="true" errorStyle="stop" operator="between" showDropDown="false" showErrorMessage="true" showInputMessage="true" sqref="E7" type="list">
      <formula1>$H$7:$K$7</formula1>
      <formula2>0</formula2>
    </dataValidation>
    <dataValidation allowBlank="true" errorStyle="stop" operator="between" showDropDown="false" showErrorMessage="true" showInputMessage="true" sqref="E8" type="list">
      <formula1>$H$8:$K$8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tableParts>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expression" priority="8" id="{E5F7D169-407E-4889-B454-2C20B53AA065}">
            <xm:f>IF('BQ2575X Design Calculator'!$E$3='BQ2575X Design Calculator'!$H$3, 0,1)</xm:f>
            <x14:dxf>
              <font>
                <color rgb="FFFFFFFF"/>
              </font>
            </x14:dxf>
          </x14:cfRule>
          <xm:sqref>Q20:S22 H15:S15 G181:P182 I20:P180 G6:S14 H18:S19 I16:S17 A20:A182 G5:Y5 Q23:Y182 Y6:Y14 T15:Y22</xm:sqref>
        </x14:conditionalFormatting>
        <x14:conditionalFormatting xmlns:xm="http://schemas.microsoft.com/office/excel/2006/main">
          <x14:cfRule type="expression" priority="9" id="{4A23507A-C161-4265-92D0-705E901F4664}">
            <xm:f>IF('BQ2575X Design Calculator'!$E$3='BQ2575X Design Calculator'!$H$3, 0,1)</xm:f>
            <x14:dxf>
              <font>
                <color rgb="FFA6A6A6"/>
              </font>
            </x14:dxf>
          </x14:cfRule>
          <xm:sqref>Z1:Z4</xm:sqref>
        </x14:conditionalFormatting>
        <x14:conditionalFormatting xmlns:xm="http://schemas.microsoft.com/office/excel/2006/main">
          <x14:cfRule type="expression" priority="10" id="{2E3DC678-6B58-4B9C-9B56-5095A47A8C27}">
            <xm:f>IF('BQ2575X Design Calculator'!$E$3='BQ2575X Design Calculator'!$H$3, 0,1)</xm:f>
            <x14:dxf>
              <font>
                <color rgb="FF262626"/>
              </font>
              <fill>
                <patternFill>
                  <bgColor theme="1" tint="0.1499"/>
                </patternFill>
              </fill>
              <border diagonalUp="false" diagonalDown="false">
                <left/>
                <right/>
                <top/>
                <bottom/>
                <diagonal/>
              </border>
            </x14:dxf>
          </x14:cfRule>
          <xm:sqref>AY23:BG28 AY29:BQ29 BD30:BW31 BD32:BQ38 BC22:BJ22 AZ11:BB14 AY191:BG191 AY44:BK190 AC192:BG357 AY30:BC38 AY39:BP43 BE1:HB357 AB15:BB18 AB19:AB357 AY19:BB22 BC14:BK21 BD6:BJ8 BD6:BD19 AB6:AY14 AB1:BG13 A358:HB565 AC19:AX191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T13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9.14453125" defaultRowHeight="15" zeroHeight="false" outlineLevelRow="0" outlineLevelCol="0"/>
  <cols>
    <col collapsed="false" customWidth="false" hidden="false" outlineLevel="0" max="3" min="1" style="1" width="9.14"/>
    <col collapsed="false" customWidth="true" hidden="false" outlineLevel="0" max="4" min="4" style="234" width="12.57"/>
    <col collapsed="false" customWidth="false" hidden="false" outlineLevel="0" max="7" min="5" style="1" width="9.14"/>
    <col collapsed="false" customWidth="true" hidden="false" outlineLevel="0" max="8" min="8" style="1" width="13.29"/>
    <col collapsed="false" customWidth="false" hidden="false" outlineLevel="0" max="11" min="9" style="1" width="9.14"/>
    <col collapsed="false" customWidth="true" hidden="false" outlineLevel="0" max="12" min="12" style="234" width="12.57"/>
    <col collapsed="false" customWidth="false" hidden="false" outlineLevel="0" max="16384" min="13" style="1" width="9.14"/>
  </cols>
  <sheetData>
    <row r="2" customFormat="false" ht="16.4" hidden="false" customHeight="false" outlineLevel="0" collapsed="false">
      <c r="B2" s="235" t="s">
        <v>339</v>
      </c>
      <c r="C2" s="235"/>
      <c r="D2" s="235"/>
      <c r="F2" s="235" t="s">
        <v>340</v>
      </c>
      <c r="G2" s="235"/>
      <c r="H2" s="235"/>
      <c r="J2" s="235" t="s">
        <v>341</v>
      </c>
      <c r="K2" s="235"/>
      <c r="L2" s="235"/>
      <c r="N2" s="1" t="s">
        <v>342</v>
      </c>
      <c r="P2" s="1" t="s">
        <v>343</v>
      </c>
    </row>
    <row r="3" customFormat="false" ht="15" hidden="false" customHeight="false" outlineLevel="0" collapsed="false">
      <c r="B3" s="1" t="s">
        <v>344</v>
      </c>
      <c r="D3" s="236" t="s">
        <v>345</v>
      </c>
      <c r="F3" s="1" t="s">
        <v>344</v>
      </c>
      <c r="G3" s="1" t="s">
        <v>346</v>
      </c>
      <c r="H3" s="183" t="s">
        <v>345</v>
      </c>
      <c r="J3" s="1" t="s">
        <v>344</v>
      </c>
      <c r="K3" s="1" t="s">
        <v>346</v>
      </c>
      <c r="L3" s="236" t="s">
        <v>345</v>
      </c>
      <c r="N3" s="237" t="s">
        <v>347</v>
      </c>
    </row>
    <row r="4" customFormat="false" ht="15" hidden="false" customHeight="false" outlineLevel="0" collapsed="false">
      <c r="B4" s="238" t="n">
        <v>1</v>
      </c>
      <c r="D4" s="234" t="n">
        <v>1</v>
      </c>
      <c r="F4" s="238" t="n">
        <v>1</v>
      </c>
      <c r="G4" s="1" t="n">
        <v>0</v>
      </c>
      <c r="H4" s="234" t="n">
        <f aca="false">F4*10^(G4/96)</f>
        <v>1</v>
      </c>
      <c r="J4" s="238" t="n">
        <v>1</v>
      </c>
      <c r="K4" s="1" t="n">
        <v>0</v>
      </c>
      <c r="L4" s="239" t="n">
        <f aca="false">J4*10^(K4/192)</f>
        <v>1</v>
      </c>
      <c r="N4" s="240" t="n">
        <v>2.2</v>
      </c>
    </row>
    <row r="5" customFormat="false" ht="15" hidden="false" customHeight="false" outlineLevel="0" collapsed="false">
      <c r="B5" s="238" t="n">
        <v>1</v>
      </c>
      <c r="D5" s="234" t="n">
        <v>1.1</v>
      </c>
      <c r="F5" s="238" t="n">
        <v>1</v>
      </c>
      <c r="G5" s="1" t="n">
        <v>1</v>
      </c>
      <c r="H5" s="234" t="n">
        <f aca="false">F5*10^(G5/96)</f>
        <v>1.02427522138159</v>
      </c>
      <c r="J5" s="238" t="n">
        <v>1</v>
      </c>
      <c r="K5" s="1" t="n">
        <f aca="false">K4+1</f>
        <v>1</v>
      </c>
      <c r="L5" s="239" t="n">
        <f aca="false">J5*10^(K5/192)</f>
        <v>1.01206483062183</v>
      </c>
      <c r="N5" s="240" t="n">
        <v>3.3</v>
      </c>
    </row>
    <row r="6" customFormat="false" ht="15" hidden="false" customHeight="false" outlineLevel="0" collapsed="false">
      <c r="B6" s="238" t="n">
        <v>1</v>
      </c>
      <c r="D6" s="234" t="n">
        <v>1.2</v>
      </c>
      <c r="F6" s="238" t="n">
        <v>1</v>
      </c>
      <c r="G6" s="1" t="n">
        <v>2</v>
      </c>
      <c r="H6" s="234" t="n">
        <f aca="false">F6*10^(G6/96)</f>
        <v>1.04913972913631</v>
      </c>
      <c r="J6" s="238" t="n">
        <v>1</v>
      </c>
      <c r="K6" s="1" t="n">
        <f aca="false">K5+1</f>
        <v>2</v>
      </c>
      <c r="L6" s="239" t="n">
        <f aca="false">J6*10^(K6/192)</f>
        <v>1.02427522138159</v>
      </c>
      <c r="N6" s="240" t="n">
        <v>4.7</v>
      </c>
    </row>
    <row r="7" customFormat="false" ht="15" hidden="false" customHeight="false" outlineLevel="0" collapsed="false">
      <c r="B7" s="238" t="n">
        <v>1</v>
      </c>
      <c r="D7" s="234" t="n">
        <v>1.3</v>
      </c>
      <c r="F7" s="238" t="n">
        <v>1</v>
      </c>
      <c r="G7" s="1" t="n">
        <v>3</v>
      </c>
      <c r="H7" s="234" t="n">
        <f aca="false">F7*10^(G7/96)</f>
        <v>1.07460782832132</v>
      </c>
      <c r="J7" s="238" t="n">
        <v>1</v>
      </c>
      <c r="K7" s="1" t="n">
        <f aca="false">K6+1</f>
        <v>3</v>
      </c>
      <c r="L7" s="239" t="n">
        <f aca="false">J7*10^(K7/192)</f>
        <v>1.0366329284377</v>
      </c>
      <c r="N7" s="240" t="n">
        <v>5.6</v>
      </c>
    </row>
    <row r="8" customFormat="false" ht="15" hidden="false" customHeight="false" outlineLevel="0" collapsed="false">
      <c r="B8" s="238" t="n">
        <v>1</v>
      </c>
      <c r="D8" s="234" t="n">
        <v>1.5</v>
      </c>
      <c r="F8" s="238" t="n">
        <v>1</v>
      </c>
      <c r="G8" s="1" t="n">
        <v>4</v>
      </c>
      <c r="H8" s="234" t="n">
        <f aca="false">F8*10^(G8/96)</f>
        <v>1.10069417125221</v>
      </c>
      <c r="J8" s="238" t="n">
        <v>1</v>
      </c>
      <c r="K8" s="1" t="n">
        <f aca="false">K7+1</f>
        <v>4</v>
      </c>
      <c r="L8" s="239" t="n">
        <f aca="false">J8*10^(K8/192)</f>
        <v>1.04913972913631</v>
      </c>
      <c r="N8" s="240" t="n">
        <v>6.8</v>
      </c>
    </row>
    <row r="9" customFormat="false" ht="15" hidden="false" customHeight="false" outlineLevel="0" collapsed="false">
      <c r="B9" s="238" t="n">
        <v>1</v>
      </c>
      <c r="D9" s="234" t="n">
        <v>1.6</v>
      </c>
      <c r="F9" s="238" t="n">
        <v>1</v>
      </c>
      <c r="G9" s="1" t="n">
        <v>5</v>
      </c>
      <c r="H9" s="234" t="n">
        <f aca="false">F9*10^(G9/96)</f>
        <v>1.12741376593279</v>
      </c>
      <c r="J9" s="238" t="n">
        <v>1</v>
      </c>
      <c r="K9" s="1" t="n">
        <f aca="false">K8+1</f>
        <v>5</v>
      </c>
      <c r="L9" s="239" t="n">
        <f aca="false">J9*10^(K9/192)</f>
        <v>1.06179742226697</v>
      </c>
      <c r="N9" s="240" t="n">
        <v>8.2</v>
      </c>
    </row>
    <row r="10" customFormat="false" ht="15" hidden="false" customHeight="false" outlineLevel="0" collapsed="false">
      <c r="B10" s="238" t="n">
        <v>1</v>
      </c>
      <c r="D10" s="234" t="n">
        <v>1.8</v>
      </c>
      <c r="F10" s="238" t="n">
        <v>1</v>
      </c>
      <c r="G10" s="1" t="n">
        <v>6</v>
      </c>
      <c r="H10" s="234" t="n">
        <f aca="false">F10*10^(G10/96)</f>
        <v>1.15478198468946</v>
      </c>
      <c r="J10" s="238" t="n">
        <v>1</v>
      </c>
      <c r="K10" s="1" t="n">
        <f aca="false">K9+1</f>
        <v>6</v>
      </c>
      <c r="L10" s="239" t="n">
        <f aca="false">J10*10^(K10/192)</f>
        <v>1.07460782832132</v>
      </c>
      <c r="N10" s="240" t="n">
        <v>10</v>
      </c>
      <c r="R10" s="1" t="n">
        <v>1.1</v>
      </c>
      <c r="T10" s="1" t="n">
        <f aca="false">IF(MIN(ABS(L4:L1347-R10))&lt;0, $R$10+MIN(ABS(L4:L1347-R10)), $R$10-MIN(ABS(L4:L1347-$R$10)))</f>
        <v>1.07460782832132</v>
      </c>
    </row>
    <row r="11" customFormat="false" ht="15" hidden="false" customHeight="false" outlineLevel="0" collapsed="false">
      <c r="B11" s="238" t="n">
        <v>1</v>
      </c>
      <c r="D11" s="234" t="n">
        <v>2</v>
      </c>
      <c r="F11" s="238" t="n">
        <v>1</v>
      </c>
      <c r="G11" s="1" t="n">
        <v>7</v>
      </c>
      <c r="H11" s="234" t="n">
        <f aca="false">F11*10^(G11/96)</f>
        <v>1.18281457301527</v>
      </c>
      <c r="J11" s="238" t="n">
        <v>1</v>
      </c>
      <c r="K11" s="1" t="n">
        <f aca="false">K10+1</f>
        <v>7</v>
      </c>
      <c r="L11" s="239" t="n">
        <f aca="false">J11*10^(K11/192)</f>
        <v>1.08757278975491</v>
      </c>
      <c r="N11" s="240" t="n">
        <v>15</v>
      </c>
      <c r="Q11" s="1" t="n">
        <f aca="false">VLOOKUP(1.1,stdres_5pct[Resistance],1,TRUE())</f>
        <v>1.1</v>
      </c>
    </row>
    <row r="12" customFormat="false" ht="15" hidden="false" customHeight="false" outlineLevel="0" collapsed="false">
      <c r="B12" s="238" t="n">
        <v>1</v>
      </c>
      <c r="D12" s="234" t="n">
        <v>2.2</v>
      </c>
      <c r="F12" s="238" t="n">
        <v>1</v>
      </c>
      <c r="G12" s="1" t="n">
        <v>8</v>
      </c>
      <c r="H12" s="234" t="n">
        <f aca="false">F12*10^(G12/96)</f>
        <v>1.21152765862859</v>
      </c>
      <c r="J12" s="238" t="n">
        <v>1</v>
      </c>
      <c r="K12" s="1" t="n">
        <f aca="false">K11+1</f>
        <v>8</v>
      </c>
      <c r="L12" s="239" t="n">
        <f aca="false">J12*10^(K12/192)</f>
        <v>1.10069417125221</v>
      </c>
      <c r="Q12" s="1" t="n">
        <f aca="false">stdres_0p1pct[[#This Row],[Resistance]]</f>
        <v>1.10069417125221</v>
      </c>
    </row>
    <row r="13" customFormat="false" ht="15" hidden="false" customHeight="false" outlineLevel="0" collapsed="false">
      <c r="B13" s="238" t="n">
        <v>1</v>
      </c>
      <c r="D13" s="234" t="n">
        <v>2.4</v>
      </c>
      <c r="F13" s="238" t="n">
        <v>1</v>
      </c>
      <c r="G13" s="1" t="n">
        <v>9</v>
      </c>
      <c r="H13" s="234" t="n">
        <f aca="false">F13*10^(G13/96)</f>
        <v>1.24093776075172</v>
      </c>
      <c r="J13" s="238" t="n">
        <v>1</v>
      </c>
      <c r="K13" s="1" t="n">
        <f aca="false">K12+1</f>
        <v>9</v>
      </c>
      <c r="L13" s="239" t="n">
        <f aca="false">J13*10^(K13/192)</f>
        <v>1.1139738599948</v>
      </c>
      <c r="Q13" s="1" t="n">
        <f aca="false">MATCH(MIN(ABS(L4:L1347-R10)),ABS(L4:L1347-R10),0)</f>
        <v>10</v>
      </c>
    </row>
    <row r="14" customFormat="false" ht="15" hidden="false" customHeight="false" outlineLevel="0" collapsed="false">
      <c r="B14" s="238" t="n">
        <v>1</v>
      </c>
      <c r="D14" s="234" t="n">
        <v>2.7</v>
      </c>
      <c r="F14" s="238" t="n">
        <v>1</v>
      </c>
      <c r="G14" s="1" t="n">
        <v>10</v>
      </c>
      <c r="H14" s="234" t="n">
        <f aca="false">F14*10^(G14/96)</f>
        <v>1.27106179961474</v>
      </c>
      <c r="J14" s="238" t="n">
        <v>1</v>
      </c>
      <c r="K14" s="1" t="n">
        <f aca="false">K13+1</f>
        <v>10</v>
      </c>
      <c r="L14" s="239" t="n">
        <f aca="false">J14*10^(K14/192)</f>
        <v>1.12741376593279</v>
      </c>
    </row>
    <row r="15" customFormat="false" ht="15" hidden="false" customHeight="false" outlineLevel="0" collapsed="false">
      <c r="B15" s="238" t="n">
        <v>1</v>
      </c>
      <c r="D15" s="234" t="n">
        <v>3</v>
      </c>
      <c r="F15" s="238" t="n">
        <v>1</v>
      </c>
      <c r="G15" s="1" t="n">
        <v>11</v>
      </c>
      <c r="H15" s="234" t="n">
        <f aca="false">F15*10^(G15/96)</f>
        <v>1.30191710619008</v>
      </c>
      <c r="J15" s="238" t="n">
        <v>1</v>
      </c>
      <c r="K15" s="1" t="n">
        <f aca="false">K14+1</f>
        <v>11</v>
      </c>
      <c r="L15" s="239" t="n">
        <f aca="false">J15*10^(K15/192)</f>
        <v>1.14101582205948</v>
      </c>
    </row>
    <row r="16" customFormat="false" ht="15" hidden="false" customHeight="false" outlineLevel="0" collapsed="false">
      <c r="B16" s="238" t="n">
        <v>1</v>
      </c>
      <c r="D16" s="234" t="n">
        <v>3.3</v>
      </c>
      <c r="F16" s="238" t="n">
        <v>1</v>
      </c>
      <c r="G16" s="1" t="n">
        <v>12</v>
      </c>
      <c r="H16" s="234" t="n">
        <f aca="false">F16*10^(G16/96)</f>
        <v>1.33352143216332</v>
      </c>
      <c r="J16" s="238" t="n">
        <v>1</v>
      </c>
      <c r="K16" s="1" t="n">
        <f aca="false">K15+1</f>
        <v>12</v>
      </c>
      <c r="L16" s="239" t="n">
        <f aca="false">J16*10^(K16/192)</f>
        <v>1.15478198468946</v>
      </c>
    </row>
    <row r="17" customFormat="false" ht="15" hidden="false" customHeight="false" outlineLevel="0" collapsed="false">
      <c r="B17" s="238" t="n">
        <v>1</v>
      </c>
      <c r="D17" s="234" t="n">
        <v>3.6</v>
      </c>
      <c r="F17" s="238" t="n">
        <v>1</v>
      </c>
      <c r="G17" s="1" t="n">
        <v>13</v>
      </c>
      <c r="H17" s="234" t="n">
        <f aca="false">F17*10^(G17/96)</f>
        <v>1.36589296014619</v>
      </c>
      <c r="J17" s="238" t="n">
        <v>1</v>
      </c>
      <c r="K17" s="1" t="n">
        <f aca="false">K16+1</f>
        <v>13</v>
      </c>
      <c r="L17" s="239" t="n">
        <f aca="false">J17*10^(K17/192)</f>
        <v>1.16871423373988</v>
      </c>
    </row>
    <row r="18" customFormat="false" ht="15" hidden="false" customHeight="false" outlineLevel="0" collapsed="false">
      <c r="B18" s="238" t="n">
        <v>1</v>
      </c>
      <c r="D18" s="234" t="n">
        <v>3.9</v>
      </c>
      <c r="F18" s="238" t="n">
        <v>1</v>
      </c>
      <c r="G18" s="1" t="n">
        <v>14</v>
      </c>
      <c r="H18" s="234" t="n">
        <f aca="false">F18*10^(G18/96)</f>
        <v>1.39905031413729</v>
      </c>
      <c r="J18" s="238" t="n">
        <v>1</v>
      </c>
      <c r="K18" s="1" t="n">
        <f aca="false">K17+1</f>
        <v>14</v>
      </c>
      <c r="L18" s="239" t="n">
        <f aca="false">J18*10^(K18/192)</f>
        <v>1.18281457301527</v>
      </c>
    </row>
    <row r="19" customFormat="false" ht="15" hidden="false" customHeight="false" outlineLevel="0" collapsed="false">
      <c r="B19" s="238" t="n">
        <v>1</v>
      </c>
      <c r="D19" s="234" t="n">
        <v>4.3</v>
      </c>
      <c r="F19" s="238" t="n">
        <v>1</v>
      </c>
      <c r="G19" s="1" t="n">
        <v>15</v>
      </c>
      <c r="H19" s="234" t="n">
        <f aca="false">F19*10^(G19/96)</f>
        <v>1.43301257023696</v>
      </c>
      <c r="J19" s="238" t="n">
        <v>1</v>
      </c>
      <c r="K19" s="1" t="n">
        <f aca="false">K18+1</f>
        <v>15</v>
      </c>
      <c r="L19" s="239" t="n">
        <f aca="false">J19*10^(K19/192)</f>
        <v>1.19708503049573</v>
      </c>
    </row>
    <row r="20" customFormat="false" ht="15" hidden="false" customHeight="false" outlineLevel="0" collapsed="false">
      <c r="B20" s="238" t="n">
        <v>1</v>
      </c>
      <c r="D20" s="234" t="n">
        <v>4.7</v>
      </c>
      <c r="F20" s="238" t="n">
        <v>1</v>
      </c>
      <c r="G20" s="1" t="n">
        <v>16</v>
      </c>
      <c r="H20" s="234" t="n">
        <f aca="false">F20*10^(G20/96)</f>
        <v>1.46779926762207</v>
      </c>
      <c r="J20" s="238" t="n">
        <v>1</v>
      </c>
      <c r="K20" s="1" t="n">
        <f aca="false">K19+1</f>
        <v>16</v>
      </c>
      <c r="L20" s="239" t="n">
        <f aca="false">J20*10^(K20/192)</f>
        <v>1.21152765862859</v>
      </c>
    </row>
    <row r="21" customFormat="false" ht="15" hidden="false" customHeight="false" outlineLevel="0" collapsed="false">
      <c r="B21" s="238" t="n">
        <v>1</v>
      </c>
      <c r="D21" s="234" t="n">
        <v>5.1</v>
      </c>
      <c r="F21" s="238" t="n">
        <v>1</v>
      </c>
      <c r="G21" s="1" t="n">
        <v>17</v>
      </c>
      <c r="H21" s="234" t="n">
        <f aca="false">F21*10^(G21/96)</f>
        <v>1.50343041978733</v>
      </c>
      <c r="J21" s="238" t="n">
        <v>1</v>
      </c>
      <c r="K21" s="1" t="n">
        <f aca="false">K20+1</f>
        <v>17</v>
      </c>
      <c r="L21" s="239" t="n">
        <f aca="false">J21*10^(K21/192)</f>
        <v>1.2261445346236</v>
      </c>
    </row>
    <row r="22" customFormat="false" ht="15" hidden="false" customHeight="false" outlineLevel="0" collapsed="false">
      <c r="B22" s="238" t="n">
        <v>1</v>
      </c>
      <c r="D22" s="234" t="n">
        <v>5.6</v>
      </c>
      <c r="F22" s="238" t="n">
        <v>1</v>
      </c>
      <c r="G22" s="1" t="n">
        <v>18</v>
      </c>
      <c r="H22" s="234" t="n">
        <f aca="false">F22*10^(G22/96)</f>
        <v>1.53992652605949</v>
      </c>
      <c r="J22" s="238" t="n">
        <v>1</v>
      </c>
      <c r="K22" s="1" t="n">
        <f aca="false">K21+1</f>
        <v>18</v>
      </c>
      <c r="L22" s="239" t="n">
        <f aca="false">J22*10^(K22/192)</f>
        <v>1.24093776075172</v>
      </c>
    </row>
    <row r="23" customFormat="false" ht="15" hidden="false" customHeight="false" outlineLevel="0" collapsed="false">
      <c r="B23" s="238" t="n">
        <v>1</v>
      </c>
      <c r="D23" s="234" t="n">
        <v>6.2</v>
      </c>
      <c r="F23" s="238" t="n">
        <v>1</v>
      </c>
      <c r="G23" s="1" t="n">
        <v>19</v>
      </c>
      <c r="H23" s="234" t="n">
        <f aca="false">F23*10^(G23/96)</f>
        <v>1.57730858339097</v>
      </c>
      <c r="J23" s="238" t="n">
        <v>1</v>
      </c>
      <c r="K23" s="1" t="n">
        <f aca="false">K22+1</f>
        <v>19</v>
      </c>
      <c r="L23" s="239" t="n">
        <f aca="false">J23*10^(K23/192)</f>
        <v>1.25590946464742</v>
      </c>
    </row>
    <row r="24" customFormat="false" ht="15" hidden="false" customHeight="false" outlineLevel="0" collapsed="false">
      <c r="B24" s="238" t="n">
        <v>1</v>
      </c>
      <c r="D24" s="234" t="n">
        <v>6.8</v>
      </c>
      <c r="F24" s="238" t="n">
        <v>1</v>
      </c>
      <c r="G24" s="1" t="n">
        <v>20</v>
      </c>
      <c r="H24" s="234" t="n">
        <f aca="false">F24*10^(G24/96)</f>
        <v>1.61559809843987</v>
      </c>
      <c r="J24" s="238" t="n">
        <v>1</v>
      </c>
      <c r="K24" s="1" t="n">
        <f aca="false">K23+1</f>
        <v>20</v>
      </c>
      <c r="L24" s="239" t="n">
        <f aca="false">J24*10^(K24/192)</f>
        <v>1.27106179961474</v>
      </c>
    </row>
    <row r="25" customFormat="false" ht="15" hidden="false" customHeight="false" outlineLevel="0" collapsed="false">
      <c r="B25" s="238" t="n">
        <v>1</v>
      </c>
      <c r="D25" s="234" t="n">
        <v>7.5</v>
      </c>
      <c r="F25" s="238" t="n">
        <v>1</v>
      </c>
      <c r="G25" s="1" t="n">
        <v>21</v>
      </c>
      <c r="H25" s="234" t="n">
        <f aca="false">F25*10^(G25/96)</f>
        <v>1.65481709994318</v>
      </c>
      <c r="J25" s="238" t="n">
        <v>1</v>
      </c>
      <c r="K25" s="1" t="n">
        <f aca="false">K24+1</f>
        <v>21</v>
      </c>
      <c r="L25" s="239" t="n">
        <f aca="false">J25*10^(K25/192)</f>
        <v>1.28639694493697</v>
      </c>
    </row>
    <row r="26" customFormat="false" ht="15" hidden="false" customHeight="false" outlineLevel="0" collapsed="false">
      <c r="B26" s="238" t="n">
        <v>1</v>
      </c>
      <c r="D26" s="234" t="n">
        <v>8.2</v>
      </c>
      <c r="F26" s="238" t="n">
        <v>1</v>
      </c>
      <c r="G26" s="1" t="n">
        <v>22</v>
      </c>
      <c r="H26" s="234" t="n">
        <f aca="false">F26*10^(G26/96)</f>
        <v>1.69498815139035</v>
      </c>
      <c r="J26" s="238" t="n">
        <v>1</v>
      </c>
      <c r="K26" s="1" t="n">
        <f aca="false">K25+1</f>
        <v>22</v>
      </c>
      <c r="L26" s="239" t="n">
        <f aca="false">J26*10^(K26/192)</f>
        <v>1.30191710619008</v>
      </c>
    </row>
    <row r="27" customFormat="false" ht="15" hidden="false" customHeight="false" outlineLevel="0" collapsed="false">
      <c r="B27" s="238" t="n">
        <v>1</v>
      </c>
      <c r="D27" s="234" t="n">
        <v>9.1</v>
      </c>
      <c r="F27" s="238" t="n">
        <v>1</v>
      </c>
      <c r="G27" s="1" t="n">
        <v>23</v>
      </c>
      <c r="H27" s="234" t="n">
        <f aca="false">F27*10^(G27/96)</f>
        <v>1.73613436400452</v>
      </c>
      <c r="J27" s="238" t="n">
        <v>1</v>
      </c>
      <c r="K27" s="1" t="n">
        <f aca="false">K26+1</f>
        <v>23</v>
      </c>
      <c r="L27" s="239" t="n">
        <f aca="false">J27*10^(K27/192)</f>
        <v>1.31762451555992</v>
      </c>
    </row>
    <row r="28" customFormat="false" ht="15" hidden="false" customHeight="false" outlineLevel="0" collapsed="false">
      <c r="B28" s="238" t="n">
        <v>1</v>
      </c>
      <c r="D28" s="234" t="n">
        <f aca="false">D4*10</f>
        <v>10</v>
      </c>
      <c r="F28" s="238" t="n">
        <v>1</v>
      </c>
      <c r="G28" s="1" t="n">
        <v>24</v>
      </c>
      <c r="H28" s="234" t="n">
        <f aca="false">F28*10^(G28/96)</f>
        <v>1.77827941003892</v>
      </c>
      <c r="J28" s="238" t="n">
        <v>1</v>
      </c>
      <c r="K28" s="1" t="n">
        <f aca="false">K27+1</f>
        <v>24</v>
      </c>
      <c r="L28" s="239" t="n">
        <f aca="false">J28*10^(K28/192)</f>
        <v>1.33352143216332</v>
      </c>
    </row>
    <row r="29" customFormat="false" ht="15" hidden="false" customHeight="false" outlineLevel="0" collapsed="false">
      <c r="B29" s="238" t="n">
        <f aca="false">B4*10</f>
        <v>10</v>
      </c>
      <c r="D29" s="234" t="n">
        <f aca="false">D5*10</f>
        <v>11</v>
      </c>
      <c r="F29" s="238" t="n">
        <v>1</v>
      </c>
      <c r="G29" s="1" t="n">
        <v>25</v>
      </c>
      <c r="H29" s="234" t="n">
        <f aca="false">F29*10^(G29/96)</f>
        <v>1.82144753639595</v>
      </c>
      <c r="J29" s="238" t="n">
        <v>1</v>
      </c>
      <c r="K29" s="1" t="n">
        <f aca="false">K28+1</f>
        <v>25</v>
      </c>
      <c r="L29" s="239" t="n">
        <f aca="false">J29*10^(K29/192)</f>
        <v>1.34961014237295</v>
      </c>
    </row>
    <row r="30" customFormat="false" ht="15" hidden="false" customHeight="false" outlineLevel="0" collapsed="false">
      <c r="B30" s="238" t="n">
        <f aca="false">B5*10</f>
        <v>10</v>
      </c>
      <c r="D30" s="234" t="n">
        <f aca="false">D6*10</f>
        <v>12</v>
      </c>
      <c r="F30" s="238" t="n">
        <v>1</v>
      </c>
      <c r="G30" s="1" t="n">
        <v>26</v>
      </c>
      <c r="H30" s="234" t="n">
        <f aca="false">F30*10^(G30/96)</f>
        <v>1.86566357857691</v>
      </c>
      <c r="I30" s="81"/>
      <c r="J30" s="238" t="n">
        <v>1</v>
      </c>
      <c r="K30" s="1" t="n">
        <f aca="false">K29+1</f>
        <v>26</v>
      </c>
      <c r="L30" s="239" t="n">
        <f aca="false">J30*10^(K30/192)</f>
        <v>1.36589296014619</v>
      </c>
    </row>
    <row r="31" customFormat="false" ht="15" hidden="false" customHeight="false" outlineLevel="0" collapsed="false">
      <c r="B31" s="238" t="n">
        <f aca="false">B6*10</f>
        <v>10</v>
      </c>
      <c r="D31" s="234" t="n">
        <f aca="false">D7*10</f>
        <v>13</v>
      </c>
      <c r="F31" s="238" t="n">
        <v>1</v>
      </c>
      <c r="G31" s="1" t="n">
        <v>27</v>
      </c>
      <c r="H31" s="234" t="n">
        <f aca="false">F31*10^(G31/96)</f>
        <v>1.91095297497044</v>
      </c>
      <c r="J31" s="238" t="n">
        <v>1</v>
      </c>
      <c r="K31" s="1" t="n">
        <f aca="false">K30+1</f>
        <v>27</v>
      </c>
      <c r="L31" s="239" t="n">
        <f aca="false">J31*10^(K31/192)</f>
        <v>1.3823722273579</v>
      </c>
      <c r="M31" s="81"/>
      <c r="N31" s="81"/>
    </row>
    <row r="32" customFormat="false" ht="15" hidden="false" customHeight="false" outlineLevel="0" collapsed="false">
      <c r="B32" s="238" t="n">
        <f aca="false">B7*10</f>
        <v>10</v>
      </c>
      <c r="D32" s="234" t="n">
        <f aca="false">D8*10</f>
        <v>15</v>
      </c>
      <c r="F32" s="238" t="n">
        <v>1</v>
      </c>
      <c r="G32" s="1" t="n">
        <v>28</v>
      </c>
      <c r="H32" s="234" t="n">
        <f aca="false">F32*10^(G32/96)</f>
        <v>1.95734178148766</v>
      </c>
      <c r="J32" s="238" t="n">
        <v>1</v>
      </c>
      <c r="K32" s="1" t="n">
        <f aca="false">K31+1</f>
        <v>28</v>
      </c>
      <c r="L32" s="239" t="n">
        <f aca="false">J32*10^(K32/192)</f>
        <v>1.39905031413729</v>
      </c>
    </row>
    <row r="33" customFormat="false" ht="15" hidden="false" customHeight="false" outlineLevel="0" collapsed="false">
      <c r="B33" s="238" t="n">
        <f aca="false">B8*10</f>
        <v>10</v>
      </c>
      <c r="D33" s="234" t="n">
        <f aca="false">D9*10</f>
        <v>16</v>
      </c>
      <c r="F33" s="238" t="n">
        <v>1</v>
      </c>
      <c r="G33" s="1" t="n">
        <v>29</v>
      </c>
      <c r="H33" s="234" t="n">
        <f aca="false">F33*10^(G33/96)</f>
        <v>2.00485668655271</v>
      </c>
      <c r="J33" s="238" t="n">
        <v>1</v>
      </c>
      <c r="K33" s="1" t="n">
        <f aca="false">K32+1</f>
        <v>29</v>
      </c>
      <c r="L33" s="239" t="n">
        <f aca="false">J33*10^(K33/192)</f>
        <v>1.41592961920878</v>
      </c>
    </row>
    <row r="34" customFormat="false" ht="15" hidden="false" customHeight="false" outlineLevel="0" collapsed="false">
      <c r="B34" s="238" t="n">
        <f aca="false">B9*10</f>
        <v>10</v>
      </c>
      <c r="D34" s="234" t="n">
        <f aca="false">D10*10</f>
        <v>18</v>
      </c>
      <c r="F34" s="238" t="n">
        <v>1</v>
      </c>
      <c r="G34" s="1" t="n">
        <v>30</v>
      </c>
      <c r="H34" s="234" t="n">
        <f aca="false">F34*10^(G34/96)</f>
        <v>2.05352502645715</v>
      </c>
      <c r="J34" s="238" t="n">
        <v>1</v>
      </c>
      <c r="K34" s="1" t="n">
        <f aca="false">K33+1</f>
        <v>30</v>
      </c>
      <c r="L34" s="239" t="n">
        <f aca="false">J34*10^(K34/192)</f>
        <v>1.43301257023696</v>
      </c>
    </row>
    <row r="35" customFormat="false" ht="15" hidden="false" customHeight="false" outlineLevel="0" collapsed="false">
      <c r="B35" s="238" t="n">
        <f aca="false">B10*10</f>
        <v>10</v>
      </c>
      <c r="D35" s="234" t="n">
        <f aca="false">D11*10</f>
        <v>20</v>
      </c>
      <c r="F35" s="238" t="n">
        <v>1</v>
      </c>
      <c r="G35" s="1" t="n">
        <v>31</v>
      </c>
      <c r="H35" s="234" t="n">
        <f aca="false">F35*10^(G35/96)</f>
        <v>2.10337480108703</v>
      </c>
      <c r="J35" s="238" t="n">
        <v>1</v>
      </c>
      <c r="K35" s="1" t="n">
        <f aca="false">K34+1</f>
        <v>31</v>
      </c>
      <c r="L35" s="239" t="n">
        <f aca="false">J35*10^(K35/192)</f>
        <v>1.45030162417582</v>
      </c>
    </row>
    <row r="36" customFormat="false" ht="15" hidden="false" customHeight="false" outlineLevel="0" collapsed="false">
      <c r="B36" s="238" t="n">
        <f aca="false">B11*10</f>
        <v>10</v>
      </c>
      <c r="D36" s="234" t="n">
        <f aca="false">D12*10</f>
        <v>22</v>
      </c>
      <c r="F36" s="238" t="n">
        <v>1</v>
      </c>
      <c r="G36" s="1" t="n">
        <v>32</v>
      </c>
      <c r="H36" s="234" t="n">
        <f aca="false">F36*10^(G36/96)</f>
        <v>2.15443469003188</v>
      </c>
      <c r="J36" s="238" t="n">
        <v>1</v>
      </c>
      <c r="K36" s="1" t="n">
        <f aca="false">K35+1</f>
        <v>32</v>
      </c>
      <c r="L36" s="239" t="n">
        <f aca="false">J36*10^(K36/192)</f>
        <v>1.46779926762207</v>
      </c>
    </row>
    <row r="37" customFormat="false" ht="15" hidden="false" customHeight="false" outlineLevel="0" collapsed="false">
      <c r="B37" s="238" t="n">
        <f aca="false">B12*10</f>
        <v>10</v>
      </c>
      <c r="D37" s="234" t="n">
        <f aca="false">D13*10</f>
        <v>24</v>
      </c>
      <c r="F37" s="238" t="n">
        <v>1</v>
      </c>
      <c r="G37" s="1" t="n">
        <v>33</v>
      </c>
      <c r="H37" s="234" t="n">
        <f aca="false">F37*10^(G37/96)</f>
        <v>2.20673406908459</v>
      </c>
      <c r="J37" s="238" t="n">
        <v>1</v>
      </c>
      <c r="K37" s="1" t="n">
        <f aca="false">K36+1</f>
        <v>33</v>
      </c>
      <c r="L37" s="239" t="n">
        <f aca="false">J37*10^(K37/192)</f>
        <v>1.48550801717278</v>
      </c>
    </row>
    <row r="38" customFormat="false" ht="15" hidden="false" customHeight="false" outlineLevel="0" collapsed="false">
      <c r="B38" s="238" t="n">
        <f aca="false">B13*10</f>
        <v>10</v>
      </c>
      <c r="D38" s="234" t="n">
        <f aca="false">D14*10</f>
        <v>27</v>
      </c>
      <c r="F38" s="238" t="n">
        <v>1</v>
      </c>
      <c r="G38" s="1" t="n">
        <v>34</v>
      </c>
      <c r="H38" s="234" t="n">
        <f aca="false">F38*10^(G38/96)</f>
        <v>2.26030302714192</v>
      </c>
      <c r="J38" s="238" t="n">
        <v>1</v>
      </c>
      <c r="K38" s="1" t="n">
        <f aca="false">K37+1</f>
        <v>34</v>
      </c>
      <c r="L38" s="239" t="n">
        <f aca="false">J38*10^(K38/192)</f>
        <v>1.50343041978733</v>
      </c>
    </row>
    <row r="39" customFormat="false" ht="15" hidden="false" customHeight="false" outlineLevel="0" collapsed="false">
      <c r="B39" s="238" t="n">
        <f aca="false">B14*10</f>
        <v>10</v>
      </c>
      <c r="D39" s="234" t="n">
        <f aca="false">D15*10</f>
        <v>30</v>
      </c>
      <c r="F39" s="238" t="n">
        <v>1</v>
      </c>
      <c r="G39" s="1" t="n">
        <v>35</v>
      </c>
      <c r="H39" s="234" t="n">
        <f aca="false">F39*10^(G39/96)</f>
        <v>2.31517238351527</v>
      </c>
      <c r="J39" s="238" t="n">
        <v>1</v>
      </c>
      <c r="K39" s="1" t="n">
        <f aca="false">K38+1</f>
        <v>35</v>
      </c>
      <c r="L39" s="239" t="n">
        <f aca="false">J39*10^(K39/192)</f>
        <v>1.52156905315377</v>
      </c>
    </row>
    <row r="40" customFormat="false" ht="15" hidden="false" customHeight="false" outlineLevel="0" collapsed="false">
      <c r="B40" s="238" t="n">
        <f aca="false">B15*10</f>
        <v>10</v>
      </c>
      <c r="D40" s="234" t="n">
        <f aca="false">D16*10</f>
        <v>33</v>
      </c>
      <c r="F40" s="238" t="n">
        <v>1</v>
      </c>
      <c r="G40" s="1" t="n">
        <v>36</v>
      </c>
      <c r="H40" s="234" t="n">
        <f aca="false">F40*10^(G40/96)</f>
        <v>2.37137370566166</v>
      </c>
      <c r="J40" s="238" t="n">
        <v>1</v>
      </c>
      <c r="K40" s="1" t="n">
        <f aca="false">K39+1</f>
        <v>36</v>
      </c>
      <c r="L40" s="239" t="n">
        <f aca="false">J40*10^(K40/192)</f>
        <v>1.53992652605949</v>
      </c>
    </row>
    <row r="41" customFormat="false" ht="15" hidden="false" customHeight="false" outlineLevel="0" collapsed="false">
      <c r="B41" s="238" t="n">
        <f aca="false">B16*10</f>
        <v>10</v>
      </c>
      <c r="D41" s="234" t="n">
        <f aca="false">D17*10</f>
        <v>36</v>
      </c>
      <c r="F41" s="238" t="n">
        <v>1</v>
      </c>
      <c r="G41" s="1" t="n">
        <v>37</v>
      </c>
      <c r="H41" s="234" t="n">
        <f aca="false">F41*10^(G41/96)</f>
        <v>2.42893932734508</v>
      </c>
      <c r="J41" s="238" t="n">
        <v>1</v>
      </c>
      <c r="K41" s="1" t="n">
        <f aca="false">K40+1</f>
        <v>37</v>
      </c>
      <c r="L41" s="239" t="n">
        <f aca="false">J41*10^(K41/192)</f>
        <v>1.55850547876646</v>
      </c>
    </row>
    <row r="42" customFormat="false" ht="15" hidden="false" customHeight="false" outlineLevel="0" collapsed="false">
      <c r="B42" s="238" t="n">
        <f aca="false">B17*10</f>
        <v>10</v>
      </c>
      <c r="D42" s="234" t="n">
        <f aca="false">D18*10</f>
        <v>39</v>
      </c>
      <c r="F42" s="238" t="n">
        <v>1</v>
      </c>
      <c r="G42" s="1" t="n">
        <v>38</v>
      </c>
      <c r="H42" s="234" t="n">
        <f aca="false">F42*10^(G42/96)</f>
        <v>2.48790236723884</v>
      </c>
      <c r="J42" s="238" t="n">
        <v>1</v>
      </c>
      <c r="K42" s="1" t="n">
        <f aca="false">K41+1</f>
        <v>38</v>
      </c>
      <c r="L42" s="239" t="n">
        <f aca="false">J42*10^(K42/192)</f>
        <v>1.57730858339097</v>
      </c>
    </row>
    <row r="43" customFormat="false" ht="15" hidden="false" customHeight="false" outlineLevel="0" collapsed="false">
      <c r="B43" s="238" t="n">
        <f aca="false">B18*10</f>
        <v>10</v>
      </c>
      <c r="D43" s="234" t="n">
        <f aca="false">D19*10</f>
        <v>43</v>
      </c>
      <c r="F43" s="238" t="n">
        <v>1</v>
      </c>
      <c r="G43" s="1" t="n">
        <v>39</v>
      </c>
      <c r="H43" s="234" t="n">
        <f aca="false">F43*10^(G43/96)</f>
        <v>2.54829674797935</v>
      </c>
      <c r="J43" s="238" t="n">
        <v>1</v>
      </c>
      <c r="K43" s="1" t="n">
        <f aca="false">K42+1</f>
        <v>39</v>
      </c>
      <c r="L43" s="239" t="n">
        <f aca="false">J43*10^(K43/192)</f>
        <v>1.59633854428794</v>
      </c>
    </row>
    <row r="44" customFormat="false" ht="15" hidden="false" customHeight="false" outlineLevel="0" collapsed="false">
      <c r="B44" s="238" t="n">
        <f aca="false">B19*10</f>
        <v>10</v>
      </c>
      <c r="D44" s="234" t="n">
        <f aca="false">D20*10</f>
        <v>47</v>
      </c>
      <c r="F44" s="238" t="n">
        <v>1</v>
      </c>
      <c r="G44" s="1" t="n">
        <v>40</v>
      </c>
      <c r="H44" s="234" t="n">
        <f aca="false">F44*10^(G44/96)</f>
        <v>2.61015721568254</v>
      </c>
      <c r="J44" s="238" t="n">
        <v>1</v>
      </c>
      <c r="K44" s="1" t="n">
        <f aca="false">K43+1</f>
        <v>40</v>
      </c>
      <c r="L44" s="239" t="n">
        <f aca="false">J44*10^(K44/192)</f>
        <v>1.61559809843987</v>
      </c>
    </row>
    <row r="45" customFormat="false" ht="15" hidden="false" customHeight="false" outlineLevel="0" collapsed="false">
      <c r="B45" s="238" t="n">
        <f aca="false">B20*10</f>
        <v>10</v>
      </c>
      <c r="D45" s="234" t="n">
        <f aca="false">D21*10</f>
        <v>51</v>
      </c>
      <c r="F45" s="238" t="n">
        <v>1</v>
      </c>
      <c r="G45" s="1" t="n">
        <v>41</v>
      </c>
      <c r="H45" s="234" t="n">
        <f aca="false">F45*10^(G45/96)</f>
        <v>2.67351935993399</v>
      </c>
      <c r="J45" s="238" t="n">
        <v>1</v>
      </c>
      <c r="K45" s="1" t="n">
        <f aca="false">K44+1</f>
        <v>41</v>
      </c>
      <c r="L45" s="239" t="n">
        <f aca="false">J45*10^(K45/192)</f>
        <v>1.6350900158505</v>
      </c>
    </row>
    <row r="46" customFormat="false" ht="15" hidden="false" customHeight="false" outlineLevel="0" collapsed="false">
      <c r="B46" s="238" t="n">
        <f aca="false">B21*10</f>
        <v>10</v>
      </c>
      <c r="D46" s="234" t="n">
        <f aca="false">D22*10</f>
        <v>56</v>
      </c>
      <c r="F46" s="238" t="n">
        <v>1</v>
      </c>
      <c r="G46" s="1" t="n">
        <v>42</v>
      </c>
      <c r="H46" s="234" t="n">
        <f aca="false">F46*10^(G46/96)</f>
        <v>2.73841963426436</v>
      </c>
      <c r="J46" s="238" t="n">
        <v>1</v>
      </c>
      <c r="K46" s="1" t="n">
        <f aca="false">K45+1</f>
        <v>42</v>
      </c>
      <c r="L46" s="239" t="n">
        <f aca="false">J46*10^(K46/192)</f>
        <v>1.65481709994318</v>
      </c>
    </row>
    <row r="47" customFormat="false" ht="15" hidden="false" customHeight="false" outlineLevel="0" collapsed="false">
      <c r="B47" s="238" t="n">
        <f aca="false">B22*10</f>
        <v>10</v>
      </c>
      <c r="D47" s="234" t="n">
        <f aca="false">D23*10</f>
        <v>62</v>
      </c>
      <c r="F47" s="238" t="n">
        <v>1</v>
      </c>
      <c r="G47" s="1" t="n">
        <v>43</v>
      </c>
      <c r="H47" s="234" t="n">
        <f aca="false">F47*10^(G47/96)</f>
        <v>2.80489537712183</v>
      </c>
      <c r="J47" s="238" t="n">
        <v>1</v>
      </c>
      <c r="K47" s="1" t="n">
        <f aca="false">K46+1</f>
        <v>43</v>
      </c>
      <c r="L47" s="239" t="n">
        <f aca="false">J47*10^(K47/192)</f>
        <v>1.6747821879641</v>
      </c>
    </row>
    <row r="48" customFormat="false" ht="15" hidden="false" customHeight="false" outlineLevel="0" collapsed="false">
      <c r="B48" s="238" t="n">
        <f aca="false">B23*10</f>
        <v>10</v>
      </c>
      <c r="D48" s="234" t="n">
        <f aca="false">D24*10</f>
        <v>68</v>
      </c>
      <c r="F48" s="238" t="n">
        <v>1</v>
      </c>
      <c r="G48" s="1" t="n">
        <v>44</v>
      </c>
      <c r="H48" s="234" t="n">
        <f aca="false">F48*10^(G48/96)</f>
        <v>2.87298483335366</v>
      </c>
      <c r="J48" s="238" t="n">
        <v>1</v>
      </c>
      <c r="K48" s="1" t="n">
        <f aca="false">K47+1</f>
        <v>44</v>
      </c>
      <c r="L48" s="239" t="n">
        <f aca="false">J48*10^(K48/192)</f>
        <v>1.69498815139035</v>
      </c>
    </row>
    <row r="49" customFormat="false" ht="15" hidden="false" customHeight="false" outlineLevel="0" collapsed="false">
      <c r="B49" s="238" t="n">
        <f aca="false">B24*10</f>
        <v>10</v>
      </c>
      <c r="D49" s="234" t="n">
        <f aca="false">D25*10</f>
        <v>75</v>
      </c>
      <c r="F49" s="238" t="n">
        <v>1</v>
      </c>
      <c r="G49" s="1" t="n">
        <v>45</v>
      </c>
      <c r="H49" s="234" t="n">
        <f aca="false">F49*10^(G49/96)</f>
        <v>2.94272717620928</v>
      </c>
      <c r="J49" s="238" t="n">
        <v>1</v>
      </c>
      <c r="K49" s="1" t="n">
        <f aca="false">K48+1</f>
        <v>45</v>
      </c>
      <c r="L49" s="239" t="n">
        <f aca="false">J49*10^(K49/192)</f>
        <v>1.71543789634288</v>
      </c>
    </row>
    <row r="50" customFormat="false" ht="15" hidden="false" customHeight="false" outlineLevel="0" collapsed="false">
      <c r="B50" s="238" t="n">
        <f aca="false">B25*10</f>
        <v>10</v>
      </c>
      <c r="D50" s="234" t="n">
        <f aca="false">D26*10</f>
        <v>82</v>
      </c>
      <c r="F50" s="238" t="n">
        <v>1</v>
      </c>
      <c r="G50" s="1" t="n">
        <v>46</v>
      </c>
      <c r="H50" s="234" t="n">
        <f aca="false">F50*10^(G50/96)</f>
        <v>3.01416252987739</v>
      </c>
      <c r="J50" s="238" t="n">
        <v>1</v>
      </c>
      <c r="K50" s="1" t="n">
        <f aca="false">K49+1</f>
        <v>46</v>
      </c>
      <c r="L50" s="239" t="n">
        <f aca="false">J50*10^(K50/192)</f>
        <v>1.73613436400452</v>
      </c>
    </row>
    <row r="51" customFormat="false" ht="15" hidden="false" customHeight="false" outlineLevel="0" collapsed="false">
      <c r="B51" s="238" t="n">
        <f aca="false">B26*10</f>
        <v>10</v>
      </c>
      <c r="D51" s="234" t="n">
        <f aca="false">D27*10</f>
        <v>91</v>
      </c>
      <c r="F51" s="238" t="n">
        <v>1</v>
      </c>
      <c r="G51" s="1" t="n">
        <v>47</v>
      </c>
      <c r="H51" s="234" t="n">
        <f aca="false">F51*10^(G51/96)</f>
        <v>3.08733199257026</v>
      </c>
      <c r="J51" s="238" t="n">
        <v>1</v>
      </c>
      <c r="K51" s="1" t="n">
        <f aca="false">K50+1</f>
        <v>47</v>
      </c>
      <c r="L51" s="239" t="n">
        <f aca="false">J51*10^(K51/192)</f>
        <v>1.75708053104298</v>
      </c>
    </row>
    <row r="52" customFormat="false" ht="15" hidden="false" customHeight="false" outlineLevel="0" collapsed="false">
      <c r="B52" s="238" t="n">
        <f aca="false">B27*10</f>
        <v>10</v>
      </c>
      <c r="D52" s="234" t="n">
        <f aca="false">D28*10</f>
        <v>100</v>
      </c>
      <c r="F52" s="238" t="n">
        <v>1</v>
      </c>
      <c r="G52" s="1" t="n">
        <v>48</v>
      </c>
      <c r="H52" s="234" t="n">
        <f aca="false">F52*10^(G52/96)</f>
        <v>3.16227766016838</v>
      </c>
      <c r="J52" s="238" t="n">
        <v>1</v>
      </c>
      <c r="K52" s="1" t="n">
        <f aca="false">K51+1</f>
        <v>48</v>
      </c>
      <c r="L52" s="239" t="n">
        <f aca="false">J52*10^(K52/192)</f>
        <v>1.77827941003892</v>
      </c>
    </row>
    <row r="53" customFormat="false" ht="15" hidden="false" customHeight="false" outlineLevel="0" collapsed="false">
      <c r="B53" s="238" t="n">
        <f aca="false">B29*10</f>
        <v>100</v>
      </c>
      <c r="D53" s="234" t="n">
        <f aca="false">D29*10</f>
        <v>110</v>
      </c>
      <c r="F53" s="238" t="n">
        <v>1</v>
      </c>
      <c r="G53" s="1" t="n">
        <v>49</v>
      </c>
      <c r="H53" s="234" t="n">
        <f aca="false">F53*10^(G53/96)</f>
        <v>3.23904265043903</v>
      </c>
      <c r="J53" s="238" t="n">
        <v>1</v>
      </c>
      <c r="K53" s="1" t="n">
        <f aca="false">K52+1</f>
        <v>49</v>
      </c>
      <c r="L53" s="239" t="n">
        <f aca="false">J53*10^(K53/192)</f>
        <v>1.79973404991933</v>
      </c>
    </row>
    <row r="54" customFormat="false" ht="15" hidden="false" customHeight="false" outlineLevel="0" collapsed="false">
      <c r="B54" s="238" t="n">
        <f aca="false">B30*10</f>
        <v>100</v>
      </c>
      <c r="D54" s="234" t="n">
        <f aca="false">D30*10</f>
        <v>120</v>
      </c>
      <c r="F54" s="238" t="n">
        <v>1</v>
      </c>
      <c r="G54" s="1" t="n">
        <v>50</v>
      </c>
      <c r="H54" s="234" t="n">
        <f aca="false">F54*10^(G54/96)</f>
        <v>3.31767112784286</v>
      </c>
      <c r="J54" s="238" t="n">
        <v>1</v>
      </c>
      <c r="K54" s="1" t="n">
        <f aca="false">K53+1</f>
        <v>50</v>
      </c>
      <c r="L54" s="239" t="n">
        <f aca="false">J54*10^(K54/192)</f>
        <v>1.82144753639595</v>
      </c>
    </row>
    <row r="55" customFormat="false" ht="15" hidden="false" customHeight="false" outlineLevel="0" collapsed="false">
      <c r="B55" s="238" t="n">
        <f aca="false">B31*10</f>
        <v>100</v>
      </c>
      <c r="D55" s="234" t="n">
        <f aca="false">D31*10</f>
        <v>130</v>
      </c>
      <c r="F55" s="238" t="n">
        <v>1</v>
      </c>
      <c r="G55" s="1" t="n">
        <v>51</v>
      </c>
      <c r="H55" s="234" t="n">
        <f aca="false">F55*10^(G55/96)</f>
        <v>3.39820832894256</v>
      </c>
      <c r="J55" s="238" t="n">
        <v>1</v>
      </c>
      <c r="K55" s="1" t="n">
        <f aca="false">K54+1</f>
        <v>51</v>
      </c>
      <c r="L55" s="239" t="n">
        <f aca="false">J55*10^(K55/192)</f>
        <v>1.84342299240911</v>
      </c>
    </row>
    <row r="56" customFormat="false" ht="15" hidden="false" customHeight="false" outlineLevel="0" collapsed="false">
      <c r="B56" s="238" t="n">
        <f aca="false">B32*10</f>
        <v>100</v>
      </c>
      <c r="D56" s="234" t="n">
        <f aca="false">D32*10</f>
        <v>150</v>
      </c>
      <c r="F56" s="238" t="n">
        <v>1</v>
      </c>
      <c r="G56" s="1" t="n">
        <v>52</v>
      </c>
      <c r="H56" s="234" t="n">
        <f aca="false">F56*10^(G56/96)</f>
        <v>3.48070058842841</v>
      </c>
      <c r="J56" s="238" t="n">
        <v>1</v>
      </c>
      <c r="K56" s="1" t="n">
        <f aca="false">K55+1</f>
        <v>52</v>
      </c>
      <c r="L56" s="239" t="n">
        <f aca="false">J56*10^(K56/192)</f>
        <v>1.86566357857691</v>
      </c>
    </row>
    <row r="57" customFormat="false" ht="15" hidden="false" customHeight="false" outlineLevel="0" collapsed="false">
      <c r="B57" s="238" t="n">
        <f aca="false">B33*10</f>
        <v>100</v>
      </c>
      <c r="D57" s="234" t="n">
        <f aca="false">D33*10</f>
        <v>160</v>
      </c>
      <c r="F57" s="238" t="n">
        <v>1</v>
      </c>
      <c r="G57" s="1" t="n">
        <v>53</v>
      </c>
      <c r="H57" s="234" t="n">
        <f aca="false">F57*10^(G57/96)</f>
        <v>3.56519536577555</v>
      </c>
      <c r="J57" s="238" t="n">
        <v>1</v>
      </c>
      <c r="K57" s="1" t="n">
        <f aca="false">K56+1</f>
        <v>53</v>
      </c>
      <c r="L57" s="239" t="n">
        <f aca="false">J57*10^(K57/192)</f>
        <v>1.88817249364976</v>
      </c>
    </row>
    <row r="58" customFormat="false" ht="15" hidden="false" customHeight="false" outlineLevel="0" collapsed="false">
      <c r="B58" s="238" t="n">
        <f aca="false">B34*10</f>
        <v>100</v>
      </c>
      <c r="D58" s="234" t="n">
        <f aca="false">D34*10</f>
        <v>180</v>
      </c>
      <c r="F58" s="238" t="n">
        <v>1</v>
      </c>
      <c r="G58" s="1" t="n">
        <v>54</v>
      </c>
      <c r="H58" s="234" t="n">
        <f aca="false">F58*10^(G58/96)</f>
        <v>3.65174127254838</v>
      </c>
      <c r="J58" s="238" t="n">
        <v>1</v>
      </c>
      <c r="K58" s="1" t="n">
        <f aca="false">K57+1</f>
        <v>54</v>
      </c>
      <c r="L58" s="239" t="n">
        <f aca="false">J58*10^(K58/192)</f>
        <v>1.91095297497044</v>
      </c>
    </row>
    <row r="59" customFormat="false" ht="15" hidden="false" customHeight="false" outlineLevel="0" collapsed="false">
      <c r="B59" s="238" t="n">
        <f aca="false">B35*10</f>
        <v>100</v>
      </c>
      <c r="D59" s="234" t="n">
        <f aca="false">D35*10</f>
        <v>200</v>
      </c>
      <c r="F59" s="238" t="n">
        <v>1</v>
      </c>
      <c r="G59" s="1" t="n">
        <v>55</v>
      </c>
      <c r="H59" s="234" t="n">
        <f aca="false">F59*10^(G59/96)</f>
        <v>3.74038810036779</v>
      </c>
      <c r="J59" s="238" t="n">
        <v>1</v>
      </c>
      <c r="K59" s="1" t="n">
        <f aca="false">K58+1</f>
        <v>55</v>
      </c>
      <c r="L59" s="239" t="n">
        <f aca="false">J59*10^(K59/192)</f>
        <v>1.93400829893974</v>
      </c>
    </row>
    <row r="60" customFormat="false" ht="15" hidden="false" customHeight="false" outlineLevel="0" collapsed="false">
      <c r="B60" s="238" t="n">
        <f aca="false">B36*10</f>
        <v>100</v>
      </c>
      <c r="D60" s="234" t="n">
        <f aca="false">D36*10</f>
        <v>220</v>
      </c>
      <c r="F60" s="238" t="n">
        <v>1</v>
      </c>
      <c r="G60" s="1" t="n">
        <v>56</v>
      </c>
      <c r="H60" s="234" t="n">
        <f aca="false">F60*10^(G60/96)</f>
        <v>3.83118684955729</v>
      </c>
      <c r="J60" s="238" t="n">
        <v>1</v>
      </c>
      <c r="K60" s="1" t="n">
        <f aca="false">K59+1</f>
        <v>56</v>
      </c>
      <c r="L60" s="239" t="n">
        <f aca="false">J60*10^(K60/192)</f>
        <v>1.95734178148766</v>
      </c>
    </row>
    <row r="61" customFormat="false" ht="15" hidden="false" customHeight="false" outlineLevel="0" collapsed="false">
      <c r="B61" s="238" t="n">
        <f aca="false">B37*10</f>
        <v>100</v>
      </c>
      <c r="D61" s="234" t="n">
        <f aca="false">D37*10</f>
        <v>240</v>
      </c>
      <c r="F61" s="238" t="n">
        <v>1</v>
      </c>
      <c r="G61" s="1" t="n">
        <v>57</v>
      </c>
      <c r="H61" s="234" t="n">
        <f aca="false">F61*10^(G61/96)</f>
        <v>3.92418975848454</v>
      </c>
      <c r="J61" s="238" t="n">
        <v>1</v>
      </c>
      <c r="K61" s="1" t="n">
        <f aca="false">K60+1</f>
        <v>57</v>
      </c>
      <c r="L61" s="239" t="n">
        <f aca="false">J61*10^(K61/192)</f>
        <v>1.98095677855034</v>
      </c>
    </row>
    <row r="62" customFormat="false" ht="15" hidden="false" customHeight="false" outlineLevel="0" collapsed="false">
      <c r="B62" s="238" t="n">
        <f aca="false">B38*10</f>
        <v>100</v>
      </c>
      <c r="D62" s="234" t="n">
        <f aca="false">D38*10</f>
        <v>270</v>
      </c>
      <c r="F62" s="238" t="n">
        <v>1</v>
      </c>
      <c r="G62" s="1" t="n">
        <v>58</v>
      </c>
      <c r="H62" s="234" t="n">
        <f aca="false">F62*10^(G62/96)</f>
        <v>4.01945033361513</v>
      </c>
      <c r="J62" s="238" t="n">
        <v>1</v>
      </c>
      <c r="K62" s="1" t="n">
        <f aca="false">K61+1</f>
        <v>58</v>
      </c>
      <c r="L62" s="239" t="n">
        <f aca="false">J62*10^(K62/192)</f>
        <v>2.00485668655271</v>
      </c>
    </row>
    <row r="63" customFormat="false" ht="15" hidden="false" customHeight="false" outlineLevel="0" collapsed="false">
      <c r="B63" s="238" t="n">
        <f aca="false">B39*10</f>
        <v>100</v>
      </c>
      <c r="D63" s="234" t="n">
        <f aca="false">D39*10</f>
        <v>300</v>
      </c>
      <c r="F63" s="238" t="n">
        <v>1</v>
      </c>
      <c r="G63" s="1" t="n">
        <v>59</v>
      </c>
      <c r="H63" s="234" t="n">
        <f aca="false">F63*10^(G63/96)</f>
        <v>4.11702338029595</v>
      </c>
      <c r="J63" s="238" t="n">
        <v>1</v>
      </c>
      <c r="K63" s="1" t="n">
        <f aca="false">K62+1</f>
        <v>59</v>
      </c>
      <c r="L63" s="239" t="n">
        <f aca="false">J63*10^(K63/192)</f>
        <v>2.02904494289701</v>
      </c>
    </row>
    <row r="64" customFormat="false" ht="15" hidden="false" customHeight="false" outlineLevel="0" collapsed="false">
      <c r="B64" s="238" t="n">
        <f aca="false">B40*10</f>
        <v>100</v>
      </c>
      <c r="D64" s="234" t="n">
        <f aca="false">D40*10</f>
        <v>330</v>
      </c>
      <c r="F64" s="238" t="n">
        <v>1</v>
      </c>
      <c r="G64" s="1" t="n">
        <v>60</v>
      </c>
      <c r="H64" s="234" t="n">
        <f aca="false">F64*10^(G64/96)</f>
        <v>4.21696503428582</v>
      </c>
      <c r="J64" s="238" t="n">
        <v>1</v>
      </c>
      <c r="K64" s="1" t="n">
        <f aca="false">K63+1</f>
        <v>60</v>
      </c>
      <c r="L64" s="239" t="n">
        <f aca="false">J64*10^(K64/192)</f>
        <v>2.05352502645715</v>
      </c>
    </row>
    <row r="65" customFormat="false" ht="15" hidden="false" customHeight="false" outlineLevel="0" collapsed="false">
      <c r="B65" s="238" t="n">
        <f aca="false">B41*10</f>
        <v>100</v>
      </c>
      <c r="D65" s="234" t="n">
        <f aca="false">D41*10</f>
        <v>360</v>
      </c>
      <c r="F65" s="238" t="n">
        <v>1</v>
      </c>
      <c r="G65" s="1" t="n">
        <v>61</v>
      </c>
      <c r="H65" s="234" t="n">
        <f aca="false">F65*10^(G65/96)</f>
        <v>4.31933279405155</v>
      </c>
      <c r="J65" s="238" t="n">
        <v>1</v>
      </c>
      <c r="K65" s="1" t="n">
        <f aca="false">K64+1</f>
        <v>61</v>
      </c>
      <c r="L65" s="239" t="n">
        <f aca="false">J65*10^(K65/192)</f>
        <v>2.07830045807904</v>
      </c>
    </row>
    <row r="66" customFormat="false" ht="15" hidden="false" customHeight="false" outlineLevel="0" collapsed="false">
      <c r="B66" s="238" t="n">
        <f aca="false">B42*10</f>
        <v>100</v>
      </c>
      <c r="D66" s="234" t="n">
        <f aca="false">D42*10</f>
        <v>390</v>
      </c>
      <c r="F66" s="238" t="n">
        <v>1</v>
      </c>
      <c r="G66" s="1" t="n">
        <v>62</v>
      </c>
      <c r="H66" s="234" t="n">
        <f aca="false">F66*10^(G66/96)</f>
        <v>4.42418555384792</v>
      </c>
      <c r="J66" s="238" t="n">
        <v>1</v>
      </c>
      <c r="K66" s="1" t="n">
        <f aca="false">K65+1</f>
        <v>62</v>
      </c>
      <c r="L66" s="239" t="n">
        <f aca="false">J66*10^(K66/192)</f>
        <v>2.10337480108703</v>
      </c>
    </row>
    <row r="67" customFormat="false" ht="15" hidden="false" customHeight="false" outlineLevel="0" collapsed="false">
      <c r="B67" s="238" t="n">
        <f aca="false">B43*10</f>
        <v>100</v>
      </c>
      <c r="D67" s="234" t="n">
        <f aca="false">D43*10</f>
        <v>430</v>
      </c>
      <c r="F67" s="238" t="n">
        <v>1</v>
      </c>
      <c r="G67" s="1" t="n">
        <v>63</v>
      </c>
      <c r="H67" s="234" t="n">
        <f aca="false">F67*10^(G67/96)</f>
        <v>4.53158363760082</v>
      </c>
      <c r="J67" s="238" t="n">
        <v>1</v>
      </c>
      <c r="K67" s="1" t="n">
        <f aca="false">K66+1</f>
        <v>63</v>
      </c>
      <c r="L67" s="239" t="n">
        <f aca="false">J67*10^(K67/192)</f>
        <v>2.12875166179637</v>
      </c>
    </row>
    <row r="68" customFormat="false" ht="15" hidden="false" customHeight="false" outlineLevel="0" collapsed="false">
      <c r="B68" s="238" t="n">
        <f aca="false">B44*10</f>
        <v>100</v>
      </c>
      <c r="D68" s="234" t="n">
        <f aca="false">D44*10</f>
        <v>470</v>
      </c>
      <c r="F68" s="238" t="n">
        <v>1</v>
      </c>
      <c r="G68" s="1" t="n">
        <v>64</v>
      </c>
      <c r="H68" s="234" t="n">
        <f aca="false">F68*10^(G68/96)</f>
        <v>4.64158883361278</v>
      </c>
      <c r="J68" s="238" t="n">
        <v>1</v>
      </c>
      <c r="K68" s="1" t="n">
        <f aca="false">K67+1</f>
        <v>64</v>
      </c>
      <c r="L68" s="239" t="n">
        <f aca="false">J68*10^(K68/192)</f>
        <v>2.15443469003188</v>
      </c>
    </row>
    <row r="69" customFormat="false" ht="15" hidden="false" customHeight="false" outlineLevel="0" collapsed="false">
      <c r="B69" s="238" t="n">
        <f aca="false">B45*10</f>
        <v>100</v>
      </c>
      <c r="D69" s="234" t="n">
        <f aca="false">D45*10</f>
        <v>510</v>
      </c>
      <c r="F69" s="238" t="n">
        <v>1</v>
      </c>
      <c r="G69" s="1" t="n">
        <v>65</v>
      </c>
      <c r="H69" s="234" t="n">
        <f aca="false">F69*10^(G69/96)</f>
        <v>4.75426443011106</v>
      </c>
      <c r="J69" s="238" t="n">
        <v>1</v>
      </c>
      <c r="K69" s="1" t="n">
        <f aca="false">K68+1</f>
        <v>65</v>
      </c>
      <c r="L69" s="239" t="n">
        <f aca="false">J69*10^(K69/192)</f>
        <v>2.18042757965291</v>
      </c>
    </row>
    <row r="70" customFormat="false" ht="15" hidden="false" customHeight="false" outlineLevel="0" collapsed="false">
      <c r="B70" s="238" t="n">
        <f aca="false">B46*10</f>
        <v>100</v>
      </c>
      <c r="D70" s="234" t="n">
        <f aca="false">D46*10</f>
        <v>560</v>
      </c>
      <c r="F70" s="238" t="n">
        <v>1</v>
      </c>
      <c r="G70" s="1" t="n">
        <v>66</v>
      </c>
      <c r="H70" s="234" t="n">
        <f aca="false">F70*10^(G70/96)</f>
        <v>4.86967525165863</v>
      </c>
      <c r="J70" s="238" t="n">
        <v>1</v>
      </c>
      <c r="K70" s="1" t="n">
        <f aca="false">K69+1</f>
        <v>66</v>
      </c>
      <c r="L70" s="239" t="n">
        <f aca="false">J70*10^(K70/192)</f>
        <v>2.20673406908459</v>
      </c>
    </row>
    <row r="71" customFormat="false" ht="15" hidden="false" customHeight="false" outlineLevel="0" collapsed="false">
      <c r="B71" s="238" t="n">
        <f aca="false">B47*10</f>
        <v>100</v>
      </c>
      <c r="D71" s="234" t="n">
        <f aca="false">D47*10</f>
        <v>620</v>
      </c>
      <c r="F71" s="238" t="n">
        <v>1</v>
      </c>
      <c r="G71" s="1" t="n">
        <v>67</v>
      </c>
      <c r="H71" s="234" t="n">
        <f aca="false">F71*10^(G71/96)</f>
        <v>4.98788769644911</v>
      </c>
      <c r="J71" s="238" t="n">
        <v>1</v>
      </c>
      <c r="K71" s="1" t="n">
        <f aca="false">K70+1</f>
        <v>67</v>
      </c>
      <c r="L71" s="239" t="n">
        <f aca="false">J71*10^(K71/192)</f>
        <v>2.23335794185552</v>
      </c>
    </row>
    <row r="72" customFormat="false" ht="15" hidden="false" customHeight="false" outlineLevel="0" collapsed="false">
      <c r="B72" s="238" t="n">
        <f aca="false">B48*10</f>
        <v>100</v>
      </c>
      <c r="D72" s="234" t="n">
        <f aca="false">D48*10</f>
        <v>680</v>
      </c>
      <c r="F72" s="238" t="n">
        <v>1</v>
      </c>
      <c r="G72" s="1" t="n">
        <v>68</v>
      </c>
      <c r="H72" s="234" t="n">
        <f aca="false">F72*10^(G72/96)</f>
        <v>5.10896977450693</v>
      </c>
      <c r="J72" s="238" t="n">
        <v>1</v>
      </c>
      <c r="K72" s="1" t="n">
        <f aca="false">K71+1</f>
        <v>68</v>
      </c>
      <c r="L72" s="239" t="n">
        <f aca="false">J72*10^(K72/192)</f>
        <v>2.26030302714192</v>
      </c>
    </row>
    <row r="73" customFormat="false" ht="15" hidden="false" customHeight="false" outlineLevel="0" collapsed="false">
      <c r="B73" s="238" t="n">
        <f aca="false">B49*10</f>
        <v>100</v>
      </c>
      <c r="D73" s="234" t="n">
        <f aca="false">D49*10</f>
        <v>750</v>
      </c>
      <c r="F73" s="238" t="n">
        <v>1</v>
      </c>
      <c r="G73" s="1" t="n">
        <v>69</v>
      </c>
      <c r="H73" s="234" t="n">
        <f aca="false">F73*10^(G73/96)</f>
        <v>5.23299114681495</v>
      </c>
      <c r="J73" s="238" t="n">
        <v>1</v>
      </c>
      <c r="K73" s="1" t="n">
        <f aca="false">K72+1</f>
        <v>69</v>
      </c>
      <c r="L73" s="239" t="n">
        <f aca="false">J73*10^(K73/192)</f>
        <v>2.2875732003184</v>
      </c>
    </row>
    <row r="74" customFormat="false" ht="15" hidden="false" customHeight="false" outlineLevel="0" collapsed="false">
      <c r="B74" s="238" t="n">
        <f aca="false">B50*10</f>
        <v>100</v>
      </c>
      <c r="D74" s="234" t="n">
        <f aca="false">D50*10</f>
        <v>820</v>
      </c>
      <c r="F74" s="238" t="n">
        <v>1</v>
      </c>
      <c r="G74" s="1" t="n">
        <v>70</v>
      </c>
      <c r="H74" s="234" t="n">
        <f aca="false">F74*10^(G74/96)</f>
        <v>5.36002316539179</v>
      </c>
      <c r="J74" s="238" t="n">
        <v>1</v>
      </c>
      <c r="K74" s="1" t="n">
        <f aca="false">K73+1</f>
        <v>70</v>
      </c>
      <c r="L74" s="239" t="n">
        <f aca="false">J74*10^(K74/192)</f>
        <v>2.31517238351527</v>
      </c>
    </row>
    <row r="75" customFormat="false" ht="15" hidden="false" customHeight="false" outlineLevel="0" collapsed="false">
      <c r="B75" s="238" t="n">
        <f aca="false">B51*10</f>
        <v>100</v>
      </c>
      <c r="D75" s="234" t="n">
        <f aca="false">D51*10</f>
        <v>910</v>
      </c>
      <c r="F75" s="238" t="n">
        <v>1</v>
      </c>
      <c r="G75" s="1" t="n">
        <v>71</v>
      </c>
      <c r="H75" s="234" t="n">
        <f aca="false">F75*10^(G75/96)</f>
        <v>5.49013891434214</v>
      </c>
      <c r="J75" s="238" t="n">
        <v>1</v>
      </c>
      <c r="K75" s="1" t="n">
        <f aca="false">K74+1</f>
        <v>71</v>
      </c>
      <c r="L75" s="239" t="n">
        <f aca="false">J75*10^(K75/192)</f>
        <v>2.34310454618272</v>
      </c>
    </row>
    <row r="76" customFormat="false" ht="15" hidden="false" customHeight="false" outlineLevel="0" collapsed="false">
      <c r="B76" s="238" t="n">
        <f aca="false">B52*10</f>
        <v>100</v>
      </c>
      <c r="D76" s="234" t="n">
        <f aca="false">D52*10</f>
        <v>1000</v>
      </c>
      <c r="F76" s="238" t="n">
        <v>1</v>
      </c>
      <c r="G76" s="1" t="n">
        <v>72</v>
      </c>
      <c r="H76" s="234" t="n">
        <f aca="false">F76*10^(G76/96)</f>
        <v>5.62341325190349</v>
      </c>
      <c r="J76" s="238" t="n">
        <v>1</v>
      </c>
      <c r="K76" s="1" t="n">
        <f aca="false">K75+1</f>
        <v>72</v>
      </c>
      <c r="L76" s="239" t="n">
        <f aca="false">J76*10^(K76/192)</f>
        <v>2.37137370566166</v>
      </c>
    </row>
    <row r="77" customFormat="false" ht="15" hidden="false" customHeight="false" outlineLevel="0" collapsed="false">
      <c r="B77" s="238" t="n">
        <f aca="false">B53*10</f>
        <v>1000</v>
      </c>
      <c r="D77" s="234" t="n">
        <f aca="false">D53*10</f>
        <v>1100</v>
      </c>
      <c r="F77" s="238" t="n">
        <v>1</v>
      </c>
      <c r="G77" s="1" t="n">
        <v>73</v>
      </c>
      <c r="H77" s="234" t="n">
        <f aca="false">F77*10^(G77/96)</f>
        <v>5.75992285351363</v>
      </c>
      <c r="J77" s="238" t="n">
        <v>1</v>
      </c>
      <c r="K77" s="1" t="n">
        <f aca="false">K76+1</f>
        <v>73</v>
      </c>
      <c r="L77" s="239" t="n">
        <f aca="false">J77*10^(K77/192)</f>
        <v>2.39998392776152</v>
      </c>
    </row>
    <row r="78" customFormat="false" ht="15" hidden="false" customHeight="false" outlineLevel="0" collapsed="false">
      <c r="B78" s="238" t="n">
        <f aca="false">B54*10</f>
        <v>1000</v>
      </c>
      <c r="D78" s="234" t="n">
        <f aca="false">D54*10</f>
        <v>1200</v>
      </c>
      <c r="F78" s="238" t="n">
        <v>1</v>
      </c>
      <c r="G78" s="1" t="n">
        <v>74</v>
      </c>
      <c r="H78" s="234" t="n">
        <f aca="false">F78*10^(G78/96)</f>
        <v>5.89974625592356</v>
      </c>
      <c r="J78" s="238" t="n">
        <v>1</v>
      </c>
      <c r="K78" s="1" t="n">
        <f aca="false">K77+1</f>
        <v>74</v>
      </c>
      <c r="L78" s="239" t="n">
        <f aca="false">J78*10^(K78/192)</f>
        <v>2.42893932734508</v>
      </c>
    </row>
    <row r="79" customFormat="false" ht="15" hidden="false" customHeight="false" outlineLevel="0" collapsed="false">
      <c r="B79" s="238" t="n">
        <f aca="false">B55*10</f>
        <v>1000</v>
      </c>
      <c r="D79" s="234" t="n">
        <f aca="false">D55*10</f>
        <v>1300</v>
      </c>
      <c r="F79" s="238" t="n">
        <v>1</v>
      </c>
      <c r="G79" s="1" t="n">
        <v>75</v>
      </c>
      <c r="H79" s="234" t="n">
        <f aca="false">F79*10^(G79/96)</f>
        <v>6.04296390238133</v>
      </c>
      <c r="J79" s="238" t="n">
        <v>1</v>
      </c>
      <c r="K79" s="1" t="n">
        <f aca="false">K78+1</f>
        <v>75</v>
      </c>
      <c r="L79" s="239" t="n">
        <f aca="false">J79*10^(K79/192)</f>
        <v>2.4582440689202</v>
      </c>
    </row>
    <row r="80" customFormat="false" ht="15" hidden="false" customHeight="false" outlineLevel="0" collapsed="false">
      <c r="B80" s="238" t="n">
        <f aca="false">B56*10</f>
        <v>1000</v>
      </c>
      <c r="D80" s="234" t="n">
        <f aca="false">D56*10</f>
        <v>1500</v>
      </c>
      <c r="F80" s="238" t="n">
        <v>1</v>
      </c>
      <c r="G80" s="1" t="n">
        <v>76</v>
      </c>
      <c r="H80" s="234" t="n">
        <f aca="false">F80*10^(G80/96)</f>
        <v>6.18965818891261</v>
      </c>
      <c r="J80" s="238" t="n">
        <v>1</v>
      </c>
      <c r="K80" s="1" t="n">
        <f aca="false">K79+1</f>
        <v>76</v>
      </c>
      <c r="L80" s="239" t="n">
        <f aca="false">J80*10^(K80/192)</f>
        <v>2.48790236723884</v>
      </c>
    </row>
    <row r="81" customFormat="false" ht="15" hidden="false" customHeight="false" outlineLevel="0" collapsed="false">
      <c r="B81" s="238" t="n">
        <f aca="false">B57*10</f>
        <v>1000</v>
      </c>
      <c r="D81" s="234" t="n">
        <f aca="false">D57*10</f>
        <v>1600</v>
      </c>
      <c r="F81" s="238" t="n">
        <v>1</v>
      </c>
      <c r="G81" s="1" t="n">
        <v>77</v>
      </c>
      <c r="H81" s="234" t="n">
        <f aca="false">F81*10^(G81/96)</f>
        <v>6.33991351172485</v>
      </c>
      <c r="J81" s="238" t="n">
        <v>1</v>
      </c>
      <c r="K81" s="1" t="n">
        <f aca="false">K80+1</f>
        <v>77</v>
      </c>
      <c r="L81" s="239" t="n">
        <f aca="false">J81*10^(K81/192)</f>
        <v>2.51791848790322</v>
      </c>
    </row>
    <row r="82" customFormat="false" ht="15" hidden="false" customHeight="false" outlineLevel="0" collapsed="false">
      <c r="B82" s="238" t="n">
        <f aca="false">B58*10</f>
        <v>1000</v>
      </c>
      <c r="D82" s="234" t="n">
        <f aca="false">D58*10</f>
        <v>1800</v>
      </c>
      <c r="F82" s="238" t="n">
        <v>1</v>
      </c>
      <c r="G82" s="1" t="n">
        <v>78</v>
      </c>
      <c r="H82" s="234" t="n">
        <f aca="false">F82*10^(G82/96)</f>
        <v>6.49381631576211</v>
      </c>
      <c r="J82" s="238" t="n">
        <v>1</v>
      </c>
      <c r="K82" s="1" t="n">
        <f aca="false">K81+1</f>
        <v>78</v>
      </c>
      <c r="L82" s="239" t="n">
        <f aca="false">J82*10^(K82/192)</f>
        <v>2.54829674797935</v>
      </c>
    </row>
    <row r="83" customFormat="false" ht="15" hidden="false" customHeight="false" outlineLevel="0" collapsed="false">
      <c r="B83" s="238" t="n">
        <f aca="false">B59*10</f>
        <v>1000</v>
      </c>
      <c r="D83" s="234" t="n">
        <f aca="false">D59*10</f>
        <v>2000</v>
      </c>
      <c r="F83" s="238" t="n">
        <v>1</v>
      </c>
      <c r="G83" s="1" t="n">
        <v>79</v>
      </c>
      <c r="H83" s="234" t="n">
        <f aca="false">F83*10^(G83/96)</f>
        <v>6.65145514443863</v>
      </c>
      <c r="J83" s="238" t="n">
        <v>1</v>
      </c>
      <c r="K83" s="1" t="n">
        <f aca="false">K82+1</f>
        <v>79</v>
      </c>
      <c r="L83" s="239" t="n">
        <f aca="false">J83*10^(K83/192)</f>
        <v>2.57904151661788</v>
      </c>
    </row>
    <row r="84" customFormat="false" ht="15" hidden="false" customHeight="false" outlineLevel="0" collapsed="false">
      <c r="B84" s="238" t="n">
        <f aca="false">B60*10</f>
        <v>1000</v>
      </c>
      <c r="D84" s="234" t="n">
        <f aca="false">D60*10</f>
        <v>2200</v>
      </c>
      <c r="F84" s="238" t="n">
        <v>1</v>
      </c>
      <c r="G84" s="1" t="n">
        <v>80</v>
      </c>
      <c r="H84" s="234" t="n">
        <f aca="false">F84*10^(G84/96)</f>
        <v>6.81292069057961</v>
      </c>
      <c r="J84" s="238" t="n">
        <v>1</v>
      </c>
      <c r="K84" s="1" t="n">
        <f aca="false">K83+1</f>
        <v>80</v>
      </c>
      <c r="L84" s="239" t="n">
        <f aca="false">J84*10^(K84/192)</f>
        <v>2.61015721568254</v>
      </c>
    </row>
    <row r="85" customFormat="false" ht="15" hidden="false" customHeight="false" outlineLevel="0" collapsed="false">
      <c r="B85" s="238" t="n">
        <f aca="false">B61*10</f>
        <v>1000</v>
      </c>
      <c r="D85" s="234" t="n">
        <f aca="false">D61*10</f>
        <v>2400</v>
      </c>
      <c r="F85" s="238" t="n">
        <v>1</v>
      </c>
      <c r="G85" s="1" t="n">
        <v>81</v>
      </c>
      <c r="H85" s="234" t="n">
        <f aca="false">F85*10^(G85/96)</f>
        <v>6.97830584859866</v>
      </c>
      <c r="J85" s="238" t="n">
        <v>1</v>
      </c>
      <c r="K85" s="1" t="n">
        <f aca="false">K84+1</f>
        <v>81</v>
      </c>
      <c r="L85" s="239" t="n">
        <f aca="false">J85*10^(K85/192)</f>
        <v>2.64164832038609</v>
      </c>
    </row>
    <row r="86" customFormat="false" ht="15" hidden="false" customHeight="false" outlineLevel="0" collapsed="false">
      <c r="B86" s="238" t="n">
        <f aca="false">B62*10</f>
        <v>1000</v>
      </c>
      <c r="D86" s="234" t="n">
        <f aca="false">D62*10</f>
        <v>2700</v>
      </c>
      <c r="F86" s="238" t="n">
        <v>1</v>
      </c>
      <c r="G86" s="1" t="n">
        <v>82</v>
      </c>
      <c r="H86" s="234" t="n">
        <f aca="false">F86*10^(G86/96)</f>
        <v>7.14770576794186</v>
      </c>
      <c r="J86" s="238" t="n">
        <v>1</v>
      </c>
      <c r="K86" s="1" t="n">
        <f aca="false">K85+1</f>
        <v>82</v>
      </c>
      <c r="L86" s="239" t="n">
        <f aca="false">J86*10^(K86/192)</f>
        <v>2.67351935993399</v>
      </c>
    </row>
    <row r="87" customFormat="false" ht="15" hidden="false" customHeight="false" outlineLevel="0" collapsed="false">
      <c r="B87" s="238" t="n">
        <f aca="false">B63*10</f>
        <v>1000</v>
      </c>
      <c r="D87" s="234" t="n">
        <f aca="false">D63*10</f>
        <v>3000</v>
      </c>
      <c r="F87" s="238" t="n">
        <v>1</v>
      </c>
      <c r="G87" s="1" t="n">
        <v>83</v>
      </c>
      <c r="H87" s="234" t="n">
        <f aca="false">F87*10^(G87/96)</f>
        <v>7.32121790782913</v>
      </c>
      <c r="J87" s="238" t="n">
        <v>1</v>
      </c>
      <c r="K87" s="1" t="n">
        <f aca="false">K86+1</f>
        <v>83</v>
      </c>
      <c r="L87" s="239" t="n">
        <f aca="false">J87*10^(K87/192)</f>
        <v>2.70577491817578</v>
      </c>
    </row>
    <row r="88" customFormat="false" ht="15" hidden="false" customHeight="false" outlineLevel="0" collapsed="false">
      <c r="B88" s="238" t="n">
        <f aca="false">B64*10</f>
        <v>1000</v>
      </c>
      <c r="D88" s="234" t="n">
        <f aca="false">D64*10</f>
        <v>3300</v>
      </c>
      <c r="F88" s="238" t="n">
        <v>1</v>
      </c>
      <c r="G88" s="1" t="n">
        <v>84</v>
      </c>
      <c r="H88" s="234" t="n">
        <f aca="false">F88*10^(G88/96)</f>
        <v>7.49894209332456</v>
      </c>
      <c r="J88" s="238" t="n">
        <v>1</v>
      </c>
      <c r="K88" s="1" t="n">
        <f aca="false">K87+1</f>
        <v>84</v>
      </c>
      <c r="L88" s="239" t="n">
        <f aca="false">J88*10^(K88/192)</f>
        <v>2.73841963426436</v>
      </c>
    </row>
    <row r="89" customFormat="false" ht="15" hidden="false" customHeight="false" outlineLevel="0" collapsed="false">
      <c r="B89" s="238" t="n">
        <f aca="false">B65*10</f>
        <v>1000</v>
      </c>
      <c r="D89" s="234" t="n">
        <f aca="false">D65*10</f>
        <v>3600</v>
      </c>
      <c r="F89" s="238" t="n">
        <v>1</v>
      </c>
      <c r="G89" s="1" t="n">
        <v>85</v>
      </c>
      <c r="H89" s="234" t="n">
        <f aca="false">F89*10^(G89/96)</f>
        <v>7.68098057276775</v>
      </c>
      <c r="J89" s="238" t="n">
        <v>1</v>
      </c>
      <c r="K89" s="1" t="n">
        <f aca="false">K88+1</f>
        <v>85</v>
      </c>
      <c r="L89" s="239" t="n">
        <f aca="false">J89*10^(K89/192)</f>
        <v>2.77145820332325</v>
      </c>
    </row>
    <row r="90" customFormat="false" ht="15" hidden="false" customHeight="false" outlineLevel="0" collapsed="false">
      <c r="B90" s="238" t="n">
        <f aca="false">B66*10</f>
        <v>1000</v>
      </c>
      <c r="D90" s="234" t="n">
        <f aca="false">D66*10</f>
        <v>3900</v>
      </c>
      <c r="F90" s="238" t="n">
        <v>1</v>
      </c>
      <c r="G90" s="1" t="n">
        <v>86</v>
      </c>
      <c r="H90" s="234" t="n">
        <f aca="false">F90*10^(G90/96)</f>
        <v>7.8674380765994</v>
      </c>
      <c r="J90" s="238" t="n">
        <v>1</v>
      </c>
      <c r="K90" s="1" t="n">
        <f aca="false">K89+1</f>
        <v>86</v>
      </c>
      <c r="L90" s="239" t="n">
        <f aca="false">J90*10^(K90/192)</f>
        <v>2.80489537712183</v>
      </c>
    </row>
    <row r="91" customFormat="false" ht="15" hidden="false" customHeight="false" outlineLevel="0" collapsed="false">
      <c r="B91" s="238" t="n">
        <f aca="false">B67*10</f>
        <v>1000</v>
      </c>
      <c r="D91" s="234" t="n">
        <f aca="false">D67*10</f>
        <v>4300</v>
      </c>
      <c r="F91" s="238" t="n">
        <v>1</v>
      </c>
      <c r="G91" s="1" t="n">
        <v>87</v>
      </c>
      <c r="H91" s="234" t="n">
        <f aca="false">F91*10^(G91/96)</f>
        <v>8.05842187761482</v>
      </c>
      <c r="J91" s="238" t="n">
        <v>1</v>
      </c>
      <c r="K91" s="1" t="n">
        <f aca="false">K90+1</f>
        <v>87</v>
      </c>
      <c r="L91" s="239" t="n">
        <f aca="false">J91*10^(K91/192)</f>
        <v>2.83873596475876</v>
      </c>
    </row>
    <row r="92" customFormat="false" ht="15" hidden="false" customHeight="false" outlineLevel="0" collapsed="false">
      <c r="B92" s="238" t="n">
        <f aca="false">B68*10</f>
        <v>1000</v>
      </c>
      <c r="D92" s="234" t="n">
        <f aca="false">D68*10</f>
        <v>4700</v>
      </c>
      <c r="F92" s="238" t="n">
        <v>1</v>
      </c>
      <c r="G92" s="1" t="n">
        <v>88</v>
      </c>
      <c r="H92" s="234" t="n">
        <f aca="false">F92*10^(G92/96)</f>
        <v>8.25404185268018</v>
      </c>
      <c r="J92" s="238" t="n">
        <v>1</v>
      </c>
      <c r="K92" s="1" t="n">
        <f aca="false">K91+1</f>
        <v>88</v>
      </c>
      <c r="L92" s="239" t="n">
        <f aca="false">J92*10^(K92/192)</f>
        <v>2.87298483335366</v>
      </c>
    </row>
    <row r="93" customFormat="false" ht="15" hidden="false" customHeight="false" outlineLevel="0" collapsed="false">
      <c r="B93" s="238" t="n">
        <f aca="false">B69*10</f>
        <v>1000</v>
      </c>
      <c r="D93" s="234" t="n">
        <f aca="false">D69*10</f>
        <v>5100</v>
      </c>
      <c r="F93" s="238" t="n">
        <v>1</v>
      </c>
      <c r="G93" s="1" t="n">
        <v>89</v>
      </c>
      <c r="H93" s="234" t="n">
        <f aca="false">F93*10^(G93/96)</f>
        <v>8.45441054594692</v>
      </c>
      <c r="J93" s="238" t="n">
        <v>1</v>
      </c>
      <c r="K93" s="1" t="n">
        <f aca="false">K92+1</f>
        <v>89</v>
      </c>
      <c r="L93" s="239" t="n">
        <f aca="false">J93*10^(K93/192)</f>
        <v>2.90764690874716</v>
      </c>
    </row>
    <row r="94" customFormat="false" ht="15" hidden="false" customHeight="false" outlineLevel="0" collapsed="false">
      <c r="B94" s="238" t="n">
        <f aca="false">B70*10</f>
        <v>1000</v>
      </c>
      <c r="D94" s="234" t="n">
        <f aca="false">D70*10</f>
        <v>5600</v>
      </c>
      <c r="F94" s="238" t="n">
        <v>1</v>
      </c>
      <c r="G94" s="1" t="n">
        <v>90</v>
      </c>
      <c r="H94" s="234" t="n">
        <f aca="false">F94*10^(G94/96)</f>
        <v>8.65964323360065</v>
      </c>
      <c r="J94" s="238" t="n">
        <v>1</v>
      </c>
      <c r="K94" s="1" t="n">
        <f aca="false">K93+1</f>
        <v>90</v>
      </c>
      <c r="L94" s="239" t="n">
        <f aca="false">J94*10^(K94/192)</f>
        <v>2.94272717620928</v>
      </c>
    </row>
    <row r="95" customFormat="false" ht="15" hidden="false" customHeight="false" outlineLevel="0" collapsed="false">
      <c r="B95" s="238" t="n">
        <f aca="false">B71*10</f>
        <v>1000</v>
      </c>
      <c r="D95" s="234" t="n">
        <f aca="false">D71*10</f>
        <v>6200</v>
      </c>
      <c r="F95" s="238" t="n">
        <v>1</v>
      </c>
      <c r="G95" s="1" t="n">
        <v>91</v>
      </c>
      <c r="H95" s="234" t="n">
        <f aca="false">F95*10^(G95/96)</f>
        <v>8.86985799018192</v>
      </c>
      <c r="J95" s="238" t="n">
        <v>1</v>
      </c>
      <c r="K95" s="1" t="n">
        <f aca="false">K94+1</f>
        <v>91</v>
      </c>
      <c r="L95" s="239" t="n">
        <f aca="false">J95*10^(K95/192)</f>
        <v>2.9782306811565</v>
      </c>
    </row>
    <row r="96" customFormat="false" ht="15" hidden="false" customHeight="false" outlineLevel="0" collapsed="false">
      <c r="B96" s="238" t="n">
        <f aca="false">B72*10</f>
        <v>1000</v>
      </c>
      <c r="D96" s="234" t="n">
        <f aca="false">D72*10</f>
        <v>6800</v>
      </c>
      <c r="F96" s="238" t="n">
        <v>1</v>
      </c>
      <c r="G96" s="1" t="n">
        <v>92</v>
      </c>
      <c r="H96" s="234" t="n">
        <f aca="false">F96*10^(G96/96)</f>
        <v>9.08517575651687</v>
      </c>
      <c r="J96" s="238" t="n">
        <v>1</v>
      </c>
      <c r="K96" s="1" t="n">
        <f aca="false">K95+1</f>
        <v>92</v>
      </c>
      <c r="L96" s="239" t="n">
        <f aca="false">J96*10^(K96/192)</f>
        <v>3.01416252987739</v>
      </c>
    </row>
    <row r="97" customFormat="false" ht="15" hidden="false" customHeight="false" outlineLevel="0" collapsed="false">
      <c r="B97" s="238" t="n">
        <f aca="false">B73*10</f>
        <v>1000</v>
      </c>
      <c r="D97" s="234" t="n">
        <f aca="false">D73*10</f>
        <v>7500</v>
      </c>
      <c r="F97" s="238" t="n">
        <v>1</v>
      </c>
      <c r="G97" s="1" t="n">
        <v>93</v>
      </c>
      <c r="H97" s="234" t="n">
        <f aca="false">F97*10^(G97/96)</f>
        <v>9.30572040929699</v>
      </c>
      <c r="J97" s="238" t="n">
        <v>1</v>
      </c>
      <c r="K97" s="1" t="n">
        <f aca="false">K96+1</f>
        <v>93</v>
      </c>
      <c r="L97" s="239" t="n">
        <f aca="false">J97*10^(K97/192)</f>
        <v>3.05052789026703</v>
      </c>
    </row>
    <row r="98" customFormat="false" ht="15" hidden="false" customHeight="false" outlineLevel="0" collapsed="false">
      <c r="B98" s="238" t="n">
        <f aca="false">B74*10</f>
        <v>1000</v>
      </c>
      <c r="D98" s="234" t="n">
        <f aca="false">D74*10</f>
        <v>8200</v>
      </c>
      <c r="F98" s="238" t="n">
        <v>1</v>
      </c>
      <c r="G98" s="1" t="n">
        <v>94</v>
      </c>
      <c r="H98" s="234" t="n">
        <f aca="false">F98*10^(G98/96)</f>
        <v>9.53161883234787</v>
      </c>
      <c r="J98" s="238" t="n">
        <v>1</v>
      </c>
      <c r="K98" s="1" t="n">
        <f aca="false">K97+1</f>
        <v>94</v>
      </c>
      <c r="L98" s="239" t="n">
        <f aca="false">J98*10^(K98/192)</f>
        <v>3.08733199257026</v>
      </c>
    </row>
    <row r="99" customFormat="false" ht="15" hidden="false" customHeight="false" outlineLevel="0" collapsed="false">
      <c r="B99" s="238" t="n">
        <f aca="false">B75*10</f>
        <v>1000</v>
      </c>
      <c r="D99" s="234" t="n">
        <f aca="false">D75*10</f>
        <v>9100</v>
      </c>
      <c r="F99" s="238" t="n">
        <v>1</v>
      </c>
      <c r="G99" s="1" t="n">
        <v>95</v>
      </c>
      <c r="H99" s="234" t="n">
        <f aca="false">F99*10^(G99/96)</f>
        <v>9.76300098962808</v>
      </c>
      <c r="J99" s="238" t="n">
        <v>1</v>
      </c>
      <c r="K99" s="1" t="n">
        <f aca="false">K98+1</f>
        <v>95</v>
      </c>
      <c r="L99" s="239" t="n">
        <f aca="false">J99*10^(K99/192)</f>
        <v>3.12458013013398</v>
      </c>
    </row>
    <row r="100" customFormat="false" ht="15" hidden="false" customHeight="false" outlineLevel="0" collapsed="false">
      <c r="B100" s="238" t="n">
        <f aca="false">B76*10</f>
        <v>1000</v>
      </c>
      <c r="D100" s="234" t="n">
        <f aca="false">D76*10</f>
        <v>10000</v>
      </c>
      <c r="F100" s="238" t="n">
        <v>1</v>
      </c>
      <c r="G100" s="1" t="n">
        <v>96</v>
      </c>
      <c r="H100" s="234" t="n">
        <f aca="false">F100*10^(G100/96)</f>
        <v>10</v>
      </c>
      <c r="J100" s="238" t="n">
        <v>1</v>
      </c>
      <c r="K100" s="1" t="n">
        <f aca="false">K99+1</f>
        <v>96</v>
      </c>
      <c r="L100" s="239" t="n">
        <f aca="false">J100*10^(K100/192)</f>
        <v>3.16227766016838</v>
      </c>
    </row>
    <row r="101" customFormat="false" ht="15" hidden="false" customHeight="false" outlineLevel="0" collapsed="false">
      <c r="B101" s="238" t="n">
        <f aca="false">B77*10</f>
        <v>10000</v>
      </c>
      <c r="D101" s="234" t="n">
        <f aca="false">D77*10</f>
        <v>11000</v>
      </c>
      <c r="F101" s="238" t="n">
        <v>10</v>
      </c>
      <c r="G101" s="1" t="n">
        <v>1</v>
      </c>
      <c r="H101" s="234" t="n">
        <f aca="false">F101*10^(G101/96)</f>
        <v>10.2427522138159</v>
      </c>
      <c r="J101" s="238" t="n">
        <v>1</v>
      </c>
      <c r="K101" s="1" t="n">
        <f aca="false">K100+1</f>
        <v>97</v>
      </c>
      <c r="L101" s="239" t="n">
        <f aca="false">J101*10^(K101/192)</f>
        <v>3.20043000451751</v>
      </c>
    </row>
    <row r="102" customFormat="false" ht="15" hidden="false" customHeight="false" outlineLevel="0" collapsed="false">
      <c r="B102" s="238" t="n">
        <f aca="false">B78*10</f>
        <v>10000</v>
      </c>
      <c r="D102" s="234" t="n">
        <f aca="false">D78*10</f>
        <v>12000</v>
      </c>
      <c r="F102" s="238" t="n">
        <v>10</v>
      </c>
      <c r="G102" s="1" t="n">
        <v>2</v>
      </c>
      <c r="H102" s="234" t="n">
        <f aca="false">F102*10^(G102/96)</f>
        <v>10.4913972913631</v>
      </c>
      <c r="J102" s="238" t="n">
        <v>1</v>
      </c>
      <c r="K102" s="1" t="n">
        <f aca="false">K101+1</f>
        <v>98</v>
      </c>
      <c r="L102" s="239" t="n">
        <f aca="false">J102*10^(K102/192)</f>
        <v>3.23904265043903</v>
      </c>
    </row>
    <row r="103" customFormat="false" ht="15" hidden="false" customHeight="false" outlineLevel="0" collapsed="false">
      <c r="B103" s="238" t="n">
        <f aca="false">B79*10</f>
        <v>10000</v>
      </c>
      <c r="D103" s="234" t="n">
        <f aca="false">D79*10</f>
        <v>13000</v>
      </c>
      <c r="F103" s="238" t="n">
        <v>10</v>
      </c>
      <c r="G103" s="1" t="n">
        <v>3</v>
      </c>
      <c r="H103" s="234" t="n">
        <f aca="false">F103*10^(G103/96)</f>
        <v>10.7460782832132</v>
      </c>
      <c r="J103" s="238" t="n">
        <v>1</v>
      </c>
      <c r="K103" s="1" t="n">
        <f aca="false">K102+1</f>
        <v>99</v>
      </c>
      <c r="L103" s="239" t="n">
        <f aca="false">J103*10^(K103/192)</f>
        <v>3.27812115139346</v>
      </c>
    </row>
    <row r="104" customFormat="false" ht="15" hidden="false" customHeight="false" outlineLevel="0" collapsed="false">
      <c r="B104" s="238" t="n">
        <f aca="false">B80*10</f>
        <v>10000</v>
      </c>
      <c r="D104" s="234" t="n">
        <f aca="false">D80*10</f>
        <v>15000</v>
      </c>
      <c r="F104" s="238" t="n">
        <v>10</v>
      </c>
      <c r="G104" s="1" t="n">
        <v>4</v>
      </c>
      <c r="H104" s="234" t="n">
        <f aca="false">F104*10^(G104/96)</f>
        <v>11.0069417125221</v>
      </c>
      <c r="J104" s="238" t="n">
        <v>1</v>
      </c>
      <c r="K104" s="1" t="n">
        <f aca="false">K103+1</f>
        <v>100</v>
      </c>
      <c r="L104" s="239" t="n">
        <f aca="false">J104*10^(K104/192)</f>
        <v>3.31767112784286</v>
      </c>
    </row>
    <row r="105" customFormat="false" ht="15" hidden="false" customHeight="false" outlineLevel="0" collapsed="false">
      <c r="B105" s="238" t="n">
        <f aca="false">B81*10</f>
        <v>10000</v>
      </c>
      <c r="D105" s="234" t="n">
        <f aca="false">D81*10</f>
        <v>16000</v>
      </c>
      <c r="F105" s="238" t="n">
        <v>10</v>
      </c>
      <c r="G105" s="1" t="n">
        <v>5</v>
      </c>
      <c r="H105" s="234" t="n">
        <f aca="false">F105*10^(G105/96)</f>
        <v>11.2741376593279</v>
      </c>
      <c r="J105" s="238" t="n">
        <v>1</v>
      </c>
      <c r="K105" s="1" t="n">
        <f aca="false">K104+1</f>
        <v>101</v>
      </c>
      <c r="L105" s="239" t="n">
        <f aca="false">J105*10^(K105/192)</f>
        <v>3.35769826805922</v>
      </c>
    </row>
    <row r="106" customFormat="false" ht="15" hidden="false" customHeight="false" outlineLevel="0" collapsed="false">
      <c r="B106" s="238" t="n">
        <f aca="false">B82*10</f>
        <v>10000</v>
      </c>
      <c r="D106" s="234" t="n">
        <f aca="false">D82*10</f>
        <v>18000</v>
      </c>
      <c r="F106" s="238" t="n">
        <v>10</v>
      </c>
      <c r="G106" s="1" t="n">
        <v>6</v>
      </c>
      <c r="H106" s="234" t="n">
        <f aca="false">F106*10^(G106/96)</f>
        <v>11.5478198468946</v>
      </c>
      <c r="J106" s="238" t="n">
        <v>1</v>
      </c>
      <c r="K106" s="1" t="n">
        <f aca="false">K105+1</f>
        <v>102</v>
      </c>
      <c r="L106" s="239" t="n">
        <f aca="false">J106*10^(K106/192)</f>
        <v>3.39820832894256</v>
      </c>
    </row>
    <row r="107" customFormat="false" ht="15" hidden="false" customHeight="false" outlineLevel="0" collapsed="false">
      <c r="B107" s="238" t="n">
        <f aca="false">B83*10</f>
        <v>10000</v>
      </c>
      <c r="D107" s="234" t="n">
        <f aca="false">D83*10</f>
        <v>20000</v>
      </c>
      <c r="F107" s="238" t="n">
        <v>10</v>
      </c>
      <c r="G107" s="1" t="n">
        <v>7</v>
      </c>
      <c r="H107" s="234" t="n">
        <f aca="false">F107*10^(G107/96)</f>
        <v>11.8281457301527</v>
      </c>
      <c r="J107" s="238" t="n">
        <v>1</v>
      </c>
      <c r="K107" s="1" t="n">
        <f aca="false">K106+1</f>
        <v>103</v>
      </c>
      <c r="L107" s="239" t="n">
        <f aca="false">J107*10^(K107/192)</f>
        <v>3.43920713684894</v>
      </c>
    </row>
    <row r="108" customFormat="false" ht="15" hidden="false" customHeight="false" outlineLevel="0" collapsed="false">
      <c r="B108" s="238" t="n">
        <f aca="false">B84*10</f>
        <v>10000</v>
      </c>
      <c r="D108" s="234" t="n">
        <f aca="false">D84*10</f>
        <v>22000</v>
      </c>
      <c r="F108" s="238" t="n">
        <v>10</v>
      </c>
      <c r="G108" s="1" t="n">
        <v>8</v>
      </c>
      <c r="H108" s="234" t="n">
        <f aca="false">F108*10^(G108/96)</f>
        <v>12.1152765862859</v>
      </c>
      <c r="J108" s="238" t="n">
        <v>1</v>
      </c>
      <c r="K108" s="1" t="n">
        <f aca="false">K107+1</f>
        <v>104</v>
      </c>
      <c r="L108" s="239" t="n">
        <f aca="false">J108*10^(K108/192)</f>
        <v>3.48070058842841</v>
      </c>
    </row>
    <row r="109" customFormat="false" ht="15" hidden="false" customHeight="false" outlineLevel="0" collapsed="false">
      <c r="B109" s="238" t="n">
        <f aca="false">B85*10</f>
        <v>10000</v>
      </c>
      <c r="D109" s="234" t="n">
        <f aca="false">D85*10</f>
        <v>24000</v>
      </c>
      <c r="F109" s="238" t="n">
        <v>10</v>
      </c>
      <c r="G109" s="1" t="n">
        <v>9</v>
      </c>
      <c r="H109" s="234" t="n">
        <f aca="false">F109*10^(G109/96)</f>
        <v>12.4093776075172</v>
      </c>
      <c r="J109" s="238" t="n">
        <v>1</v>
      </c>
      <c r="K109" s="1" t="n">
        <f aca="false">K108+1</f>
        <v>105</v>
      </c>
      <c r="L109" s="239" t="n">
        <f aca="false">J109*10^(K109/192)</f>
        <v>3.5226946514731</v>
      </c>
    </row>
    <row r="110" customFormat="false" ht="15" hidden="false" customHeight="false" outlineLevel="0" collapsed="false">
      <c r="B110" s="238" t="n">
        <f aca="false">B86*10</f>
        <v>10000</v>
      </c>
      <c r="D110" s="234" t="n">
        <f aca="false">D86*10</f>
        <v>27000</v>
      </c>
      <c r="F110" s="238" t="n">
        <v>10</v>
      </c>
      <c r="G110" s="1" t="n">
        <v>10</v>
      </c>
      <c r="H110" s="234" t="n">
        <f aca="false">F110*10^(G110/96)</f>
        <v>12.7106179961474</v>
      </c>
      <c r="J110" s="238" t="n">
        <v>1</v>
      </c>
      <c r="K110" s="1" t="n">
        <f aca="false">K109+1</f>
        <v>106</v>
      </c>
      <c r="L110" s="239" t="n">
        <f aca="false">J110*10^(K110/192)</f>
        <v>3.56519536577555</v>
      </c>
    </row>
    <row r="111" customFormat="false" ht="15" hidden="false" customHeight="false" outlineLevel="0" collapsed="false">
      <c r="B111" s="238" t="n">
        <f aca="false">B87*10</f>
        <v>10000</v>
      </c>
      <c r="D111" s="234" t="n">
        <f aca="false">D87*10</f>
        <v>30000</v>
      </c>
      <c r="F111" s="238" t="n">
        <v>10</v>
      </c>
      <c r="G111" s="1" t="n">
        <v>11</v>
      </c>
      <c r="H111" s="234" t="n">
        <f aca="false">F111*10^(G111/96)</f>
        <v>13.0191710619008</v>
      </c>
      <c r="J111" s="238" t="n">
        <v>1</v>
      </c>
      <c r="K111" s="1" t="n">
        <f aca="false">K110+1</f>
        <v>107</v>
      </c>
      <c r="L111" s="239" t="n">
        <f aca="false">J111*10^(K111/192)</f>
        <v>3.60820884399736</v>
      </c>
    </row>
    <row r="112" customFormat="false" ht="15" hidden="false" customHeight="false" outlineLevel="0" collapsed="false">
      <c r="B112" s="238" t="n">
        <f aca="false">B88*10</f>
        <v>10000</v>
      </c>
      <c r="D112" s="234" t="n">
        <f aca="false">D88*10</f>
        <v>33000</v>
      </c>
      <c r="F112" s="238" t="n">
        <v>10</v>
      </c>
      <c r="G112" s="1" t="n">
        <v>12</v>
      </c>
      <c r="H112" s="234" t="n">
        <f aca="false">F112*10^(G112/96)</f>
        <v>13.3352143216332</v>
      </c>
      <c r="J112" s="238" t="n">
        <v>1</v>
      </c>
      <c r="K112" s="1" t="n">
        <f aca="false">K111+1</f>
        <v>108</v>
      </c>
      <c r="L112" s="239" t="n">
        <f aca="false">J112*10^(K112/192)</f>
        <v>3.65174127254838</v>
      </c>
    </row>
    <row r="113" customFormat="false" ht="15" hidden="false" customHeight="false" outlineLevel="0" collapsed="false">
      <c r="B113" s="238" t="n">
        <f aca="false">B89*10</f>
        <v>10000</v>
      </c>
      <c r="D113" s="234" t="n">
        <f aca="false">D89*10</f>
        <v>36000</v>
      </c>
      <c r="F113" s="238" t="n">
        <v>10</v>
      </c>
      <c r="G113" s="1" t="n">
        <v>13</v>
      </c>
      <c r="H113" s="234" t="n">
        <f aca="false">F113*10^(G113/96)</f>
        <v>13.6589296014619</v>
      </c>
      <c r="J113" s="238" t="n">
        <v>1</v>
      </c>
      <c r="K113" s="1" t="n">
        <f aca="false">K112+1</f>
        <v>109</v>
      </c>
      <c r="L113" s="239" t="n">
        <f aca="false">J113*10^(K113/192)</f>
        <v>3.69579891247642</v>
      </c>
    </row>
    <row r="114" customFormat="false" ht="15" hidden="false" customHeight="false" outlineLevel="0" collapsed="false">
      <c r="B114" s="238" t="n">
        <f aca="false">B90*10</f>
        <v>10000</v>
      </c>
      <c r="D114" s="234" t="n">
        <f aca="false">D90*10</f>
        <v>39000</v>
      </c>
      <c r="F114" s="238" t="n">
        <v>10</v>
      </c>
      <c r="G114" s="1" t="n">
        <v>14</v>
      </c>
      <c r="H114" s="234" t="n">
        <f aca="false">F114*10^(G114/96)</f>
        <v>13.9905031413729</v>
      </c>
      <c r="J114" s="238" t="n">
        <v>1</v>
      </c>
      <c r="K114" s="1" t="n">
        <f aca="false">K113+1</f>
        <v>110</v>
      </c>
      <c r="L114" s="239" t="n">
        <f aca="false">J114*10^(K114/192)</f>
        <v>3.74038810036779</v>
      </c>
    </row>
    <row r="115" customFormat="false" ht="15" hidden="false" customHeight="false" outlineLevel="0" collapsed="false">
      <c r="B115" s="238" t="n">
        <f aca="false">B91*10</f>
        <v>10000</v>
      </c>
      <c r="D115" s="234" t="n">
        <f aca="false">D91*10</f>
        <v>43000</v>
      </c>
      <c r="F115" s="238" t="n">
        <v>10</v>
      </c>
      <c r="G115" s="1" t="n">
        <v>15</v>
      </c>
      <c r="H115" s="234" t="n">
        <f aca="false">F115*10^(G115/96)</f>
        <v>14.3301257023696</v>
      </c>
      <c r="J115" s="238" t="n">
        <v>1</v>
      </c>
      <c r="K115" s="1" t="n">
        <f aca="false">K114+1</f>
        <v>111</v>
      </c>
      <c r="L115" s="239" t="n">
        <f aca="false">J115*10^(K115/192)</f>
        <v>3.78551524925863</v>
      </c>
    </row>
    <row r="116" customFormat="false" ht="15" hidden="false" customHeight="false" outlineLevel="0" collapsed="false">
      <c r="B116" s="238" t="n">
        <f aca="false">B92*10</f>
        <v>10000</v>
      </c>
      <c r="D116" s="234" t="n">
        <f aca="false">D92*10</f>
        <v>47000</v>
      </c>
      <c r="F116" s="238" t="n">
        <v>10</v>
      </c>
      <c r="G116" s="1" t="n">
        <v>16</v>
      </c>
      <c r="H116" s="234" t="n">
        <f aca="false">F116*10^(G116/96)</f>
        <v>14.6779926762207</v>
      </c>
      <c r="J116" s="238" t="n">
        <v>1</v>
      </c>
      <c r="K116" s="1" t="n">
        <f aca="false">K115+1</f>
        <v>112</v>
      </c>
      <c r="L116" s="239" t="n">
        <f aca="false">J116*10^(K116/192)</f>
        <v>3.83118684955729</v>
      </c>
    </row>
    <row r="117" customFormat="false" ht="15" hidden="false" customHeight="false" outlineLevel="0" collapsed="false">
      <c r="B117" s="238" t="n">
        <f aca="false">B93*10</f>
        <v>10000</v>
      </c>
      <c r="D117" s="234" t="n">
        <f aca="false">D93*10</f>
        <v>51000</v>
      </c>
      <c r="F117" s="238" t="n">
        <v>10</v>
      </c>
      <c r="G117" s="1" t="n">
        <v>17</v>
      </c>
      <c r="H117" s="234" t="n">
        <f aca="false">F117*10^(G117/96)</f>
        <v>15.0343041978733</v>
      </c>
      <c r="J117" s="238" t="n">
        <v>1</v>
      </c>
      <c r="K117" s="1" t="n">
        <f aca="false">K116+1</f>
        <v>113</v>
      </c>
      <c r="L117" s="239" t="n">
        <f aca="false">J117*10^(K117/192)</f>
        <v>3.87740946997778</v>
      </c>
    </row>
    <row r="118" customFormat="false" ht="15" hidden="false" customHeight="false" outlineLevel="0" collapsed="false">
      <c r="B118" s="238" t="n">
        <f aca="false">B94*10</f>
        <v>10000</v>
      </c>
      <c r="D118" s="234" t="n">
        <f aca="false">D94*10</f>
        <v>56000</v>
      </c>
      <c r="F118" s="238" t="n">
        <v>10</v>
      </c>
      <c r="G118" s="1" t="n">
        <v>18</v>
      </c>
      <c r="H118" s="234" t="n">
        <f aca="false">F118*10^(G118/96)</f>
        <v>15.3992652605949</v>
      </c>
      <c r="J118" s="238" t="n">
        <v>1</v>
      </c>
      <c r="K118" s="1" t="n">
        <f aca="false">K117+1</f>
        <v>114</v>
      </c>
      <c r="L118" s="239" t="n">
        <f aca="false">J118*10^(K118/192)</f>
        <v>3.92418975848454</v>
      </c>
    </row>
    <row r="119" customFormat="false" ht="15" hidden="false" customHeight="false" outlineLevel="0" collapsed="false">
      <c r="B119" s="238" t="n">
        <f aca="false">B95*10</f>
        <v>10000</v>
      </c>
      <c r="D119" s="234" t="n">
        <f aca="false">D95*10</f>
        <v>62000</v>
      </c>
      <c r="F119" s="238" t="n">
        <v>10</v>
      </c>
      <c r="G119" s="1" t="n">
        <v>19</v>
      </c>
      <c r="H119" s="234" t="n">
        <f aca="false">F119*10^(G119/96)</f>
        <v>15.7730858339097</v>
      </c>
      <c r="J119" s="238" t="n">
        <v>1</v>
      </c>
      <c r="K119" s="1" t="n">
        <f aca="false">K118+1</f>
        <v>115</v>
      </c>
      <c r="L119" s="239" t="n">
        <f aca="false">J119*10^(K119/192)</f>
        <v>3.97153444324857</v>
      </c>
    </row>
    <row r="120" customFormat="false" ht="15" hidden="false" customHeight="false" outlineLevel="0" collapsed="false">
      <c r="B120" s="238" t="n">
        <f aca="false">B96*10</f>
        <v>10000</v>
      </c>
      <c r="D120" s="234" t="n">
        <f aca="false">D96*10</f>
        <v>68000</v>
      </c>
      <c r="F120" s="238" t="n">
        <v>10</v>
      </c>
      <c r="G120" s="1" t="n">
        <v>20</v>
      </c>
      <c r="H120" s="234" t="n">
        <f aca="false">F120*10^(G120/96)</f>
        <v>16.1559809843987</v>
      </c>
      <c r="J120" s="238" t="n">
        <v>1</v>
      </c>
      <c r="K120" s="1" t="n">
        <f aca="false">K119+1</f>
        <v>116</v>
      </c>
      <c r="L120" s="239" t="n">
        <f aca="false">J120*10^(K120/192)</f>
        <v>4.01945033361513</v>
      </c>
    </row>
    <row r="121" customFormat="false" ht="15" hidden="false" customHeight="false" outlineLevel="0" collapsed="false">
      <c r="B121" s="238" t="n">
        <f aca="false">B97*10</f>
        <v>10000</v>
      </c>
      <c r="D121" s="234" t="n">
        <f aca="false">D97*10</f>
        <v>75000</v>
      </c>
      <c r="F121" s="238" t="n">
        <v>10</v>
      </c>
      <c r="G121" s="1" t="n">
        <v>21</v>
      </c>
      <c r="H121" s="234" t="n">
        <f aca="false">F121*10^(G121/96)</f>
        <v>16.5481709994318</v>
      </c>
      <c r="J121" s="238" t="n">
        <v>1</v>
      </c>
      <c r="K121" s="1" t="n">
        <f aca="false">K120+1</f>
        <v>117</v>
      </c>
      <c r="L121" s="239" t="n">
        <f aca="false">J121*10^(K121/192)</f>
        <v>4.06794432108305</v>
      </c>
    </row>
    <row r="122" customFormat="false" ht="15" hidden="false" customHeight="false" outlineLevel="0" collapsed="false">
      <c r="B122" s="238" t="n">
        <f aca="false">B98*10</f>
        <v>10000</v>
      </c>
      <c r="D122" s="234" t="n">
        <f aca="false">D98*10</f>
        <v>82000</v>
      </c>
      <c r="F122" s="238" t="n">
        <v>10</v>
      </c>
      <c r="G122" s="1" t="n">
        <v>22</v>
      </c>
      <c r="H122" s="234" t="n">
        <f aca="false">F122*10^(G122/96)</f>
        <v>16.9498815139035</v>
      </c>
      <c r="J122" s="238" t="n">
        <v>1</v>
      </c>
      <c r="K122" s="1" t="n">
        <f aca="false">K121+1</f>
        <v>118</v>
      </c>
      <c r="L122" s="239" t="n">
        <f aca="false">J122*10^(K122/192)</f>
        <v>4.11702338029595</v>
      </c>
    </row>
    <row r="123" customFormat="false" ht="15" hidden="false" customHeight="false" outlineLevel="0" collapsed="false">
      <c r="B123" s="238" t="n">
        <f aca="false">B99*10</f>
        <v>10000</v>
      </c>
      <c r="D123" s="234" t="n">
        <f aca="false">D99*10</f>
        <v>91000</v>
      </c>
      <c r="F123" s="238" t="n">
        <v>10</v>
      </c>
      <c r="G123" s="1" t="n">
        <v>23</v>
      </c>
      <c r="H123" s="234" t="n">
        <f aca="false">F123*10^(G123/96)</f>
        <v>17.3613436400452</v>
      </c>
      <c r="J123" s="238" t="n">
        <v>1</v>
      </c>
      <c r="K123" s="1" t="n">
        <f aca="false">K122+1</f>
        <v>119</v>
      </c>
      <c r="L123" s="239" t="n">
        <f aca="false">J123*10^(K123/192)</f>
        <v>4.16669457004533</v>
      </c>
    </row>
    <row r="124" customFormat="false" ht="15" hidden="false" customHeight="false" outlineLevel="0" collapsed="false">
      <c r="B124" s="238" t="n">
        <f aca="false">B100*10</f>
        <v>10000</v>
      </c>
      <c r="D124" s="234" t="n">
        <f aca="false">D100*10</f>
        <v>100000</v>
      </c>
      <c r="F124" s="238" t="n">
        <v>10</v>
      </c>
      <c r="G124" s="1" t="n">
        <v>24</v>
      </c>
      <c r="H124" s="234" t="n">
        <f aca="false">F124*10^(G124/96)</f>
        <v>17.7827941003892</v>
      </c>
      <c r="J124" s="238" t="n">
        <v>1</v>
      </c>
      <c r="K124" s="1" t="n">
        <f aca="false">K123+1</f>
        <v>120</v>
      </c>
      <c r="L124" s="239" t="n">
        <f aca="false">J124*10^(K124/192)</f>
        <v>4.21696503428582</v>
      </c>
    </row>
    <row r="125" customFormat="false" ht="15" hidden="false" customHeight="false" outlineLevel="0" collapsed="false">
      <c r="B125" s="238" t="n">
        <f aca="false">B101*10</f>
        <v>100000</v>
      </c>
      <c r="D125" s="234" t="n">
        <f aca="false">D101*10</f>
        <v>110000</v>
      </c>
      <c r="F125" s="238" t="n">
        <v>10</v>
      </c>
      <c r="G125" s="1" t="n">
        <v>25</v>
      </c>
      <c r="H125" s="234" t="n">
        <f aca="false">F125*10^(G125/96)</f>
        <v>18.2144753639595</v>
      </c>
      <c r="J125" s="238" t="n">
        <v>1</v>
      </c>
      <c r="K125" s="1" t="n">
        <f aca="false">K124+1</f>
        <v>121</v>
      </c>
      <c r="L125" s="239" t="n">
        <f aca="false">J125*10^(K125/192)</f>
        <v>4.26784200316266</v>
      </c>
    </row>
    <row r="126" customFormat="false" ht="15" hidden="false" customHeight="false" outlineLevel="0" collapsed="false">
      <c r="B126" s="238" t="n">
        <f aca="false">B102*10</f>
        <v>100000</v>
      </c>
      <c r="D126" s="234" t="n">
        <f aca="false">D102*10</f>
        <v>120000</v>
      </c>
      <c r="F126" s="238" t="n">
        <v>10</v>
      </c>
      <c r="G126" s="1" t="n">
        <v>26</v>
      </c>
      <c r="H126" s="234" t="n">
        <f aca="false">F126*10^(G126/96)</f>
        <v>18.6566357857691</v>
      </c>
      <c r="J126" s="238" t="n">
        <v>1</v>
      </c>
      <c r="K126" s="1" t="n">
        <f aca="false">K125+1</f>
        <v>122</v>
      </c>
      <c r="L126" s="239" t="n">
        <f aca="false">J126*10^(K126/192)</f>
        <v>4.31933279405155</v>
      </c>
    </row>
    <row r="127" customFormat="false" ht="15" hidden="false" customHeight="false" outlineLevel="0" collapsed="false">
      <c r="B127" s="238" t="n">
        <f aca="false">B103*10</f>
        <v>100000</v>
      </c>
      <c r="D127" s="234" t="n">
        <f aca="false">D103*10</f>
        <v>130000</v>
      </c>
      <c r="F127" s="238" t="n">
        <v>10</v>
      </c>
      <c r="G127" s="1" t="n">
        <v>27</v>
      </c>
      <c r="H127" s="234" t="n">
        <f aca="false">F127*10^(G127/96)</f>
        <v>19.1095297497044</v>
      </c>
      <c r="J127" s="238" t="n">
        <v>1</v>
      </c>
      <c r="K127" s="1" t="n">
        <f aca="false">K126+1</f>
        <v>123</v>
      </c>
      <c r="L127" s="239" t="n">
        <f aca="false">J127*10^(K127/192)</f>
        <v>4.37144481261109</v>
      </c>
    </row>
    <row r="128" customFormat="false" ht="15" hidden="false" customHeight="false" outlineLevel="0" collapsed="false">
      <c r="B128" s="238" t="n">
        <f aca="false">B104*10</f>
        <v>100000</v>
      </c>
      <c r="D128" s="234" t="n">
        <f aca="false">D104*10</f>
        <v>150000</v>
      </c>
      <c r="F128" s="238" t="n">
        <v>10</v>
      </c>
      <c r="G128" s="1" t="n">
        <v>28</v>
      </c>
      <c r="H128" s="234" t="n">
        <f aca="false">F128*10^(G128/96)</f>
        <v>19.5734178148766</v>
      </c>
      <c r="J128" s="238" t="n">
        <v>1</v>
      </c>
      <c r="K128" s="1" t="n">
        <f aca="false">K127+1</f>
        <v>124</v>
      </c>
      <c r="L128" s="239" t="n">
        <f aca="false">J128*10^(K128/192)</f>
        <v>4.42418555384792</v>
      </c>
    </row>
    <row r="129" customFormat="false" ht="15" hidden="false" customHeight="false" outlineLevel="0" collapsed="false">
      <c r="B129" s="238" t="n">
        <f aca="false">B105*10</f>
        <v>100000</v>
      </c>
      <c r="D129" s="234" t="n">
        <f aca="false">D105*10</f>
        <v>160000</v>
      </c>
      <c r="F129" s="238" t="n">
        <v>10</v>
      </c>
      <c r="G129" s="1" t="n">
        <v>29</v>
      </c>
      <c r="H129" s="234" t="n">
        <f aca="false">F129*10^(G129/96)</f>
        <v>20.0485668655271</v>
      </c>
      <c r="J129" s="238" t="n">
        <v>1</v>
      </c>
      <c r="K129" s="1" t="n">
        <f aca="false">K128+1</f>
        <v>125</v>
      </c>
      <c r="L129" s="239" t="n">
        <f aca="false">J129*10^(K129/192)</f>
        <v>4.47756260319464</v>
      </c>
    </row>
    <row r="130" customFormat="false" ht="15" hidden="false" customHeight="false" outlineLevel="0" collapsed="false">
      <c r="B130" s="238" t="n">
        <f aca="false">B106*10</f>
        <v>100000</v>
      </c>
      <c r="D130" s="234" t="n">
        <f aca="false">D106*10</f>
        <v>180000</v>
      </c>
      <c r="F130" s="238" t="n">
        <v>10</v>
      </c>
      <c r="G130" s="1" t="n">
        <v>30</v>
      </c>
      <c r="H130" s="234" t="n">
        <f aca="false">F130*10^(G130/96)</f>
        <v>20.5352502645715</v>
      </c>
      <c r="J130" s="238" t="n">
        <v>1</v>
      </c>
      <c r="K130" s="1" t="n">
        <f aca="false">K129+1</f>
        <v>126</v>
      </c>
      <c r="L130" s="239" t="n">
        <f aca="false">J130*10^(K130/192)</f>
        <v>4.53158363760082</v>
      </c>
    </row>
    <row r="131" customFormat="false" ht="15" hidden="false" customHeight="false" outlineLevel="0" collapsed="false">
      <c r="B131" s="238" t="n">
        <f aca="false">B107*10</f>
        <v>100000</v>
      </c>
      <c r="D131" s="234" t="n">
        <f aca="false">D107*10</f>
        <v>200000</v>
      </c>
      <c r="F131" s="238" t="n">
        <v>10</v>
      </c>
      <c r="G131" s="1" t="n">
        <v>31</v>
      </c>
      <c r="H131" s="234" t="n">
        <f aca="false">F131*10^(G131/96)</f>
        <v>21.0337480108703</v>
      </c>
      <c r="J131" s="238" t="n">
        <v>1</v>
      </c>
      <c r="K131" s="1" t="n">
        <f aca="false">K130+1</f>
        <v>127</v>
      </c>
      <c r="L131" s="239" t="n">
        <f aca="false">J131*10^(K131/192)</f>
        <v>4.58625642663713</v>
      </c>
    </row>
    <row r="132" customFormat="false" ht="15" hidden="false" customHeight="false" outlineLevel="0" collapsed="false">
      <c r="B132" s="238" t="n">
        <f aca="false">B108*10</f>
        <v>100000</v>
      </c>
      <c r="D132" s="234" t="n">
        <f aca="false">D108*10</f>
        <v>220000</v>
      </c>
      <c r="F132" s="238" t="n">
        <v>10</v>
      </c>
      <c r="G132" s="1" t="n">
        <v>32</v>
      </c>
      <c r="H132" s="234" t="n">
        <f aca="false">F132*10^(G132/96)</f>
        <v>21.5443469003188</v>
      </c>
      <c r="J132" s="238" t="n">
        <v>1</v>
      </c>
      <c r="K132" s="1" t="n">
        <f aca="false">K131+1</f>
        <v>128</v>
      </c>
      <c r="L132" s="239" t="n">
        <f aca="false">J132*10^(K132/192)</f>
        <v>4.64158883361278</v>
      </c>
    </row>
    <row r="133" customFormat="false" ht="15" hidden="false" customHeight="false" outlineLevel="0" collapsed="false">
      <c r="B133" s="238" t="n">
        <f aca="false">B109*10</f>
        <v>100000</v>
      </c>
      <c r="D133" s="234" t="n">
        <f aca="false">D109*10</f>
        <v>240000</v>
      </c>
      <c r="F133" s="238" t="n">
        <v>10</v>
      </c>
      <c r="G133" s="1" t="n">
        <v>33</v>
      </c>
      <c r="H133" s="234" t="n">
        <f aca="false">F133*10^(G133/96)</f>
        <v>22.0673406908459</v>
      </c>
      <c r="J133" s="238" t="n">
        <v>1</v>
      </c>
      <c r="K133" s="1" t="n">
        <f aca="false">K132+1</f>
        <v>129</v>
      </c>
      <c r="L133" s="239" t="n">
        <f aca="false">J133*10^(K133/192)</f>
        <v>4.69758881670649</v>
      </c>
    </row>
    <row r="134" customFormat="false" ht="15" hidden="false" customHeight="false" outlineLevel="0" collapsed="false">
      <c r="B134" s="238" t="n">
        <f aca="false">B110*10</f>
        <v>100000</v>
      </c>
      <c r="D134" s="234" t="n">
        <f aca="false">D110*10</f>
        <v>270000</v>
      </c>
      <c r="F134" s="238" t="n">
        <v>10</v>
      </c>
      <c r="G134" s="1" t="n">
        <v>34</v>
      </c>
      <c r="H134" s="234" t="n">
        <f aca="false">F134*10^(G134/96)</f>
        <v>22.6030302714192</v>
      </c>
      <c r="J134" s="238" t="n">
        <v>1</v>
      </c>
      <c r="K134" s="1" t="n">
        <f aca="false">K133+1</f>
        <v>130</v>
      </c>
      <c r="L134" s="239" t="n">
        <f aca="false">J134*10^(K134/192)</f>
        <v>4.75426443011106</v>
      </c>
    </row>
    <row r="135" customFormat="false" ht="15" hidden="false" customHeight="false" outlineLevel="0" collapsed="false">
      <c r="B135" s="238" t="n">
        <f aca="false">B111*10</f>
        <v>100000</v>
      </c>
      <c r="D135" s="234" t="n">
        <f aca="false">D111*10</f>
        <v>300000</v>
      </c>
      <c r="F135" s="238" t="n">
        <v>10</v>
      </c>
      <c r="G135" s="1" t="n">
        <v>35</v>
      </c>
      <c r="H135" s="234" t="n">
        <f aca="false">F135*10^(G135/96)</f>
        <v>23.1517238351527</v>
      </c>
      <c r="J135" s="238" t="n">
        <v>1</v>
      </c>
      <c r="K135" s="1" t="n">
        <f aca="false">K134+1</f>
        <v>131</v>
      </c>
      <c r="L135" s="239" t="n">
        <f aca="false">J135*10^(K135/192)</f>
        <v>4.81162382519173</v>
      </c>
    </row>
    <row r="136" customFormat="false" ht="15" hidden="false" customHeight="false" outlineLevel="0" collapsed="false">
      <c r="B136" s="238" t="n">
        <f aca="false">B112*10</f>
        <v>100000</v>
      </c>
      <c r="D136" s="234" t="n">
        <f aca="false">D112*10</f>
        <v>330000</v>
      </c>
      <c r="F136" s="238" t="n">
        <v>10</v>
      </c>
      <c r="G136" s="1" t="n">
        <v>36</v>
      </c>
      <c r="H136" s="234" t="n">
        <f aca="false">F136*10^(G136/96)</f>
        <v>23.7137370566166</v>
      </c>
      <c r="J136" s="238" t="n">
        <v>1</v>
      </c>
      <c r="K136" s="1" t="n">
        <f aca="false">K135+1</f>
        <v>132</v>
      </c>
      <c r="L136" s="239" t="n">
        <f aca="false">J136*10^(K136/192)</f>
        <v>4.86967525165863</v>
      </c>
    </row>
    <row r="137" customFormat="false" ht="15" hidden="false" customHeight="false" outlineLevel="0" collapsed="false">
      <c r="B137" s="238" t="n">
        <f aca="false">B113*10</f>
        <v>100000</v>
      </c>
      <c r="D137" s="234" t="n">
        <f aca="false">D113*10</f>
        <v>360000</v>
      </c>
      <c r="F137" s="238" t="n">
        <v>10</v>
      </c>
      <c r="G137" s="1" t="n">
        <v>37</v>
      </c>
      <c r="H137" s="234" t="n">
        <f aca="false">F137*10^(G137/96)</f>
        <v>24.2893932734508</v>
      </c>
      <c r="J137" s="238" t="n">
        <v>1</v>
      </c>
      <c r="K137" s="1" t="n">
        <f aca="false">K136+1</f>
        <v>133</v>
      </c>
      <c r="L137" s="239" t="n">
        <f aca="false">J137*10^(K137/192)</f>
        <v>4.92842705875321</v>
      </c>
    </row>
    <row r="138" customFormat="false" ht="15" hidden="false" customHeight="false" outlineLevel="0" collapsed="false">
      <c r="B138" s="238" t="n">
        <f aca="false">B114*10</f>
        <v>100000</v>
      </c>
      <c r="D138" s="234" t="n">
        <f aca="false">D114*10</f>
        <v>390000</v>
      </c>
      <c r="F138" s="238" t="n">
        <v>10</v>
      </c>
      <c r="G138" s="1" t="n">
        <v>38</v>
      </c>
      <c r="H138" s="234" t="n">
        <f aca="false">F138*10^(G138/96)</f>
        <v>24.8790236723884</v>
      </c>
      <c r="J138" s="238" t="n">
        <v>1</v>
      </c>
      <c r="K138" s="1" t="n">
        <f aca="false">K137+1</f>
        <v>134</v>
      </c>
      <c r="L138" s="239" t="n">
        <f aca="false">J138*10^(K138/192)</f>
        <v>4.98788769644911</v>
      </c>
    </row>
    <row r="139" customFormat="false" ht="15" hidden="false" customHeight="false" outlineLevel="0" collapsed="false">
      <c r="B139" s="238" t="n">
        <f aca="false">B115*10</f>
        <v>100000</v>
      </c>
      <c r="D139" s="234" t="n">
        <f aca="false">D115*10</f>
        <v>430000</v>
      </c>
      <c r="F139" s="238" t="n">
        <v>10</v>
      </c>
      <c r="G139" s="1" t="n">
        <v>39</v>
      </c>
      <c r="H139" s="234" t="n">
        <f aca="false">F139*10^(G139/96)</f>
        <v>25.4829674797935</v>
      </c>
      <c r="J139" s="238" t="n">
        <v>1</v>
      </c>
      <c r="K139" s="1" t="n">
        <f aca="false">K138+1</f>
        <v>135</v>
      </c>
      <c r="L139" s="239" t="n">
        <f aca="false">J139*10^(K139/192)</f>
        <v>5.04806571666747</v>
      </c>
    </row>
    <row r="140" customFormat="false" ht="15" hidden="false" customHeight="false" outlineLevel="0" collapsed="false">
      <c r="B140" s="238" t="n">
        <f aca="false">B116*10</f>
        <v>100000</v>
      </c>
      <c r="D140" s="234" t="n">
        <f aca="false">D116*10</f>
        <v>470000</v>
      </c>
      <c r="F140" s="238" t="n">
        <v>10</v>
      </c>
      <c r="G140" s="1" t="n">
        <v>40</v>
      </c>
      <c r="H140" s="234" t="n">
        <f aca="false">F140*10^(G140/96)</f>
        <v>26.1015721568254</v>
      </c>
      <c r="J140" s="238" t="n">
        <v>1</v>
      </c>
      <c r="K140" s="1" t="n">
        <f aca="false">K139+1</f>
        <v>136</v>
      </c>
      <c r="L140" s="239" t="n">
        <f aca="false">J140*10^(K140/192)</f>
        <v>5.10896977450693</v>
      </c>
    </row>
    <row r="141" customFormat="false" ht="15" hidden="false" customHeight="false" outlineLevel="0" collapsed="false">
      <c r="B141" s="238" t="n">
        <f aca="false">B117*10</f>
        <v>100000</v>
      </c>
      <c r="D141" s="234" t="n">
        <f aca="false">D117*10</f>
        <v>510000</v>
      </c>
      <c r="F141" s="238" t="n">
        <v>10</v>
      </c>
      <c r="G141" s="1" t="n">
        <v>41</v>
      </c>
      <c r="H141" s="234" t="n">
        <f aca="false">F141*10^(G141/96)</f>
        <v>26.7351935993399</v>
      </c>
      <c r="J141" s="238" t="n">
        <v>1</v>
      </c>
      <c r="K141" s="1" t="n">
        <f aca="false">K140+1</f>
        <v>137</v>
      </c>
      <c r="L141" s="239" t="n">
        <f aca="false">J141*10^(K141/192)</f>
        <v>5.1706086294884</v>
      </c>
    </row>
    <row r="142" customFormat="false" ht="15" hidden="false" customHeight="false" outlineLevel="0" collapsed="false">
      <c r="B142" s="238" t="n">
        <f aca="false">B118*10</f>
        <v>100000</v>
      </c>
      <c r="D142" s="234" t="n">
        <f aca="false">D118*10</f>
        <v>560000</v>
      </c>
      <c r="F142" s="238" t="n">
        <v>10</v>
      </c>
      <c r="G142" s="1" t="n">
        <v>42</v>
      </c>
      <c r="H142" s="234" t="n">
        <f aca="false">F142*10^(G142/96)</f>
        <v>27.3841963426436</v>
      </c>
      <c r="J142" s="238" t="n">
        <v>1</v>
      </c>
      <c r="K142" s="1" t="n">
        <f aca="false">K141+1</f>
        <v>138</v>
      </c>
      <c r="L142" s="239" t="n">
        <f aca="false">J142*10^(K142/192)</f>
        <v>5.23299114681495</v>
      </c>
    </row>
    <row r="143" customFormat="false" ht="15" hidden="false" customHeight="false" outlineLevel="0" collapsed="false">
      <c r="B143" s="238" t="n">
        <f aca="false">B119*10</f>
        <v>100000</v>
      </c>
      <c r="D143" s="234" t="n">
        <f aca="false">D119*10</f>
        <v>620000</v>
      </c>
      <c r="F143" s="238" t="n">
        <v>10</v>
      </c>
      <c r="G143" s="1" t="n">
        <v>43</v>
      </c>
      <c r="H143" s="234" t="n">
        <f aca="false">F143*10^(G143/96)</f>
        <v>28.0489537712183</v>
      </c>
      <c r="J143" s="238" t="n">
        <v>1</v>
      </c>
      <c r="K143" s="1" t="n">
        <f aca="false">K142+1</f>
        <v>139</v>
      </c>
      <c r="L143" s="239" t="n">
        <f aca="false">J143*10^(K143/192)</f>
        <v>5.2961262986468</v>
      </c>
    </row>
    <row r="144" customFormat="false" ht="15" hidden="false" customHeight="false" outlineLevel="0" collapsed="false">
      <c r="B144" s="238" t="n">
        <f aca="false">B120*10</f>
        <v>100000</v>
      </c>
      <c r="D144" s="234" t="n">
        <f aca="false">D120*10</f>
        <v>680000</v>
      </c>
      <c r="F144" s="238" t="n">
        <v>10</v>
      </c>
      <c r="G144" s="1" t="n">
        <v>44</v>
      </c>
      <c r="H144" s="234" t="n">
        <f aca="false">F144*10^(G144/96)</f>
        <v>28.7298483335366</v>
      </c>
      <c r="J144" s="238" t="n">
        <v>1</v>
      </c>
      <c r="K144" s="1" t="n">
        <f aca="false">K143+1</f>
        <v>140</v>
      </c>
      <c r="L144" s="239" t="n">
        <f aca="false">J144*10^(K144/192)</f>
        <v>5.36002316539179</v>
      </c>
    </row>
    <row r="145" customFormat="false" ht="15" hidden="false" customHeight="false" outlineLevel="0" collapsed="false">
      <c r="B145" s="238" t="n">
        <f aca="false">B121*10</f>
        <v>100000</v>
      </c>
      <c r="D145" s="234" t="n">
        <f aca="false">D121*10</f>
        <v>750000</v>
      </c>
      <c r="F145" s="238" t="n">
        <v>10</v>
      </c>
      <c r="G145" s="1" t="n">
        <v>45</v>
      </c>
      <c r="H145" s="234" t="n">
        <f aca="false">F145*10^(G145/96)</f>
        <v>29.4272717620928</v>
      </c>
      <c r="J145" s="238" t="n">
        <v>1</v>
      </c>
      <c r="K145" s="1" t="n">
        <f aca="false">K144+1</f>
        <v>141</v>
      </c>
      <c r="L145" s="239" t="n">
        <f aca="false">J145*10^(K145/192)</f>
        <v>5.42469093701133</v>
      </c>
    </row>
    <row r="146" customFormat="false" ht="15" hidden="false" customHeight="false" outlineLevel="0" collapsed="false">
      <c r="B146" s="238" t="n">
        <f aca="false">B122*10</f>
        <v>100000</v>
      </c>
      <c r="D146" s="234" t="n">
        <f aca="false">D122*10</f>
        <v>820000</v>
      </c>
      <c r="F146" s="238" t="n">
        <v>10</v>
      </c>
      <c r="G146" s="1" t="n">
        <v>46</v>
      </c>
      <c r="H146" s="234" t="n">
        <f aca="false">F146*10^(G146/96)</f>
        <v>30.1416252987739</v>
      </c>
      <c r="J146" s="238" t="n">
        <v>1</v>
      </c>
      <c r="K146" s="1" t="n">
        <f aca="false">K145+1</f>
        <v>142</v>
      </c>
      <c r="L146" s="239" t="n">
        <f aca="false">J146*10^(K146/192)</f>
        <v>5.49013891434214</v>
      </c>
    </row>
    <row r="147" customFormat="false" ht="15" hidden="false" customHeight="false" outlineLevel="0" collapsed="false">
      <c r="B147" s="238" t="n">
        <f aca="false">B123*10</f>
        <v>100000</v>
      </c>
      <c r="D147" s="234" t="n">
        <f aca="false">D123*10</f>
        <v>910000</v>
      </c>
      <c r="F147" s="238" t="n">
        <v>10</v>
      </c>
      <c r="G147" s="1" t="n">
        <v>47</v>
      </c>
      <c r="H147" s="234" t="n">
        <f aca="false">F147*10^(G147/96)</f>
        <v>30.8733199257026</v>
      </c>
      <c r="J147" s="238" t="n">
        <v>1</v>
      </c>
      <c r="K147" s="1" t="n">
        <f aca="false">K146+1</f>
        <v>143</v>
      </c>
      <c r="L147" s="239" t="n">
        <f aca="false">J147*10^(K147/192)</f>
        <v>5.55637651043399</v>
      </c>
    </row>
    <row r="148" customFormat="false" ht="15" hidden="false" customHeight="false" outlineLevel="0" collapsed="false">
      <c r="B148" s="238" t="n">
        <f aca="false">B124*10</f>
        <v>100000</v>
      </c>
      <c r="D148" s="234" t="n">
        <f aca="false">D124*10</f>
        <v>1000000</v>
      </c>
      <c r="F148" s="238" t="n">
        <v>10</v>
      </c>
      <c r="G148" s="1" t="n">
        <v>48</v>
      </c>
      <c r="H148" s="234" t="n">
        <f aca="false">F148*10^(G148/96)</f>
        <v>31.6227766016838</v>
      </c>
      <c r="J148" s="238" t="n">
        <v>1</v>
      </c>
      <c r="K148" s="1" t="n">
        <f aca="false">K147+1</f>
        <v>144</v>
      </c>
      <c r="L148" s="239" t="n">
        <f aca="false">J148*10^(K148/192)</f>
        <v>5.62341325190349</v>
      </c>
    </row>
    <row r="149" customFormat="false" ht="15" hidden="false" customHeight="false" outlineLevel="0" collapsed="false">
      <c r="B149" s="238" t="n">
        <f aca="false">B125*10</f>
        <v>1000000</v>
      </c>
      <c r="D149" s="234" t="n">
        <f aca="false">D125*10</f>
        <v>1100000</v>
      </c>
      <c r="F149" s="238" t="n">
        <v>10</v>
      </c>
      <c r="G149" s="1" t="n">
        <v>49</v>
      </c>
      <c r="H149" s="234" t="n">
        <f aca="false">F149*10^(G149/96)</f>
        <v>32.3904265043903</v>
      </c>
      <c r="J149" s="238" t="n">
        <v>1</v>
      </c>
      <c r="K149" s="1" t="n">
        <f aca="false">K148+1</f>
        <v>145</v>
      </c>
      <c r="L149" s="239" t="n">
        <f aca="false">J149*10^(K149/192)</f>
        <v>5.69125878030426</v>
      </c>
    </row>
    <row r="150" customFormat="false" ht="15" hidden="false" customHeight="false" outlineLevel="0" collapsed="false">
      <c r="B150" s="238" t="n">
        <f aca="false">B126*10</f>
        <v>1000000</v>
      </c>
      <c r="D150" s="234" t="n">
        <f aca="false">D126*10</f>
        <v>1200000</v>
      </c>
      <c r="F150" s="238" t="n">
        <v>10</v>
      </c>
      <c r="G150" s="1" t="n">
        <v>50</v>
      </c>
      <c r="H150" s="234" t="n">
        <f aca="false">F150*10^(G150/96)</f>
        <v>33.1767112784286</v>
      </c>
      <c r="J150" s="238" t="n">
        <v>1</v>
      </c>
      <c r="K150" s="1" t="n">
        <f aca="false">K149+1</f>
        <v>146</v>
      </c>
      <c r="L150" s="239" t="n">
        <f aca="false">J150*10^(K150/192)</f>
        <v>5.75992285351363</v>
      </c>
    </row>
    <row r="151" customFormat="false" ht="15" hidden="false" customHeight="false" outlineLevel="0" collapsed="false">
      <c r="B151" s="238" t="n">
        <f aca="false">B127*10</f>
        <v>1000000</v>
      </c>
      <c r="D151" s="234" t="n">
        <f aca="false">D127*10</f>
        <v>1300000</v>
      </c>
      <c r="F151" s="238" t="n">
        <v>10</v>
      </c>
      <c r="G151" s="1" t="n">
        <v>51</v>
      </c>
      <c r="H151" s="234" t="n">
        <f aca="false">F151*10^(G151/96)</f>
        <v>33.9820832894256</v>
      </c>
      <c r="J151" s="238" t="n">
        <v>1</v>
      </c>
      <c r="K151" s="1" t="n">
        <f aca="false">K150+1</f>
        <v>147</v>
      </c>
      <c r="L151" s="239" t="n">
        <f aca="false">J151*10^(K151/192)</f>
        <v>5.82941534713607</v>
      </c>
    </row>
    <row r="152" customFormat="false" ht="15" hidden="false" customHeight="false" outlineLevel="0" collapsed="false">
      <c r="B152" s="238" t="n">
        <f aca="false">B128*10</f>
        <v>1000000</v>
      </c>
      <c r="D152" s="234" t="n">
        <f aca="false">D128*10</f>
        <v>1500000</v>
      </c>
      <c r="F152" s="238" t="n">
        <v>10</v>
      </c>
      <c r="G152" s="1" t="n">
        <v>52</v>
      </c>
      <c r="H152" s="234" t="n">
        <f aca="false">F152*10^(G152/96)</f>
        <v>34.8070058842841</v>
      </c>
      <c r="J152" s="238" t="n">
        <v>1</v>
      </c>
      <c r="K152" s="1" t="n">
        <f aca="false">K151+1</f>
        <v>148</v>
      </c>
      <c r="L152" s="239" t="n">
        <f aca="false">J152*10^(K152/192)</f>
        <v>5.89974625592356</v>
      </c>
    </row>
    <row r="153" customFormat="false" ht="15" hidden="false" customHeight="false" outlineLevel="0" collapsed="false">
      <c r="B153" s="238" t="n">
        <f aca="false">B129*10</f>
        <v>1000000</v>
      </c>
      <c r="D153" s="234" t="n">
        <f aca="false">D129*10</f>
        <v>1600000</v>
      </c>
      <c r="F153" s="238" t="n">
        <v>10</v>
      </c>
      <c r="G153" s="1" t="n">
        <v>53</v>
      </c>
      <c r="H153" s="234" t="n">
        <f aca="false">F153*10^(G153/96)</f>
        <v>35.6519536577555</v>
      </c>
      <c r="J153" s="238" t="n">
        <v>1</v>
      </c>
      <c r="K153" s="1" t="n">
        <f aca="false">K152+1</f>
        <v>149</v>
      </c>
      <c r="L153" s="239" t="n">
        <f aca="false">J153*10^(K153/192)</f>
        <v>5.97092569521305</v>
      </c>
    </row>
    <row r="154" customFormat="false" ht="15" hidden="false" customHeight="false" outlineLevel="0" collapsed="false">
      <c r="B154" s="238" t="n">
        <f aca="false">B130*10</f>
        <v>1000000</v>
      </c>
      <c r="D154" s="234" t="n">
        <f aca="false">D130*10</f>
        <v>1800000</v>
      </c>
      <c r="F154" s="238" t="n">
        <v>10</v>
      </c>
      <c r="G154" s="1" t="n">
        <v>54</v>
      </c>
      <c r="H154" s="234" t="n">
        <f aca="false">F154*10^(G154/96)</f>
        <v>36.5174127254838</v>
      </c>
      <c r="J154" s="238" t="n">
        <v>1</v>
      </c>
      <c r="K154" s="1" t="n">
        <f aca="false">K153+1</f>
        <v>150</v>
      </c>
      <c r="L154" s="239" t="n">
        <f aca="false">J154*10^(K154/192)</f>
        <v>6.04296390238133</v>
      </c>
    </row>
    <row r="155" customFormat="false" ht="15" hidden="false" customHeight="false" outlineLevel="0" collapsed="false">
      <c r="B155" s="238" t="n">
        <f aca="false">B131*10</f>
        <v>1000000</v>
      </c>
      <c r="D155" s="234" t="n">
        <f aca="false">D131*10</f>
        <v>2000000</v>
      </c>
      <c r="F155" s="238" t="n">
        <v>10</v>
      </c>
      <c r="G155" s="1" t="n">
        <v>55</v>
      </c>
      <c r="H155" s="234" t="n">
        <f aca="false">F155*10^(G155/96)</f>
        <v>37.4038810036779</v>
      </c>
      <c r="J155" s="238" t="n">
        <v>1</v>
      </c>
      <c r="K155" s="1" t="n">
        <f aca="false">K154+1</f>
        <v>151</v>
      </c>
      <c r="L155" s="239" t="n">
        <f aca="false">J155*10^(K155/192)</f>
        <v>6.11587123831739</v>
      </c>
    </row>
    <row r="156" customFormat="false" ht="15" hidden="false" customHeight="false" outlineLevel="0" collapsed="false">
      <c r="B156" s="238" t="n">
        <f aca="false">B132*10</f>
        <v>1000000</v>
      </c>
      <c r="D156" s="234" t="n">
        <f aca="false">D132*10</f>
        <v>2200000</v>
      </c>
      <c r="F156" s="238" t="n">
        <v>10</v>
      </c>
      <c r="G156" s="1" t="n">
        <v>56</v>
      </c>
      <c r="H156" s="234" t="n">
        <f aca="false">F156*10^(G156/96)</f>
        <v>38.3118684955729</v>
      </c>
      <c r="J156" s="238" t="n">
        <v>1</v>
      </c>
      <c r="K156" s="1" t="n">
        <f aca="false">K155+1</f>
        <v>152</v>
      </c>
      <c r="L156" s="239" t="n">
        <f aca="false">J156*10^(K156/192)</f>
        <v>6.18965818891261</v>
      </c>
    </row>
    <row r="157" customFormat="false" ht="15" hidden="false" customHeight="false" outlineLevel="0" collapsed="false">
      <c r="B157" s="238" t="n">
        <f aca="false">B133*10</f>
        <v>1000000</v>
      </c>
      <c r="D157" s="234" t="n">
        <f aca="false">D133*10</f>
        <v>2400000</v>
      </c>
      <c r="F157" s="238" t="n">
        <v>10</v>
      </c>
      <c r="G157" s="1" t="n">
        <v>57</v>
      </c>
      <c r="H157" s="234" t="n">
        <f aca="false">F157*10^(G157/96)</f>
        <v>39.2418975848454</v>
      </c>
      <c r="J157" s="238" t="n">
        <v>1</v>
      </c>
      <c r="K157" s="1" t="n">
        <f aca="false">K156+1</f>
        <v>153</v>
      </c>
      <c r="L157" s="239" t="n">
        <f aca="false">J157*10^(K157/192)</f>
        <v>6.26433536656886</v>
      </c>
    </row>
    <row r="158" customFormat="false" ht="15" hidden="false" customHeight="false" outlineLevel="0" collapsed="false">
      <c r="B158" s="238" t="n">
        <f aca="false">B134*10</f>
        <v>1000000</v>
      </c>
      <c r="D158" s="234" t="n">
        <f aca="false">D134*10</f>
        <v>2700000</v>
      </c>
      <c r="F158" s="238" t="n">
        <v>10</v>
      </c>
      <c r="G158" s="1" t="n">
        <v>58</v>
      </c>
      <c r="H158" s="234" t="n">
        <f aca="false">F158*10^(G158/96)</f>
        <v>40.1945033361513</v>
      </c>
      <c r="J158" s="238" t="n">
        <v>1</v>
      </c>
      <c r="K158" s="1" t="n">
        <f aca="false">K157+1</f>
        <v>154</v>
      </c>
      <c r="L158" s="239" t="n">
        <f aca="false">J158*10^(K158/192)</f>
        <v>6.33991351172485</v>
      </c>
    </row>
    <row r="159" customFormat="false" ht="15" hidden="false" customHeight="false" outlineLevel="0" collapsed="false">
      <c r="B159" s="238" t="n">
        <f aca="false">B135*10</f>
        <v>1000000</v>
      </c>
      <c r="D159" s="234" t="n">
        <f aca="false">D135*10</f>
        <v>3000000</v>
      </c>
      <c r="F159" s="238" t="n">
        <v>10</v>
      </c>
      <c r="G159" s="1" t="n">
        <v>59</v>
      </c>
      <c r="H159" s="234" t="n">
        <f aca="false">F159*10^(G159/96)</f>
        <v>41.1702338029595</v>
      </c>
      <c r="J159" s="238" t="n">
        <v>1</v>
      </c>
      <c r="K159" s="1" t="n">
        <f aca="false">K158+1</f>
        <v>155</v>
      </c>
      <c r="L159" s="239" t="n">
        <f aca="false">J159*10^(K159/192)</f>
        <v>6.41640349440085</v>
      </c>
    </row>
    <row r="160" customFormat="false" ht="15" hidden="false" customHeight="false" outlineLevel="0" collapsed="false">
      <c r="B160" s="238" t="n">
        <f aca="false">B136*10</f>
        <v>1000000</v>
      </c>
      <c r="D160" s="234" t="n">
        <f aca="false">D136*10</f>
        <v>3300000</v>
      </c>
      <c r="F160" s="238" t="n">
        <v>10</v>
      </c>
      <c r="G160" s="1" t="n">
        <v>60</v>
      </c>
      <c r="H160" s="234" t="n">
        <f aca="false">F160*10^(G160/96)</f>
        <v>42.1696503428582</v>
      </c>
      <c r="J160" s="238" t="n">
        <v>1</v>
      </c>
      <c r="K160" s="1" t="n">
        <f aca="false">K159+1</f>
        <v>156</v>
      </c>
      <c r="L160" s="239" t="n">
        <f aca="false">J160*10^(K160/192)</f>
        <v>6.49381631576211</v>
      </c>
    </row>
    <row r="161" customFormat="false" ht="15" hidden="false" customHeight="false" outlineLevel="0" collapsed="false">
      <c r="B161" s="238" t="n">
        <f aca="false">B137*10</f>
        <v>1000000</v>
      </c>
      <c r="D161" s="234" t="n">
        <f aca="false">D137*10</f>
        <v>3600000</v>
      </c>
      <c r="F161" s="238" t="n">
        <v>10</v>
      </c>
      <c r="G161" s="1" t="n">
        <v>61</v>
      </c>
      <c r="H161" s="234" t="n">
        <f aca="false">F161*10^(G161/96)</f>
        <v>43.1933279405154</v>
      </c>
      <c r="J161" s="238" t="n">
        <v>1</v>
      </c>
      <c r="K161" s="1" t="n">
        <f aca="false">K160+1</f>
        <v>157</v>
      </c>
      <c r="L161" s="239" t="n">
        <f aca="false">J161*10^(K161/192)</f>
        <v>6.57216310970106</v>
      </c>
    </row>
    <row r="162" customFormat="false" ht="15" hidden="false" customHeight="false" outlineLevel="0" collapsed="false">
      <c r="B162" s="238" t="n">
        <f aca="false">B138*10</f>
        <v>1000000</v>
      </c>
      <c r="D162" s="234" t="n">
        <f aca="false">D138*10</f>
        <v>3900000</v>
      </c>
      <c r="F162" s="238" t="n">
        <v>10</v>
      </c>
      <c r="G162" s="1" t="n">
        <v>62</v>
      </c>
      <c r="H162" s="234" t="n">
        <f aca="false">F162*10^(G162/96)</f>
        <v>44.2418555384792</v>
      </c>
      <c r="J162" s="238" t="n">
        <v>1</v>
      </c>
      <c r="K162" s="1" t="n">
        <f aca="false">K161+1</f>
        <v>158</v>
      </c>
      <c r="L162" s="239" t="n">
        <f aca="false">J162*10^(K162/192)</f>
        <v>6.65145514443863</v>
      </c>
    </row>
    <row r="163" customFormat="false" ht="15" hidden="false" customHeight="false" outlineLevel="0" collapsed="false">
      <c r="B163" s="238" t="n">
        <f aca="false">B139*10</f>
        <v>1000000</v>
      </c>
      <c r="D163" s="234" t="n">
        <f aca="false">D139*10</f>
        <v>4300000</v>
      </c>
      <c r="F163" s="238" t="n">
        <v>10</v>
      </c>
      <c r="G163" s="1" t="n">
        <v>63</v>
      </c>
      <c r="H163" s="234" t="n">
        <f aca="false">F163*10^(G163/96)</f>
        <v>45.3158363760082</v>
      </c>
      <c r="J163" s="238" t="n">
        <v>1</v>
      </c>
      <c r="K163" s="1" t="n">
        <f aca="false">K162+1</f>
        <v>159</v>
      </c>
      <c r="L163" s="239" t="n">
        <f aca="false">J163*10^(K163/192)</f>
        <v>6.73170382414498</v>
      </c>
    </row>
    <row r="164" customFormat="false" ht="15" hidden="false" customHeight="false" outlineLevel="0" collapsed="false">
      <c r="B164" s="238" t="n">
        <f aca="false">B140*10</f>
        <v>1000000</v>
      </c>
      <c r="D164" s="234" t="n">
        <f aca="false">D140*10</f>
        <v>4700000</v>
      </c>
      <c r="F164" s="238" t="n">
        <v>10</v>
      </c>
      <c r="G164" s="1" t="n">
        <v>64</v>
      </c>
      <c r="H164" s="234" t="n">
        <f aca="false">F164*10^(G164/96)</f>
        <v>46.4158883361278</v>
      </c>
      <c r="J164" s="238" t="n">
        <v>1</v>
      </c>
      <c r="K164" s="1" t="n">
        <f aca="false">K163+1</f>
        <v>160</v>
      </c>
      <c r="L164" s="239" t="n">
        <f aca="false">J164*10^(K164/192)</f>
        <v>6.81292069057961</v>
      </c>
    </row>
    <row r="165" customFormat="false" ht="15" hidden="false" customHeight="false" outlineLevel="0" collapsed="false">
      <c r="B165" s="238" t="n">
        <f aca="false">B141*10</f>
        <v>1000000</v>
      </c>
      <c r="D165" s="234" t="n">
        <f aca="false">D141*10</f>
        <v>5100000</v>
      </c>
      <c r="F165" s="238" t="n">
        <v>10</v>
      </c>
      <c r="G165" s="1" t="n">
        <v>65</v>
      </c>
      <c r="H165" s="234" t="n">
        <f aca="false">F165*10^(G165/96)</f>
        <v>47.5426443011106</v>
      </c>
      <c r="J165" s="238" t="n">
        <v>1</v>
      </c>
      <c r="K165" s="1" t="n">
        <f aca="false">K164+1</f>
        <v>161</v>
      </c>
      <c r="L165" s="239" t="n">
        <f aca="false">J165*10^(K165/192)</f>
        <v>6.89511742475141</v>
      </c>
    </row>
    <row r="166" customFormat="false" ht="15" hidden="false" customHeight="false" outlineLevel="0" collapsed="false">
      <c r="B166" s="238" t="n">
        <f aca="false">B142*10</f>
        <v>1000000</v>
      </c>
      <c r="D166" s="234" t="n">
        <f aca="false">D142*10</f>
        <v>5600000</v>
      </c>
      <c r="F166" s="238" t="n">
        <v>10</v>
      </c>
      <c r="G166" s="1" t="n">
        <v>66</v>
      </c>
      <c r="H166" s="234" t="n">
        <f aca="false">F166*10^(G166/96)</f>
        <v>48.6967525165863</v>
      </c>
      <c r="J166" s="238" t="n">
        <v>1</v>
      </c>
      <c r="K166" s="1" t="n">
        <f aca="false">K165+1</f>
        <v>162</v>
      </c>
      <c r="L166" s="239" t="n">
        <f aca="false">J166*10^(K166/192)</f>
        <v>6.97830584859866</v>
      </c>
    </row>
    <row r="167" customFormat="false" ht="15" hidden="false" customHeight="false" outlineLevel="0" collapsed="false">
      <c r="B167" s="238" t="n">
        <f aca="false">B143*10</f>
        <v>1000000</v>
      </c>
      <c r="D167" s="234" t="n">
        <f aca="false">D143*10</f>
        <v>6200000</v>
      </c>
      <c r="F167" s="238" t="n">
        <v>10</v>
      </c>
      <c r="G167" s="1" t="n">
        <v>67</v>
      </c>
      <c r="H167" s="234" t="n">
        <f aca="false">F167*10^(G167/96)</f>
        <v>49.8788769644911</v>
      </c>
      <c r="J167" s="238" t="n">
        <v>1</v>
      </c>
      <c r="K167" s="1" t="n">
        <f aca="false">K166+1</f>
        <v>163</v>
      </c>
      <c r="L167" s="239" t="n">
        <f aca="false">J167*10^(K167/192)</f>
        <v>7.06249792668933</v>
      </c>
    </row>
    <row r="168" customFormat="false" ht="15" hidden="false" customHeight="false" outlineLevel="0" collapsed="false">
      <c r="B168" s="238" t="n">
        <f aca="false">B144*10</f>
        <v>1000000</v>
      </c>
      <c r="D168" s="234" t="n">
        <f aca="false">D144*10</f>
        <v>6800000</v>
      </c>
      <c r="F168" s="238" t="n">
        <v>10</v>
      </c>
      <c r="G168" s="1" t="n">
        <v>68</v>
      </c>
      <c r="H168" s="234" t="n">
        <f aca="false">F168*10^(G168/96)</f>
        <v>51.0896977450693</v>
      </c>
      <c r="J168" s="238" t="n">
        <v>1</v>
      </c>
      <c r="K168" s="1" t="n">
        <f aca="false">K167+1</f>
        <v>164</v>
      </c>
      <c r="L168" s="239" t="n">
        <f aca="false">J168*10^(K168/192)</f>
        <v>7.14770576794186</v>
      </c>
    </row>
    <row r="169" customFormat="false" ht="15" hidden="false" customHeight="false" outlineLevel="0" collapsed="false">
      <c r="B169" s="238" t="n">
        <f aca="false">B145*10</f>
        <v>1000000</v>
      </c>
      <c r="D169" s="234" t="n">
        <f aca="false">D145*10</f>
        <v>7500000</v>
      </c>
      <c r="F169" s="238" t="n">
        <v>10</v>
      </c>
      <c r="G169" s="1" t="n">
        <v>69</v>
      </c>
      <c r="H169" s="234" t="n">
        <f aca="false">F169*10^(G169/96)</f>
        <v>52.3299114681495</v>
      </c>
      <c r="J169" s="238" t="n">
        <v>1</v>
      </c>
      <c r="K169" s="1" t="n">
        <f aca="false">K168+1</f>
        <v>165</v>
      </c>
      <c r="L169" s="239" t="n">
        <f aca="false">J169*10^(K169/192)</f>
        <v>7.23394162736675</v>
      </c>
    </row>
    <row r="170" customFormat="false" ht="15" hidden="false" customHeight="false" outlineLevel="0" collapsed="false">
      <c r="B170" s="238" t="n">
        <f aca="false">B146*10</f>
        <v>1000000</v>
      </c>
      <c r="D170" s="234" t="n">
        <f aca="false">D146*10</f>
        <v>8200000</v>
      </c>
      <c r="F170" s="238" t="n">
        <v>10</v>
      </c>
      <c r="G170" s="1" t="n">
        <v>70</v>
      </c>
      <c r="H170" s="234" t="n">
        <f aca="false">F170*10^(G170/96)</f>
        <v>53.6002316539179</v>
      </c>
      <c r="J170" s="238" t="n">
        <v>1</v>
      </c>
      <c r="K170" s="1" t="n">
        <f aca="false">K169+1</f>
        <v>166</v>
      </c>
      <c r="L170" s="239" t="n">
        <f aca="false">J170*10^(K170/192)</f>
        <v>7.32121790782913</v>
      </c>
    </row>
    <row r="171" customFormat="false" ht="15" hidden="false" customHeight="false" outlineLevel="0" collapsed="false">
      <c r="B171" s="238" t="n">
        <f aca="false">B147*10</f>
        <v>1000000</v>
      </c>
      <c r="D171" s="234" t="n">
        <f aca="false">D147*10</f>
        <v>9100000</v>
      </c>
      <c r="F171" s="238" t="n">
        <v>10</v>
      </c>
      <c r="G171" s="1" t="n">
        <v>71</v>
      </c>
      <c r="H171" s="234" t="n">
        <f aca="false">F171*10^(G171/96)</f>
        <v>54.9013891434214</v>
      </c>
      <c r="J171" s="238" t="n">
        <v>1</v>
      </c>
      <c r="K171" s="1" t="n">
        <f aca="false">K170+1</f>
        <v>167</v>
      </c>
      <c r="L171" s="239" t="n">
        <f aca="false">J171*10^(K171/192)</f>
        <v>7.40954716183259</v>
      </c>
    </row>
    <row r="172" customFormat="false" ht="15" hidden="false" customHeight="false" outlineLevel="0" collapsed="false">
      <c r="B172" s="238" t="n">
        <f aca="false">B148*10</f>
        <v>1000000</v>
      </c>
      <c r="D172" s="234" t="n">
        <f aca="false">D148*10</f>
        <v>10000000</v>
      </c>
      <c r="F172" s="238" t="n">
        <v>10</v>
      </c>
      <c r="G172" s="1" t="n">
        <v>72</v>
      </c>
      <c r="H172" s="234" t="n">
        <f aca="false">F172*10^(G172/96)</f>
        <v>56.2341325190349</v>
      </c>
      <c r="J172" s="238" t="n">
        <v>1</v>
      </c>
      <c r="K172" s="1" t="n">
        <f aca="false">K171+1</f>
        <v>168</v>
      </c>
      <c r="L172" s="239" t="n">
        <f aca="false">J172*10^(K172/192)</f>
        <v>7.49894209332456</v>
      </c>
    </row>
    <row r="173" customFormat="false" ht="15" hidden="false" customHeight="false" outlineLevel="0" collapsed="false">
      <c r="B173" s="238"/>
      <c r="F173" s="238" t="n">
        <v>10</v>
      </c>
      <c r="G173" s="1" t="n">
        <v>73</v>
      </c>
      <c r="H173" s="234" t="n">
        <f aca="false">F173*10^(G173/96)</f>
        <v>57.5992285351363</v>
      </c>
      <c r="J173" s="238" t="n">
        <v>1</v>
      </c>
      <c r="K173" s="1" t="n">
        <f aca="false">K172+1</f>
        <v>169</v>
      </c>
      <c r="L173" s="239" t="n">
        <f aca="false">J173*10^(K173/192)</f>
        <v>7.58941555952343</v>
      </c>
    </row>
    <row r="174" customFormat="false" ht="15" hidden="false" customHeight="false" outlineLevel="0" collapsed="false">
      <c r="B174" s="238"/>
      <c r="F174" s="238" t="n">
        <v>10</v>
      </c>
      <c r="G174" s="1" t="n">
        <v>74</v>
      </c>
      <c r="H174" s="234" t="n">
        <f aca="false">F174*10^(G174/96)</f>
        <v>58.9974625592356</v>
      </c>
      <c r="J174" s="238" t="n">
        <v>1</v>
      </c>
      <c r="K174" s="1" t="n">
        <f aca="false">K173+1</f>
        <v>170</v>
      </c>
      <c r="L174" s="239" t="n">
        <f aca="false">J174*10^(K174/192)</f>
        <v>7.68098057276775</v>
      </c>
    </row>
    <row r="175" customFormat="false" ht="15" hidden="false" customHeight="false" outlineLevel="0" collapsed="false">
      <c r="B175" s="238"/>
      <c r="F175" s="238" t="n">
        <v>10</v>
      </c>
      <c r="G175" s="1" t="n">
        <v>75</v>
      </c>
      <c r="H175" s="234" t="n">
        <f aca="false">F175*10^(G175/96)</f>
        <v>60.4296390238133</v>
      </c>
      <c r="J175" s="238" t="n">
        <v>1</v>
      </c>
      <c r="K175" s="1" t="n">
        <f aca="false">K174+1</f>
        <v>171</v>
      </c>
      <c r="L175" s="239" t="n">
        <f aca="false">J175*10^(K175/192)</f>
        <v>7.77365030238776</v>
      </c>
    </row>
    <row r="176" customFormat="false" ht="15" hidden="false" customHeight="false" outlineLevel="0" collapsed="false">
      <c r="B176" s="238"/>
      <c r="F176" s="238" t="n">
        <v>10</v>
      </c>
      <c r="G176" s="1" t="n">
        <v>76</v>
      </c>
      <c r="H176" s="234" t="n">
        <f aca="false">F176*10^(G176/96)</f>
        <v>61.8965818891261</v>
      </c>
      <c r="J176" s="238" t="n">
        <v>1</v>
      </c>
      <c r="K176" s="1" t="n">
        <f aca="false">K175+1</f>
        <v>172</v>
      </c>
      <c r="L176" s="239" t="n">
        <f aca="false">J176*10^(K176/192)</f>
        <v>7.8674380765994</v>
      </c>
    </row>
    <row r="177" customFormat="false" ht="15" hidden="false" customHeight="false" outlineLevel="0" collapsed="false">
      <c r="B177" s="238"/>
      <c r="F177" s="238" t="n">
        <v>10</v>
      </c>
      <c r="G177" s="1" t="n">
        <v>77</v>
      </c>
      <c r="H177" s="234" t="n">
        <f aca="false">F177*10^(G177/96)</f>
        <v>63.3991351172485</v>
      </c>
      <c r="J177" s="238" t="n">
        <v>1</v>
      </c>
      <c r="K177" s="1" t="n">
        <f aca="false">K176+1</f>
        <v>173</v>
      </c>
      <c r="L177" s="239" t="n">
        <f aca="false">J177*10^(K177/192)</f>
        <v>7.9623573844213</v>
      </c>
    </row>
    <row r="178" customFormat="false" ht="15" hidden="false" customHeight="false" outlineLevel="0" collapsed="false">
      <c r="B178" s="238"/>
      <c r="F178" s="238" t="n">
        <v>10</v>
      </c>
      <c r="G178" s="1" t="n">
        <v>78</v>
      </c>
      <c r="H178" s="234" t="n">
        <f aca="false">F178*10^(G178/96)</f>
        <v>64.9381631576211</v>
      </c>
      <c r="J178" s="238" t="n">
        <v>1</v>
      </c>
      <c r="K178" s="1" t="n">
        <f aca="false">K177+1</f>
        <v>174</v>
      </c>
      <c r="L178" s="239" t="n">
        <f aca="false">J178*10^(K178/192)</f>
        <v>8.05842187761482</v>
      </c>
    </row>
    <row r="179" customFormat="false" ht="15" hidden="false" customHeight="false" outlineLevel="0" collapsed="false">
      <c r="B179" s="238"/>
      <c r="F179" s="238" t="n">
        <v>10</v>
      </c>
      <c r="G179" s="1" t="n">
        <v>79</v>
      </c>
      <c r="H179" s="234" t="n">
        <f aca="false">F179*10^(G179/96)</f>
        <v>66.5145514443863</v>
      </c>
      <c r="J179" s="238" t="n">
        <v>1</v>
      </c>
      <c r="K179" s="1" t="n">
        <f aca="false">K178+1</f>
        <v>175</v>
      </c>
      <c r="L179" s="239" t="n">
        <f aca="false">J179*10^(K179/192)</f>
        <v>8.15564537264749</v>
      </c>
    </row>
    <row r="180" customFormat="false" ht="15" hidden="false" customHeight="false" outlineLevel="0" collapsed="false">
      <c r="B180" s="238"/>
      <c r="F180" s="238" t="n">
        <v>10</v>
      </c>
      <c r="G180" s="1" t="n">
        <v>80</v>
      </c>
      <c r="H180" s="234" t="n">
        <f aca="false">F180*10^(G180/96)</f>
        <v>68.1292069057961</v>
      </c>
      <c r="J180" s="238" t="n">
        <v>1</v>
      </c>
      <c r="K180" s="1" t="n">
        <f aca="false">K179+1</f>
        <v>176</v>
      </c>
      <c r="L180" s="239" t="n">
        <f aca="false">J180*10^(K180/192)</f>
        <v>8.25404185268018</v>
      </c>
    </row>
    <row r="181" customFormat="false" ht="15" hidden="false" customHeight="false" outlineLevel="0" collapsed="false">
      <c r="B181" s="238"/>
      <c r="F181" s="238" t="n">
        <v>10</v>
      </c>
      <c r="G181" s="1" t="n">
        <v>81</v>
      </c>
      <c r="H181" s="234" t="n">
        <f aca="false">F181*10^(G181/96)</f>
        <v>69.7830584859866</v>
      </c>
      <c r="J181" s="238" t="n">
        <v>1</v>
      </c>
      <c r="K181" s="1" t="n">
        <f aca="false">K180+1</f>
        <v>177</v>
      </c>
      <c r="L181" s="239" t="n">
        <f aca="false">J181*10^(K181/192)</f>
        <v>8.35362546957826</v>
      </c>
    </row>
    <row r="182" customFormat="false" ht="15" hidden="false" customHeight="false" outlineLevel="0" collapsed="false">
      <c r="B182" s="238"/>
      <c r="F182" s="238" t="n">
        <v>10</v>
      </c>
      <c r="G182" s="1" t="n">
        <v>82</v>
      </c>
      <c r="H182" s="234" t="n">
        <f aca="false">F182*10^(G182/96)</f>
        <v>71.4770576794186</v>
      </c>
      <c r="J182" s="238" t="n">
        <v>1</v>
      </c>
      <c r="K182" s="1" t="n">
        <f aca="false">K181+1</f>
        <v>178</v>
      </c>
      <c r="L182" s="239" t="n">
        <f aca="false">J182*10^(K182/192)</f>
        <v>8.45441054594692</v>
      </c>
    </row>
    <row r="183" customFormat="false" ht="15" hidden="false" customHeight="false" outlineLevel="0" collapsed="false">
      <c r="B183" s="238"/>
      <c r="F183" s="238" t="n">
        <v>10</v>
      </c>
      <c r="G183" s="1" t="n">
        <v>83</v>
      </c>
      <c r="H183" s="234" t="n">
        <f aca="false">F183*10^(G183/96)</f>
        <v>73.2121790782913</v>
      </c>
      <c r="J183" s="238" t="n">
        <v>1</v>
      </c>
      <c r="K183" s="1" t="n">
        <f aca="false">K182+1</f>
        <v>179</v>
      </c>
      <c r="L183" s="239" t="n">
        <f aca="false">J183*10^(K183/192)</f>
        <v>8.55641157719118</v>
      </c>
    </row>
    <row r="184" customFormat="false" ht="15" hidden="false" customHeight="false" outlineLevel="0" collapsed="false">
      <c r="B184" s="238"/>
      <c r="F184" s="238" t="n">
        <v>10</v>
      </c>
      <c r="G184" s="1" t="n">
        <v>84</v>
      </c>
      <c r="H184" s="234" t="n">
        <f aca="false">F184*10^(G184/96)</f>
        <v>74.9894209332456</v>
      </c>
      <c r="J184" s="238" t="n">
        <v>1</v>
      </c>
      <c r="K184" s="1" t="n">
        <f aca="false">K183+1</f>
        <v>180</v>
      </c>
      <c r="L184" s="239" t="n">
        <f aca="false">J184*10^(K184/192)</f>
        <v>8.65964323360065</v>
      </c>
    </row>
    <row r="185" customFormat="false" ht="15" hidden="false" customHeight="false" outlineLevel="0" collapsed="false">
      <c r="B185" s="238"/>
      <c r="F185" s="238" t="n">
        <v>10</v>
      </c>
      <c r="G185" s="1" t="n">
        <v>85</v>
      </c>
      <c r="H185" s="234" t="n">
        <f aca="false">F185*10^(G185/96)</f>
        <v>76.8098057276775</v>
      </c>
      <c r="J185" s="238" t="n">
        <v>1</v>
      </c>
      <c r="K185" s="1" t="n">
        <f aca="false">K184+1</f>
        <v>181</v>
      </c>
      <c r="L185" s="239" t="n">
        <f aca="false">J185*10^(K185/192)</f>
        <v>8.76412036245952</v>
      </c>
    </row>
    <row r="186" customFormat="false" ht="15" hidden="false" customHeight="false" outlineLevel="0" collapsed="false">
      <c r="B186" s="238"/>
      <c r="F186" s="238" t="n">
        <v>10</v>
      </c>
      <c r="G186" s="1" t="n">
        <v>86</v>
      </c>
      <c r="H186" s="234" t="n">
        <f aca="false">F186*10^(G186/96)</f>
        <v>78.674380765994</v>
      </c>
      <c r="J186" s="238" t="n">
        <v>1</v>
      </c>
      <c r="K186" s="1" t="n">
        <f aca="false">K185+1</f>
        <v>182</v>
      </c>
      <c r="L186" s="239" t="n">
        <f aca="false">J186*10^(K186/192)</f>
        <v>8.86985799018192</v>
      </c>
    </row>
    <row r="187" customFormat="false" ht="15" hidden="false" customHeight="false" outlineLevel="0" collapsed="false">
      <c r="B187" s="238"/>
      <c r="F187" s="238" t="n">
        <v>10</v>
      </c>
      <c r="G187" s="1" t="n">
        <v>87</v>
      </c>
      <c r="H187" s="234" t="n">
        <f aca="false">F187*10^(G187/96)</f>
        <v>80.5842187761482</v>
      </c>
      <c r="J187" s="238" t="n">
        <v>1</v>
      </c>
      <c r="K187" s="1" t="n">
        <f aca="false">K186+1</f>
        <v>183</v>
      </c>
      <c r="L187" s="239" t="n">
        <f aca="false">J187*10^(K187/192)</f>
        <v>8.97687132447314</v>
      </c>
    </row>
    <row r="188" customFormat="false" ht="15" hidden="false" customHeight="false" outlineLevel="0" collapsed="false">
      <c r="B188" s="238"/>
      <c r="F188" s="238" t="n">
        <v>10</v>
      </c>
      <c r="G188" s="1" t="n">
        <v>88</v>
      </c>
      <c r="H188" s="234" t="n">
        <f aca="false">F188*10^(G188/96)</f>
        <v>82.5404185268018</v>
      </c>
      <c r="J188" s="238" t="n">
        <v>1</v>
      </c>
      <c r="K188" s="1" t="n">
        <f aca="false">K187+1</f>
        <v>184</v>
      </c>
      <c r="L188" s="239" t="n">
        <f aca="false">J188*10^(K188/192)</f>
        <v>9.08517575651687</v>
      </c>
    </row>
    <row r="189" customFormat="false" ht="15" hidden="false" customHeight="false" outlineLevel="0" collapsed="false">
      <c r="B189" s="238"/>
      <c r="F189" s="238" t="n">
        <v>10</v>
      </c>
      <c r="G189" s="1" t="n">
        <v>89</v>
      </c>
      <c r="H189" s="234" t="n">
        <f aca="false">F189*10^(G189/96)</f>
        <v>84.5441054594693</v>
      </c>
      <c r="J189" s="238" t="n">
        <v>1</v>
      </c>
      <c r="K189" s="1" t="n">
        <f aca="false">K188+1</f>
        <v>185</v>
      </c>
      <c r="L189" s="239" t="n">
        <f aca="false">J189*10^(K189/192)</f>
        <v>9.19478686318879</v>
      </c>
    </row>
    <row r="190" customFormat="false" ht="15" hidden="false" customHeight="false" outlineLevel="0" collapsed="false">
      <c r="B190" s="238"/>
      <c r="F190" s="238" t="n">
        <v>10</v>
      </c>
      <c r="G190" s="1" t="n">
        <v>90</v>
      </c>
      <c r="H190" s="234" t="n">
        <f aca="false">F190*10^(G190/96)</f>
        <v>86.5964323360065</v>
      </c>
      <c r="J190" s="238" t="n">
        <v>1</v>
      </c>
      <c r="K190" s="1" t="n">
        <f aca="false">K189+1</f>
        <v>186</v>
      </c>
      <c r="L190" s="239" t="n">
        <f aca="false">J190*10^(K190/192)</f>
        <v>9.30572040929699</v>
      </c>
    </row>
    <row r="191" customFormat="false" ht="15" hidden="false" customHeight="false" outlineLevel="0" collapsed="false">
      <c r="F191" s="238" t="n">
        <v>10</v>
      </c>
      <c r="G191" s="1" t="n">
        <v>91</v>
      </c>
      <c r="H191" s="234" t="n">
        <f aca="false">F191*10^(G191/96)</f>
        <v>88.6985799018192</v>
      </c>
      <c r="J191" s="238" t="n">
        <v>1</v>
      </c>
      <c r="K191" s="1" t="n">
        <f aca="false">K190+1</f>
        <v>187</v>
      </c>
      <c r="L191" s="239" t="n">
        <f aca="false">J191*10^(K191/192)</f>
        <v>9.41799234984926</v>
      </c>
    </row>
    <row r="192" customFormat="false" ht="15" hidden="false" customHeight="false" outlineLevel="0" collapsed="false">
      <c r="F192" s="238" t="n">
        <v>10</v>
      </c>
      <c r="G192" s="1" t="n">
        <v>92</v>
      </c>
      <c r="H192" s="234" t="n">
        <f aca="false">F192*10^(G192/96)</f>
        <v>90.8517575651687</v>
      </c>
      <c r="J192" s="238" t="n">
        <v>1</v>
      </c>
      <c r="K192" s="1" t="n">
        <f aca="false">K191+1</f>
        <v>188</v>
      </c>
      <c r="L192" s="239" t="n">
        <f aca="false">J192*10^(K192/192)</f>
        <v>9.53161883234787</v>
      </c>
    </row>
    <row r="193" customFormat="false" ht="15" hidden="false" customHeight="false" outlineLevel="0" collapsed="false">
      <c r="F193" s="238" t="n">
        <v>10</v>
      </c>
      <c r="G193" s="1" t="n">
        <v>93</v>
      </c>
      <c r="H193" s="234" t="n">
        <f aca="false">F193*10^(G193/96)</f>
        <v>93.0572040929699</v>
      </c>
      <c r="J193" s="238" t="n">
        <v>1</v>
      </c>
      <c r="K193" s="1" t="n">
        <f aca="false">K192+1</f>
        <v>189</v>
      </c>
      <c r="L193" s="239" t="n">
        <f aca="false">J193*10^(K193/192)</f>
        <v>9.64661619911199</v>
      </c>
    </row>
    <row r="194" customFormat="false" ht="15" hidden="false" customHeight="false" outlineLevel="0" collapsed="false">
      <c r="F194" s="238" t="n">
        <v>10</v>
      </c>
      <c r="G194" s="1" t="n">
        <v>94</v>
      </c>
      <c r="H194" s="234" t="n">
        <f aca="false">F194*10^(G194/96)</f>
        <v>95.3161883234787</v>
      </c>
      <c r="J194" s="238" t="n">
        <v>1</v>
      </c>
      <c r="K194" s="1" t="n">
        <f aca="false">K193+1</f>
        <v>190</v>
      </c>
      <c r="L194" s="239" t="n">
        <f aca="false">J194*10^(K194/192)</f>
        <v>9.76300098962808</v>
      </c>
    </row>
    <row r="195" customFormat="false" ht="15" hidden="false" customHeight="false" outlineLevel="0" collapsed="false">
      <c r="F195" s="238" t="n">
        <v>10</v>
      </c>
      <c r="G195" s="1" t="n">
        <v>95</v>
      </c>
      <c r="H195" s="234" t="n">
        <f aca="false">F195*10^(G195/96)</f>
        <v>97.6300098962808</v>
      </c>
      <c r="J195" s="238" t="n">
        <v>1</v>
      </c>
      <c r="K195" s="1" t="n">
        <f aca="false">K194+1</f>
        <v>191</v>
      </c>
      <c r="L195" s="239" t="n">
        <f aca="false">J195*10^(K195/192)</f>
        <v>9.88078994292869</v>
      </c>
    </row>
    <row r="196" customFormat="false" ht="15" hidden="false" customHeight="false" outlineLevel="0" collapsed="false">
      <c r="F196" s="238" t="n">
        <v>10</v>
      </c>
      <c r="G196" s="1" t="n">
        <v>96</v>
      </c>
      <c r="H196" s="234" t="n">
        <f aca="false">F196*10^(G196/96)</f>
        <v>100</v>
      </c>
      <c r="J196" s="238" t="n">
        <v>1</v>
      </c>
      <c r="K196" s="1" t="n">
        <f aca="false">K195+1</f>
        <v>192</v>
      </c>
      <c r="L196" s="239" t="n">
        <f aca="false">J196*10^(K196/192)</f>
        <v>10</v>
      </c>
    </row>
    <row r="197" customFormat="false" ht="15" hidden="false" customHeight="false" outlineLevel="0" collapsed="false">
      <c r="F197" s="238" t="n">
        <v>100</v>
      </c>
      <c r="G197" s="1" t="n">
        <v>1</v>
      </c>
      <c r="H197" s="234" t="n">
        <f aca="false">F197*10^(G197/96)</f>
        <v>102.427522138159</v>
      </c>
      <c r="J197" s="238" t="n">
        <f aca="false">J4*10</f>
        <v>10</v>
      </c>
      <c r="K197" s="1" t="n">
        <v>1</v>
      </c>
      <c r="L197" s="239" t="n">
        <f aca="false">J197*10^(K197/192)</f>
        <v>10.1206483062183</v>
      </c>
    </row>
    <row r="198" customFormat="false" ht="15" hidden="false" customHeight="false" outlineLevel="0" collapsed="false">
      <c r="F198" s="238" t="n">
        <v>100</v>
      </c>
      <c r="G198" s="1" t="n">
        <v>2</v>
      </c>
      <c r="H198" s="234" t="n">
        <f aca="false">F198*10^(G198/96)</f>
        <v>104.913972913631</v>
      </c>
      <c r="J198" s="238" t="n">
        <f aca="false">J5*10</f>
        <v>10</v>
      </c>
      <c r="K198" s="1" t="n">
        <f aca="false">K197+1</f>
        <v>2</v>
      </c>
      <c r="L198" s="239" t="n">
        <f aca="false">J198*10^(K198/192)</f>
        <v>10.2427522138159</v>
      </c>
    </row>
    <row r="199" customFormat="false" ht="15" hidden="false" customHeight="false" outlineLevel="0" collapsed="false">
      <c r="F199" s="238" t="n">
        <v>100</v>
      </c>
      <c r="G199" s="1" t="n">
        <v>3</v>
      </c>
      <c r="H199" s="234" t="n">
        <f aca="false">F199*10^(G199/96)</f>
        <v>107.460782832132</v>
      </c>
      <c r="J199" s="238" t="n">
        <f aca="false">J6*10</f>
        <v>10</v>
      </c>
      <c r="K199" s="1" t="n">
        <f aca="false">K198+1</f>
        <v>3</v>
      </c>
      <c r="L199" s="239" t="n">
        <f aca="false">J199*10^(K199/192)</f>
        <v>10.366329284377</v>
      </c>
    </row>
    <row r="200" customFormat="false" ht="15" hidden="false" customHeight="false" outlineLevel="0" collapsed="false">
      <c r="F200" s="238" t="n">
        <v>100</v>
      </c>
      <c r="G200" s="1" t="n">
        <v>4</v>
      </c>
      <c r="H200" s="234" t="n">
        <f aca="false">F200*10^(G200/96)</f>
        <v>110.069417125221</v>
      </c>
      <c r="J200" s="238" t="n">
        <f aca="false">J7*10</f>
        <v>10</v>
      </c>
      <c r="K200" s="1" t="n">
        <f aca="false">K199+1</f>
        <v>4</v>
      </c>
      <c r="L200" s="239" t="n">
        <f aca="false">J200*10^(K200/192)</f>
        <v>10.4913972913631</v>
      </c>
    </row>
    <row r="201" customFormat="false" ht="15" hidden="false" customHeight="false" outlineLevel="0" collapsed="false">
      <c r="F201" s="238" t="n">
        <v>100</v>
      </c>
      <c r="G201" s="1" t="n">
        <v>5</v>
      </c>
      <c r="H201" s="234" t="n">
        <f aca="false">F201*10^(G201/96)</f>
        <v>112.741376593279</v>
      </c>
      <c r="J201" s="238" t="n">
        <f aca="false">J8*10</f>
        <v>10</v>
      </c>
      <c r="K201" s="1" t="n">
        <f aca="false">K200+1</f>
        <v>5</v>
      </c>
      <c r="L201" s="239" t="n">
        <f aca="false">J201*10^(K201/192)</f>
        <v>10.6179742226697</v>
      </c>
    </row>
    <row r="202" customFormat="false" ht="15" hidden="false" customHeight="false" outlineLevel="0" collapsed="false">
      <c r="F202" s="238" t="n">
        <v>100</v>
      </c>
      <c r="G202" s="1" t="n">
        <v>6</v>
      </c>
      <c r="H202" s="234" t="n">
        <f aca="false">F202*10^(G202/96)</f>
        <v>115.478198468946</v>
      </c>
      <c r="J202" s="238" t="n">
        <f aca="false">J9*10</f>
        <v>10</v>
      </c>
      <c r="K202" s="1" t="n">
        <f aca="false">K201+1</f>
        <v>6</v>
      </c>
      <c r="L202" s="239" t="n">
        <f aca="false">J202*10^(K202/192)</f>
        <v>10.7460782832132</v>
      </c>
    </row>
    <row r="203" customFormat="false" ht="15" hidden="false" customHeight="false" outlineLevel="0" collapsed="false">
      <c r="F203" s="238" t="n">
        <v>100</v>
      </c>
      <c r="G203" s="1" t="n">
        <v>7</v>
      </c>
      <c r="H203" s="234" t="n">
        <f aca="false">F203*10^(G203/96)</f>
        <v>118.281457301527</v>
      </c>
      <c r="J203" s="238" t="n">
        <f aca="false">J10*10</f>
        <v>10</v>
      </c>
      <c r="K203" s="1" t="n">
        <f aca="false">K202+1</f>
        <v>7</v>
      </c>
      <c r="L203" s="239" t="n">
        <f aca="false">J203*10^(K203/192)</f>
        <v>10.8757278975491</v>
      </c>
    </row>
    <row r="204" customFormat="false" ht="15" hidden="false" customHeight="false" outlineLevel="0" collapsed="false">
      <c r="F204" s="238" t="n">
        <v>100</v>
      </c>
      <c r="G204" s="1" t="n">
        <v>8</v>
      </c>
      <c r="H204" s="234" t="n">
        <f aca="false">F204*10^(G204/96)</f>
        <v>121.152765862859</v>
      </c>
      <c r="J204" s="238" t="n">
        <f aca="false">J11*10</f>
        <v>10</v>
      </c>
      <c r="K204" s="1" t="n">
        <f aca="false">K203+1</f>
        <v>8</v>
      </c>
      <c r="L204" s="239" t="n">
        <f aca="false">J204*10^(K204/192)</f>
        <v>11.0069417125221</v>
      </c>
    </row>
    <row r="205" customFormat="false" ht="15" hidden="false" customHeight="false" outlineLevel="0" collapsed="false">
      <c r="F205" s="238" t="n">
        <v>100</v>
      </c>
      <c r="G205" s="1" t="n">
        <v>9</v>
      </c>
      <c r="H205" s="234" t="n">
        <f aca="false">F205*10^(G205/96)</f>
        <v>124.093776075172</v>
      </c>
      <c r="J205" s="238" t="n">
        <f aca="false">J12*10</f>
        <v>10</v>
      </c>
      <c r="K205" s="1" t="n">
        <f aca="false">K204+1</f>
        <v>9</v>
      </c>
      <c r="L205" s="239" t="n">
        <f aca="false">J205*10^(K205/192)</f>
        <v>11.139738599948</v>
      </c>
    </row>
    <row r="206" customFormat="false" ht="15" hidden="false" customHeight="false" outlineLevel="0" collapsed="false">
      <c r="F206" s="238" t="n">
        <v>100</v>
      </c>
      <c r="G206" s="1" t="n">
        <v>10</v>
      </c>
      <c r="H206" s="234" t="n">
        <f aca="false">F206*10^(G206/96)</f>
        <v>127.106179961474</v>
      </c>
      <c r="J206" s="238" t="n">
        <f aca="false">J13*10</f>
        <v>10</v>
      </c>
      <c r="K206" s="1" t="n">
        <f aca="false">K205+1</f>
        <v>10</v>
      </c>
      <c r="L206" s="239" t="n">
        <f aca="false">J206*10^(K206/192)</f>
        <v>11.2741376593279</v>
      </c>
    </row>
    <row r="207" customFormat="false" ht="15" hidden="false" customHeight="false" outlineLevel="0" collapsed="false">
      <c r="F207" s="238" t="n">
        <v>100</v>
      </c>
      <c r="G207" s="1" t="n">
        <v>11</v>
      </c>
      <c r="H207" s="234" t="n">
        <f aca="false">F207*10^(G207/96)</f>
        <v>130.191710619008</v>
      </c>
      <c r="J207" s="238" t="n">
        <f aca="false">J14*10</f>
        <v>10</v>
      </c>
      <c r="K207" s="1" t="n">
        <f aca="false">K206+1</f>
        <v>11</v>
      </c>
      <c r="L207" s="239" t="n">
        <f aca="false">J207*10^(K207/192)</f>
        <v>11.4101582205948</v>
      </c>
    </row>
    <row r="208" customFormat="false" ht="15" hidden="false" customHeight="false" outlineLevel="0" collapsed="false">
      <c r="F208" s="238" t="n">
        <v>100</v>
      </c>
      <c r="G208" s="1" t="n">
        <v>12</v>
      </c>
      <c r="H208" s="234" t="n">
        <f aca="false">F208*10^(G208/96)</f>
        <v>133.352143216332</v>
      </c>
      <c r="J208" s="238" t="n">
        <f aca="false">J15*10</f>
        <v>10</v>
      </c>
      <c r="K208" s="1" t="n">
        <f aca="false">K207+1</f>
        <v>12</v>
      </c>
      <c r="L208" s="239" t="n">
        <f aca="false">J208*10^(K208/192)</f>
        <v>11.5478198468946</v>
      </c>
    </row>
    <row r="209" customFormat="false" ht="15" hidden="false" customHeight="false" outlineLevel="0" collapsed="false">
      <c r="F209" s="238" t="n">
        <v>100</v>
      </c>
      <c r="G209" s="1" t="n">
        <v>13</v>
      </c>
      <c r="H209" s="234" t="n">
        <f aca="false">F209*10^(G209/96)</f>
        <v>136.589296014619</v>
      </c>
      <c r="J209" s="238" t="n">
        <f aca="false">J16*10</f>
        <v>10</v>
      </c>
      <c r="K209" s="1" t="n">
        <f aca="false">K208+1</f>
        <v>13</v>
      </c>
      <c r="L209" s="239" t="n">
        <f aca="false">J209*10^(K209/192)</f>
        <v>11.6871423373988</v>
      </c>
    </row>
    <row r="210" customFormat="false" ht="15" hidden="false" customHeight="false" outlineLevel="0" collapsed="false">
      <c r="F210" s="238" t="n">
        <v>100</v>
      </c>
      <c r="G210" s="1" t="n">
        <v>14</v>
      </c>
      <c r="H210" s="234" t="n">
        <f aca="false">F210*10^(G210/96)</f>
        <v>139.905031413729</v>
      </c>
      <c r="J210" s="238" t="n">
        <f aca="false">J17*10</f>
        <v>10</v>
      </c>
      <c r="K210" s="1" t="n">
        <f aca="false">K209+1</f>
        <v>14</v>
      </c>
      <c r="L210" s="239" t="n">
        <f aca="false">J210*10^(K210/192)</f>
        <v>11.8281457301527</v>
      </c>
    </row>
    <row r="211" customFormat="false" ht="15" hidden="false" customHeight="false" outlineLevel="0" collapsed="false">
      <c r="F211" s="238" t="n">
        <v>100</v>
      </c>
      <c r="G211" s="1" t="n">
        <v>15</v>
      </c>
      <c r="H211" s="234" t="n">
        <f aca="false">F211*10^(G211/96)</f>
        <v>143.301257023696</v>
      </c>
      <c r="J211" s="238" t="n">
        <f aca="false">J18*10</f>
        <v>10</v>
      </c>
      <c r="K211" s="1" t="n">
        <f aca="false">K210+1</f>
        <v>15</v>
      </c>
      <c r="L211" s="239" t="n">
        <f aca="false">J211*10^(K211/192)</f>
        <v>11.9708503049573</v>
      </c>
    </row>
    <row r="212" customFormat="false" ht="15" hidden="false" customHeight="false" outlineLevel="0" collapsed="false">
      <c r="F212" s="238" t="n">
        <v>100</v>
      </c>
      <c r="G212" s="1" t="n">
        <v>16</v>
      </c>
      <c r="H212" s="234" t="n">
        <f aca="false">F212*10^(G212/96)</f>
        <v>146.779926762207</v>
      </c>
      <c r="J212" s="238" t="n">
        <f aca="false">J19*10</f>
        <v>10</v>
      </c>
      <c r="K212" s="1" t="n">
        <f aca="false">K211+1</f>
        <v>16</v>
      </c>
      <c r="L212" s="239" t="n">
        <f aca="false">J212*10^(K212/192)</f>
        <v>12.1152765862859</v>
      </c>
    </row>
    <row r="213" customFormat="false" ht="15" hidden="false" customHeight="false" outlineLevel="0" collapsed="false">
      <c r="F213" s="238" t="n">
        <v>100</v>
      </c>
      <c r="G213" s="1" t="n">
        <v>17</v>
      </c>
      <c r="H213" s="234" t="n">
        <f aca="false">F213*10^(G213/96)</f>
        <v>150.343041978733</v>
      </c>
      <c r="J213" s="238" t="n">
        <f aca="false">J20*10</f>
        <v>10</v>
      </c>
      <c r="K213" s="1" t="n">
        <f aca="false">K212+1</f>
        <v>17</v>
      </c>
      <c r="L213" s="239" t="n">
        <f aca="false">J213*10^(K213/192)</f>
        <v>12.261445346236</v>
      </c>
    </row>
    <row r="214" customFormat="false" ht="15" hidden="false" customHeight="false" outlineLevel="0" collapsed="false">
      <c r="F214" s="238" t="n">
        <v>100</v>
      </c>
      <c r="G214" s="1" t="n">
        <v>18</v>
      </c>
      <c r="H214" s="234" t="n">
        <f aca="false">F214*10^(G214/96)</f>
        <v>153.992652605949</v>
      </c>
      <c r="J214" s="238" t="n">
        <f aca="false">J21*10</f>
        <v>10</v>
      </c>
      <c r="K214" s="1" t="n">
        <f aca="false">K213+1</f>
        <v>18</v>
      </c>
      <c r="L214" s="239" t="n">
        <f aca="false">J214*10^(K214/192)</f>
        <v>12.4093776075172</v>
      </c>
    </row>
    <row r="215" customFormat="false" ht="15" hidden="false" customHeight="false" outlineLevel="0" collapsed="false">
      <c r="F215" s="238" t="n">
        <v>100</v>
      </c>
      <c r="G215" s="1" t="n">
        <v>19</v>
      </c>
      <c r="H215" s="234" t="n">
        <f aca="false">F215*10^(G215/96)</f>
        <v>157.730858339097</v>
      </c>
      <c r="J215" s="238" t="n">
        <f aca="false">J22*10</f>
        <v>10</v>
      </c>
      <c r="K215" s="1" t="n">
        <f aca="false">K214+1</f>
        <v>19</v>
      </c>
      <c r="L215" s="239" t="n">
        <f aca="false">J215*10^(K215/192)</f>
        <v>12.5590946464742</v>
      </c>
    </row>
    <row r="216" customFormat="false" ht="15" hidden="false" customHeight="false" outlineLevel="0" collapsed="false">
      <c r="F216" s="238" t="n">
        <v>100</v>
      </c>
      <c r="G216" s="1" t="n">
        <v>20</v>
      </c>
      <c r="H216" s="234" t="n">
        <f aca="false">F216*10^(G216/96)</f>
        <v>161.559809843987</v>
      </c>
      <c r="J216" s="238" t="n">
        <f aca="false">J23*10</f>
        <v>10</v>
      </c>
      <c r="K216" s="1" t="n">
        <f aca="false">K215+1</f>
        <v>20</v>
      </c>
      <c r="L216" s="239" t="n">
        <f aca="false">J216*10^(K216/192)</f>
        <v>12.7106179961474</v>
      </c>
    </row>
    <row r="217" customFormat="false" ht="15" hidden="false" customHeight="false" outlineLevel="0" collapsed="false">
      <c r="F217" s="238" t="n">
        <v>100</v>
      </c>
      <c r="G217" s="1" t="n">
        <v>21</v>
      </c>
      <c r="H217" s="234" t="n">
        <f aca="false">F217*10^(G217/96)</f>
        <v>165.481709994318</v>
      </c>
      <c r="J217" s="238" t="n">
        <f aca="false">J24*10</f>
        <v>10</v>
      </c>
      <c r="K217" s="1" t="n">
        <f aca="false">K216+1</f>
        <v>21</v>
      </c>
      <c r="L217" s="239" t="n">
        <f aca="false">J217*10^(K217/192)</f>
        <v>12.8639694493697</v>
      </c>
    </row>
    <row r="218" customFormat="false" ht="15" hidden="false" customHeight="false" outlineLevel="0" collapsed="false">
      <c r="F218" s="238" t="n">
        <v>100</v>
      </c>
      <c r="G218" s="1" t="n">
        <v>22</v>
      </c>
      <c r="H218" s="234" t="n">
        <f aca="false">F218*10^(G218/96)</f>
        <v>169.498815139035</v>
      </c>
      <c r="J218" s="238" t="n">
        <f aca="false">J25*10</f>
        <v>10</v>
      </c>
      <c r="K218" s="1" t="n">
        <f aca="false">K217+1</f>
        <v>22</v>
      </c>
      <c r="L218" s="239" t="n">
        <f aca="false">J218*10^(K218/192)</f>
        <v>13.0191710619008</v>
      </c>
    </row>
    <row r="219" customFormat="false" ht="15" hidden="false" customHeight="false" outlineLevel="0" collapsed="false">
      <c r="F219" s="238" t="n">
        <v>100</v>
      </c>
      <c r="G219" s="1" t="n">
        <v>23</v>
      </c>
      <c r="H219" s="234" t="n">
        <f aca="false">F219*10^(G219/96)</f>
        <v>173.613436400452</v>
      </c>
      <c r="J219" s="238" t="n">
        <f aca="false">J26*10</f>
        <v>10</v>
      </c>
      <c r="K219" s="1" t="n">
        <f aca="false">K218+1</f>
        <v>23</v>
      </c>
      <c r="L219" s="239" t="n">
        <f aca="false">J219*10^(K219/192)</f>
        <v>13.1762451555992</v>
      </c>
    </row>
    <row r="220" customFormat="false" ht="15" hidden="false" customHeight="false" outlineLevel="0" collapsed="false">
      <c r="F220" s="238" t="n">
        <v>100</v>
      </c>
      <c r="G220" s="1" t="n">
        <v>24</v>
      </c>
      <c r="H220" s="234" t="n">
        <f aca="false">F220*10^(G220/96)</f>
        <v>177.827941003892</v>
      </c>
      <c r="J220" s="238" t="n">
        <f aca="false">J27*10</f>
        <v>10</v>
      </c>
      <c r="K220" s="1" t="n">
        <f aca="false">K219+1</f>
        <v>24</v>
      </c>
      <c r="L220" s="239" t="n">
        <f aca="false">J220*10^(K220/192)</f>
        <v>13.3352143216332</v>
      </c>
    </row>
    <row r="221" customFormat="false" ht="15" hidden="false" customHeight="false" outlineLevel="0" collapsed="false">
      <c r="F221" s="238" t="n">
        <v>100</v>
      </c>
      <c r="G221" s="1" t="n">
        <v>25</v>
      </c>
      <c r="H221" s="234" t="n">
        <f aca="false">F221*10^(G221/96)</f>
        <v>182.144753639595</v>
      </c>
      <c r="J221" s="238" t="n">
        <f aca="false">J28*10</f>
        <v>10</v>
      </c>
      <c r="K221" s="1" t="n">
        <f aca="false">K220+1</f>
        <v>25</v>
      </c>
      <c r="L221" s="239" t="n">
        <f aca="false">J221*10^(K221/192)</f>
        <v>13.4961014237295</v>
      </c>
    </row>
    <row r="222" customFormat="false" ht="15" hidden="false" customHeight="false" outlineLevel="0" collapsed="false">
      <c r="F222" s="238" t="n">
        <v>100</v>
      </c>
      <c r="G222" s="1" t="n">
        <v>26</v>
      </c>
      <c r="H222" s="234" t="n">
        <f aca="false">F222*10^(G222/96)</f>
        <v>186.566357857691</v>
      </c>
      <c r="J222" s="238" t="n">
        <f aca="false">J29*10</f>
        <v>10</v>
      </c>
      <c r="K222" s="1" t="n">
        <f aca="false">K221+1</f>
        <v>26</v>
      </c>
      <c r="L222" s="239" t="n">
        <f aca="false">J222*10^(K222/192)</f>
        <v>13.6589296014619</v>
      </c>
    </row>
    <row r="223" customFormat="false" ht="15" hidden="false" customHeight="false" outlineLevel="0" collapsed="false">
      <c r="F223" s="238" t="n">
        <v>100</v>
      </c>
      <c r="G223" s="1" t="n">
        <v>27</v>
      </c>
      <c r="H223" s="234" t="n">
        <f aca="false">F223*10^(G223/96)</f>
        <v>191.095297497044</v>
      </c>
      <c r="J223" s="238" t="n">
        <f aca="false">J30*10</f>
        <v>10</v>
      </c>
      <c r="K223" s="1" t="n">
        <f aca="false">K222+1</f>
        <v>27</v>
      </c>
      <c r="L223" s="239" t="n">
        <f aca="false">J223*10^(K223/192)</f>
        <v>13.823722273579</v>
      </c>
    </row>
    <row r="224" customFormat="false" ht="15" hidden="false" customHeight="false" outlineLevel="0" collapsed="false">
      <c r="F224" s="238" t="n">
        <v>100</v>
      </c>
      <c r="G224" s="1" t="n">
        <v>28</v>
      </c>
      <c r="H224" s="234" t="n">
        <f aca="false">F224*10^(G224/96)</f>
        <v>195.734178148766</v>
      </c>
      <c r="J224" s="238" t="n">
        <f aca="false">J31*10</f>
        <v>10</v>
      </c>
      <c r="K224" s="1" t="n">
        <f aca="false">K223+1</f>
        <v>28</v>
      </c>
      <c r="L224" s="239" t="n">
        <f aca="false">J224*10^(K224/192)</f>
        <v>13.9905031413729</v>
      </c>
    </row>
    <row r="225" customFormat="false" ht="15" hidden="false" customHeight="false" outlineLevel="0" collapsed="false">
      <c r="F225" s="238" t="n">
        <v>100</v>
      </c>
      <c r="G225" s="1" t="n">
        <v>29</v>
      </c>
      <c r="H225" s="234" t="n">
        <f aca="false">F225*10^(G225/96)</f>
        <v>200.485668655271</v>
      </c>
      <c r="J225" s="238" t="n">
        <f aca="false">J32*10</f>
        <v>10</v>
      </c>
      <c r="K225" s="1" t="n">
        <f aca="false">K224+1</f>
        <v>29</v>
      </c>
      <c r="L225" s="239" t="n">
        <f aca="false">J225*10^(K225/192)</f>
        <v>14.1592961920878</v>
      </c>
    </row>
    <row r="226" customFormat="false" ht="15" hidden="false" customHeight="false" outlineLevel="0" collapsed="false">
      <c r="F226" s="238" t="n">
        <v>100</v>
      </c>
      <c r="G226" s="1" t="n">
        <v>30</v>
      </c>
      <c r="H226" s="234" t="n">
        <f aca="false">F226*10^(G226/96)</f>
        <v>205.352502645715</v>
      </c>
      <c r="J226" s="238" t="n">
        <f aca="false">J33*10</f>
        <v>10</v>
      </c>
      <c r="K226" s="1" t="n">
        <f aca="false">K225+1</f>
        <v>30</v>
      </c>
      <c r="L226" s="239" t="n">
        <f aca="false">J226*10^(K226/192)</f>
        <v>14.3301257023696</v>
      </c>
    </row>
    <row r="227" customFormat="false" ht="15" hidden="false" customHeight="false" outlineLevel="0" collapsed="false">
      <c r="F227" s="238" t="n">
        <v>100</v>
      </c>
      <c r="G227" s="1" t="n">
        <v>31</v>
      </c>
      <c r="H227" s="234" t="n">
        <f aca="false">F227*10^(G227/96)</f>
        <v>210.337480108703</v>
      </c>
      <c r="J227" s="238" t="n">
        <f aca="false">J34*10</f>
        <v>10</v>
      </c>
      <c r="K227" s="1" t="n">
        <f aca="false">K226+1</f>
        <v>31</v>
      </c>
      <c r="L227" s="239" t="n">
        <f aca="false">J227*10^(K227/192)</f>
        <v>14.5030162417582</v>
      </c>
    </row>
    <row r="228" customFormat="false" ht="15" hidden="false" customHeight="false" outlineLevel="0" collapsed="false">
      <c r="F228" s="238" t="n">
        <v>100</v>
      </c>
      <c r="G228" s="1" t="n">
        <v>32</v>
      </c>
      <c r="H228" s="234" t="n">
        <f aca="false">F228*10^(G228/96)</f>
        <v>215.443469003188</v>
      </c>
      <c r="J228" s="238" t="n">
        <f aca="false">J35*10</f>
        <v>10</v>
      </c>
      <c r="K228" s="1" t="n">
        <f aca="false">K227+1</f>
        <v>32</v>
      </c>
      <c r="L228" s="239" t="n">
        <f aca="false">J228*10^(K228/192)</f>
        <v>14.6779926762207</v>
      </c>
    </row>
    <row r="229" customFormat="false" ht="15" hidden="false" customHeight="false" outlineLevel="0" collapsed="false">
      <c r="F229" s="238" t="n">
        <v>100</v>
      </c>
      <c r="G229" s="1" t="n">
        <v>33</v>
      </c>
      <c r="H229" s="234" t="n">
        <f aca="false">F229*10^(G229/96)</f>
        <v>220.673406908459</v>
      </c>
      <c r="J229" s="238" t="n">
        <f aca="false">J36*10</f>
        <v>10</v>
      </c>
      <c r="K229" s="1" t="n">
        <f aca="false">K228+1</f>
        <v>33</v>
      </c>
      <c r="L229" s="239" t="n">
        <f aca="false">J229*10^(K229/192)</f>
        <v>14.8550801717278</v>
      </c>
    </row>
    <row r="230" customFormat="false" ht="15" hidden="false" customHeight="false" outlineLevel="0" collapsed="false">
      <c r="F230" s="238" t="n">
        <v>100</v>
      </c>
      <c r="G230" s="1" t="n">
        <v>34</v>
      </c>
      <c r="H230" s="234" t="n">
        <f aca="false">F230*10^(G230/96)</f>
        <v>226.030302714192</v>
      </c>
      <c r="J230" s="238" t="n">
        <f aca="false">J37*10</f>
        <v>10</v>
      </c>
      <c r="K230" s="1" t="n">
        <f aca="false">K229+1</f>
        <v>34</v>
      </c>
      <c r="L230" s="239" t="n">
        <f aca="false">J230*10^(K230/192)</f>
        <v>15.0343041978733</v>
      </c>
    </row>
    <row r="231" customFormat="false" ht="15" hidden="false" customHeight="false" outlineLevel="0" collapsed="false">
      <c r="F231" s="238" t="n">
        <v>100</v>
      </c>
      <c r="G231" s="1" t="n">
        <v>35</v>
      </c>
      <c r="H231" s="234" t="n">
        <f aca="false">F231*10^(G231/96)</f>
        <v>231.517238351527</v>
      </c>
      <c r="J231" s="238" t="n">
        <f aca="false">J38*10</f>
        <v>10</v>
      </c>
      <c r="K231" s="1" t="n">
        <f aca="false">K230+1</f>
        <v>35</v>
      </c>
      <c r="L231" s="239" t="n">
        <f aca="false">J231*10^(K231/192)</f>
        <v>15.2156905315377</v>
      </c>
    </row>
    <row r="232" customFormat="false" ht="15" hidden="false" customHeight="false" outlineLevel="0" collapsed="false">
      <c r="F232" s="238" t="n">
        <v>100</v>
      </c>
      <c r="G232" s="1" t="n">
        <v>36</v>
      </c>
      <c r="H232" s="234" t="n">
        <f aca="false">F232*10^(G232/96)</f>
        <v>237.137370566166</v>
      </c>
      <c r="J232" s="238" t="n">
        <f aca="false">J39*10</f>
        <v>10</v>
      </c>
      <c r="K232" s="1" t="n">
        <f aca="false">K231+1</f>
        <v>36</v>
      </c>
      <c r="L232" s="239" t="n">
        <f aca="false">J232*10^(K232/192)</f>
        <v>15.3992652605949</v>
      </c>
    </row>
    <row r="233" customFormat="false" ht="15" hidden="false" customHeight="false" outlineLevel="0" collapsed="false">
      <c r="F233" s="238" t="n">
        <v>100</v>
      </c>
      <c r="G233" s="1" t="n">
        <v>37</v>
      </c>
      <c r="H233" s="234" t="n">
        <f aca="false">F233*10^(G233/96)</f>
        <v>242.893932734508</v>
      </c>
      <c r="J233" s="238" t="n">
        <f aca="false">J40*10</f>
        <v>10</v>
      </c>
      <c r="K233" s="1" t="n">
        <f aca="false">K232+1</f>
        <v>37</v>
      </c>
      <c r="L233" s="239" t="n">
        <f aca="false">J233*10^(K233/192)</f>
        <v>15.5850547876646</v>
      </c>
    </row>
    <row r="234" customFormat="false" ht="15" hidden="false" customHeight="false" outlineLevel="0" collapsed="false">
      <c r="F234" s="238" t="n">
        <v>100</v>
      </c>
      <c r="G234" s="1" t="n">
        <v>38</v>
      </c>
      <c r="H234" s="234" t="n">
        <f aca="false">F234*10^(G234/96)</f>
        <v>248.790236723884</v>
      </c>
      <c r="J234" s="238" t="n">
        <f aca="false">J41*10</f>
        <v>10</v>
      </c>
      <c r="K234" s="1" t="n">
        <f aca="false">K233+1</f>
        <v>38</v>
      </c>
      <c r="L234" s="239" t="n">
        <f aca="false">J234*10^(K234/192)</f>
        <v>15.7730858339097</v>
      </c>
    </row>
    <row r="235" customFormat="false" ht="15" hidden="false" customHeight="false" outlineLevel="0" collapsed="false">
      <c r="F235" s="238" t="n">
        <v>100</v>
      </c>
      <c r="G235" s="1" t="n">
        <v>39</v>
      </c>
      <c r="H235" s="234" t="n">
        <f aca="false">F235*10^(G235/96)</f>
        <v>254.829674797935</v>
      </c>
      <c r="J235" s="238" t="n">
        <f aca="false">J42*10</f>
        <v>10</v>
      </c>
      <c r="K235" s="1" t="n">
        <f aca="false">K234+1</f>
        <v>39</v>
      </c>
      <c r="L235" s="239" t="n">
        <f aca="false">J235*10^(K235/192)</f>
        <v>15.9633854428794</v>
      </c>
    </row>
    <row r="236" customFormat="false" ht="15" hidden="false" customHeight="false" outlineLevel="0" collapsed="false">
      <c r="F236" s="238" t="n">
        <v>100</v>
      </c>
      <c r="G236" s="1" t="n">
        <v>40</v>
      </c>
      <c r="H236" s="234" t="n">
        <f aca="false">F236*10^(G236/96)</f>
        <v>261.015721568254</v>
      </c>
      <c r="J236" s="238" t="n">
        <f aca="false">J43*10</f>
        <v>10</v>
      </c>
      <c r="K236" s="1" t="n">
        <f aca="false">K235+1</f>
        <v>40</v>
      </c>
      <c r="L236" s="239" t="n">
        <f aca="false">J236*10^(K236/192)</f>
        <v>16.1559809843987</v>
      </c>
    </row>
    <row r="237" customFormat="false" ht="15" hidden="false" customHeight="false" outlineLevel="0" collapsed="false">
      <c r="F237" s="238" t="n">
        <v>100</v>
      </c>
      <c r="G237" s="1" t="n">
        <v>41</v>
      </c>
      <c r="H237" s="234" t="n">
        <f aca="false">F237*10^(G237/96)</f>
        <v>267.351935993399</v>
      </c>
      <c r="J237" s="238" t="n">
        <f aca="false">J44*10</f>
        <v>10</v>
      </c>
      <c r="K237" s="1" t="n">
        <f aca="false">K236+1</f>
        <v>41</v>
      </c>
      <c r="L237" s="239" t="n">
        <f aca="false">J237*10^(K237/192)</f>
        <v>16.350900158505</v>
      </c>
    </row>
    <row r="238" customFormat="false" ht="15" hidden="false" customHeight="false" outlineLevel="0" collapsed="false">
      <c r="F238" s="238" t="n">
        <v>100</v>
      </c>
      <c r="G238" s="1" t="n">
        <v>42</v>
      </c>
      <c r="H238" s="234" t="n">
        <f aca="false">F238*10^(G238/96)</f>
        <v>273.841963426436</v>
      </c>
      <c r="J238" s="238" t="n">
        <f aca="false">J45*10</f>
        <v>10</v>
      </c>
      <c r="K238" s="1" t="n">
        <f aca="false">K237+1</f>
        <v>42</v>
      </c>
      <c r="L238" s="239" t="n">
        <f aca="false">J238*10^(K238/192)</f>
        <v>16.5481709994318</v>
      </c>
    </row>
    <row r="239" customFormat="false" ht="15" hidden="false" customHeight="false" outlineLevel="0" collapsed="false">
      <c r="F239" s="238" t="n">
        <v>100</v>
      </c>
      <c r="G239" s="1" t="n">
        <v>43</v>
      </c>
      <c r="H239" s="234" t="n">
        <f aca="false">F239*10^(G239/96)</f>
        <v>280.489537712183</v>
      </c>
      <c r="J239" s="238" t="n">
        <f aca="false">J46*10</f>
        <v>10</v>
      </c>
      <c r="K239" s="1" t="n">
        <f aca="false">K238+1</f>
        <v>43</v>
      </c>
      <c r="L239" s="239" t="n">
        <f aca="false">J239*10^(K239/192)</f>
        <v>16.747821879641</v>
      </c>
    </row>
    <row r="240" customFormat="false" ht="15" hidden="false" customHeight="false" outlineLevel="0" collapsed="false">
      <c r="F240" s="238" t="n">
        <v>100</v>
      </c>
      <c r="G240" s="1" t="n">
        <v>44</v>
      </c>
      <c r="H240" s="234" t="n">
        <f aca="false">F240*10^(G240/96)</f>
        <v>287.298483335366</v>
      </c>
      <c r="J240" s="238" t="n">
        <f aca="false">J47*10</f>
        <v>10</v>
      </c>
      <c r="K240" s="1" t="n">
        <f aca="false">K239+1</f>
        <v>44</v>
      </c>
      <c r="L240" s="239" t="n">
        <f aca="false">J240*10^(K240/192)</f>
        <v>16.9498815139035</v>
      </c>
    </row>
    <row r="241" customFormat="false" ht="15" hidden="false" customHeight="false" outlineLevel="0" collapsed="false">
      <c r="F241" s="238" t="n">
        <v>100</v>
      </c>
      <c r="G241" s="1" t="n">
        <v>45</v>
      </c>
      <c r="H241" s="234" t="n">
        <f aca="false">F241*10^(G241/96)</f>
        <v>294.272717620928</v>
      </c>
      <c r="J241" s="238" t="n">
        <f aca="false">J48*10</f>
        <v>10</v>
      </c>
      <c r="K241" s="1" t="n">
        <f aca="false">K240+1</f>
        <v>45</v>
      </c>
      <c r="L241" s="239" t="n">
        <f aca="false">J241*10^(K241/192)</f>
        <v>17.1543789634288</v>
      </c>
    </row>
    <row r="242" customFormat="false" ht="15" hidden="false" customHeight="false" outlineLevel="0" collapsed="false">
      <c r="F242" s="238" t="n">
        <v>100</v>
      </c>
      <c r="G242" s="1" t="n">
        <v>46</v>
      </c>
      <c r="H242" s="234" t="n">
        <f aca="false">F242*10^(G242/96)</f>
        <v>301.416252987739</v>
      </c>
      <c r="J242" s="238" t="n">
        <f aca="false">J49*10</f>
        <v>10</v>
      </c>
      <c r="K242" s="1" t="n">
        <f aca="false">K241+1</f>
        <v>46</v>
      </c>
      <c r="L242" s="239" t="n">
        <f aca="false">J242*10^(K242/192)</f>
        <v>17.3613436400452</v>
      </c>
    </row>
    <row r="243" customFormat="false" ht="15" hidden="false" customHeight="false" outlineLevel="0" collapsed="false">
      <c r="F243" s="238" t="n">
        <v>100</v>
      </c>
      <c r="G243" s="1" t="n">
        <v>47</v>
      </c>
      <c r="H243" s="234" t="n">
        <f aca="false">F243*10^(G243/96)</f>
        <v>308.733199257026</v>
      </c>
      <c r="J243" s="238" t="n">
        <f aca="false">J50*10</f>
        <v>10</v>
      </c>
      <c r="K243" s="1" t="n">
        <f aca="false">K242+1</f>
        <v>47</v>
      </c>
      <c r="L243" s="239" t="n">
        <f aca="false">J243*10^(K243/192)</f>
        <v>17.5708053104298</v>
      </c>
    </row>
    <row r="244" customFormat="false" ht="15" hidden="false" customHeight="false" outlineLevel="0" collapsed="false">
      <c r="F244" s="238" t="n">
        <v>100</v>
      </c>
      <c r="G244" s="1" t="n">
        <v>48</v>
      </c>
      <c r="H244" s="234" t="n">
        <f aca="false">F244*10^(G244/96)</f>
        <v>316.227766016838</v>
      </c>
      <c r="J244" s="238" t="n">
        <f aca="false">J51*10</f>
        <v>10</v>
      </c>
      <c r="K244" s="1" t="n">
        <f aca="false">K243+1</f>
        <v>48</v>
      </c>
      <c r="L244" s="239" t="n">
        <f aca="false">J244*10^(K244/192)</f>
        <v>17.7827941003892</v>
      </c>
    </row>
    <row r="245" customFormat="false" ht="15" hidden="false" customHeight="false" outlineLevel="0" collapsed="false">
      <c r="F245" s="238" t="n">
        <v>100</v>
      </c>
      <c r="G245" s="1" t="n">
        <v>49</v>
      </c>
      <c r="H245" s="234" t="n">
        <f aca="false">F245*10^(G245/96)</f>
        <v>323.904265043903</v>
      </c>
      <c r="J245" s="238" t="n">
        <f aca="false">J52*10</f>
        <v>10</v>
      </c>
      <c r="K245" s="1" t="n">
        <f aca="false">K244+1</f>
        <v>49</v>
      </c>
      <c r="L245" s="239" t="n">
        <f aca="false">J245*10^(K245/192)</f>
        <v>17.9973404991933</v>
      </c>
    </row>
    <row r="246" customFormat="false" ht="15" hidden="false" customHeight="false" outlineLevel="0" collapsed="false">
      <c r="F246" s="238" t="n">
        <v>100</v>
      </c>
      <c r="G246" s="1" t="n">
        <v>50</v>
      </c>
      <c r="H246" s="234" t="n">
        <f aca="false">F246*10^(G246/96)</f>
        <v>331.767112784286</v>
      </c>
      <c r="J246" s="238" t="n">
        <f aca="false">J53*10</f>
        <v>10</v>
      </c>
      <c r="K246" s="1" t="n">
        <f aca="false">K245+1</f>
        <v>50</v>
      </c>
      <c r="L246" s="239" t="n">
        <f aca="false">J246*10^(K246/192)</f>
        <v>18.2144753639595</v>
      </c>
    </row>
    <row r="247" customFormat="false" ht="15" hidden="false" customHeight="false" outlineLevel="0" collapsed="false">
      <c r="F247" s="238" t="n">
        <v>100</v>
      </c>
      <c r="G247" s="1" t="n">
        <v>51</v>
      </c>
      <c r="H247" s="234" t="n">
        <f aca="false">F247*10^(G247/96)</f>
        <v>339.820832894256</v>
      </c>
      <c r="J247" s="238" t="n">
        <f aca="false">J54*10</f>
        <v>10</v>
      </c>
      <c r="K247" s="1" t="n">
        <f aca="false">K246+1</f>
        <v>51</v>
      </c>
      <c r="L247" s="239" t="n">
        <f aca="false">J247*10^(K247/192)</f>
        <v>18.4342299240911</v>
      </c>
    </row>
    <row r="248" customFormat="false" ht="15" hidden="false" customHeight="false" outlineLevel="0" collapsed="false">
      <c r="F248" s="238" t="n">
        <v>100</v>
      </c>
      <c r="G248" s="1" t="n">
        <v>52</v>
      </c>
      <c r="H248" s="234" t="n">
        <f aca="false">F248*10^(G248/96)</f>
        <v>348.070058842841</v>
      </c>
      <c r="J248" s="238" t="n">
        <f aca="false">J55*10</f>
        <v>10</v>
      </c>
      <c r="K248" s="1" t="n">
        <f aca="false">K247+1</f>
        <v>52</v>
      </c>
      <c r="L248" s="239" t="n">
        <f aca="false">J248*10^(K248/192)</f>
        <v>18.6566357857691</v>
      </c>
    </row>
    <row r="249" customFormat="false" ht="15" hidden="false" customHeight="false" outlineLevel="0" collapsed="false">
      <c r="F249" s="238" t="n">
        <v>100</v>
      </c>
      <c r="G249" s="1" t="n">
        <v>53</v>
      </c>
      <c r="H249" s="234" t="n">
        <f aca="false">F249*10^(G249/96)</f>
        <v>356.519536577555</v>
      </c>
      <c r="J249" s="238" t="n">
        <f aca="false">J56*10</f>
        <v>10</v>
      </c>
      <c r="K249" s="1" t="n">
        <f aca="false">K248+1</f>
        <v>53</v>
      </c>
      <c r="L249" s="239" t="n">
        <f aca="false">J249*10^(K249/192)</f>
        <v>18.8817249364976</v>
      </c>
    </row>
    <row r="250" customFormat="false" ht="15" hidden="false" customHeight="false" outlineLevel="0" collapsed="false">
      <c r="F250" s="238" t="n">
        <v>100</v>
      </c>
      <c r="G250" s="1" t="n">
        <v>54</v>
      </c>
      <c r="H250" s="234" t="n">
        <f aca="false">F250*10^(G250/96)</f>
        <v>365.174127254838</v>
      </c>
      <c r="J250" s="238" t="n">
        <f aca="false">J57*10</f>
        <v>10</v>
      </c>
      <c r="K250" s="1" t="n">
        <f aca="false">K249+1</f>
        <v>54</v>
      </c>
      <c r="L250" s="239" t="n">
        <f aca="false">J250*10^(K250/192)</f>
        <v>19.1095297497044</v>
      </c>
    </row>
    <row r="251" customFormat="false" ht="15" hidden="false" customHeight="false" outlineLevel="0" collapsed="false">
      <c r="F251" s="238" t="n">
        <v>100</v>
      </c>
      <c r="G251" s="1" t="n">
        <v>55</v>
      </c>
      <c r="H251" s="234" t="n">
        <f aca="false">F251*10^(G251/96)</f>
        <v>374.038810036779</v>
      </c>
      <c r="J251" s="238" t="n">
        <f aca="false">J58*10</f>
        <v>10</v>
      </c>
      <c r="K251" s="1" t="n">
        <f aca="false">K250+1</f>
        <v>55</v>
      </c>
      <c r="L251" s="239" t="n">
        <f aca="false">J251*10^(K251/192)</f>
        <v>19.3400829893974</v>
      </c>
    </row>
    <row r="252" customFormat="false" ht="15" hidden="false" customHeight="false" outlineLevel="0" collapsed="false">
      <c r="F252" s="238" t="n">
        <v>100</v>
      </c>
      <c r="G252" s="1" t="n">
        <v>56</v>
      </c>
      <c r="H252" s="234" t="n">
        <f aca="false">F252*10^(G252/96)</f>
        <v>383.118684955729</v>
      </c>
      <c r="J252" s="238" t="n">
        <f aca="false">J59*10</f>
        <v>10</v>
      </c>
      <c r="K252" s="1" t="n">
        <f aca="false">K251+1</f>
        <v>56</v>
      </c>
      <c r="L252" s="239" t="n">
        <f aca="false">J252*10^(K252/192)</f>
        <v>19.5734178148766</v>
      </c>
    </row>
    <row r="253" customFormat="false" ht="15" hidden="false" customHeight="false" outlineLevel="0" collapsed="false">
      <c r="F253" s="238" t="n">
        <v>100</v>
      </c>
      <c r="G253" s="1" t="n">
        <v>57</v>
      </c>
      <c r="H253" s="234" t="n">
        <f aca="false">F253*10^(G253/96)</f>
        <v>392.418975848454</v>
      </c>
      <c r="J253" s="238" t="n">
        <f aca="false">J60*10</f>
        <v>10</v>
      </c>
      <c r="K253" s="1" t="n">
        <f aca="false">K252+1</f>
        <v>57</v>
      </c>
      <c r="L253" s="239" t="n">
        <f aca="false">J253*10^(K253/192)</f>
        <v>19.8095677855034</v>
      </c>
    </row>
    <row r="254" customFormat="false" ht="15" hidden="false" customHeight="false" outlineLevel="0" collapsed="false">
      <c r="F254" s="238" t="n">
        <v>100</v>
      </c>
      <c r="G254" s="1" t="n">
        <v>58</v>
      </c>
      <c r="H254" s="234" t="n">
        <f aca="false">F254*10^(G254/96)</f>
        <v>401.945033361512</v>
      </c>
      <c r="J254" s="238" t="n">
        <f aca="false">J61*10</f>
        <v>10</v>
      </c>
      <c r="K254" s="1" t="n">
        <f aca="false">K253+1</f>
        <v>58</v>
      </c>
      <c r="L254" s="239" t="n">
        <f aca="false">J254*10^(K254/192)</f>
        <v>20.0485668655271</v>
      </c>
    </row>
    <row r="255" customFormat="false" ht="15" hidden="false" customHeight="false" outlineLevel="0" collapsed="false">
      <c r="F255" s="238" t="n">
        <v>100</v>
      </c>
      <c r="G255" s="1" t="n">
        <v>59</v>
      </c>
      <c r="H255" s="234" t="n">
        <f aca="false">F255*10^(G255/96)</f>
        <v>411.702338029595</v>
      </c>
      <c r="J255" s="238" t="n">
        <f aca="false">J62*10</f>
        <v>10</v>
      </c>
      <c r="K255" s="1" t="n">
        <f aca="false">K254+1</f>
        <v>59</v>
      </c>
      <c r="L255" s="239" t="n">
        <f aca="false">J255*10^(K255/192)</f>
        <v>20.2904494289701</v>
      </c>
    </row>
    <row r="256" customFormat="false" ht="15" hidden="false" customHeight="false" outlineLevel="0" collapsed="false">
      <c r="F256" s="238" t="n">
        <v>100</v>
      </c>
      <c r="G256" s="1" t="n">
        <v>60</v>
      </c>
      <c r="H256" s="234" t="n">
        <f aca="false">F256*10^(G256/96)</f>
        <v>421.696503428582</v>
      </c>
      <c r="J256" s="238" t="n">
        <f aca="false">J63*10</f>
        <v>10</v>
      </c>
      <c r="K256" s="1" t="n">
        <f aca="false">K255+1</f>
        <v>60</v>
      </c>
      <c r="L256" s="239" t="n">
        <f aca="false">J256*10^(K256/192)</f>
        <v>20.5352502645715</v>
      </c>
    </row>
    <row r="257" customFormat="false" ht="15" hidden="false" customHeight="false" outlineLevel="0" collapsed="false">
      <c r="F257" s="238" t="n">
        <v>100</v>
      </c>
      <c r="G257" s="1" t="n">
        <v>61</v>
      </c>
      <c r="H257" s="234" t="n">
        <f aca="false">F257*10^(G257/96)</f>
        <v>431.933279405154</v>
      </c>
      <c r="J257" s="238" t="n">
        <f aca="false">J64*10</f>
        <v>10</v>
      </c>
      <c r="K257" s="1" t="n">
        <f aca="false">K256+1</f>
        <v>61</v>
      </c>
      <c r="L257" s="239" t="n">
        <f aca="false">J257*10^(K257/192)</f>
        <v>20.7830045807904</v>
      </c>
    </row>
    <row r="258" customFormat="false" ht="15" hidden="false" customHeight="false" outlineLevel="0" collapsed="false">
      <c r="F258" s="238" t="n">
        <v>100</v>
      </c>
      <c r="G258" s="1" t="n">
        <v>62</v>
      </c>
      <c r="H258" s="234" t="n">
        <f aca="false">F258*10^(G258/96)</f>
        <v>442.418555384792</v>
      </c>
      <c r="J258" s="238" t="n">
        <f aca="false">J65*10</f>
        <v>10</v>
      </c>
      <c r="K258" s="1" t="n">
        <f aca="false">K257+1</f>
        <v>62</v>
      </c>
      <c r="L258" s="239" t="n">
        <f aca="false">J258*10^(K258/192)</f>
        <v>21.0337480108703</v>
      </c>
    </row>
    <row r="259" customFormat="false" ht="15" hidden="false" customHeight="false" outlineLevel="0" collapsed="false">
      <c r="F259" s="238" t="n">
        <v>100</v>
      </c>
      <c r="G259" s="1" t="n">
        <v>63</v>
      </c>
      <c r="H259" s="234" t="n">
        <f aca="false">F259*10^(G259/96)</f>
        <v>453.158363760082</v>
      </c>
      <c r="J259" s="238" t="n">
        <f aca="false">J66*10</f>
        <v>10</v>
      </c>
      <c r="K259" s="1" t="n">
        <f aca="false">K258+1</f>
        <v>63</v>
      </c>
      <c r="L259" s="239" t="n">
        <f aca="false">J259*10^(K259/192)</f>
        <v>21.2875166179637</v>
      </c>
    </row>
    <row r="260" customFormat="false" ht="15" hidden="false" customHeight="false" outlineLevel="0" collapsed="false">
      <c r="F260" s="238" t="n">
        <v>100</v>
      </c>
      <c r="G260" s="1" t="n">
        <v>64</v>
      </c>
      <c r="H260" s="234" t="n">
        <f aca="false">F260*10^(G260/96)</f>
        <v>464.158883361278</v>
      </c>
      <c r="J260" s="238" t="n">
        <f aca="false">J67*10</f>
        <v>10</v>
      </c>
      <c r="K260" s="1" t="n">
        <f aca="false">K259+1</f>
        <v>64</v>
      </c>
      <c r="L260" s="239" t="n">
        <f aca="false">J260*10^(K260/192)</f>
        <v>21.5443469003188</v>
      </c>
    </row>
    <row r="261" customFormat="false" ht="15" hidden="false" customHeight="false" outlineLevel="0" collapsed="false">
      <c r="F261" s="238" t="n">
        <v>100</v>
      </c>
      <c r="G261" s="1" t="n">
        <v>65</v>
      </c>
      <c r="H261" s="234" t="n">
        <f aca="false">F261*10^(G261/96)</f>
        <v>475.426443011106</v>
      </c>
      <c r="J261" s="238" t="n">
        <f aca="false">J68*10</f>
        <v>10</v>
      </c>
      <c r="K261" s="1" t="n">
        <f aca="false">K260+1</f>
        <v>65</v>
      </c>
      <c r="L261" s="239" t="n">
        <f aca="false">J261*10^(K261/192)</f>
        <v>21.8042757965291</v>
      </c>
    </row>
    <row r="262" customFormat="false" ht="15" hidden="false" customHeight="false" outlineLevel="0" collapsed="false">
      <c r="F262" s="238" t="n">
        <v>100</v>
      </c>
      <c r="G262" s="1" t="n">
        <v>66</v>
      </c>
      <c r="H262" s="234" t="n">
        <f aca="false">F262*10^(G262/96)</f>
        <v>486.967525165863</v>
      </c>
      <c r="J262" s="238" t="n">
        <f aca="false">J69*10</f>
        <v>10</v>
      </c>
      <c r="K262" s="1" t="n">
        <f aca="false">K261+1</f>
        <v>66</v>
      </c>
      <c r="L262" s="239" t="n">
        <f aca="false">J262*10^(K262/192)</f>
        <v>22.0673406908459</v>
      </c>
    </row>
    <row r="263" customFormat="false" ht="15" hidden="false" customHeight="false" outlineLevel="0" collapsed="false">
      <c r="F263" s="238" t="n">
        <v>100</v>
      </c>
      <c r="G263" s="1" t="n">
        <v>67</v>
      </c>
      <c r="H263" s="234" t="n">
        <f aca="false">F263*10^(G263/96)</f>
        <v>498.788769644911</v>
      </c>
      <c r="J263" s="238" t="n">
        <f aca="false">J70*10</f>
        <v>10</v>
      </c>
      <c r="K263" s="1" t="n">
        <f aca="false">K262+1</f>
        <v>67</v>
      </c>
      <c r="L263" s="239" t="n">
        <f aca="false">J263*10^(K263/192)</f>
        <v>22.3335794185552</v>
      </c>
    </row>
    <row r="264" customFormat="false" ht="15" hidden="false" customHeight="false" outlineLevel="0" collapsed="false">
      <c r="F264" s="238" t="n">
        <v>100</v>
      </c>
      <c r="G264" s="1" t="n">
        <v>68</v>
      </c>
      <c r="H264" s="234" t="n">
        <f aca="false">F264*10^(G264/96)</f>
        <v>510.896977450693</v>
      </c>
      <c r="J264" s="238" t="n">
        <f aca="false">J71*10</f>
        <v>10</v>
      </c>
      <c r="K264" s="1" t="n">
        <f aca="false">K263+1</f>
        <v>68</v>
      </c>
      <c r="L264" s="239" t="n">
        <f aca="false">J264*10^(K264/192)</f>
        <v>22.6030302714192</v>
      </c>
    </row>
    <row r="265" customFormat="false" ht="15" hidden="false" customHeight="false" outlineLevel="0" collapsed="false">
      <c r="F265" s="238" t="n">
        <v>100</v>
      </c>
      <c r="G265" s="1" t="n">
        <v>69</v>
      </c>
      <c r="H265" s="234" t="n">
        <f aca="false">F265*10^(G265/96)</f>
        <v>523.299114681495</v>
      </c>
      <c r="J265" s="238" t="n">
        <f aca="false">J72*10</f>
        <v>10</v>
      </c>
      <c r="K265" s="1" t="n">
        <f aca="false">K264+1</f>
        <v>69</v>
      </c>
      <c r="L265" s="239" t="n">
        <f aca="false">J265*10^(K265/192)</f>
        <v>22.875732003184</v>
      </c>
    </row>
    <row r="266" customFormat="false" ht="15" hidden="false" customHeight="false" outlineLevel="0" collapsed="false">
      <c r="F266" s="238" t="n">
        <v>100</v>
      </c>
      <c r="G266" s="1" t="n">
        <v>70</v>
      </c>
      <c r="H266" s="234" t="n">
        <f aca="false">F266*10^(G266/96)</f>
        <v>536.002316539179</v>
      </c>
      <c r="J266" s="238" t="n">
        <f aca="false">J73*10</f>
        <v>10</v>
      </c>
      <c r="K266" s="1" t="n">
        <f aca="false">K265+1</f>
        <v>70</v>
      </c>
      <c r="L266" s="239" t="n">
        <f aca="false">J266*10^(K266/192)</f>
        <v>23.1517238351527</v>
      </c>
    </row>
    <row r="267" customFormat="false" ht="15" hidden="false" customHeight="false" outlineLevel="0" collapsed="false">
      <c r="F267" s="238" t="n">
        <v>100</v>
      </c>
      <c r="G267" s="1" t="n">
        <v>71</v>
      </c>
      <c r="H267" s="234" t="n">
        <f aca="false">F267*10^(G267/96)</f>
        <v>549.013891434214</v>
      </c>
      <c r="J267" s="238" t="n">
        <f aca="false">J74*10</f>
        <v>10</v>
      </c>
      <c r="K267" s="1" t="n">
        <f aca="false">K266+1</f>
        <v>71</v>
      </c>
      <c r="L267" s="239" t="n">
        <f aca="false">J267*10^(K267/192)</f>
        <v>23.4310454618272</v>
      </c>
    </row>
    <row r="268" customFormat="false" ht="15" hidden="false" customHeight="false" outlineLevel="0" collapsed="false">
      <c r="F268" s="238" t="n">
        <v>100</v>
      </c>
      <c r="G268" s="1" t="n">
        <v>72</v>
      </c>
      <c r="H268" s="234" t="n">
        <f aca="false">F268*10^(G268/96)</f>
        <v>562.341325190349</v>
      </c>
      <c r="J268" s="238" t="n">
        <f aca="false">J75*10</f>
        <v>10</v>
      </c>
      <c r="K268" s="1" t="n">
        <f aca="false">K267+1</f>
        <v>72</v>
      </c>
      <c r="L268" s="239" t="n">
        <f aca="false">J268*10^(K268/192)</f>
        <v>23.7137370566166</v>
      </c>
    </row>
    <row r="269" customFormat="false" ht="15" hidden="false" customHeight="false" outlineLevel="0" collapsed="false">
      <c r="F269" s="238" t="n">
        <v>100</v>
      </c>
      <c r="G269" s="1" t="n">
        <v>73</v>
      </c>
      <c r="H269" s="234" t="n">
        <f aca="false">F269*10^(G269/96)</f>
        <v>575.992285351363</v>
      </c>
      <c r="J269" s="238" t="n">
        <f aca="false">J76*10</f>
        <v>10</v>
      </c>
      <c r="K269" s="1" t="n">
        <f aca="false">K268+1</f>
        <v>73</v>
      </c>
      <c r="L269" s="239" t="n">
        <f aca="false">J269*10^(K269/192)</f>
        <v>23.9998392776152</v>
      </c>
    </row>
    <row r="270" customFormat="false" ht="15" hidden="false" customHeight="false" outlineLevel="0" collapsed="false">
      <c r="F270" s="238" t="n">
        <v>100</v>
      </c>
      <c r="G270" s="1" t="n">
        <v>74</v>
      </c>
      <c r="H270" s="234" t="n">
        <f aca="false">F270*10^(G270/96)</f>
        <v>589.974625592357</v>
      </c>
      <c r="J270" s="238" t="n">
        <f aca="false">J77*10</f>
        <v>10</v>
      </c>
      <c r="K270" s="1" t="n">
        <f aca="false">K269+1</f>
        <v>74</v>
      </c>
      <c r="L270" s="239" t="n">
        <f aca="false">J270*10^(K270/192)</f>
        <v>24.2893932734508</v>
      </c>
    </row>
    <row r="271" customFormat="false" ht="15" hidden="false" customHeight="false" outlineLevel="0" collapsed="false">
      <c r="F271" s="238" t="n">
        <v>100</v>
      </c>
      <c r="G271" s="1" t="n">
        <v>75</v>
      </c>
      <c r="H271" s="234" t="n">
        <f aca="false">F271*10^(G271/96)</f>
        <v>604.296390238133</v>
      </c>
      <c r="J271" s="238" t="n">
        <f aca="false">J78*10</f>
        <v>10</v>
      </c>
      <c r="K271" s="1" t="n">
        <f aca="false">K270+1</f>
        <v>75</v>
      </c>
      <c r="L271" s="239" t="n">
        <f aca="false">J271*10^(K271/192)</f>
        <v>24.582440689202</v>
      </c>
    </row>
    <row r="272" customFormat="false" ht="15" hidden="false" customHeight="false" outlineLevel="0" collapsed="false">
      <c r="F272" s="238" t="n">
        <v>100</v>
      </c>
      <c r="G272" s="1" t="n">
        <v>76</v>
      </c>
      <c r="H272" s="234" t="n">
        <f aca="false">F272*10^(G272/96)</f>
        <v>618.965818891261</v>
      </c>
      <c r="J272" s="238" t="n">
        <f aca="false">J79*10</f>
        <v>10</v>
      </c>
      <c r="K272" s="1" t="n">
        <f aca="false">K271+1</f>
        <v>76</v>
      </c>
      <c r="L272" s="239" t="n">
        <f aca="false">J272*10^(K272/192)</f>
        <v>24.8790236723884</v>
      </c>
    </row>
    <row r="273" customFormat="false" ht="15" hidden="false" customHeight="false" outlineLevel="0" collapsed="false">
      <c r="F273" s="238" t="n">
        <v>100</v>
      </c>
      <c r="G273" s="1" t="n">
        <v>77</v>
      </c>
      <c r="H273" s="234" t="n">
        <f aca="false">F273*10^(G273/96)</f>
        <v>633.991351172484</v>
      </c>
      <c r="J273" s="238" t="n">
        <f aca="false">J80*10</f>
        <v>10</v>
      </c>
      <c r="K273" s="1" t="n">
        <f aca="false">K272+1</f>
        <v>77</v>
      </c>
      <c r="L273" s="239" t="n">
        <f aca="false">J273*10^(K273/192)</f>
        <v>25.1791848790322</v>
      </c>
    </row>
    <row r="274" customFormat="false" ht="15" hidden="false" customHeight="false" outlineLevel="0" collapsed="false">
      <c r="F274" s="238" t="n">
        <v>100</v>
      </c>
      <c r="G274" s="1" t="n">
        <v>78</v>
      </c>
      <c r="H274" s="234" t="n">
        <f aca="false">F274*10^(G274/96)</f>
        <v>649.381631576211</v>
      </c>
      <c r="J274" s="238" t="n">
        <f aca="false">J81*10</f>
        <v>10</v>
      </c>
      <c r="K274" s="1" t="n">
        <f aca="false">K273+1</f>
        <v>78</v>
      </c>
      <c r="L274" s="239" t="n">
        <f aca="false">J274*10^(K274/192)</f>
        <v>25.4829674797935</v>
      </c>
    </row>
    <row r="275" customFormat="false" ht="15" hidden="false" customHeight="false" outlineLevel="0" collapsed="false">
      <c r="F275" s="238" t="n">
        <v>100</v>
      </c>
      <c r="G275" s="1" t="n">
        <v>79</v>
      </c>
      <c r="H275" s="234" t="n">
        <f aca="false">F275*10^(G275/96)</f>
        <v>665.145514443863</v>
      </c>
      <c r="J275" s="238" t="n">
        <f aca="false">J82*10</f>
        <v>10</v>
      </c>
      <c r="K275" s="1" t="n">
        <f aca="false">K274+1</f>
        <v>79</v>
      </c>
      <c r="L275" s="239" t="n">
        <f aca="false">J275*10^(K275/192)</f>
        <v>25.7904151661788</v>
      </c>
    </row>
    <row r="276" customFormat="false" ht="15" hidden="false" customHeight="false" outlineLevel="0" collapsed="false">
      <c r="F276" s="238" t="n">
        <v>100</v>
      </c>
      <c r="G276" s="1" t="n">
        <v>80</v>
      </c>
      <c r="H276" s="234" t="n">
        <f aca="false">F276*10^(G276/96)</f>
        <v>681.292069057961</v>
      </c>
      <c r="J276" s="238" t="n">
        <f aca="false">J83*10</f>
        <v>10</v>
      </c>
      <c r="K276" s="1" t="n">
        <f aca="false">K275+1</f>
        <v>80</v>
      </c>
      <c r="L276" s="239" t="n">
        <f aca="false">J276*10^(K276/192)</f>
        <v>26.1015721568254</v>
      </c>
    </row>
    <row r="277" customFormat="false" ht="15" hidden="false" customHeight="false" outlineLevel="0" collapsed="false">
      <c r="F277" s="238" t="n">
        <v>100</v>
      </c>
      <c r="G277" s="1" t="n">
        <v>81</v>
      </c>
      <c r="H277" s="234" t="n">
        <f aca="false">F277*10^(G277/96)</f>
        <v>697.830584859866</v>
      </c>
      <c r="J277" s="238" t="n">
        <f aca="false">J84*10</f>
        <v>10</v>
      </c>
      <c r="K277" s="1" t="n">
        <f aca="false">K276+1</f>
        <v>81</v>
      </c>
      <c r="L277" s="239" t="n">
        <f aca="false">J277*10^(K277/192)</f>
        <v>26.4164832038609</v>
      </c>
    </row>
    <row r="278" customFormat="false" ht="15" hidden="false" customHeight="false" outlineLevel="0" collapsed="false">
      <c r="F278" s="238" t="n">
        <v>100</v>
      </c>
      <c r="G278" s="1" t="n">
        <v>82</v>
      </c>
      <c r="H278" s="234" t="n">
        <f aca="false">F278*10^(G278/96)</f>
        <v>714.770576794186</v>
      </c>
      <c r="J278" s="238" t="n">
        <f aca="false">J85*10</f>
        <v>10</v>
      </c>
      <c r="K278" s="1" t="n">
        <f aca="false">K277+1</f>
        <v>82</v>
      </c>
      <c r="L278" s="239" t="n">
        <f aca="false">J278*10^(K278/192)</f>
        <v>26.7351935993399</v>
      </c>
    </row>
    <row r="279" customFormat="false" ht="15" hidden="false" customHeight="false" outlineLevel="0" collapsed="false">
      <c r="F279" s="238" t="n">
        <v>100</v>
      </c>
      <c r="G279" s="1" t="n">
        <v>83</v>
      </c>
      <c r="H279" s="234" t="n">
        <f aca="false">F279*10^(G279/96)</f>
        <v>732.121790782913</v>
      </c>
      <c r="J279" s="238" t="n">
        <f aca="false">J86*10</f>
        <v>10</v>
      </c>
      <c r="K279" s="1" t="n">
        <f aca="false">K278+1</f>
        <v>83</v>
      </c>
      <c r="L279" s="239" t="n">
        <f aca="false">J279*10^(K279/192)</f>
        <v>27.0577491817578</v>
      </c>
    </row>
    <row r="280" customFormat="false" ht="15" hidden="false" customHeight="false" outlineLevel="0" collapsed="false">
      <c r="F280" s="238" t="n">
        <v>100</v>
      </c>
      <c r="G280" s="1" t="n">
        <v>84</v>
      </c>
      <c r="H280" s="234" t="n">
        <f aca="false">F280*10^(G280/96)</f>
        <v>749.894209332456</v>
      </c>
      <c r="J280" s="238" t="n">
        <f aca="false">J87*10</f>
        <v>10</v>
      </c>
      <c r="K280" s="1" t="n">
        <f aca="false">K279+1</f>
        <v>84</v>
      </c>
      <c r="L280" s="239" t="n">
        <f aca="false">J280*10^(K280/192)</f>
        <v>27.3841963426436</v>
      </c>
    </row>
    <row r="281" customFormat="false" ht="15" hidden="false" customHeight="false" outlineLevel="0" collapsed="false">
      <c r="F281" s="238" t="n">
        <v>100</v>
      </c>
      <c r="G281" s="1" t="n">
        <v>85</v>
      </c>
      <c r="H281" s="234" t="n">
        <f aca="false">F281*10^(G281/96)</f>
        <v>768.098057276775</v>
      </c>
      <c r="J281" s="238" t="n">
        <f aca="false">J88*10</f>
        <v>10</v>
      </c>
      <c r="K281" s="1" t="n">
        <f aca="false">K280+1</f>
        <v>85</v>
      </c>
      <c r="L281" s="239" t="n">
        <f aca="false">J281*10^(K281/192)</f>
        <v>27.7145820332325</v>
      </c>
    </row>
    <row r="282" customFormat="false" ht="15" hidden="false" customHeight="false" outlineLevel="0" collapsed="false">
      <c r="F282" s="238" t="n">
        <v>100</v>
      </c>
      <c r="G282" s="1" t="n">
        <v>86</v>
      </c>
      <c r="H282" s="234" t="n">
        <f aca="false">F282*10^(G282/96)</f>
        <v>786.74380765994</v>
      </c>
      <c r="J282" s="238" t="n">
        <f aca="false">J89*10</f>
        <v>10</v>
      </c>
      <c r="K282" s="1" t="n">
        <f aca="false">K281+1</f>
        <v>86</v>
      </c>
      <c r="L282" s="239" t="n">
        <f aca="false">J282*10^(K282/192)</f>
        <v>28.0489537712183</v>
      </c>
    </row>
    <row r="283" customFormat="false" ht="15" hidden="false" customHeight="false" outlineLevel="0" collapsed="false">
      <c r="F283" s="238" t="n">
        <v>100</v>
      </c>
      <c r="G283" s="1" t="n">
        <v>87</v>
      </c>
      <c r="H283" s="234" t="n">
        <f aca="false">F283*10^(G283/96)</f>
        <v>805.842187761482</v>
      </c>
      <c r="J283" s="238" t="n">
        <f aca="false">J90*10</f>
        <v>10</v>
      </c>
      <c r="K283" s="1" t="n">
        <f aca="false">K282+1</f>
        <v>87</v>
      </c>
      <c r="L283" s="239" t="n">
        <f aca="false">J283*10^(K283/192)</f>
        <v>28.3873596475875</v>
      </c>
    </row>
    <row r="284" customFormat="false" ht="15" hidden="false" customHeight="false" outlineLevel="0" collapsed="false">
      <c r="F284" s="238" t="n">
        <v>100</v>
      </c>
      <c r="G284" s="1" t="n">
        <v>88</v>
      </c>
      <c r="H284" s="234" t="n">
        <f aca="false">F284*10^(G284/96)</f>
        <v>825.404185268018</v>
      </c>
      <c r="J284" s="238" t="n">
        <f aca="false">J91*10</f>
        <v>10</v>
      </c>
      <c r="K284" s="1" t="n">
        <f aca="false">K283+1</f>
        <v>88</v>
      </c>
      <c r="L284" s="239" t="n">
        <f aca="false">J284*10^(K284/192)</f>
        <v>28.7298483335366</v>
      </c>
    </row>
    <row r="285" customFormat="false" ht="15" hidden="false" customHeight="false" outlineLevel="0" collapsed="false">
      <c r="F285" s="238" t="n">
        <v>100</v>
      </c>
      <c r="G285" s="1" t="n">
        <v>89</v>
      </c>
      <c r="H285" s="234" t="n">
        <f aca="false">F285*10^(G285/96)</f>
        <v>845.441054594692</v>
      </c>
      <c r="J285" s="238" t="n">
        <f aca="false">J92*10</f>
        <v>10</v>
      </c>
      <c r="K285" s="1" t="n">
        <f aca="false">K284+1</f>
        <v>89</v>
      </c>
      <c r="L285" s="239" t="n">
        <f aca="false">J285*10^(K285/192)</f>
        <v>29.0764690874716</v>
      </c>
    </row>
    <row r="286" customFormat="false" ht="15" hidden="false" customHeight="false" outlineLevel="0" collapsed="false">
      <c r="F286" s="238" t="n">
        <v>100</v>
      </c>
      <c r="G286" s="1" t="n">
        <v>90</v>
      </c>
      <c r="H286" s="234" t="n">
        <f aca="false">F286*10^(G286/96)</f>
        <v>865.964323360066</v>
      </c>
      <c r="J286" s="238" t="n">
        <f aca="false">J93*10</f>
        <v>10</v>
      </c>
      <c r="K286" s="1" t="n">
        <f aca="false">K285+1</f>
        <v>90</v>
      </c>
      <c r="L286" s="239" t="n">
        <f aca="false">J286*10^(K286/192)</f>
        <v>29.4272717620928</v>
      </c>
    </row>
    <row r="287" customFormat="false" ht="15" hidden="false" customHeight="false" outlineLevel="0" collapsed="false">
      <c r="F287" s="238" t="n">
        <v>100</v>
      </c>
      <c r="G287" s="1" t="n">
        <v>91</v>
      </c>
      <c r="H287" s="234" t="n">
        <f aca="false">F287*10^(G287/96)</f>
        <v>886.985799018192</v>
      </c>
      <c r="J287" s="238" t="n">
        <f aca="false">J94*10</f>
        <v>10</v>
      </c>
      <c r="K287" s="1" t="n">
        <f aca="false">K286+1</f>
        <v>91</v>
      </c>
      <c r="L287" s="239" t="n">
        <f aca="false">J287*10^(K287/192)</f>
        <v>29.782306811565</v>
      </c>
    </row>
    <row r="288" customFormat="false" ht="15" hidden="false" customHeight="false" outlineLevel="0" collapsed="false">
      <c r="F288" s="238" t="n">
        <v>100</v>
      </c>
      <c r="G288" s="1" t="n">
        <v>92</v>
      </c>
      <c r="H288" s="234" t="n">
        <f aca="false">F288*10^(G288/96)</f>
        <v>908.517575651687</v>
      </c>
      <c r="J288" s="238" t="n">
        <f aca="false">J95*10</f>
        <v>10</v>
      </c>
      <c r="K288" s="1" t="n">
        <f aca="false">K287+1</f>
        <v>92</v>
      </c>
      <c r="L288" s="239" t="n">
        <f aca="false">J288*10^(K288/192)</f>
        <v>30.1416252987739</v>
      </c>
    </row>
    <row r="289" customFormat="false" ht="15" hidden="false" customHeight="false" outlineLevel="0" collapsed="false">
      <c r="F289" s="238" t="n">
        <v>100</v>
      </c>
      <c r="G289" s="1" t="n">
        <v>93</v>
      </c>
      <c r="H289" s="234" t="n">
        <f aca="false">F289*10^(G289/96)</f>
        <v>930.572040929699</v>
      </c>
      <c r="J289" s="238" t="n">
        <f aca="false">J96*10</f>
        <v>10</v>
      </c>
      <c r="K289" s="1" t="n">
        <f aca="false">K288+1</f>
        <v>93</v>
      </c>
      <c r="L289" s="239" t="n">
        <f aca="false">J289*10^(K289/192)</f>
        <v>30.5052789026703</v>
      </c>
    </row>
    <row r="290" customFormat="false" ht="15" hidden="false" customHeight="false" outlineLevel="0" collapsed="false">
      <c r="F290" s="238" t="n">
        <v>100</v>
      </c>
      <c r="G290" s="1" t="n">
        <v>94</v>
      </c>
      <c r="H290" s="234" t="n">
        <f aca="false">F290*10^(G290/96)</f>
        <v>953.161883234787</v>
      </c>
      <c r="J290" s="238" t="n">
        <f aca="false">J97*10</f>
        <v>10</v>
      </c>
      <c r="K290" s="1" t="n">
        <f aca="false">K289+1</f>
        <v>94</v>
      </c>
      <c r="L290" s="239" t="n">
        <f aca="false">J290*10^(K290/192)</f>
        <v>30.8733199257026</v>
      </c>
    </row>
    <row r="291" customFormat="false" ht="15" hidden="false" customHeight="false" outlineLevel="0" collapsed="false">
      <c r="F291" s="238" t="n">
        <v>100</v>
      </c>
      <c r="G291" s="1" t="n">
        <v>95</v>
      </c>
      <c r="H291" s="234" t="n">
        <f aca="false">F291*10^(G291/96)</f>
        <v>976.300098962808</v>
      </c>
      <c r="J291" s="238" t="n">
        <f aca="false">J98*10</f>
        <v>10</v>
      </c>
      <c r="K291" s="1" t="n">
        <f aca="false">K290+1</f>
        <v>95</v>
      </c>
      <c r="L291" s="239" t="n">
        <f aca="false">J291*10^(K291/192)</f>
        <v>31.2458013013398</v>
      </c>
    </row>
    <row r="292" customFormat="false" ht="15" hidden="false" customHeight="false" outlineLevel="0" collapsed="false">
      <c r="F292" s="238" t="n">
        <v>100</v>
      </c>
      <c r="G292" s="1" t="n">
        <v>96</v>
      </c>
      <c r="H292" s="234" t="n">
        <f aca="false">F292*10^(G292/96)</f>
        <v>1000</v>
      </c>
      <c r="J292" s="238" t="n">
        <f aca="false">J99*10</f>
        <v>10</v>
      </c>
      <c r="K292" s="1" t="n">
        <f aca="false">K291+1</f>
        <v>96</v>
      </c>
      <c r="L292" s="239" t="n">
        <f aca="false">J292*10^(K292/192)</f>
        <v>31.6227766016838</v>
      </c>
    </row>
    <row r="293" customFormat="false" ht="15" hidden="false" customHeight="false" outlineLevel="0" collapsed="false">
      <c r="F293" s="238" t="n">
        <f aca="false">F197*10</f>
        <v>1000</v>
      </c>
      <c r="G293" s="1" t="n">
        <v>1</v>
      </c>
      <c r="H293" s="234" t="n">
        <f aca="false">F293*10^(G293/96)</f>
        <v>1024.27522138159</v>
      </c>
      <c r="J293" s="238" t="n">
        <f aca="false">J100*10</f>
        <v>10</v>
      </c>
      <c r="K293" s="1" t="n">
        <f aca="false">K292+1</f>
        <v>97</v>
      </c>
      <c r="L293" s="239" t="n">
        <f aca="false">J293*10^(K293/192)</f>
        <v>32.0043000451751</v>
      </c>
    </row>
    <row r="294" customFormat="false" ht="15" hidden="false" customHeight="false" outlineLevel="0" collapsed="false">
      <c r="F294" s="238" t="n">
        <f aca="false">F198*10</f>
        <v>1000</v>
      </c>
      <c r="G294" s="1" t="n">
        <v>2</v>
      </c>
      <c r="H294" s="234" t="n">
        <f aca="false">F294*10^(G294/96)</f>
        <v>1049.13972913631</v>
      </c>
      <c r="J294" s="238" t="n">
        <f aca="false">J101*10</f>
        <v>10</v>
      </c>
      <c r="K294" s="1" t="n">
        <f aca="false">K293+1</f>
        <v>98</v>
      </c>
      <c r="L294" s="239" t="n">
        <f aca="false">J294*10^(K294/192)</f>
        <v>32.3904265043903</v>
      </c>
    </row>
    <row r="295" customFormat="false" ht="15" hidden="false" customHeight="false" outlineLevel="0" collapsed="false">
      <c r="F295" s="238" t="n">
        <f aca="false">F199*10</f>
        <v>1000</v>
      </c>
      <c r="G295" s="1" t="n">
        <v>3</v>
      </c>
      <c r="H295" s="234" t="n">
        <f aca="false">F295*10^(G295/96)</f>
        <v>1074.60782832132</v>
      </c>
      <c r="J295" s="238" t="n">
        <f aca="false">J102*10</f>
        <v>10</v>
      </c>
      <c r="K295" s="1" t="n">
        <f aca="false">K294+1</f>
        <v>99</v>
      </c>
      <c r="L295" s="239" t="n">
        <f aca="false">J295*10^(K295/192)</f>
        <v>32.7812115139346</v>
      </c>
    </row>
    <row r="296" customFormat="false" ht="15" hidden="false" customHeight="false" outlineLevel="0" collapsed="false">
      <c r="F296" s="238" t="n">
        <f aca="false">F200*10</f>
        <v>1000</v>
      </c>
      <c r="G296" s="1" t="n">
        <v>4</v>
      </c>
      <c r="H296" s="234" t="n">
        <f aca="false">F296*10^(G296/96)</f>
        <v>1100.69417125221</v>
      </c>
      <c r="J296" s="238" t="n">
        <f aca="false">J103*10</f>
        <v>10</v>
      </c>
      <c r="K296" s="1" t="n">
        <f aca="false">K295+1</f>
        <v>100</v>
      </c>
      <c r="L296" s="239" t="n">
        <f aca="false">J296*10^(K296/192)</f>
        <v>33.1767112784286</v>
      </c>
    </row>
    <row r="297" customFormat="false" ht="15" hidden="false" customHeight="false" outlineLevel="0" collapsed="false">
      <c r="F297" s="238" t="n">
        <f aca="false">F201*10</f>
        <v>1000</v>
      </c>
      <c r="G297" s="1" t="n">
        <v>5</v>
      </c>
      <c r="H297" s="234" t="n">
        <f aca="false">F297*10^(G297/96)</f>
        <v>1127.41376593279</v>
      </c>
      <c r="J297" s="238" t="n">
        <f aca="false">J104*10</f>
        <v>10</v>
      </c>
      <c r="K297" s="1" t="n">
        <f aca="false">K296+1</f>
        <v>101</v>
      </c>
      <c r="L297" s="239" t="n">
        <f aca="false">J297*10^(K297/192)</f>
        <v>33.5769826805922</v>
      </c>
    </row>
    <row r="298" customFormat="false" ht="15" hidden="false" customHeight="false" outlineLevel="0" collapsed="false">
      <c r="F298" s="238" t="n">
        <f aca="false">F202*10</f>
        <v>1000</v>
      </c>
      <c r="G298" s="1" t="n">
        <v>6</v>
      </c>
      <c r="H298" s="234" t="n">
        <f aca="false">F298*10^(G298/96)</f>
        <v>1154.78198468946</v>
      </c>
      <c r="J298" s="238" t="n">
        <f aca="false">J105*10</f>
        <v>10</v>
      </c>
      <c r="K298" s="1" t="n">
        <f aca="false">K297+1</f>
        <v>102</v>
      </c>
      <c r="L298" s="239" t="n">
        <f aca="false">J298*10^(K298/192)</f>
        <v>33.9820832894256</v>
      </c>
    </row>
    <row r="299" customFormat="false" ht="15" hidden="false" customHeight="false" outlineLevel="0" collapsed="false">
      <c r="F299" s="238" t="n">
        <f aca="false">F203*10</f>
        <v>1000</v>
      </c>
      <c r="G299" s="1" t="n">
        <v>7</v>
      </c>
      <c r="H299" s="234" t="n">
        <f aca="false">F299*10^(G299/96)</f>
        <v>1182.81457301527</v>
      </c>
      <c r="J299" s="238" t="n">
        <f aca="false">J106*10</f>
        <v>10</v>
      </c>
      <c r="K299" s="1" t="n">
        <f aca="false">K298+1</f>
        <v>103</v>
      </c>
      <c r="L299" s="239" t="n">
        <f aca="false">J299*10^(K299/192)</f>
        <v>34.3920713684894</v>
      </c>
    </row>
    <row r="300" customFormat="false" ht="15" hidden="false" customHeight="false" outlineLevel="0" collapsed="false">
      <c r="F300" s="238" t="n">
        <f aca="false">F204*10</f>
        <v>1000</v>
      </c>
      <c r="G300" s="1" t="n">
        <v>8</v>
      </c>
      <c r="H300" s="234" t="n">
        <f aca="false">F300*10^(G300/96)</f>
        <v>1211.52765862859</v>
      </c>
      <c r="J300" s="238" t="n">
        <f aca="false">J107*10</f>
        <v>10</v>
      </c>
      <c r="K300" s="1" t="n">
        <f aca="false">K299+1</f>
        <v>104</v>
      </c>
      <c r="L300" s="239" t="n">
        <f aca="false">J300*10^(K300/192)</f>
        <v>34.8070058842841</v>
      </c>
    </row>
    <row r="301" customFormat="false" ht="15" hidden="false" customHeight="false" outlineLevel="0" collapsed="false">
      <c r="F301" s="238" t="n">
        <f aca="false">F205*10</f>
        <v>1000</v>
      </c>
      <c r="G301" s="1" t="n">
        <v>9</v>
      </c>
      <c r="H301" s="234" t="n">
        <f aca="false">F301*10^(G301/96)</f>
        <v>1240.93776075172</v>
      </c>
      <c r="J301" s="238" t="n">
        <f aca="false">J108*10</f>
        <v>10</v>
      </c>
      <c r="K301" s="1" t="n">
        <f aca="false">K300+1</f>
        <v>105</v>
      </c>
      <c r="L301" s="239" t="n">
        <f aca="false">J301*10^(K301/192)</f>
        <v>35.226946514731</v>
      </c>
    </row>
    <row r="302" customFormat="false" ht="15" hidden="false" customHeight="false" outlineLevel="0" collapsed="false">
      <c r="F302" s="238" t="n">
        <f aca="false">F206*10</f>
        <v>1000</v>
      </c>
      <c r="G302" s="1" t="n">
        <v>10</v>
      </c>
      <c r="H302" s="234" t="n">
        <f aca="false">F302*10^(G302/96)</f>
        <v>1271.06179961474</v>
      </c>
      <c r="J302" s="238" t="n">
        <f aca="false">J109*10</f>
        <v>10</v>
      </c>
      <c r="K302" s="1" t="n">
        <f aca="false">K301+1</f>
        <v>106</v>
      </c>
      <c r="L302" s="239" t="n">
        <f aca="false">J302*10^(K302/192)</f>
        <v>35.6519536577555</v>
      </c>
    </row>
    <row r="303" customFormat="false" ht="15" hidden="false" customHeight="false" outlineLevel="0" collapsed="false">
      <c r="F303" s="238" t="n">
        <f aca="false">F207*10</f>
        <v>1000</v>
      </c>
      <c r="G303" s="1" t="n">
        <v>11</v>
      </c>
      <c r="H303" s="234" t="n">
        <f aca="false">F303*10^(G303/96)</f>
        <v>1301.91710619008</v>
      </c>
      <c r="J303" s="238" t="n">
        <f aca="false">J110*10</f>
        <v>10</v>
      </c>
      <c r="K303" s="1" t="n">
        <f aca="false">K302+1</f>
        <v>107</v>
      </c>
      <c r="L303" s="239" t="n">
        <f aca="false">J303*10^(K303/192)</f>
        <v>36.0820884399736</v>
      </c>
    </row>
    <row r="304" customFormat="false" ht="15" hidden="false" customHeight="false" outlineLevel="0" collapsed="false">
      <c r="F304" s="238" t="n">
        <f aca="false">F208*10</f>
        <v>1000</v>
      </c>
      <c r="G304" s="1" t="n">
        <v>12</v>
      </c>
      <c r="H304" s="234" t="n">
        <f aca="false">F304*10^(G304/96)</f>
        <v>1333.52143216332</v>
      </c>
      <c r="J304" s="238" t="n">
        <f aca="false">J111*10</f>
        <v>10</v>
      </c>
      <c r="K304" s="1" t="n">
        <f aca="false">K303+1</f>
        <v>108</v>
      </c>
      <c r="L304" s="239" t="n">
        <f aca="false">J304*10^(K304/192)</f>
        <v>36.5174127254838</v>
      </c>
    </row>
    <row r="305" customFormat="false" ht="15" hidden="false" customHeight="false" outlineLevel="0" collapsed="false">
      <c r="F305" s="238" t="n">
        <f aca="false">F209*10</f>
        <v>1000</v>
      </c>
      <c r="G305" s="1" t="n">
        <v>13</v>
      </c>
      <c r="H305" s="234" t="n">
        <f aca="false">F305*10^(G305/96)</f>
        <v>1365.89296014619</v>
      </c>
      <c r="J305" s="238" t="n">
        <f aca="false">J112*10</f>
        <v>10</v>
      </c>
      <c r="K305" s="1" t="n">
        <f aca="false">K304+1</f>
        <v>109</v>
      </c>
      <c r="L305" s="239" t="n">
        <f aca="false">J305*10^(K305/192)</f>
        <v>36.9579891247642</v>
      </c>
    </row>
    <row r="306" customFormat="false" ht="15" hidden="false" customHeight="false" outlineLevel="0" collapsed="false">
      <c r="F306" s="238" t="n">
        <f aca="false">F210*10</f>
        <v>1000</v>
      </c>
      <c r="G306" s="1" t="n">
        <v>14</v>
      </c>
      <c r="H306" s="234" t="n">
        <f aca="false">F306*10^(G306/96)</f>
        <v>1399.05031413729</v>
      </c>
      <c r="J306" s="238" t="n">
        <f aca="false">J113*10</f>
        <v>10</v>
      </c>
      <c r="K306" s="1" t="n">
        <f aca="false">K305+1</f>
        <v>110</v>
      </c>
      <c r="L306" s="239" t="n">
        <f aca="false">J306*10^(K306/192)</f>
        <v>37.4038810036779</v>
      </c>
    </row>
    <row r="307" customFormat="false" ht="15" hidden="false" customHeight="false" outlineLevel="0" collapsed="false">
      <c r="F307" s="238" t="n">
        <f aca="false">F211*10</f>
        <v>1000</v>
      </c>
      <c r="G307" s="1" t="n">
        <v>15</v>
      </c>
      <c r="H307" s="234" t="n">
        <f aca="false">F307*10^(G307/96)</f>
        <v>1433.01257023696</v>
      </c>
      <c r="J307" s="238" t="n">
        <f aca="false">J114*10</f>
        <v>10</v>
      </c>
      <c r="K307" s="1" t="n">
        <f aca="false">K306+1</f>
        <v>111</v>
      </c>
      <c r="L307" s="239" t="n">
        <f aca="false">J307*10^(K307/192)</f>
        <v>37.8551524925863</v>
      </c>
    </row>
    <row r="308" customFormat="false" ht="15" hidden="false" customHeight="false" outlineLevel="0" collapsed="false">
      <c r="F308" s="238" t="n">
        <f aca="false">F212*10</f>
        <v>1000</v>
      </c>
      <c r="G308" s="1" t="n">
        <v>16</v>
      </c>
      <c r="H308" s="234" t="n">
        <f aca="false">F308*10^(G308/96)</f>
        <v>1467.79926762207</v>
      </c>
      <c r="J308" s="238" t="n">
        <f aca="false">J115*10</f>
        <v>10</v>
      </c>
      <c r="K308" s="1" t="n">
        <f aca="false">K307+1</f>
        <v>112</v>
      </c>
      <c r="L308" s="239" t="n">
        <f aca="false">J308*10^(K308/192)</f>
        <v>38.3118684955729</v>
      </c>
    </row>
    <row r="309" customFormat="false" ht="15" hidden="false" customHeight="false" outlineLevel="0" collapsed="false">
      <c r="F309" s="238" t="n">
        <f aca="false">F213*10</f>
        <v>1000</v>
      </c>
      <c r="G309" s="1" t="n">
        <v>17</v>
      </c>
      <c r="H309" s="234" t="n">
        <f aca="false">F309*10^(G309/96)</f>
        <v>1503.43041978733</v>
      </c>
      <c r="J309" s="238" t="n">
        <f aca="false">J116*10</f>
        <v>10</v>
      </c>
      <c r="K309" s="1" t="n">
        <f aca="false">K308+1</f>
        <v>113</v>
      </c>
      <c r="L309" s="239" t="n">
        <f aca="false">J309*10^(K309/192)</f>
        <v>38.7740946997778</v>
      </c>
    </row>
    <row r="310" customFormat="false" ht="15" hidden="false" customHeight="false" outlineLevel="0" collapsed="false">
      <c r="F310" s="238" t="n">
        <f aca="false">F214*10</f>
        <v>1000</v>
      </c>
      <c r="G310" s="1" t="n">
        <v>18</v>
      </c>
      <c r="H310" s="234" t="n">
        <f aca="false">F310*10^(G310/96)</f>
        <v>1539.92652605949</v>
      </c>
      <c r="J310" s="238" t="n">
        <f aca="false">J117*10</f>
        <v>10</v>
      </c>
      <c r="K310" s="1" t="n">
        <f aca="false">K309+1</f>
        <v>114</v>
      </c>
      <c r="L310" s="239" t="n">
        <f aca="false">J310*10^(K310/192)</f>
        <v>39.2418975848454</v>
      </c>
    </row>
    <row r="311" customFormat="false" ht="15" hidden="false" customHeight="false" outlineLevel="0" collapsed="false">
      <c r="F311" s="238" t="n">
        <f aca="false">F215*10</f>
        <v>1000</v>
      </c>
      <c r="G311" s="1" t="n">
        <v>19</v>
      </c>
      <c r="H311" s="234" t="n">
        <f aca="false">F311*10^(G311/96)</f>
        <v>1577.30858339097</v>
      </c>
      <c r="J311" s="238" t="n">
        <f aca="false">J118*10</f>
        <v>10</v>
      </c>
      <c r="K311" s="1" t="n">
        <f aca="false">K310+1</f>
        <v>115</v>
      </c>
      <c r="L311" s="239" t="n">
        <f aca="false">J311*10^(K311/192)</f>
        <v>39.7153444324857</v>
      </c>
    </row>
    <row r="312" customFormat="false" ht="15" hidden="false" customHeight="false" outlineLevel="0" collapsed="false">
      <c r="F312" s="238" t="n">
        <f aca="false">F216*10</f>
        <v>1000</v>
      </c>
      <c r="G312" s="1" t="n">
        <v>20</v>
      </c>
      <c r="H312" s="234" t="n">
        <f aca="false">F312*10^(G312/96)</f>
        <v>1615.59809843987</v>
      </c>
      <c r="J312" s="238" t="n">
        <f aca="false">J119*10</f>
        <v>10</v>
      </c>
      <c r="K312" s="1" t="n">
        <f aca="false">K311+1</f>
        <v>116</v>
      </c>
      <c r="L312" s="239" t="n">
        <f aca="false">J312*10^(K312/192)</f>
        <v>40.1945033361513</v>
      </c>
    </row>
    <row r="313" customFormat="false" ht="15" hidden="false" customHeight="false" outlineLevel="0" collapsed="false">
      <c r="F313" s="238" t="n">
        <f aca="false">F217*10</f>
        <v>1000</v>
      </c>
      <c r="G313" s="1" t="n">
        <v>21</v>
      </c>
      <c r="H313" s="234" t="n">
        <f aca="false">F313*10^(G313/96)</f>
        <v>1654.81709994318</v>
      </c>
      <c r="J313" s="238" t="n">
        <f aca="false">J120*10</f>
        <v>10</v>
      </c>
      <c r="K313" s="1" t="n">
        <f aca="false">K312+1</f>
        <v>117</v>
      </c>
      <c r="L313" s="239" t="n">
        <f aca="false">J313*10^(K313/192)</f>
        <v>40.6794432108305</v>
      </c>
    </row>
    <row r="314" customFormat="false" ht="15" hidden="false" customHeight="false" outlineLevel="0" collapsed="false">
      <c r="F314" s="238" t="n">
        <f aca="false">F218*10</f>
        <v>1000</v>
      </c>
      <c r="G314" s="1" t="n">
        <v>22</v>
      </c>
      <c r="H314" s="234" t="n">
        <f aca="false">F314*10^(G314/96)</f>
        <v>1694.98815139035</v>
      </c>
      <c r="J314" s="238" t="n">
        <f aca="false">J121*10</f>
        <v>10</v>
      </c>
      <c r="K314" s="1" t="n">
        <f aca="false">K313+1</f>
        <v>118</v>
      </c>
      <c r="L314" s="239" t="n">
        <f aca="false">J314*10^(K314/192)</f>
        <v>41.1702338029595</v>
      </c>
    </row>
    <row r="315" customFormat="false" ht="15" hidden="false" customHeight="false" outlineLevel="0" collapsed="false">
      <c r="F315" s="238" t="n">
        <f aca="false">F219*10</f>
        <v>1000</v>
      </c>
      <c r="G315" s="1" t="n">
        <v>23</v>
      </c>
      <c r="H315" s="234" t="n">
        <f aca="false">F315*10^(G315/96)</f>
        <v>1736.13436400452</v>
      </c>
      <c r="J315" s="238" t="n">
        <f aca="false">J122*10</f>
        <v>10</v>
      </c>
      <c r="K315" s="1" t="n">
        <f aca="false">K314+1</f>
        <v>119</v>
      </c>
      <c r="L315" s="239" t="n">
        <f aca="false">J315*10^(K315/192)</f>
        <v>41.6669457004533</v>
      </c>
    </row>
    <row r="316" customFormat="false" ht="15" hidden="false" customHeight="false" outlineLevel="0" collapsed="false">
      <c r="F316" s="238" t="n">
        <f aca="false">F220*10</f>
        <v>1000</v>
      </c>
      <c r="G316" s="1" t="n">
        <v>24</v>
      </c>
      <c r="H316" s="234" t="n">
        <f aca="false">F316*10^(G316/96)</f>
        <v>1778.27941003892</v>
      </c>
      <c r="J316" s="238" t="n">
        <f aca="false">J123*10</f>
        <v>10</v>
      </c>
      <c r="K316" s="1" t="n">
        <f aca="false">K315+1</f>
        <v>120</v>
      </c>
      <c r="L316" s="239" t="n">
        <f aca="false">J316*10^(K316/192)</f>
        <v>42.1696503428582</v>
      </c>
    </row>
    <row r="317" customFormat="false" ht="15" hidden="false" customHeight="false" outlineLevel="0" collapsed="false">
      <c r="F317" s="238" t="n">
        <f aca="false">F221*10</f>
        <v>1000</v>
      </c>
      <c r="G317" s="1" t="n">
        <v>25</v>
      </c>
      <c r="H317" s="234" t="n">
        <f aca="false">F317*10^(G317/96)</f>
        <v>1821.44753639595</v>
      </c>
      <c r="J317" s="238" t="n">
        <f aca="false">J124*10</f>
        <v>10</v>
      </c>
      <c r="K317" s="1" t="n">
        <f aca="false">K316+1</f>
        <v>121</v>
      </c>
      <c r="L317" s="239" t="n">
        <f aca="false">J317*10^(K317/192)</f>
        <v>42.6784200316266</v>
      </c>
    </row>
    <row r="318" customFormat="false" ht="15" hidden="false" customHeight="false" outlineLevel="0" collapsed="false">
      <c r="F318" s="238" t="n">
        <f aca="false">F222*10</f>
        <v>1000</v>
      </c>
      <c r="G318" s="1" t="n">
        <v>26</v>
      </c>
      <c r="H318" s="234" t="n">
        <f aca="false">F318*10^(G318/96)</f>
        <v>1865.66357857691</v>
      </c>
      <c r="J318" s="238" t="n">
        <f aca="false">J125*10</f>
        <v>10</v>
      </c>
      <c r="K318" s="1" t="n">
        <f aca="false">K317+1</f>
        <v>122</v>
      </c>
      <c r="L318" s="239" t="n">
        <f aca="false">J318*10^(K318/192)</f>
        <v>43.1933279405154</v>
      </c>
    </row>
    <row r="319" customFormat="false" ht="15" hidden="false" customHeight="false" outlineLevel="0" collapsed="false">
      <c r="F319" s="238" t="n">
        <f aca="false">F223*10</f>
        <v>1000</v>
      </c>
      <c r="G319" s="1" t="n">
        <v>27</v>
      </c>
      <c r="H319" s="234" t="n">
        <f aca="false">F319*10^(G319/96)</f>
        <v>1910.95297497044</v>
      </c>
      <c r="J319" s="238" t="n">
        <f aca="false">J126*10</f>
        <v>10</v>
      </c>
      <c r="K319" s="1" t="n">
        <f aca="false">K318+1</f>
        <v>123</v>
      </c>
      <c r="L319" s="239" t="n">
        <f aca="false">J319*10^(K319/192)</f>
        <v>43.7144481261109</v>
      </c>
    </row>
    <row r="320" customFormat="false" ht="15" hidden="false" customHeight="false" outlineLevel="0" collapsed="false">
      <c r="F320" s="238" t="n">
        <f aca="false">F224*10</f>
        <v>1000</v>
      </c>
      <c r="G320" s="1" t="n">
        <v>28</v>
      </c>
      <c r="H320" s="234" t="n">
        <f aca="false">F320*10^(G320/96)</f>
        <v>1957.34178148766</v>
      </c>
      <c r="J320" s="238" t="n">
        <f aca="false">J127*10</f>
        <v>10</v>
      </c>
      <c r="K320" s="1" t="n">
        <f aca="false">K319+1</f>
        <v>124</v>
      </c>
      <c r="L320" s="239" t="n">
        <f aca="false">J320*10^(K320/192)</f>
        <v>44.2418555384792</v>
      </c>
    </row>
    <row r="321" customFormat="false" ht="15" hidden="false" customHeight="false" outlineLevel="0" collapsed="false">
      <c r="F321" s="238" t="n">
        <f aca="false">F225*10</f>
        <v>1000</v>
      </c>
      <c r="G321" s="1" t="n">
        <v>29</v>
      </c>
      <c r="H321" s="234" t="n">
        <f aca="false">F321*10^(G321/96)</f>
        <v>2004.85668655271</v>
      </c>
      <c r="J321" s="238" t="n">
        <f aca="false">J128*10</f>
        <v>10</v>
      </c>
      <c r="K321" s="1" t="n">
        <f aca="false">K320+1</f>
        <v>125</v>
      </c>
      <c r="L321" s="239" t="n">
        <f aca="false">J321*10^(K321/192)</f>
        <v>44.7756260319464</v>
      </c>
    </row>
    <row r="322" customFormat="false" ht="15" hidden="false" customHeight="false" outlineLevel="0" collapsed="false">
      <c r="F322" s="238" t="n">
        <f aca="false">F226*10</f>
        <v>1000</v>
      </c>
      <c r="G322" s="1" t="n">
        <v>30</v>
      </c>
      <c r="H322" s="234" t="n">
        <f aca="false">F322*10^(G322/96)</f>
        <v>2053.52502645715</v>
      </c>
      <c r="J322" s="238" t="n">
        <f aca="false">J129*10</f>
        <v>10</v>
      </c>
      <c r="K322" s="1" t="n">
        <f aca="false">K321+1</f>
        <v>126</v>
      </c>
      <c r="L322" s="239" t="n">
        <f aca="false">J322*10^(K322/192)</f>
        <v>45.3158363760082</v>
      </c>
    </row>
    <row r="323" customFormat="false" ht="15" hidden="false" customHeight="false" outlineLevel="0" collapsed="false">
      <c r="F323" s="238" t="n">
        <f aca="false">F227*10</f>
        <v>1000</v>
      </c>
      <c r="G323" s="1" t="n">
        <v>31</v>
      </c>
      <c r="H323" s="234" t="n">
        <f aca="false">F323*10^(G323/96)</f>
        <v>2103.37480108703</v>
      </c>
      <c r="J323" s="238" t="n">
        <f aca="false">J130*10</f>
        <v>10</v>
      </c>
      <c r="K323" s="1" t="n">
        <f aca="false">K322+1</f>
        <v>127</v>
      </c>
      <c r="L323" s="239" t="n">
        <f aca="false">J323*10^(K323/192)</f>
        <v>45.8625642663713</v>
      </c>
    </row>
    <row r="324" customFormat="false" ht="15" hidden="false" customHeight="false" outlineLevel="0" collapsed="false">
      <c r="F324" s="238" t="n">
        <f aca="false">F228*10</f>
        <v>1000</v>
      </c>
      <c r="G324" s="1" t="n">
        <v>32</v>
      </c>
      <c r="H324" s="234" t="n">
        <f aca="false">F324*10^(G324/96)</f>
        <v>2154.43469003188</v>
      </c>
      <c r="J324" s="238" t="n">
        <f aca="false">J131*10</f>
        <v>10</v>
      </c>
      <c r="K324" s="1" t="n">
        <f aca="false">K323+1</f>
        <v>128</v>
      </c>
      <c r="L324" s="239" t="n">
        <f aca="false">J324*10^(K324/192)</f>
        <v>46.4158883361278</v>
      </c>
    </row>
    <row r="325" customFormat="false" ht="15" hidden="false" customHeight="false" outlineLevel="0" collapsed="false">
      <c r="F325" s="238" t="n">
        <f aca="false">F229*10</f>
        <v>1000</v>
      </c>
      <c r="G325" s="1" t="n">
        <v>33</v>
      </c>
      <c r="H325" s="234" t="n">
        <f aca="false">F325*10^(G325/96)</f>
        <v>2206.73406908459</v>
      </c>
      <c r="J325" s="238" t="n">
        <f aca="false">J132*10</f>
        <v>10</v>
      </c>
      <c r="K325" s="1" t="n">
        <f aca="false">K324+1</f>
        <v>129</v>
      </c>
      <c r="L325" s="239" t="n">
        <f aca="false">J325*10^(K325/192)</f>
        <v>46.9758881670649</v>
      </c>
    </row>
    <row r="326" customFormat="false" ht="15" hidden="false" customHeight="false" outlineLevel="0" collapsed="false">
      <c r="F326" s="238" t="n">
        <f aca="false">F230*10</f>
        <v>1000</v>
      </c>
      <c r="G326" s="1" t="n">
        <v>34</v>
      </c>
      <c r="H326" s="234" t="n">
        <f aca="false">F326*10^(G326/96)</f>
        <v>2260.30302714192</v>
      </c>
      <c r="J326" s="238" t="n">
        <f aca="false">J133*10</f>
        <v>10</v>
      </c>
      <c r="K326" s="1" t="n">
        <f aca="false">K325+1</f>
        <v>130</v>
      </c>
      <c r="L326" s="239" t="n">
        <f aca="false">J326*10^(K326/192)</f>
        <v>47.5426443011106</v>
      </c>
    </row>
    <row r="327" customFormat="false" ht="15" hidden="false" customHeight="false" outlineLevel="0" collapsed="false">
      <c r="F327" s="238" t="n">
        <f aca="false">F231*10</f>
        <v>1000</v>
      </c>
      <c r="G327" s="1" t="n">
        <v>35</v>
      </c>
      <c r="H327" s="234" t="n">
        <f aca="false">F327*10^(G327/96)</f>
        <v>2315.17238351527</v>
      </c>
      <c r="J327" s="238" t="n">
        <f aca="false">J134*10</f>
        <v>10</v>
      </c>
      <c r="K327" s="1" t="n">
        <f aca="false">K326+1</f>
        <v>131</v>
      </c>
      <c r="L327" s="239" t="n">
        <f aca="false">J327*10^(K327/192)</f>
        <v>48.1162382519173</v>
      </c>
    </row>
    <row r="328" customFormat="false" ht="15" hidden="false" customHeight="false" outlineLevel="0" collapsed="false">
      <c r="F328" s="238" t="n">
        <f aca="false">F232*10</f>
        <v>1000</v>
      </c>
      <c r="G328" s="1" t="n">
        <v>36</v>
      </c>
      <c r="H328" s="234" t="n">
        <f aca="false">F328*10^(G328/96)</f>
        <v>2371.37370566166</v>
      </c>
      <c r="J328" s="238" t="n">
        <f aca="false">J135*10</f>
        <v>10</v>
      </c>
      <c r="K328" s="1" t="n">
        <f aca="false">K327+1</f>
        <v>132</v>
      </c>
      <c r="L328" s="239" t="n">
        <f aca="false">J328*10^(K328/192)</f>
        <v>48.6967525165863</v>
      </c>
    </row>
    <row r="329" customFormat="false" ht="15" hidden="false" customHeight="false" outlineLevel="0" collapsed="false">
      <c r="F329" s="238" t="n">
        <f aca="false">F233*10</f>
        <v>1000</v>
      </c>
      <c r="G329" s="1" t="n">
        <v>37</v>
      </c>
      <c r="H329" s="234" t="n">
        <f aca="false">F329*10^(G329/96)</f>
        <v>2428.93932734508</v>
      </c>
      <c r="J329" s="238" t="n">
        <f aca="false">J136*10</f>
        <v>10</v>
      </c>
      <c r="K329" s="1" t="n">
        <f aca="false">K328+1</f>
        <v>133</v>
      </c>
      <c r="L329" s="239" t="n">
        <f aca="false">J329*10^(K329/192)</f>
        <v>49.2842705875321</v>
      </c>
    </row>
    <row r="330" customFormat="false" ht="15" hidden="false" customHeight="false" outlineLevel="0" collapsed="false">
      <c r="F330" s="238" t="n">
        <f aca="false">F234*10</f>
        <v>1000</v>
      </c>
      <c r="G330" s="1" t="n">
        <v>38</v>
      </c>
      <c r="H330" s="234" t="n">
        <f aca="false">F330*10^(G330/96)</f>
        <v>2487.90236723884</v>
      </c>
      <c r="J330" s="238" t="n">
        <f aca="false">J137*10</f>
        <v>10</v>
      </c>
      <c r="K330" s="1" t="n">
        <f aca="false">K329+1</f>
        <v>134</v>
      </c>
      <c r="L330" s="239" t="n">
        <f aca="false">J330*10^(K330/192)</f>
        <v>49.8788769644911</v>
      </c>
    </row>
    <row r="331" customFormat="false" ht="15" hidden="false" customHeight="false" outlineLevel="0" collapsed="false">
      <c r="F331" s="238" t="n">
        <f aca="false">F235*10</f>
        <v>1000</v>
      </c>
      <c r="G331" s="1" t="n">
        <v>39</v>
      </c>
      <c r="H331" s="234" t="n">
        <f aca="false">F331*10^(G331/96)</f>
        <v>2548.29674797935</v>
      </c>
      <c r="J331" s="238" t="n">
        <f aca="false">J138*10</f>
        <v>10</v>
      </c>
      <c r="K331" s="1" t="n">
        <f aca="false">K330+1</f>
        <v>135</v>
      </c>
      <c r="L331" s="239" t="n">
        <f aca="false">J331*10^(K331/192)</f>
        <v>50.4806571666747</v>
      </c>
    </row>
    <row r="332" customFormat="false" ht="15" hidden="false" customHeight="false" outlineLevel="0" collapsed="false">
      <c r="F332" s="238" t="n">
        <f aca="false">F236*10</f>
        <v>1000</v>
      </c>
      <c r="G332" s="1" t="n">
        <v>40</v>
      </c>
      <c r="H332" s="234" t="n">
        <f aca="false">F332*10^(G332/96)</f>
        <v>2610.15721568254</v>
      </c>
      <c r="J332" s="238" t="n">
        <f aca="false">J139*10</f>
        <v>10</v>
      </c>
      <c r="K332" s="1" t="n">
        <f aca="false">K331+1</f>
        <v>136</v>
      </c>
      <c r="L332" s="239" t="n">
        <f aca="false">J332*10^(K332/192)</f>
        <v>51.0896977450693</v>
      </c>
    </row>
    <row r="333" customFormat="false" ht="15" hidden="false" customHeight="false" outlineLevel="0" collapsed="false">
      <c r="F333" s="238" t="n">
        <f aca="false">F237*10</f>
        <v>1000</v>
      </c>
      <c r="G333" s="1" t="n">
        <v>41</v>
      </c>
      <c r="H333" s="234" t="n">
        <f aca="false">F333*10^(G333/96)</f>
        <v>2673.51935993399</v>
      </c>
      <c r="J333" s="238" t="n">
        <f aca="false">J140*10</f>
        <v>10</v>
      </c>
      <c r="K333" s="1" t="n">
        <f aca="false">K332+1</f>
        <v>137</v>
      </c>
      <c r="L333" s="239" t="n">
        <f aca="false">J333*10^(K333/192)</f>
        <v>51.706086294884</v>
      </c>
    </row>
    <row r="334" customFormat="false" ht="15" hidden="false" customHeight="false" outlineLevel="0" collapsed="false">
      <c r="F334" s="238" t="n">
        <f aca="false">F238*10</f>
        <v>1000</v>
      </c>
      <c r="G334" s="1" t="n">
        <v>42</v>
      </c>
      <c r="H334" s="234" t="n">
        <f aca="false">F334*10^(G334/96)</f>
        <v>2738.41963426436</v>
      </c>
      <c r="J334" s="238" t="n">
        <f aca="false">J141*10</f>
        <v>10</v>
      </c>
      <c r="K334" s="1" t="n">
        <f aca="false">K333+1</f>
        <v>138</v>
      </c>
      <c r="L334" s="239" t="n">
        <f aca="false">J334*10^(K334/192)</f>
        <v>52.3299114681495</v>
      </c>
    </row>
    <row r="335" customFormat="false" ht="15" hidden="false" customHeight="false" outlineLevel="0" collapsed="false">
      <c r="F335" s="238" t="n">
        <f aca="false">F239*10</f>
        <v>1000</v>
      </c>
      <c r="G335" s="1" t="n">
        <v>43</v>
      </c>
      <c r="H335" s="234" t="n">
        <f aca="false">F335*10^(G335/96)</f>
        <v>2804.89537712183</v>
      </c>
      <c r="J335" s="238" t="n">
        <f aca="false">J142*10</f>
        <v>10</v>
      </c>
      <c r="K335" s="1" t="n">
        <f aca="false">K334+1</f>
        <v>139</v>
      </c>
      <c r="L335" s="239" t="n">
        <f aca="false">J335*10^(K335/192)</f>
        <v>52.961262986468</v>
      </c>
    </row>
    <row r="336" customFormat="false" ht="15" hidden="false" customHeight="false" outlineLevel="0" collapsed="false">
      <c r="F336" s="238" t="n">
        <f aca="false">F240*10</f>
        <v>1000</v>
      </c>
      <c r="G336" s="1" t="n">
        <v>44</v>
      </c>
      <c r="H336" s="234" t="n">
        <f aca="false">F336*10^(G336/96)</f>
        <v>2872.98483335366</v>
      </c>
      <c r="J336" s="238" t="n">
        <f aca="false">J143*10</f>
        <v>10</v>
      </c>
      <c r="K336" s="1" t="n">
        <f aca="false">K335+1</f>
        <v>140</v>
      </c>
      <c r="L336" s="239" t="n">
        <f aca="false">J336*10^(K336/192)</f>
        <v>53.6002316539179</v>
      </c>
    </row>
    <row r="337" customFormat="false" ht="15" hidden="false" customHeight="false" outlineLevel="0" collapsed="false">
      <c r="F337" s="238" t="n">
        <f aca="false">F241*10</f>
        <v>1000</v>
      </c>
      <c r="G337" s="1" t="n">
        <v>45</v>
      </c>
      <c r="H337" s="234" t="n">
        <f aca="false">F337*10^(G337/96)</f>
        <v>2942.72717620928</v>
      </c>
      <c r="J337" s="238" t="n">
        <f aca="false">J144*10</f>
        <v>10</v>
      </c>
      <c r="K337" s="1" t="n">
        <f aca="false">K336+1</f>
        <v>141</v>
      </c>
      <c r="L337" s="239" t="n">
        <f aca="false">J337*10^(K337/192)</f>
        <v>54.2469093701133</v>
      </c>
    </row>
    <row r="338" customFormat="false" ht="15" hidden="false" customHeight="false" outlineLevel="0" collapsed="false">
      <c r="F338" s="238" t="n">
        <f aca="false">F242*10</f>
        <v>1000</v>
      </c>
      <c r="G338" s="1" t="n">
        <v>46</v>
      </c>
      <c r="H338" s="234" t="n">
        <f aca="false">F338*10^(G338/96)</f>
        <v>3014.16252987739</v>
      </c>
      <c r="J338" s="238" t="n">
        <f aca="false">J145*10</f>
        <v>10</v>
      </c>
      <c r="K338" s="1" t="n">
        <f aca="false">K337+1</f>
        <v>142</v>
      </c>
      <c r="L338" s="239" t="n">
        <f aca="false">J338*10^(K338/192)</f>
        <v>54.9013891434214</v>
      </c>
    </row>
    <row r="339" customFormat="false" ht="15" hidden="false" customHeight="false" outlineLevel="0" collapsed="false">
      <c r="F339" s="238" t="n">
        <f aca="false">F243*10</f>
        <v>1000</v>
      </c>
      <c r="G339" s="1" t="n">
        <v>47</v>
      </c>
      <c r="H339" s="234" t="n">
        <f aca="false">F339*10^(G339/96)</f>
        <v>3087.33199257026</v>
      </c>
      <c r="J339" s="238" t="n">
        <f aca="false">J146*10</f>
        <v>10</v>
      </c>
      <c r="K339" s="1" t="n">
        <f aca="false">K338+1</f>
        <v>143</v>
      </c>
      <c r="L339" s="239" t="n">
        <f aca="false">J339*10^(K339/192)</f>
        <v>55.5637651043399</v>
      </c>
    </row>
    <row r="340" customFormat="false" ht="15" hidden="false" customHeight="false" outlineLevel="0" collapsed="false">
      <c r="F340" s="238" t="n">
        <f aca="false">F244*10</f>
        <v>1000</v>
      </c>
      <c r="G340" s="1" t="n">
        <v>48</v>
      </c>
      <c r="H340" s="234" t="n">
        <f aca="false">F340*10^(G340/96)</f>
        <v>3162.27766016838</v>
      </c>
      <c r="J340" s="238" t="n">
        <f aca="false">J147*10</f>
        <v>10</v>
      </c>
      <c r="K340" s="1" t="n">
        <f aca="false">K339+1</f>
        <v>144</v>
      </c>
      <c r="L340" s="239" t="n">
        <f aca="false">J340*10^(K340/192)</f>
        <v>56.2341325190349</v>
      </c>
    </row>
    <row r="341" customFormat="false" ht="15" hidden="false" customHeight="false" outlineLevel="0" collapsed="false">
      <c r="F341" s="238" t="n">
        <f aca="false">F245*10</f>
        <v>1000</v>
      </c>
      <c r="G341" s="1" t="n">
        <v>49</v>
      </c>
      <c r="H341" s="234" t="n">
        <f aca="false">F341*10^(G341/96)</f>
        <v>3239.04265043903</v>
      </c>
      <c r="J341" s="238" t="n">
        <f aca="false">J148*10</f>
        <v>10</v>
      </c>
      <c r="K341" s="1" t="n">
        <f aca="false">K340+1</f>
        <v>145</v>
      </c>
      <c r="L341" s="239" t="n">
        <f aca="false">J341*10^(K341/192)</f>
        <v>56.9125878030426</v>
      </c>
    </row>
    <row r="342" customFormat="false" ht="15" hidden="false" customHeight="false" outlineLevel="0" collapsed="false">
      <c r="F342" s="238" t="n">
        <f aca="false">F246*10</f>
        <v>1000</v>
      </c>
      <c r="G342" s="1" t="n">
        <v>50</v>
      </c>
      <c r="H342" s="234" t="n">
        <f aca="false">F342*10^(G342/96)</f>
        <v>3317.67112784286</v>
      </c>
      <c r="J342" s="238" t="n">
        <f aca="false">J149*10</f>
        <v>10</v>
      </c>
      <c r="K342" s="1" t="n">
        <f aca="false">K341+1</f>
        <v>146</v>
      </c>
      <c r="L342" s="239" t="n">
        <f aca="false">J342*10^(K342/192)</f>
        <v>57.5992285351363</v>
      </c>
    </row>
    <row r="343" customFormat="false" ht="15" hidden="false" customHeight="false" outlineLevel="0" collapsed="false">
      <c r="F343" s="238" t="n">
        <f aca="false">F247*10</f>
        <v>1000</v>
      </c>
      <c r="G343" s="1" t="n">
        <v>51</v>
      </c>
      <c r="H343" s="234" t="n">
        <f aca="false">F343*10^(G343/96)</f>
        <v>3398.20832894256</v>
      </c>
      <c r="J343" s="238" t="n">
        <f aca="false">J150*10</f>
        <v>10</v>
      </c>
      <c r="K343" s="1" t="n">
        <f aca="false">K342+1</f>
        <v>147</v>
      </c>
      <c r="L343" s="239" t="n">
        <f aca="false">J343*10^(K343/192)</f>
        <v>58.2941534713607</v>
      </c>
    </row>
    <row r="344" customFormat="false" ht="15" hidden="false" customHeight="false" outlineLevel="0" collapsed="false">
      <c r="F344" s="238" t="n">
        <f aca="false">F248*10</f>
        <v>1000</v>
      </c>
      <c r="G344" s="1" t="n">
        <v>52</v>
      </c>
      <c r="H344" s="234" t="n">
        <f aca="false">F344*10^(G344/96)</f>
        <v>3480.70058842841</v>
      </c>
      <c r="J344" s="238" t="n">
        <f aca="false">J151*10</f>
        <v>10</v>
      </c>
      <c r="K344" s="1" t="n">
        <f aca="false">K343+1</f>
        <v>148</v>
      </c>
      <c r="L344" s="239" t="n">
        <f aca="false">J344*10^(K344/192)</f>
        <v>58.9974625592356</v>
      </c>
    </row>
    <row r="345" customFormat="false" ht="15" hidden="false" customHeight="false" outlineLevel="0" collapsed="false">
      <c r="F345" s="238" t="n">
        <f aca="false">F249*10</f>
        <v>1000</v>
      </c>
      <c r="G345" s="1" t="n">
        <v>53</v>
      </c>
      <c r="H345" s="234" t="n">
        <f aca="false">F345*10^(G345/96)</f>
        <v>3565.19536577555</v>
      </c>
      <c r="J345" s="238" t="n">
        <f aca="false">J152*10</f>
        <v>10</v>
      </c>
      <c r="K345" s="1" t="n">
        <f aca="false">K344+1</f>
        <v>149</v>
      </c>
      <c r="L345" s="239" t="n">
        <f aca="false">J345*10^(K345/192)</f>
        <v>59.7092569521305</v>
      </c>
    </row>
    <row r="346" customFormat="false" ht="15" hidden="false" customHeight="false" outlineLevel="0" collapsed="false">
      <c r="F346" s="238" t="n">
        <f aca="false">F250*10</f>
        <v>1000</v>
      </c>
      <c r="G346" s="1" t="n">
        <v>54</v>
      </c>
      <c r="H346" s="234" t="n">
        <f aca="false">F346*10^(G346/96)</f>
        <v>3651.74127254838</v>
      </c>
      <c r="J346" s="238" t="n">
        <f aca="false">J153*10</f>
        <v>10</v>
      </c>
      <c r="K346" s="1" t="n">
        <f aca="false">K345+1</f>
        <v>150</v>
      </c>
      <c r="L346" s="239" t="n">
        <f aca="false">J346*10^(K346/192)</f>
        <v>60.4296390238133</v>
      </c>
    </row>
    <row r="347" customFormat="false" ht="15" hidden="false" customHeight="false" outlineLevel="0" collapsed="false">
      <c r="F347" s="238" t="n">
        <f aca="false">F251*10</f>
        <v>1000</v>
      </c>
      <c r="G347" s="1" t="n">
        <v>55</v>
      </c>
      <c r="H347" s="234" t="n">
        <f aca="false">F347*10^(G347/96)</f>
        <v>3740.38810036779</v>
      </c>
      <c r="J347" s="238" t="n">
        <f aca="false">J154*10</f>
        <v>10</v>
      </c>
      <c r="K347" s="1" t="n">
        <f aca="false">K346+1</f>
        <v>151</v>
      </c>
      <c r="L347" s="239" t="n">
        <f aca="false">J347*10^(K347/192)</f>
        <v>61.1587123831739</v>
      </c>
    </row>
    <row r="348" customFormat="false" ht="15" hidden="false" customHeight="false" outlineLevel="0" collapsed="false">
      <c r="F348" s="238" t="n">
        <f aca="false">F252*10</f>
        <v>1000</v>
      </c>
      <c r="G348" s="1" t="n">
        <v>56</v>
      </c>
      <c r="H348" s="234" t="n">
        <f aca="false">F348*10^(G348/96)</f>
        <v>3831.18684955729</v>
      </c>
      <c r="J348" s="238" t="n">
        <f aca="false">J155*10</f>
        <v>10</v>
      </c>
      <c r="K348" s="1" t="n">
        <f aca="false">K347+1</f>
        <v>152</v>
      </c>
      <c r="L348" s="239" t="n">
        <f aca="false">J348*10^(K348/192)</f>
        <v>61.8965818891261</v>
      </c>
    </row>
    <row r="349" customFormat="false" ht="15" hidden="false" customHeight="false" outlineLevel="0" collapsed="false">
      <c r="F349" s="238" t="n">
        <f aca="false">F253*10</f>
        <v>1000</v>
      </c>
      <c r="G349" s="1" t="n">
        <v>57</v>
      </c>
      <c r="H349" s="234" t="n">
        <f aca="false">F349*10^(G349/96)</f>
        <v>3924.18975848454</v>
      </c>
      <c r="J349" s="238" t="n">
        <f aca="false">J156*10</f>
        <v>10</v>
      </c>
      <c r="K349" s="1" t="n">
        <f aca="false">K348+1</f>
        <v>153</v>
      </c>
      <c r="L349" s="239" t="n">
        <f aca="false">J349*10^(K349/192)</f>
        <v>62.6433536656886</v>
      </c>
    </row>
    <row r="350" customFormat="false" ht="15" hidden="false" customHeight="false" outlineLevel="0" collapsed="false">
      <c r="F350" s="238" t="n">
        <f aca="false">F254*10</f>
        <v>1000</v>
      </c>
      <c r="G350" s="1" t="n">
        <v>58</v>
      </c>
      <c r="H350" s="234" t="n">
        <f aca="false">F350*10^(G350/96)</f>
        <v>4019.45033361512</v>
      </c>
      <c r="J350" s="238" t="n">
        <f aca="false">J157*10</f>
        <v>10</v>
      </c>
      <c r="K350" s="1" t="n">
        <f aca="false">K349+1</f>
        <v>154</v>
      </c>
      <c r="L350" s="239" t="n">
        <f aca="false">J350*10^(K350/192)</f>
        <v>63.3991351172485</v>
      </c>
    </row>
    <row r="351" customFormat="false" ht="15" hidden="false" customHeight="false" outlineLevel="0" collapsed="false">
      <c r="F351" s="238" t="n">
        <f aca="false">F255*10</f>
        <v>1000</v>
      </c>
      <c r="G351" s="1" t="n">
        <v>59</v>
      </c>
      <c r="H351" s="234" t="n">
        <f aca="false">F351*10^(G351/96)</f>
        <v>4117.02338029595</v>
      </c>
      <c r="J351" s="238" t="n">
        <f aca="false">J158*10</f>
        <v>10</v>
      </c>
      <c r="K351" s="1" t="n">
        <f aca="false">K350+1</f>
        <v>155</v>
      </c>
      <c r="L351" s="239" t="n">
        <f aca="false">J351*10^(K351/192)</f>
        <v>64.1640349440085</v>
      </c>
    </row>
    <row r="352" customFormat="false" ht="15" hidden="false" customHeight="false" outlineLevel="0" collapsed="false">
      <c r="F352" s="238" t="n">
        <f aca="false">F256*10</f>
        <v>1000</v>
      </c>
      <c r="G352" s="1" t="n">
        <v>60</v>
      </c>
      <c r="H352" s="234" t="n">
        <f aca="false">F352*10^(G352/96)</f>
        <v>4216.96503428582</v>
      </c>
      <c r="J352" s="238" t="n">
        <f aca="false">J159*10</f>
        <v>10</v>
      </c>
      <c r="K352" s="1" t="n">
        <f aca="false">K351+1</f>
        <v>156</v>
      </c>
      <c r="L352" s="239" t="n">
        <f aca="false">J352*10^(K352/192)</f>
        <v>64.9381631576211</v>
      </c>
    </row>
    <row r="353" customFormat="false" ht="15" hidden="false" customHeight="false" outlineLevel="0" collapsed="false">
      <c r="F353" s="238" t="n">
        <f aca="false">F257*10</f>
        <v>1000</v>
      </c>
      <c r="G353" s="1" t="n">
        <v>61</v>
      </c>
      <c r="H353" s="234" t="n">
        <f aca="false">F353*10^(G353/96)</f>
        <v>4319.33279405155</v>
      </c>
      <c r="J353" s="238" t="n">
        <f aca="false">J160*10</f>
        <v>10</v>
      </c>
      <c r="K353" s="1" t="n">
        <f aca="false">K352+1</f>
        <v>157</v>
      </c>
      <c r="L353" s="239" t="n">
        <f aca="false">J353*10^(K353/192)</f>
        <v>65.7216310970106</v>
      </c>
    </row>
    <row r="354" customFormat="false" ht="15" hidden="false" customHeight="false" outlineLevel="0" collapsed="false">
      <c r="F354" s="238" t="n">
        <f aca="false">F258*10</f>
        <v>1000</v>
      </c>
      <c r="G354" s="1" t="n">
        <v>62</v>
      </c>
      <c r="H354" s="234" t="n">
        <f aca="false">F354*10^(G354/96)</f>
        <v>4424.18555384792</v>
      </c>
      <c r="J354" s="238" t="n">
        <f aca="false">J161*10</f>
        <v>10</v>
      </c>
      <c r="K354" s="1" t="n">
        <f aca="false">K353+1</f>
        <v>158</v>
      </c>
      <c r="L354" s="239" t="n">
        <f aca="false">J354*10^(K354/192)</f>
        <v>66.5145514443863</v>
      </c>
    </row>
    <row r="355" customFormat="false" ht="15" hidden="false" customHeight="false" outlineLevel="0" collapsed="false">
      <c r="F355" s="238" t="n">
        <f aca="false">F259*10</f>
        <v>1000</v>
      </c>
      <c r="G355" s="1" t="n">
        <v>63</v>
      </c>
      <c r="H355" s="234" t="n">
        <f aca="false">F355*10^(G355/96)</f>
        <v>4531.58363760082</v>
      </c>
      <c r="J355" s="238" t="n">
        <f aca="false">J162*10</f>
        <v>10</v>
      </c>
      <c r="K355" s="1" t="n">
        <f aca="false">K354+1</f>
        <v>159</v>
      </c>
      <c r="L355" s="239" t="n">
        <f aca="false">J355*10^(K355/192)</f>
        <v>67.3170382414498</v>
      </c>
    </row>
    <row r="356" customFormat="false" ht="15" hidden="false" customHeight="false" outlineLevel="0" collapsed="false">
      <c r="F356" s="238" t="n">
        <f aca="false">F260*10</f>
        <v>1000</v>
      </c>
      <c r="G356" s="1" t="n">
        <v>64</v>
      </c>
      <c r="H356" s="234" t="n">
        <f aca="false">F356*10^(G356/96)</f>
        <v>4641.58883361278</v>
      </c>
      <c r="J356" s="238" t="n">
        <f aca="false">J163*10</f>
        <v>10</v>
      </c>
      <c r="K356" s="1" t="n">
        <f aca="false">K355+1</f>
        <v>160</v>
      </c>
      <c r="L356" s="239" t="n">
        <f aca="false">J356*10^(K356/192)</f>
        <v>68.1292069057961</v>
      </c>
    </row>
    <row r="357" customFormat="false" ht="15" hidden="false" customHeight="false" outlineLevel="0" collapsed="false">
      <c r="F357" s="238" t="n">
        <f aca="false">F261*10</f>
        <v>1000</v>
      </c>
      <c r="G357" s="1" t="n">
        <v>65</v>
      </c>
      <c r="H357" s="234" t="n">
        <f aca="false">F357*10^(G357/96)</f>
        <v>4754.26443011106</v>
      </c>
      <c r="J357" s="238" t="n">
        <f aca="false">J164*10</f>
        <v>10</v>
      </c>
      <c r="K357" s="1" t="n">
        <f aca="false">K356+1</f>
        <v>161</v>
      </c>
      <c r="L357" s="239" t="n">
        <f aca="false">J357*10^(K357/192)</f>
        <v>68.9511742475141</v>
      </c>
    </row>
    <row r="358" customFormat="false" ht="15" hidden="false" customHeight="false" outlineLevel="0" collapsed="false">
      <c r="F358" s="238" t="n">
        <f aca="false">F262*10</f>
        <v>1000</v>
      </c>
      <c r="G358" s="1" t="n">
        <v>66</v>
      </c>
      <c r="H358" s="234" t="n">
        <f aca="false">F358*10^(G358/96)</f>
        <v>4869.67525165863</v>
      </c>
      <c r="J358" s="238" t="n">
        <f aca="false">J165*10</f>
        <v>10</v>
      </c>
      <c r="K358" s="1" t="n">
        <f aca="false">K357+1</f>
        <v>162</v>
      </c>
      <c r="L358" s="239" t="n">
        <f aca="false">J358*10^(K358/192)</f>
        <v>69.7830584859866</v>
      </c>
    </row>
    <row r="359" customFormat="false" ht="15" hidden="false" customHeight="false" outlineLevel="0" collapsed="false">
      <c r="F359" s="238" t="n">
        <f aca="false">F263*10</f>
        <v>1000</v>
      </c>
      <c r="G359" s="1" t="n">
        <v>67</v>
      </c>
      <c r="H359" s="234" t="n">
        <f aca="false">F359*10^(G359/96)</f>
        <v>4987.88769644911</v>
      </c>
      <c r="J359" s="238" t="n">
        <f aca="false">J166*10</f>
        <v>10</v>
      </c>
      <c r="K359" s="1" t="n">
        <f aca="false">K358+1</f>
        <v>163</v>
      </c>
      <c r="L359" s="239" t="n">
        <f aca="false">J359*10^(K359/192)</f>
        <v>70.6249792668933</v>
      </c>
    </row>
    <row r="360" customFormat="false" ht="15" hidden="false" customHeight="false" outlineLevel="0" collapsed="false">
      <c r="F360" s="238" t="n">
        <f aca="false">F264*10</f>
        <v>1000</v>
      </c>
      <c r="G360" s="1" t="n">
        <v>68</v>
      </c>
      <c r="H360" s="234" t="n">
        <f aca="false">F360*10^(G360/96)</f>
        <v>5108.96977450693</v>
      </c>
      <c r="J360" s="238" t="n">
        <f aca="false">J167*10</f>
        <v>10</v>
      </c>
      <c r="K360" s="1" t="n">
        <f aca="false">K359+1</f>
        <v>164</v>
      </c>
      <c r="L360" s="239" t="n">
        <f aca="false">J360*10^(K360/192)</f>
        <v>71.4770576794186</v>
      </c>
    </row>
    <row r="361" customFormat="false" ht="15" hidden="false" customHeight="false" outlineLevel="0" collapsed="false">
      <c r="F361" s="238" t="n">
        <f aca="false">F265*10</f>
        <v>1000</v>
      </c>
      <c r="G361" s="1" t="n">
        <v>69</v>
      </c>
      <c r="H361" s="234" t="n">
        <f aca="false">F361*10^(G361/96)</f>
        <v>5232.99114681495</v>
      </c>
      <c r="J361" s="238" t="n">
        <f aca="false">J168*10</f>
        <v>10</v>
      </c>
      <c r="K361" s="1" t="n">
        <f aca="false">K360+1</f>
        <v>165</v>
      </c>
      <c r="L361" s="239" t="n">
        <f aca="false">J361*10^(K361/192)</f>
        <v>72.3394162736675</v>
      </c>
    </row>
    <row r="362" customFormat="false" ht="15" hidden="false" customHeight="false" outlineLevel="0" collapsed="false">
      <c r="F362" s="238" t="n">
        <f aca="false">F266*10</f>
        <v>1000</v>
      </c>
      <c r="G362" s="1" t="n">
        <v>70</v>
      </c>
      <c r="H362" s="234" t="n">
        <f aca="false">F362*10^(G362/96)</f>
        <v>5360.02316539179</v>
      </c>
      <c r="J362" s="238" t="n">
        <f aca="false">J169*10</f>
        <v>10</v>
      </c>
      <c r="K362" s="1" t="n">
        <f aca="false">K361+1</f>
        <v>166</v>
      </c>
      <c r="L362" s="239" t="n">
        <f aca="false">J362*10^(K362/192)</f>
        <v>73.2121790782913</v>
      </c>
    </row>
    <row r="363" customFormat="false" ht="15" hidden="false" customHeight="false" outlineLevel="0" collapsed="false">
      <c r="F363" s="238" t="n">
        <f aca="false">F267*10</f>
        <v>1000</v>
      </c>
      <c r="G363" s="1" t="n">
        <v>71</v>
      </c>
      <c r="H363" s="234" t="n">
        <f aca="false">F363*10^(G363/96)</f>
        <v>5490.13891434214</v>
      </c>
      <c r="J363" s="238" t="n">
        <f aca="false">J170*10</f>
        <v>10</v>
      </c>
      <c r="K363" s="1" t="n">
        <f aca="false">K362+1</f>
        <v>167</v>
      </c>
      <c r="L363" s="239" t="n">
        <f aca="false">J363*10^(K363/192)</f>
        <v>74.0954716183259</v>
      </c>
    </row>
    <row r="364" customFormat="false" ht="15" hidden="false" customHeight="false" outlineLevel="0" collapsed="false">
      <c r="F364" s="238" t="n">
        <f aca="false">F268*10</f>
        <v>1000</v>
      </c>
      <c r="G364" s="1" t="n">
        <v>72</v>
      </c>
      <c r="H364" s="234" t="n">
        <f aca="false">F364*10^(G364/96)</f>
        <v>5623.41325190349</v>
      </c>
      <c r="J364" s="238" t="n">
        <f aca="false">J171*10</f>
        <v>10</v>
      </c>
      <c r="K364" s="1" t="n">
        <f aca="false">K363+1</f>
        <v>168</v>
      </c>
      <c r="L364" s="239" t="n">
        <f aca="false">J364*10^(K364/192)</f>
        <v>74.9894209332456</v>
      </c>
    </row>
    <row r="365" customFormat="false" ht="15" hidden="false" customHeight="false" outlineLevel="0" collapsed="false">
      <c r="F365" s="238" t="n">
        <f aca="false">F269*10</f>
        <v>1000</v>
      </c>
      <c r="G365" s="1" t="n">
        <v>73</v>
      </c>
      <c r="H365" s="234" t="n">
        <f aca="false">F365*10^(G365/96)</f>
        <v>5759.92285351363</v>
      </c>
      <c r="J365" s="238" t="n">
        <f aca="false">J172*10</f>
        <v>10</v>
      </c>
      <c r="K365" s="1" t="n">
        <f aca="false">K364+1</f>
        <v>169</v>
      </c>
      <c r="L365" s="239" t="n">
        <f aca="false">J365*10^(K365/192)</f>
        <v>75.8941555952343</v>
      </c>
    </row>
    <row r="366" customFormat="false" ht="15" hidden="false" customHeight="false" outlineLevel="0" collapsed="false">
      <c r="F366" s="238" t="n">
        <f aca="false">F270*10</f>
        <v>1000</v>
      </c>
      <c r="G366" s="1" t="n">
        <v>74</v>
      </c>
      <c r="H366" s="234" t="n">
        <f aca="false">F366*10^(G366/96)</f>
        <v>5899.74625592357</v>
      </c>
      <c r="J366" s="238" t="n">
        <f aca="false">J173*10</f>
        <v>10</v>
      </c>
      <c r="K366" s="1" t="n">
        <f aca="false">K365+1</f>
        <v>170</v>
      </c>
      <c r="L366" s="239" t="n">
        <f aca="false">J366*10^(K366/192)</f>
        <v>76.8098057276775</v>
      </c>
    </row>
    <row r="367" customFormat="false" ht="15" hidden="false" customHeight="false" outlineLevel="0" collapsed="false">
      <c r="F367" s="238" t="n">
        <f aca="false">F271*10</f>
        <v>1000</v>
      </c>
      <c r="G367" s="1" t="n">
        <v>75</v>
      </c>
      <c r="H367" s="234" t="n">
        <f aca="false">F367*10^(G367/96)</f>
        <v>6042.96390238133</v>
      </c>
      <c r="J367" s="238" t="n">
        <f aca="false">J174*10</f>
        <v>10</v>
      </c>
      <c r="K367" s="1" t="n">
        <f aca="false">K366+1</f>
        <v>171</v>
      </c>
      <c r="L367" s="239" t="n">
        <f aca="false">J367*10^(K367/192)</f>
        <v>77.7365030238776</v>
      </c>
    </row>
    <row r="368" customFormat="false" ht="15" hidden="false" customHeight="false" outlineLevel="0" collapsed="false">
      <c r="F368" s="238" t="n">
        <f aca="false">F272*10</f>
        <v>1000</v>
      </c>
      <c r="G368" s="1" t="n">
        <v>76</v>
      </c>
      <c r="H368" s="234" t="n">
        <f aca="false">F368*10^(G368/96)</f>
        <v>6189.65818891261</v>
      </c>
      <c r="J368" s="238" t="n">
        <f aca="false">J175*10</f>
        <v>10</v>
      </c>
      <c r="K368" s="1" t="n">
        <f aca="false">K367+1</f>
        <v>172</v>
      </c>
      <c r="L368" s="239" t="n">
        <f aca="false">J368*10^(K368/192)</f>
        <v>78.674380765994</v>
      </c>
    </row>
    <row r="369" customFormat="false" ht="15" hidden="false" customHeight="false" outlineLevel="0" collapsed="false">
      <c r="F369" s="238" t="n">
        <f aca="false">F273*10</f>
        <v>1000</v>
      </c>
      <c r="G369" s="1" t="n">
        <v>77</v>
      </c>
      <c r="H369" s="234" t="n">
        <f aca="false">F369*10^(G369/96)</f>
        <v>6339.91351172485</v>
      </c>
      <c r="J369" s="238" t="n">
        <f aca="false">J176*10</f>
        <v>10</v>
      </c>
      <c r="K369" s="1" t="n">
        <f aca="false">K368+1</f>
        <v>173</v>
      </c>
      <c r="L369" s="239" t="n">
        <f aca="false">J369*10^(K369/192)</f>
        <v>79.623573844213</v>
      </c>
    </row>
    <row r="370" customFormat="false" ht="15" hidden="false" customHeight="false" outlineLevel="0" collapsed="false">
      <c r="F370" s="238" t="n">
        <f aca="false">F274*10</f>
        <v>1000</v>
      </c>
      <c r="G370" s="1" t="n">
        <v>78</v>
      </c>
      <c r="H370" s="234" t="n">
        <f aca="false">F370*10^(G370/96)</f>
        <v>6493.81631576211</v>
      </c>
      <c r="J370" s="238" t="n">
        <f aca="false">J177*10</f>
        <v>10</v>
      </c>
      <c r="K370" s="1" t="n">
        <f aca="false">K369+1</f>
        <v>174</v>
      </c>
      <c r="L370" s="239" t="n">
        <f aca="false">J370*10^(K370/192)</f>
        <v>80.5842187761482</v>
      </c>
    </row>
    <row r="371" customFormat="false" ht="15" hidden="false" customHeight="false" outlineLevel="0" collapsed="false">
      <c r="F371" s="238" t="n">
        <f aca="false">F275*10</f>
        <v>1000</v>
      </c>
      <c r="G371" s="1" t="n">
        <v>79</v>
      </c>
      <c r="H371" s="234" t="n">
        <f aca="false">F371*10^(G371/96)</f>
        <v>6651.45514443863</v>
      </c>
      <c r="J371" s="238" t="n">
        <f aca="false">J178*10</f>
        <v>10</v>
      </c>
      <c r="K371" s="1" t="n">
        <f aca="false">K370+1</f>
        <v>175</v>
      </c>
      <c r="L371" s="239" t="n">
        <f aca="false">J371*10^(K371/192)</f>
        <v>81.5564537264749</v>
      </c>
    </row>
    <row r="372" customFormat="false" ht="15" hidden="false" customHeight="false" outlineLevel="0" collapsed="false">
      <c r="F372" s="238" t="n">
        <f aca="false">F276*10</f>
        <v>1000</v>
      </c>
      <c r="G372" s="1" t="n">
        <v>80</v>
      </c>
      <c r="H372" s="234" t="n">
        <f aca="false">F372*10^(G372/96)</f>
        <v>6812.92069057961</v>
      </c>
      <c r="J372" s="238" t="n">
        <f aca="false">J179*10</f>
        <v>10</v>
      </c>
      <c r="K372" s="1" t="n">
        <f aca="false">K371+1</f>
        <v>176</v>
      </c>
      <c r="L372" s="239" t="n">
        <f aca="false">J372*10^(K372/192)</f>
        <v>82.5404185268018</v>
      </c>
    </row>
    <row r="373" customFormat="false" ht="15" hidden="false" customHeight="false" outlineLevel="0" collapsed="false">
      <c r="F373" s="238" t="n">
        <f aca="false">F277*10</f>
        <v>1000</v>
      </c>
      <c r="G373" s="1" t="n">
        <v>81</v>
      </c>
      <c r="H373" s="234" t="n">
        <f aca="false">F373*10^(G373/96)</f>
        <v>6978.30584859866</v>
      </c>
      <c r="J373" s="238" t="n">
        <f aca="false">J180*10</f>
        <v>10</v>
      </c>
      <c r="K373" s="1" t="n">
        <f aca="false">K372+1</f>
        <v>177</v>
      </c>
      <c r="L373" s="239" t="n">
        <f aca="false">J373*10^(K373/192)</f>
        <v>83.5362546957826</v>
      </c>
    </row>
    <row r="374" customFormat="false" ht="15" hidden="false" customHeight="false" outlineLevel="0" collapsed="false">
      <c r="F374" s="238" t="n">
        <f aca="false">F278*10</f>
        <v>1000</v>
      </c>
      <c r="G374" s="1" t="n">
        <v>82</v>
      </c>
      <c r="H374" s="234" t="n">
        <f aca="false">F374*10^(G374/96)</f>
        <v>7147.70576794186</v>
      </c>
      <c r="J374" s="238" t="n">
        <f aca="false">J181*10</f>
        <v>10</v>
      </c>
      <c r="K374" s="1" t="n">
        <f aca="false">K373+1</f>
        <v>178</v>
      </c>
      <c r="L374" s="239" t="n">
        <f aca="false">J374*10^(K374/192)</f>
        <v>84.5441054594693</v>
      </c>
    </row>
    <row r="375" customFormat="false" ht="15" hidden="false" customHeight="false" outlineLevel="0" collapsed="false">
      <c r="F375" s="238" t="n">
        <f aca="false">F279*10</f>
        <v>1000</v>
      </c>
      <c r="G375" s="1" t="n">
        <v>83</v>
      </c>
      <c r="H375" s="234" t="n">
        <f aca="false">F375*10^(G375/96)</f>
        <v>7321.21790782913</v>
      </c>
      <c r="J375" s="238" t="n">
        <f aca="false">J182*10</f>
        <v>10</v>
      </c>
      <c r="K375" s="1" t="n">
        <f aca="false">K374+1</f>
        <v>179</v>
      </c>
      <c r="L375" s="239" t="n">
        <f aca="false">J375*10^(K375/192)</f>
        <v>85.5641157719118</v>
      </c>
    </row>
    <row r="376" customFormat="false" ht="15" hidden="false" customHeight="false" outlineLevel="0" collapsed="false">
      <c r="F376" s="238" t="n">
        <f aca="false">F280*10</f>
        <v>1000</v>
      </c>
      <c r="G376" s="1" t="n">
        <v>84</v>
      </c>
      <c r="H376" s="234" t="n">
        <f aca="false">F376*10^(G376/96)</f>
        <v>7498.94209332456</v>
      </c>
      <c r="J376" s="238" t="n">
        <f aca="false">J183*10</f>
        <v>10</v>
      </c>
      <c r="K376" s="1" t="n">
        <f aca="false">K375+1</f>
        <v>180</v>
      </c>
      <c r="L376" s="239" t="n">
        <f aca="false">J376*10^(K376/192)</f>
        <v>86.5964323360065</v>
      </c>
    </row>
    <row r="377" customFormat="false" ht="15" hidden="false" customHeight="false" outlineLevel="0" collapsed="false">
      <c r="F377" s="238" t="n">
        <f aca="false">F281*10</f>
        <v>1000</v>
      </c>
      <c r="G377" s="1" t="n">
        <v>85</v>
      </c>
      <c r="H377" s="234" t="n">
        <f aca="false">F377*10^(G377/96)</f>
        <v>7680.98057276775</v>
      </c>
      <c r="J377" s="238" t="n">
        <f aca="false">J184*10</f>
        <v>10</v>
      </c>
      <c r="K377" s="1" t="n">
        <f aca="false">K376+1</f>
        <v>181</v>
      </c>
      <c r="L377" s="239" t="n">
        <f aca="false">J377*10^(K377/192)</f>
        <v>87.6412036245952</v>
      </c>
    </row>
    <row r="378" customFormat="false" ht="15" hidden="false" customHeight="false" outlineLevel="0" collapsed="false">
      <c r="F378" s="238" t="n">
        <f aca="false">F282*10</f>
        <v>1000</v>
      </c>
      <c r="G378" s="1" t="n">
        <v>86</v>
      </c>
      <c r="H378" s="234" t="n">
        <f aca="false">F378*10^(G378/96)</f>
        <v>7867.4380765994</v>
      </c>
      <c r="J378" s="238" t="n">
        <f aca="false">J185*10</f>
        <v>10</v>
      </c>
      <c r="K378" s="1" t="n">
        <f aca="false">K377+1</f>
        <v>182</v>
      </c>
      <c r="L378" s="239" t="n">
        <f aca="false">J378*10^(K378/192)</f>
        <v>88.6985799018192</v>
      </c>
    </row>
    <row r="379" customFormat="false" ht="15" hidden="false" customHeight="false" outlineLevel="0" collapsed="false">
      <c r="F379" s="238" t="n">
        <f aca="false">F283*10</f>
        <v>1000</v>
      </c>
      <c r="G379" s="1" t="n">
        <v>87</v>
      </c>
      <c r="H379" s="234" t="n">
        <f aca="false">F379*10^(G379/96)</f>
        <v>8058.42187761482</v>
      </c>
      <c r="J379" s="238" t="n">
        <f aca="false">J186*10</f>
        <v>10</v>
      </c>
      <c r="K379" s="1" t="n">
        <f aca="false">K378+1</f>
        <v>183</v>
      </c>
      <c r="L379" s="239" t="n">
        <f aca="false">J379*10^(K379/192)</f>
        <v>89.7687132447314</v>
      </c>
    </row>
    <row r="380" customFormat="false" ht="15" hidden="false" customHeight="false" outlineLevel="0" collapsed="false">
      <c r="F380" s="238" t="n">
        <f aca="false">F284*10</f>
        <v>1000</v>
      </c>
      <c r="G380" s="1" t="n">
        <v>88</v>
      </c>
      <c r="H380" s="234" t="n">
        <f aca="false">F380*10^(G380/96)</f>
        <v>8254.04185268018</v>
      </c>
      <c r="J380" s="238" t="n">
        <f aca="false">J187*10</f>
        <v>10</v>
      </c>
      <c r="K380" s="1" t="n">
        <f aca="false">K379+1</f>
        <v>184</v>
      </c>
      <c r="L380" s="239" t="n">
        <f aca="false">J380*10^(K380/192)</f>
        <v>90.8517575651687</v>
      </c>
    </row>
    <row r="381" customFormat="false" ht="15" hidden="false" customHeight="false" outlineLevel="0" collapsed="false">
      <c r="F381" s="238" t="n">
        <f aca="false">F285*10</f>
        <v>1000</v>
      </c>
      <c r="G381" s="1" t="n">
        <v>89</v>
      </c>
      <c r="H381" s="234" t="n">
        <f aca="false">F381*10^(G381/96)</f>
        <v>8454.41054594693</v>
      </c>
      <c r="J381" s="238" t="n">
        <f aca="false">J188*10</f>
        <v>10</v>
      </c>
      <c r="K381" s="1" t="n">
        <f aca="false">K380+1</f>
        <v>185</v>
      </c>
      <c r="L381" s="239" t="n">
        <f aca="false">J381*10^(K381/192)</f>
        <v>91.9478686318879</v>
      </c>
    </row>
    <row r="382" customFormat="false" ht="15" hidden="false" customHeight="false" outlineLevel="0" collapsed="false">
      <c r="F382" s="238" t="n">
        <f aca="false">F286*10</f>
        <v>1000</v>
      </c>
      <c r="G382" s="1" t="n">
        <v>90</v>
      </c>
      <c r="H382" s="234" t="n">
        <f aca="false">F382*10^(G382/96)</f>
        <v>8659.64323360066</v>
      </c>
      <c r="J382" s="238" t="n">
        <f aca="false">J189*10</f>
        <v>10</v>
      </c>
      <c r="K382" s="1" t="n">
        <f aca="false">K381+1</f>
        <v>186</v>
      </c>
      <c r="L382" s="239" t="n">
        <f aca="false">J382*10^(K382/192)</f>
        <v>93.0572040929699</v>
      </c>
    </row>
    <row r="383" customFormat="false" ht="15" hidden="false" customHeight="false" outlineLevel="0" collapsed="false">
      <c r="F383" s="238" t="n">
        <f aca="false">F287*10</f>
        <v>1000</v>
      </c>
      <c r="G383" s="1" t="n">
        <v>91</v>
      </c>
      <c r="H383" s="234" t="n">
        <f aca="false">F383*10^(G383/96)</f>
        <v>8869.85799018192</v>
      </c>
      <c r="J383" s="238" t="n">
        <f aca="false">J190*10</f>
        <v>10</v>
      </c>
      <c r="K383" s="1" t="n">
        <f aca="false">K382+1</f>
        <v>187</v>
      </c>
      <c r="L383" s="239" t="n">
        <f aca="false">J383*10^(K383/192)</f>
        <v>94.1799234984926</v>
      </c>
    </row>
    <row r="384" customFormat="false" ht="15" hidden="false" customHeight="false" outlineLevel="0" collapsed="false">
      <c r="F384" s="238" t="n">
        <f aca="false">F288*10</f>
        <v>1000</v>
      </c>
      <c r="G384" s="1" t="n">
        <v>92</v>
      </c>
      <c r="H384" s="234" t="n">
        <f aca="false">F384*10^(G384/96)</f>
        <v>9085.17575651687</v>
      </c>
      <c r="J384" s="238" t="n">
        <f aca="false">J191*10</f>
        <v>10</v>
      </c>
      <c r="K384" s="1" t="n">
        <f aca="false">K383+1</f>
        <v>188</v>
      </c>
      <c r="L384" s="239" t="n">
        <f aca="false">J384*10^(K384/192)</f>
        <v>95.3161883234787</v>
      </c>
    </row>
    <row r="385" customFormat="false" ht="15" hidden="false" customHeight="false" outlineLevel="0" collapsed="false">
      <c r="F385" s="238" t="n">
        <f aca="false">F289*10</f>
        <v>1000</v>
      </c>
      <c r="G385" s="1" t="n">
        <v>93</v>
      </c>
      <c r="H385" s="234" t="n">
        <f aca="false">F385*10^(G385/96)</f>
        <v>9305.72040929699</v>
      </c>
      <c r="J385" s="238" t="n">
        <f aca="false">J192*10</f>
        <v>10</v>
      </c>
      <c r="K385" s="1" t="n">
        <f aca="false">K384+1</f>
        <v>189</v>
      </c>
      <c r="L385" s="239" t="n">
        <f aca="false">J385*10^(K385/192)</f>
        <v>96.4661619911199</v>
      </c>
    </row>
    <row r="386" customFormat="false" ht="15" hidden="false" customHeight="false" outlineLevel="0" collapsed="false">
      <c r="F386" s="238" t="n">
        <f aca="false">F290*10</f>
        <v>1000</v>
      </c>
      <c r="G386" s="1" t="n">
        <v>94</v>
      </c>
      <c r="H386" s="234" t="n">
        <f aca="false">F386*10^(G386/96)</f>
        <v>9531.61883234788</v>
      </c>
      <c r="J386" s="238" t="n">
        <f aca="false">J193*10</f>
        <v>10</v>
      </c>
      <c r="K386" s="1" t="n">
        <f aca="false">K385+1</f>
        <v>190</v>
      </c>
      <c r="L386" s="239" t="n">
        <f aca="false">J386*10^(K386/192)</f>
        <v>97.6300098962808</v>
      </c>
    </row>
    <row r="387" customFormat="false" ht="15" hidden="false" customHeight="false" outlineLevel="0" collapsed="false">
      <c r="F387" s="238" t="n">
        <f aca="false">F291*10</f>
        <v>1000</v>
      </c>
      <c r="G387" s="1" t="n">
        <v>95</v>
      </c>
      <c r="H387" s="234" t="n">
        <f aca="false">F387*10^(G387/96)</f>
        <v>9763.00098962808</v>
      </c>
      <c r="J387" s="238" t="n">
        <f aca="false">J194*10</f>
        <v>10</v>
      </c>
      <c r="K387" s="1" t="n">
        <f aca="false">K386+1</f>
        <v>191</v>
      </c>
      <c r="L387" s="239" t="n">
        <f aca="false">J387*10^(K387/192)</f>
        <v>98.8078994292869</v>
      </c>
    </row>
    <row r="388" customFormat="false" ht="15" hidden="false" customHeight="false" outlineLevel="0" collapsed="false">
      <c r="F388" s="238" t="n">
        <f aca="false">F292*10</f>
        <v>1000</v>
      </c>
      <c r="G388" s="1" t="n">
        <v>96</v>
      </c>
      <c r="H388" s="234" t="n">
        <f aca="false">F388*10^(G388/96)</f>
        <v>10000</v>
      </c>
      <c r="J388" s="238" t="n">
        <f aca="false">J195*10</f>
        <v>10</v>
      </c>
      <c r="K388" s="1" t="n">
        <f aca="false">K387+1</f>
        <v>192</v>
      </c>
      <c r="L388" s="239" t="n">
        <f aca="false">J388*10^(K388/192)</f>
        <v>100</v>
      </c>
    </row>
    <row r="389" customFormat="false" ht="15" hidden="false" customHeight="false" outlineLevel="0" collapsed="false">
      <c r="F389" s="238" t="n">
        <f aca="false">F293*10</f>
        <v>10000</v>
      </c>
      <c r="G389" s="1" t="n">
        <v>1</v>
      </c>
      <c r="H389" s="234" t="n">
        <f aca="false">F389*10^(G389/96)</f>
        <v>10242.7522138159</v>
      </c>
      <c r="J389" s="238" t="n">
        <f aca="false">J197*10</f>
        <v>100</v>
      </c>
      <c r="K389" s="1" t="n">
        <v>1</v>
      </c>
      <c r="L389" s="239" t="n">
        <f aca="false">J389*10^(K389/192)</f>
        <v>101.206483062183</v>
      </c>
    </row>
    <row r="390" customFormat="false" ht="15" hidden="false" customHeight="false" outlineLevel="0" collapsed="false">
      <c r="F390" s="238" t="n">
        <f aca="false">F294*10</f>
        <v>10000</v>
      </c>
      <c r="G390" s="1" t="n">
        <v>2</v>
      </c>
      <c r="H390" s="234" t="n">
        <f aca="false">F390*10^(G390/96)</f>
        <v>10491.3972913631</v>
      </c>
      <c r="J390" s="238" t="n">
        <f aca="false">J198*10</f>
        <v>100</v>
      </c>
      <c r="K390" s="1" t="n">
        <f aca="false">K389+1</f>
        <v>2</v>
      </c>
      <c r="L390" s="239" t="n">
        <f aca="false">J390*10^(K390/192)</f>
        <v>102.427522138159</v>
      </c>
    </row>
    <row r="391" customFormat="false" ht="15" hidden="false" customHeight="false" outlineLevel="0" collapsed="false">
      <c r="F391" s="238" t="n">
        <f aca="false">F295*10</f>
        <v>10000</v>
      </c>
      <c r="G391" s="1" t="n">
        <v>3</v>
      </c>
      <c r="H391" s="234" t="n">
        <f aca="false">F391*10^(G391/96)</f>
        <v>10746.0782832132</v>
      </c>
      <c r="J391" s="238" t="n">
        <f aca="false">J199*10</f>
        <v>100</v>
      </c>
      <c r="K391" s="1" t="n">
        <f aca="false">K390+1</f>
        <v>3</v>
      </c>
      <c r="L391" s="239" t="n">
        <f aca="false">J391*10^(K391/192)</f>
        <v>103.66329284377</v>
      </c>
    </row>
    <row r="392" customFormat="false" ht="15" hidden="false" customHeight="false" outlineLevel="0" collapsed="false">
      <c r="F392" s="238" t="n">
        <f aca="false">F296*10</f>
        <v>10000</v>
      </c>
      <c r="G392" s="1" t="n">
        <v>4</v>
      </c>
      <c r="H392" s="234" t="n">
        <f aca="false">F392*10^(G392/96)</f>
        <v>11006.9417125221</v>
      </c>
      <c r="J392" s="238" t="n">
        <f aca="false">J200*10</f>
        <v>100</v>
      </c>
      <c r="K392" s="1" t="n">
        <f aca="false">K391+1</f>
        <v>4</v>
      </c>
      <c r="L392" s="239" t="n">
        <f aca="false">J392*10^(K392/192)</f>
        <v>104.913972913631</v>
      </c>
    </row>
    <row r="393" customFormat="false" ht="15" hidden="false" customHeight="false" outlineLevel="0" collapsed="false">
      <c r="F393" s="238" t="n">
        <f aca="false">F297*10</f>
        <v>10000</v>
      </c>
      <c r="G393" s="1" t="n">
        <v>5</v>
      </c>
      <c r="H393" s="234" t="n">
        <f aca="false">F393*10^(G393/96)</f>
        <v>11274.1376593279</v>
      </c>
      <c r="J393" s="238" t="n">
        <f aca="false">J201*10</f>
        <v>100</v>
      </c>
      <c r="K393" s="1" t="n">
        <f aca="false">K392+1</f>
        <v>5</v>
      </c>
      <c r="L393" s="239" t="n">
        <f aca="false">J393*10^(K393/192)</f>
        <v>106.179742226697</v>
      </c>
    </row>
    <row r="394" customFormat="false" ht="15" hidden="false" customHeight="false" outlineLevel="0" collapsed="false">
      <c r="F394" s="238" t="n">
        <f aca="false">F298*10</f>
        <v>10000</v>
      </c>
      <c r="G394" s="1" t="n">
        <v>6</v>
      </c>
      <c r="H394" s="234" t="n">
        <f aca="false">F394*10^(G394/96)</f>
        <v>11547.8198468946</v>
      </c>
      <c r="J394" s="238" t="n">
        <f aca="false">J202*10</f>
        <v>100</v>
      </c>
      <c r="K394" s="1" t="n">
        <f aca="false">K393+1</f>
        <v>6</v>
      </c>
      <c r="L394" s="239" t="n">
        <f aca="false">J394*10^(K394/192)</f>
        <v>107.460782832132</v>
      </c>
    </row>
    <row r="395" customFormat="false" ht="15" hidden="false" customHeight="false" outlineLevel="0" collapsed="false">
      <c r="F395" s="238" t="n">
        <f aca="false">F299*10</f>
        <v>10000</v>
      </c>
      <c r="G395" s="1" t="n">
        <v>7</v>
      </c>
      <c r="H395" s="234" t="n">
        <f aca="false">F395*10^(G395/96)</f>
        <v>11828.1457301527</v>
      </c>
      <c r="J395" s="238" t="n">
        <f aca="false">J203*10</f>
        <v>100</v>
      </c>
      <c r="K395" s="1" t="n">
        <f aca="false">K394+1</f>
        <v>7</v>
      </c>
      <c r="L395" s="239" t="n">
        <f aca="false">J395*10^(K395/192)</f>
        <v>108.757278975491</v>
      </c>
    </row>
    <row r="396" customFormat="false" ht="15" hidden="false" customHeight="false" outlineLevel="0" collapsed="false">
      <c r="F396" s="238" t="n">
        <f aca="false">F300*10</f>
        <v>10000</v>
      </c>
      <c r="G396" s="1" t="n">
        <v>8</v>
      </c>
      <c r="H396" s="234" t="n">
        <f aca="false">F396*10^(G396/96)</f>
        <v>12115.2765862859</v>
      </c>
      <c r="J396" s="238" t="n">
        <f aca="false">J204*10</f>
        <v>100</v>
      </c>
      <c r="K396" s="1" t="n">
        <f aca="false">K395+1</f>
        <v>8</v>
      </c>
      <c r="L396" s="239" t="n">
        <f aca="false">J396*10^(K396/192)</f>
        <v>110.069417125221</v>
      </c>
    </row>
    <row r="397" customFormat="false" ht="15" hidden="false" customHeight="false" outlineLevel="0" collapsed="false">
      <c r="F397" s="238" t="n">
        <f aca="false">F301*10</f>
        <v>10000</v>
      </c>
      <c r="G397" s="1" t="n">
        <v>9</v>
      </c>
      <c r="H397" s="234" t="n">
        <f aca="false">F397*10^(G397/96)</f>
        <v>12409.3776075172</v>
      </c>
      <c r="J397" s="238" t="n">
        <f aca="false">J205*10</f>
        <v>100</v>
      </c>
      <c r="K397" s="1" t="n">
        <f aca="false">K396+1</f>
        <v>9</v>
      </c>
      <c r="L397" s="239" t="n">
        <f aca="false">J397*10^(K397/192)</f>
        <v>111.39738599948</v>
      </c>
    </row>
    <row r="398" customFormat="false" ht="15" hidden="false" customHeight="false" outlineLevel="0" collapsed="false">
      <c r="F398" s="238" t="n">
        <f aca="false">F302*10</f>
        <v>10000</v>
      </c>
      <c r="G398" s="1" t="n">
        <v>10</v>
      </c>
      <c r="H398" s="234" t="n">
        <f aca="false">F398*10^(G398/96)</f>
        <v>12710.6179961474</v>
      </c>
      <c r="J398" s="238" t="n">
        <f aca="false">J206*10</f>
        <v>100</v>
      </c>
      <c r="K398" s="1" t="n">
        <f aca="false">K397+1</f>
        <v>10</v>
      </c>
      <c r="L398" s="239" t="n">
        <f aca="false">J398*10^(K398/192)</f>
        <v>112.741376593279</v>
      </c>
    </row>
    <row r="399" customFormat="false" ht="15" hidden="false" customHeight="false" outlineLevel="0" collapsed="false">
      <c r="F399" s="238" t="n">
        <f aca="false">F303*10</f>
        <v>10000</v>
      </c>
      <c r="G399" s="1" t="n">
        <v>11</v>
      </c>
      <c r="H399" s="234" t="n">
        <f aca="false">F399*10^(G399/96)</f>
        <v>13019.1710619008</v>
      </c>
      <c r="J399" s="238" t="n">
        <f aca="false">J207*10</f>
        <v>100</v>
      </c>
      <c r="K399" s="1" t="n">
        <f aca="false">K398+1</f>
        <v>11</v>
      </c>
      <c r="L399" s="239" t="n">
        <f aca="false">J399*10^(K399/192)</f>
        <v>114.101582205948</v>
      </c>
    </row>
    <row r="400" customFormat="false" ht="15" hidden="false" customHeight="false" outlineLevel="0" collapsed="false">
      <c r="F400" s="238" t="n">
        <f aca="false">F304*10</f>
        <v>10000</v>
      </c>
      <c r="G400" s="1" t="n">
        <v>12</v>
      </c>
      <c r="H400" s="234" t="n">
        <f aca="false">F400*10^(G400/96)</f>
        <v>13335.2143216332</v>
      </c>
      <c r="J400" s="238" t="n">
        <f aca="false">J208*10</f>
        <v>100</v>
      </c>
      <c r="K400" s="1" t="n">
        <f aca="false">K399+1</f>
        <v>12</v>
      </c>
      <c r="L400" s="239" t="n">
        <f aca="false">J400*10^(K400/192)</f>
        <v>115.478198468946</v>
      </c>
    </row>
    <row r="401" customFormat="false" ht="15" hidden="false" customHeight="false" outlineLevel="0" collapsed="false">
      <c r="F401" s="238" t="n">
        <f aca="false">F305*10</f>
        <v>10000</v>
      </c>
      <c r="G401" s="1" t="n">
        <v>13</v>
      </c>
      <c r="H401" s="234" t="n">
        <f aca="false">F401*10^(G401/96)</f>
        <v>13658.9296014619</v>
      </c>
      <c r="J401" s="238" t="n">
        <f aca="false">J209*10</f>
        <v>100</v>
      </c>
      <c r="K401" s="1" t="n">
        <f aca="false">K400+1</f>
        <v>13</v>
      </c>
      <c r="L401" s="239" t="n">
        <f aca="false">J401*10^(K401/192)</f>
        <v>116.871423373988</v>
      </c>
    </row>
    <row r="402" customFormat="false" ht="15" hidden="false" customHeight="false" outlineLevel="0" collapsed="false">
      <c r="F402" s="238" t="n">
        <f aca="false">F306*10</f>
        <v>10000</v>
      </c>
      <c r="G402" s="1" t="n">
        <v>14</v>
      </c>
      <c r="H402" s="234" t="n">
        <f aca="false">F402*10^(G402/96)</f>
        <v>13990.5031413729</v>
      </c>
      <c r="J402" s="238" t="n">
        <f aca="false">J210*10</f>
        <v>100</v>
      </c>
      <c r="K402" s="1" t="n">
        <f aca="false">K401+1</f>
        <v>14</v>
      </c>
      <c r="L402" s="239" t="n">
        <f aca="false">J402*10^(K402/192)</f>
        <v>118.281457301527</v>
      </c>
    </row>
    <row r="403" customFormat="false" ht="15" hidden="false" customHeight="false" outlineLevel="0" collapsed="false">
      <c r="F403" s="238" t="n">
        <f aca="false">F307*10</f>
        <v>10000</v>
      </c>
      <c r="G403" s="1" t="n">
        <v>15</v>
      </c>
      <c r="H403" s="234" t="n">
        <f aca="false">F403*10^(G403/96)</f>
        <v>14330.1257023696</v>
      </c>
      <c r="J403" s="238" t="n">
        <f aca="false">J211*10</f>
        <v>100</v>
      </c>
      <c r="K403" s="1" t="n">
        <f aca="false">K402+1</f>
        <v>15</v>
      </c>
      <c r="L403" s="239" t="n">
        <f aca="false">J403*10^(K403/192)</f>
        <v>119.708503049573</v>
      </c>
    </row>
    <row r="404" customFormat="false" ht="15" hidden="false" customHeight="false" outlineLevel="0" collapsed="false">
      <c r="F404" s="238" t="n">
        <f aca="false">F308*10</f>
        <v>10000</v>
      </c>
      <c r="G404" s="1" t="n">
        <v>16</v>
      </c>
      <c r="H404" s="234" t="n">
        <f aca="false">F404*10^(G404/96)</f>
        <v>14677.9926762207</v>
      </c>
      <c r="J404" s="238" t="n">
        <f aca="false">J212*10</f>
        <v>100</v>
      </c>
      <c r="K404" s="1" t="n">
        <f aca="false">K403+1</f>
        <v>16</v>
      </c>
      <c r="L404" s="239" t="n">
        <f aca="false">J404*10^(K404/192)</f>
        <v>121.152765862859</v>
      </c>
    </row>
    <row r="405" customFormat="false" ht="15" hidden="false" customHeight="false" outlineLevel="0" collapsed="false">
      <c r="F405" s="238" t="n">
        <f aca="false">F309*10</f>
        <v>10000</v>
      </c>
      <c r="G405" s="1" t="n">
        <v>17</v>
      </c>
      <c r="H405" s="234" t="n">
        <f aca="false">F405*10^(G405/96)</f>
        <v>15034.3041978733</v>
      </c>
      <c r="J405" s="238" t="n">
        <f aca="false">J213*10</f>
        <v>100</v>
      </c>
      <c r="K405" s="1" t="n">
        <f aca="false">K404+1</f>
        <v>17</v>
      </c>
      <c r="L405" s="239" t="n">
        <f aca="false">J405*10^(K405/192)</f>
        <v>122.61445346236</v>
      </c>
    </row>
    <row r="406" customFormat="false" ht="15" hidden="false" customHeight="false" outlineLevel="0" collapsed="false">
      <c r="F406" s="238" t="n">
        <f aca="false">F310*10</f>
        <v>10000</v>
      </c>
      <c r="G406" s="1" t="n">
        <v>18</v>
      </c>
      <c r="H406" s="234" t="n">
        <f aca="false">F406*10^(G406/96)</f>
        <v>15399.2652605949</v>
      </c>
      <c r="J406" s="238" t="n">
        <f aca="false">J214*10</f>
        <v>100</v>
      </c>
      <c r="K406" s="1" t="n">
        <f aca="false">K405+1</f>
        <v>18</v>
      </c>
      <c r="L406" s="239" t="n">
        <f aca="false">J406*10^(K406/192)</f>
        <v>124.093776075172</v>
      </c>
    </row>
    <row r="407" customFormat="false" ht="15" hidden="false" customHeight="false" outlineLevel="0" collapsed="false">
      <c r="F407" s="238" t="n">
        <f aca="false">F311*10</f>
        <v>10000</v>
      </c>
      <c r="G407" s="1" t="n">
        <v>19</v>
      </c>
      <c r="H407" s="234" t="n">
        <f aca="false">F407*10^(G407/96)</f>
        <v>15773.0858339097</v>
      </c>
      <c r="J407" s="238" t="n">
        <f aca="false">J215*10</f>
        <v>100</v>
      </c>
      <c r="K407" s="1" t="n">
        <f aca="false">K406+1</f>
        <v>19</v>
      </c>
      <c r="L407" s="239" t="n">
        <f aca="false">J407*10^(K407/192)</f>
        <v>125.590946464742</v>
      </c>
    </row>
    <row r="408" customFormat="false" ht="15" hidden="false" customHeight="false" outlineLevel="0" collapsed="false">
      <c r="F408" s="238" t="n">
        <f aca="false">F312*10</f>
        <v>10000</v>
      </c>
      <c r="G408" s="1" t="n">
        <v>20</v>
      </c>
      <c r="H408" s="234" t="n">
        <f aca="false">F408*10^(G408/96)</f>
        <v>16155.9809843987</v>
      </c>
      <c r="J408" s="238" t="n">
        <f aca="false">J216*10</f>
        <v>100</v>
      </c>
      <c r="K408" s="1" t="n">
        <f aca="false">K407+1</f>
        <v>20</v>
      </c>
      <c r="L408" s="239" t="n">
        <f aca="false">J408*10^(K408/192)</f>
        <v>127.106179961474</v>
      </c>
    </row>
    <row r="409" customFormat="false" ht="15" hidden="false" customHeight="false" outlineLevel="0" collapsed="false">
      <c r="F409" s="238" t="n">
        <f aca="false">F313*10</f>
        <v>10000</v>
      </c>
      <c r="G409" s="1" t="n">
        <v>21</v>
      </c>
      <c r="H409" s="234" t="n">
        <f aca="false">F409*10^(G409/96)</f>
        <v>16548.1709994318</v>
      </c>
      <c r="J409" s="238" t="n">
        <f aca="false">J217*10</f>
        <v>100</v>
      </c>
      <c r="K409" s="1" t="n">
        <f aca="false">K408+1</f>
        <v>21</v>
      </c>
      <c r="L409" s="239" t="n">
        <f aca="false">J409*10^(K409/192)</f>
        <v>128.639694493697</v>
      </c>
    </row>
    <row r="410" customFormat="false" ht="15" hidden="false" customHeight="false" outlineLevel="0" collapsed="false">
      <c r="F410" s="238" t="n">
        <f aca="false">F314*10</f>
        <v>10000</v>
      </c>
      <c r="G410" s="1" t="n">
        <v>22</v>
      </c>
      <c r="H410" s="234" t="n">
        <f aca="false">F410*10^(G410/96)</f>
        <v>16949.8815139035</v>
      </c>
      <c r="J410" s="238" t="n">
        <f aca="false">J218*10</f>
        <v>100</v>
      </c>
      <c r="K410" s="1" t="n">
        <f aca="false">K409+1</f>
        <v>22</v>
      </c>
      <c r="L410" s="239" t="n">
        <f aca="false">J410*10^(K410/192)</f>
        <v>130.191710619008</v>
      </c>
    </row>
    <row r="411" customFormat="false" ht="15" hidden="false" customHeight="false" outlineLevel="0" collapsed="false">
      <c r="F411" s="238" t="n">
        <f aca="false">F315*10</f>
        <v>10000</v>
      </c>
      <c r="G411" s="1" t="n">
        <v>23</v>
      </c>
      <c r="H411" s="234" t="n">
        <f aca="false">F411*10^(G411/96)</f>
        <v>17361.3436400452</v>
      </c>
      <c r="J411" s="238" t="n">
        <f aca="false">J219*10</f>
        <v>100</v>
      </c>
      <c r="K411" s="1" t="n">
        <f aca="false">K410+1</f>
        <v>23</v>
      </c>
      <c r="L411" s="239" t="n">
        <f aca="false">J411*10^(K411/192)</f>
        <v>131.762451555992</v>
      </c>
    </row>
    <row r="412" customFormat="false" ht="15" hidden="false" customHeight="false" outlineLevel="0" collapsed="false">
      <c r="F412" s="238" t="n">
        <f aca="false">F316*10</f>
        <v>10000</v>
      </c>
      <c r="G412" s="1" t="n">
        <v>24</v>
      </c>
      <c r="H412" s="234" t="n">
        <f aca="false">F412*10^(G412/96)</f>
        <v>17782.7941003892</v>
      </c>
      <c r="J412" s="238" t="n">
        <f aca="false">J220*10</f>
        <v>100</v>
      </c>
      <c r="K412" s="1" t="n">
        <f aca="false">K411+1</f>
        <v>24</v>
      </c>
      <c r="L412" s="239" t="n">
        <f aca="false">J412*10^(K412/192)</f>
        <v>133.352143216332</v>
      </c>
    </row>
    <row r="413" customFormat="false" ht="15" hidden="false" customHeight="false" outlineLevel="0" collapsed="false">
      <c r="F413" s="238" t="n">
        <f aca="false">F317*10</f>
        <v>10000</v>
      </c>
      <c r="G413" s="1" t="n">
        <v>25</v>
      </c>
      <c r="H413" s="234" t="n">
        <f aca="false">F413*10^(G413/96)</f>
        <v>18214.4753639595</v>
      </c>
      <c r="J413" s="238" t="n">
        <f aca="false">J221*10</f>
        <v>100</v>
      </c>
      <c r="K413" s="1" t="n">
        <f aca="false">K412+1</f>
        <v>25</v>
      </c>
      <c r="L413" s="239" t="n">
        <f aca="false">J413*10^(K413/192)</f>
        <v>134.961014237295</v>
      </c>
    </row>
    <row r="414" customFormat="false" ht="15" hidden="false" customHeight="false" outlineLevel="0" collapsed="false">
      <c r="F414" s="238" t="n">
        <f aca="false">F318*10</f>
        <v>10000</v>
      </c>
      <c r="G414" s="1" t="n">
        <v>26</v>
      </c>
      <c r="H414" s="234" t="n">
        <f aca="false">F414*10^(G414/96)</f>
        <v>18656.6357857691</v>
      </c>
      <c r="J414" s="238" t="n">
        <f aca="false">J222*10</f>
        <v>100</v>
      </c>
      <c r="K414" s="1" t="n">
        <f aca="false">K413+1</f>
        <v>26</v>
      </c>
      <c r="L414" s="239" t="n">
        <f aca="false">J414*10^(K414/192)</f>
        <v>136.589296014619</v>
      </c>
    </row>
    <row r="415" customFormat="false" ht="15" hidden="false" customHeight="false" outlineLevel="0" collapsed="false">
      <c r="F415" s="238" t="n">
        <f aca="false">F319*10</f>
        <v>10000</v>
      </c>
      <c r="G415" s="1" t="n">
        <v>27</v>
      </c>
      <c r="H415" s="234" t="n">
        <f aca="false">F415*10^(G415/96)</f>
        <v>19109.5297497044</v>
      </c>
      <c r="J415" s="238" t="n">
        <f aca="false">J223*10</f>
        <v>100</v>
      </c>
      <c r="K415" s="1" t="n">
        <f aca="false">K414+1</f>
        <v>27</v>
      </c>
      <c r="L415" s="239" t="n">
        <f aca="false">J415*10^(K415/192)</f>
        <v>138.23722273579</v>
      </c>
    </row>
    <row r="416" customFormat="false" ht="15" hidden="false" customHeight="false" outlineLevel="0" collapsed="false">
      <c r="F416" s="238" t="n">
        <f aca="false">F320*10</f>
        <v>10000</v>
      </c>
      <c r="G416" s="1" t="n">
        <v>28</v>
      </c>
      <c r="H416" s="234" t="n">
        <f aca="false">F416*10^(G416/96)</f>
        <v>19573.4178148766</v>
      </c>
      <c r="J416" s="238" t="n">
        <f aca="false">J224*10</f>
        <v>100</v>
      </c>
      <c r="K416" s="1" t="n">
        <f aca="false">K415+1</f>
        <v>28</v>
      </c>
      <c r="L416" s="239" t="n">
        <f aca="false">J416*10^(K416/192)</f>
        <v>139.905031413729</v>
      </c>
    </row>
    <row r="417" customFormat="false" ht="15" hidden="false" customHeight="false" outlineLevel="0" collapsed="false">
      <c r="F417" s="238" t="n">
        <f aca="false">F321*10</f>
        <v>10000</v>
      </c>
      <c r="G417" s="1" t="n">
        <v>29</v>
      </c>
      <c r="H417" s="234" t="n">
        <f aca="false">F417*10^(G417/96)</f>
        <v>20048.5668655271</v>
      </c>
      <c r="J417" s="238" t="n">
        <f aca="false">J225*10</f>
        <v>100</v>
      </c>
      <c r="K417" s="1" t="n">
        <f aca="false">K416+1</f>
        <v>29</v>
      </c>
      <c r="L417" s="239" t="n">
        <f aca="false">J417*10^(K417/192)</f>
        <v>141.592961920878</v>
      </c>
    </row>
    <row r="418" customFormat="false" ht="15" hidden="false" customHeight="false" outlineLevel="0" collapsed="false">
      <c r="F418" s="238" t="n">
        <f aca="false">F322*10</f>
        <v>10000</v>
      </c>
      <c r="G418" s="1" t="n">
        <v>30</v>
      </c>
      <c r="H418" s="234" t="n">
        <f aca="false">F418*10^(G418/96)</f>
        <v>20535.2502645715</v>
      </c>
      <c r="J418" s="238" t="n">
        <f aca="false">J226*10</f>
        <v>100</v>
      </c>
      <c r="K418" s="1" t="n">
        <f aca="false">K417+1</f>
        <v>30</v>
      </c>
      <c r="L418" s="239" t="n">
        <f aca="false">J418*10^(K418/192)</f>
        <v>143.301257023696</v>
      </c>
    </row>
    <row r="419" customFormat="false" ht="15" hidden="false" customHeight="false" outlineLevel="0" collapsed="false">
      <c r="F419" s="238" t="n">
        <f aca="false">F323*10</f>
        <v>10000</v>
      </c>
      <c r="G419" s="1" t="n">
        <v>31</v>
      </c>
      <c r="H419" s="234" t="n">
        <f aca="false">F419*10^(G419/96)</f>
        <v>21033.7480108703</v>
      </c>
      <c r="J419" s="238" t="n">
        <f aca="false">J227*10</f>
        <v>100</v>
      </c>
      <c r="K419" s="1" t="n">
        <f aca="false">K418+1</f>
        <v>31</v>
      </c>
      <c r="L419" s="239" t="n">
        <f aca="false">J419*10^(K419/192)</f>
        <v>145.030162417582</v>
      </c>
    </row>
    <row r="420" customFormat="false" ht="15" hidden="false" customHeight="false" outlineLevel="0" collapsed="false">
      <c r="F420" s="238" t="n">
        <f aca="false">F324*10</f>
        <v>10000</v>
      </c>
      <c r="G420" s="1" t="n">
        <v>32</v>
      </c>
      <c r="H420" s="234" t="n">
        <f aca="false">F420*10^(G420/96)</f>
        <v>21544.3469003188</v>
      </c>
      <c r="J420" s="238" t="n">
        <f aca="false">J228*10</f>
        <v>100</v>
      </c>
      <c r="K420" s="1" t="n">
        <f aca="false">K419+1</f>
        <v>32</v>
      </c>
      <c r="L420" s="239" t="n">
        <f aca="false">J420*10^(K420/192)</f>
        <v>146.779926762207</v>
      </c>
    </row>
    <row r="421" customFormat="false" ht="15" hidden="false" customHeight="false" outlineLevel="0" collapsed="false">
      <c r="F421" s="238" t="n">
        <f aca="false">F325*10</f>
        <v>10000</v>
      </c>
      <c r="G421" s="1" t="n">
        <v>33</v>
      </c>
      <c r="H421" s="234" t="n">
        <f aca="false">F421*10^(G421/96)</f>
        <v>22067.3406908459</v>
      </c>
      <c r="J421" s="238" t="n">
        <f aca="false">J229*10</f>
        <v>100</v>
      </c>
      <c r="K421" s="1" t="n">
        <f aca="false">K420+1</f>
        <v>33</v>
      </c>
      <c r="L421" s="239" t="n">
        <f aca="false">J421*10^(K421/192)</f>
        <v>148.550801717278</v>
      </c>
    </row>
    <row r="422" customFormat="false" ht="15" hidden="false" customHeight="false" outlineLevel="0" collapsed="false">
      <c r="F422" s="238" t="n">
        <f aca="false">F326*10</f>
        <v>10000</v>
      </c>
      <c r="G422" s="1" t="n">
        <v>34</v>
      </c>
      <c r="H422" s="234" t="n">
        <f aca="false">F422*10^(G422/96)</f>
        <v>22603.0302714192</v>
      </c>
      <c r="J422" s="238" t="n">
        <f aca="false">J230*10</f>
        <v>100</v>
      </c>
      <c r="K422" s="1" t="n">
        <f aca="false">K421+1</f>
        <v>34</v>
      </c>
      <c r="L422" s="239" t="n">
        <f aca="false">J422*10^(K422/192)</f>
        <v>150.343041978733</v>
      </c>
    </row>
    <row r="423" customFormat="false" ht="15" hidden="false" customHeight="false" outlineLevel="0" collapsed="false">
      <c r="F423" s="238" t="n">
        <f aca="false">F327*10</f>
        <v>10000</v>
      </c>
      <c r="G423" s="1" t="n">
        <v>35</v>
      </c>
      <c r="H423" s="234" t="n">
        <f aca="false">F423*10^(G423/96)</f>
        <v>23151.7238351527</v>
      </c>
      <c r="J423" s="238" t="n">
        <f aca="false">J231*10</f>
        <v>100</v>
      </c>
      <c r="K423" s="1" t="n">
        <f aca="false">K422+1</f>
        <v>35</v>
      </c>
      <c r="L423" s="239" t="n">
        <f aca="false">J423*10^(K423/192)</f>
        <v>152.156905315377</v>
      </c>
    </row>
    <row r="424" customFormat="false" ht="15" hidden="false" customHeight="false" outlineLevel="0" collapsed="false">
      <c r="F424" s="238" t="n">
        <f aca="false">F328*10</f>
        <v>10000</v>
      </c>
      <c r="G424" s="1" t="n">
        <v>36</v>
      </c>
      <c r="H424" s="234" t="n">
        <f aca="false">F424*10^(G424/96)</f>
        <v>23713.7370566166</v>
      </c>
      <c r="J424" s="238" t="n">
        <f aca="false">J232*10</f>
        <v>100</v>
      </c>
      <c r="K424" s="1" t="n">
        <f aca="false">K423+1</f>
        <v>36</v>
      </c>
      <c r="L424" s="239" t="n">
        <f aca="false">J424*10^(K424/192)</f>
        <v>153.992652605949</v>
      </c>
    </row>
    <row r="425" customFormat="false" ht="15" hidden="false" customHeight="false" outlineLevel="0" collapsed="false">
      <c r="F425" s="238" t="n">
        <f aca="false">F329*10</f>
        <v>10000</v>
      </c>
      <c r="G425" s="1" t="n">
        <v>37</v>
      </c>
      <c r="H425" s="234" t="n">
        <f aca="false">F425*10^(G425/96)</f>
        <v>24289.3932734508</v>
      </c>
      <c r="J425" s="238" t="n">
        <f aca="false">J233*10</f>
        <v>100</v>
      </c>
      <c r="K425" s="1" t="n">
        <f aca="false">K424+1</f>
        <v>37</v>
      </c>
      <c r="L425" s="239" t="n">
        <f aca="false">J425*10^(K425/192)</f>
        <v>155.850547876646</v>
      </c>
    </row>
    <row r="426" customFormat="false" ht="15" hidden="false" customHeight="false" outlineLevel="0" collapsed="false">
      <c r="F426" s="238" t="n">
        <f aca="false">F330*10</f>
        <v>10000</v>
      </c>
      <c r="G426" s="1" t="n">
        <v>38</v>
      </c>
      <c r="H426" s="234" t="n">
        <f aca="false">F426*10^(G426/96)</f>
        <v>24879.0236723884</v>
      </c>
      <c r="J426" s="238" t="n">
        <f aca="false">J234*10</f>
        <v>100</v>
      </c>
      <c r="K426" s="1" t="n">
        <f aca="false">K425+1</f>
        <v>38</v>
      </c>
      <c r="L426" s="239" t="n">
        <f aca="false">J426*10^(K426/192)</f>
        <v>157.730858339097</v>
      </c>
    </row>
    <row r="427" customFormat="false" ht="15" hidden="false" customHeight="false" outlineLevel="0" collapsed="false">
      <c r="F427" s="238" t="n">
        <f aca="false">F331*10</f>
        <v>10000</v>
      </c>
      <c r="G427" s="1" t="n">
        <v>39</v>
      </c>
      <c r="H427" s="234" t="n">
        <f aca="false">F427*10^(G427/96)</f>
        <v>25482.9674797935</v>
      </c>
      <c r="J427" s="238" t="n">
        <f aca="false">J235*10</f>
        <v>100</v>
      </c>
      <c r="K427" s="1" t="n">
        <f aca="false">K426+1</f>
        <v>39</v>
      </c>
      <c r="L427" s="239" t="n">
        <f aca="false">J427*10^(K427/192)</f>
        <v>159.633854428794</v>
      </c>
    </row>
    <row r="428" customFormat="false" ht="15" hidden="false" customHeight="false" outlineLevel="0" collapsed="false">
      <c r="F428" s="238" t="n">
        <f aca="false">F332*10</f>
        <v>10000</v>
      </c>
      <c r="G428" s="1" t="n">
        <v>40</v>
      </c>
      <c r="H428" s="234" t="n">
        <f aca="false">F428*10^(G428/96)</f>
        <v>26101.5721568254</v>
      </c>
      <c r="J428" s="238" t="n">
        <f aca="false">J236*10</f>
        <v>100</v>
      </c>
      <c r="K428" s="1" t="n">
        <f aca="false">K427+1</f>
        <v>40</v>
      </c>
      <c r="L428" s="239" t="n">
        <f aca="false">J428*10^(K428/192)</f>
        <v>161.559809843987</v>
      </c>
    </row>
    <row r="429" customFormat="false" ht="15" hidden="false" customHeight="false" outlineLevel="0" collapsed="false">
      <c r="F429" s="238" t="n">
        <f aca="false">F333*10</f>
        <v>10000</v>
      </c>
      <c r="G429" s="1" t="n">
        <v>41</v>
      </c>
      <c r="H429" s="234" t="n">
        <f aca="false">F429*10^(G429/96)</f>
        <v>26735.1935993399</v>
      </c>
      <c r="J429" s="238" t="n">
        <f aca="false">J237*10</f>
        <v>100</v>
      </c>
      <c r="K429" s="1" t="n">
        <f aca="false">K428+1</f>
        <v>41</v>
      </c>
      <c r="L429" s="239" t="n">
        <f aca="false">J429*10^(K429/192)</f>
        <v>163.50900158505</v>
      </c>
    </row>
    <row r="430" customFormat="false" ht="15" hidden="false" customHeight="false" outlineLevel="0" collapsed="false">
      <c r="F430" s="238" t="n">
        <f aca="false">F334*10</f>
        <v>10000</v>
      </c>
      <c r="G430" s="1" t="n">
        <v>42</v>
      </c>
      <c r="H430" s="234" t="n">
        <f aca="false">F430*10^(G430/96)</f>
        <v>27384.1963426436</v>
      </c>
      <c r="J430" s="238" t="n">
        <f aca="false">J238*10</f>
        <v>100</v>
      </c>
      <c r="K430" s="1" t="n">
        <f aca="false">K429+1</f>
        <v>42</v>
      </c>
      <c r="L430" s="239" t="n">
        <f aca="false">J430*10^(K430/192)</f>
        <v>165.481709994318</v>
      </c>
    </row>
    <row r="431" customFormat="false" ht="15" hidden="false" customHeight="false" outlineLevel="0" collapsed="false">
      <c r="F431" s="238" t="n">
        <f aca="false">F335*10</f>
        <v>10000</v>
      </c>
      <c r="G431" s="1" t="n">
        <v>43</v>
      </c>
      <c r="H431" s="234" t="n">
        <f aca="false">F431*10^(G431/96)</f>
        <v>28048.9537712183</v>
      </c>
      <c r="J431" s="238" t="n">
        <f aca="false">J239*10</f>
        <v>100</v>
      </c>
      <c r="K431" s="1" t="n">
        <f aca="false">K430+1</f>
        <v>43</v>
      </c>
      <c r="L431" s="239" t="n">
        <f aca="false">J431*10^(K431/192)</f>
        <v>167.47821879641</v>
      </c>
    </row>
    <row r="432" customFormat="false" ht="15" hidden="false" customHeight="false" outlineLevel="0" collapsed="false">
      <c r="F432" s="238" t="n">
        <f aca="false">F336*10</f>
        <v>10000</v>
      </c>
      <c r="G432" s="1" t="n">
        <v>44</v>
      </c>
      <c r="H432" s="234" t="n">
        <f aca="false">F432*10^(G432/96)</f>
        <v>28729.8483335366</v>
      </c>
      <c r="J432" s="238" t="n">
        <f aca="false">J240*10</f>
        <v>100</v>
      </c>
      <c r="K432" s="1" t="n">
        <f aca="false">K431+1</f>
        <v>44</v>
      </c>
      <c r="L432" s="239" t="n">
        <f aca="false">J432*10^(K432/192)</f>
        <v>169.498815139035</v>
      </c>
    </row>
    <row r="433" customFormat="false" ht="15" hidden="false" customHeight="false" outlineLevel="0" collapsed="false">
      <c r="F433" s="238" t="n">
        <f aca="false">F337*10</f>
        <v>10000</v>
      </c>
      <c r="G433" s="1" t="n">
        <v>45</v>
      </c>
      <c r="H433" s="234" t="n">
        <f aca="false">F433*10^(G433/96)</f>
        <v>29427.2717620928</v>
      </c>
      <c r="J433" s="238" t="n">
        <f aca="false">J241*10</f>
        <v>100</v>
      </c>
      <c r="K433" s="1" t="n">
        <f aca="false">K432+1</f>
        <v>45</v>
      </c>
      <c r="L433" s="239" t="n">
        <f aca="false">J433*10^(K433/192)</f>
        <v>171.543789634288</v>
      </c>
    </row>
    <row r="434" customFormat="false" ht="15" hidden="false" customHeight="false" outlineLevel="0" collapsed="false">
      <c r="F434" s="238" t="n">
        <f aca="false">F338*10</f>
        <v>10000</v>
      </c>
      <c r="G434" s="1" t="n">
        <v>46</v>
      </c>
      <c r="H434" s="234" t="n">
        <f aca="false">F434*10^(G434/96)</f>
        <v>30141.6252987739</v>
      </c>
      <c r="J434" s="238" t="n">
        <f aca="false">J242*10</f>
        <v>100</v>
      </c>
      <c r="K434" s="1" t="n">
        <f aca="false">K433+1</f>
        <v>46</v>
      </c>
      <c r="L434" s="239" t="n">
        <f aca="false">J434*10^(K434/192)</f>
        <v>173.613436400452</v>
      </c>
    </row>
    <row r="435" customFormat="false" ht="15" hidden="false" customHeight="false" outlineLevel="0" collapsed="false">
      <c r="F435" s="238" t="n">
        <f aca="false">F339*10</f>
        <v>10000</v>
      </c>
      <c r="G435" s="1" t="n">
        <v>47</v>
      </c>
      <c r="H435" s="234" t="n">
        <f aca="false">F435*10^(G435/96)</f>
        <v>30873.3199257026</v>
      </c>
      <c r="J435" s="238" t="n">
        <f aca="false">J243*10</f>
        <v>100</v>
      </c>
      <c r="K435" s="1" t="n">
        <f aca="false">K434+1</f>
        <v>47</v>
      </c>
      <c r="L435" s="239" t="n">
        <f aca="false">J435*10^(K435/192)</f>
        <v>175.708053104298</v>
      </c>
    </row>
    <row r="436" customFormat="false" ht="15" hidden="false" customHeight="false" outlineLevel="0" collapsed="false">
      <c r="F436" s="238" t="n">
        <f aca="false">F340*10</f>
        <v>10000</v>
      </c>
      <c r="G436" s="1" t="n">
        <v>48</v>
      </c>
      <c r="H436" s="234" t="n">
        <f aca="false">F436*10^(G436/96)</f>
        <v>31622.7766016838</v>
      </c>
      <c r="J436" s="238" t="n">
        <f aca="false">J244*10</f>
        <v>100</v>
      </c>
      <c r="K436" s="1" t="n">
        <f aca="false">K435+1</f>
        <v>48</v>
      </c>
      <c r="L436" s="239" t="n">
        <f aca="false">J436*10^(K436/192)</f>
        <v>177.827941003892</v>
      </c>
    </row>
    <row r="437" customFormat="false" ht="15" hidden="false" customHeight="false" outlineLevel="0" collapsed="false">
      <c r="F437" s="238" t="n">
        <f aca="false">F341*10</f>
        <v>10000</v>
      </c>
      <c r="G437" s="1" t="n">
        <v>49</v>
      </c>
      <c r="H437" s="234" t="n">
        <f aca="false">F437*10^(G437/96)</f>
        <v>32390.4265043903</v>
      </c>
      <c r="J437" s="238" t="n">
        <f aca="false">J245*10</f>
        <v>100</v>
      </c>
      <c r="K437" s="1" t="n">
        <f aca="false">K436+1</f>
        <v>49</v>
      </c>
      <c r="L437" s="239" t="n">
        <f aca="false">J437*10^(K437/192)</f>
        <v>179.973404991933</v>
      </c>
    </row>
    <row r="438" customFormat="false" ht="15" hidden="false" customHeight="false" outlineLevel="0" collapsed="false">
      <c r="F438" s="238" t="n">
        <f aca="false">F342*10</f>
        <v>10000</v>
      </c>
      <c r="G438" s="1" t="n">
        <v>50</v>
      </c>
      <c r="H438" s="234" t="n">
        <f aca="false">F438*10^(G438/96)</f>
        <v>33176.7112784286</v>
      </c>
      <c r="J438" s="238" t="n">
        <f aca="false">J246*10</f>
        <v>100</v>
      </c>
      <c r="K438" s="1" t="n">
        <f aca="false">K437+1</f>
        <v>50</v>
      </c>
      <c r="L438" s="239" t="n">
        <f aca="false">J438*10^(K438/192)</f>
        <v>182.144753639595</v>
      </c>
    </row>
    <row r="439" customFormat="false" ht="15" hidden="false" customHeight="false" outlineLevel="0" collapsed="false">
      <c r="F439" s="238" t="n">
        <f aca="false">F343*10</f>
        <v>10000</v>
      </c>
      <c r="G439" s="1" t="n">
        <v>51</v>
      </c>
      <c r="H439" s="234" t="n">
        <f aca="false">F439*10^(G439/96)</f>
        <v>33982.0832894256</v>
      </c>
      <c r="J439" s="238" t="n">
        <f aca="false">J247*10</f>
        <v>100</v>
      </c>
      <c r="K439" s="1" t="n">
        <f aca="false">K438+1</f>
        <v>51</v>
      </c>
      <c r="L439" s="239" t="n">
        <f aca="false">J439*10^(K439/192)</f>
        <v>184.342299240911</v>
      </c>
    </row>
    <row r="440" customFormat="false" ht="15" hidden="false" customHeight="false" outlineLevel="0" collapsed="false">
      <c r="F440" s="238" t="n">
        <f aca="false">F344*10</f>
        <v>10000</v>
      </c>
      <c r="G440" s="1" t="n">
        <v>52</v>
      </c>
      <c r="H440" s="234" t="n">
        <f aca="false">F440*10^(G440/96)</f>
        <v>34807.0058842841</v>
      </c>
      <c r="J440" s="238" t="n">
        <f aca="false">J248*10</f>
        <v>100</v>
      </c>
      <c r="K440" s="1" t="n">
        <f aca="false">K439+1</f>
        <v>52</v>
      </c>
      <c r="L440" s="239" t="n">
        <f aca="false">J440*10^(K440/192)</f>
        <v>186.566357857691</v>
      </c>
    </row>
    <row r="441" customFormat="false" ht="15" hidden="false" customHeight="false" outlineLevel="0" collapsed="false">
      <c r="F441" s="238" t="n">
        <f aca="false">F345*10</f>
        <v>10000</v>
      </c>
      <c r="G441" s="1" t="n">
        <v>53</v>
      </c>
      <c r="H441" s="234" t="n">
        <f aca="false">F441*10^(G441/96)</f>
        <v>35651.9536577555</v>
      </c>
      <c r="J441" s="238" t="n">
        <f aca="false">J249*10</f>
        <v>100</v>
      </c>
      <c r="K441" s="1" t="n">
        <f aca="false">K440+1</f>
        <v>53</v>
      </c>
      <c r="L441" s="239" t="n">
        <f aca="false">J441*10^(K441/192)</f>
        <v>188.817249364976</v>
      </c>
    </row>
    <row r="442" customFormat="false" ht="15" hidden="false" customHeight="false" outlineLevel="0" collapsed="false">
      <c r="F442" s="238" t="n">
        <f aca="false">F346*10</f>
        <v>10000</v>
      </c>
      <c r="G442" s="1" t="n">
        <v>54</v>
      </c>
      <c r="H442" s="234" t="n">
        <f aca="false">F442*10^(G442/96)</f>
        <v>36517.4127254838</v>
      </c>
      <c r="J442" s="238" t="n">
        <f aca="false">J250*10</f>
        <v>100</v>
      </c>
      <c r="K442" s="1" t="n">
        <f aca="false">K441+1</f>
        <v>54</v>
      </c>
      <c r="L442" s="239" t="n">
        <f aca="false">J442*10^(K442/192)</f>
        <v>191.095297497044</v>
      </c>
    </row>
    <row r="443" customFormat="false" ht="15" hidden="false" customHeight="false" outlineLevel="0" collapsed="false">
      <c r="F443" s="238" t="n">
        <f aca="false">F347*10</f>
        <v>10000</v>
      </c>
      <c r="G443" s="1" t="n">
        <v>55</v>
      </c>
      <c r="H443" s="234" t="n">
        <f aca="false">F443*10^(G443/96)</f>
        <v>37403.8810036779</v>
      </c>
      <c r="J443" s="238" t="n">
        <f aca="false">J251*10</f>
        <v>100</v>
      </c>
      <c r="K443" s="1" t="n">
        <f aca="false">K442+1</f>
        <v>55</v>
      </c>
      <c r="L443" s="239" t="n">
        <f aca="false">J443*10^(K443/192)</f>
        <v>193.400829893974</v>
      </c>
    </row>
    <row r="444" customFormat="false" ht="15" hidden="false" customHeight="false" outlineLevel="0" collapsed="false">
      <c r="F444" s="238" t="n">
        <f aca="false">F348*10</f>
        <v>10000</v>
      </c>
      <c r="G444" s="1" t="n">
        <v>56</v>
      </c>
      <c r="H444" s="234" t="n">
        <f aca="false">F444*10^(G444/96)</f>
        <v>38311.8684955729</v>
      </c>
      <c r="J444" s="238" t="n">
        <f aca="false">J252*10</f>
        <v>100</v>
      </c>
      <c r="K444" s="1" t="n">
        <f aca="false">K443+1</f>
        <v>56</v>
      </c>
      <c r="L444" s="239" t="n">
        <f aca="false">J444*10^(K444/192)</f>
        <v>195.734178148766</v>
      </c>
    </row>
    <row r="445" customFormat="false" ht="15" hidden="false" customHeight="false" outlineLevel="0" collapsed="false">
      <c r="F445" s="238" t="n">
        <f aca="false">F349*10</f>
        <v>10000</v>
      </c>
      <c r="G445" s="1" t="n">
        <v>57</v>
      </c>
      <c r="H445" s="234" t="n">
        <f aca="false">F445*10^(G445/96)</f>
        <v>39241.8975848454</v>
      </c>
      <c r="J445" s="238" t="n">
        <f aca="false">J253*10</f>
        <v>100</v>
      </c>
      <c r="K445" s="1" t="n">
        <f aca="false">K444+1</f>
        <v>57</v>
      </c>
      <c r="L445" s="239" t="n">
        <f aca="false">J445*10^(K445/192)</f>
        <v>198.095677855034</v>
      </c>
    </row>
    <row r="446" customFormat="false" ht="15" hidden="false" customHeight="false" outlineLevel="0" collapsed="false">
      <c r="F446" s="238" t="n">
        <f aca="false">F350*10</f>
        <v>10000</v>
      </c>
      <c r="G446" s="1" t="n">
        <v>58</v>
      </c>
      <c r="H446" s="234" t="n">
        <f aca="false">F446*10^(G446/96)</f>
        <v>40194.5033361513</v>
      </c>
      <c r="J446" s="238" t="n">
        <f aca="false">J254*10</f>
        <v>100</v>
      </c>
      <c r="K446" s="1" t="n">
        <f aca="false">K445+1</f>
        <v>58</v>
      </c>
      <c r="L446" s="239" t="n">
        <f aca="false">J446*10^(K446/192)</f>
        <v>200.485668655271</v>
      </c>
    </row>
    <row r="447" customFormat="false" ht="15" hidden="false" customHeight="false" outlineLevel="0" collapsed="false">
      <c r="F447" s="238" t="n">
        <f aca="false">F351*10</f>
        <v>10000</v>
      </c>
      <c r="G447" s="1" t="n">
        <v>59</v>
      </c>
      <c r="H447" s="234" t="n">
        <f aca="false">F447*10^(G447/96)</f>
        <v>41170.2338029595</v>
      </c>
      <c r="J447" s="238" t="n">
        <f aca="false">J255*10</f>
        <v>100</v>
      </c>
      <c r="K447" s="1" t="n">
        <f aca="false">K446+1</f>
        <v>59</v>
      </c>
      <c r="L447" s="239" t="n">
        <f aca="false">J447*10^(K447/192)</f>
        <v>202.904494289701</v>
      </c>
    </row>
    <row r="448" customFormat="false" ht="15" hidden="false" customHeight="false" outlineLevel="0" collapsed="false">
      <c r="F448" s="238" t="n">
        <f aca="false">F352*10</f>
        <v>10000</v>
      </c>
      <c r="G448" s="1" t="n">
        <v>60</v>
      </c>
      <c r="H448" s="234" t="n">
        <f aca="false">F448*10^(G448/96)</f>
        <v>42169.6503428582</v>
      </c>
      <c r="J448" s="238" t="n">
        <f aca="false">J256*10</f>
        <v>100</v>
      </c>
      <c r="K448" s="1" t="n">
        <f aca="false">K447+1</f>
        <v>60</v>
      </c>
      <c r="L448" s="239" t="n">
        <f aca="false">J448*10^(K448/192)</f>
        <v>205.352502645715</v>
      </c>
    </row>
    <row r="449" customFormat="false" ht="15" hidden="false" customHeight="false" outlineLevel="0" collapsed="false">
      <c r="F449" s="238" t="n">
        <f aca="false">F353*10</f>
        <v>10000</v>
      </c>
      <c r="G449" s="1" t="n">
        <v>61</v>
      </c>
      <c r="H449" s="234" t="n">
        <f aca="false">F449*10^(G449/96)</f>
        <v>43193.3279405154</v>
      </c>
      <c r="J449" s="238" t="n">
        <f aca="false">J257*10</f>
        <v>100</v>
      </c>
      <c r="K449" s="1" t="n">
        <f aca="false">K448+1</f>
        <v>61</v>
      </c>
      <c r="L449" s="239" t="n">
        <f aca="false">J449*10^(K449/192)</f>
        <v>207.830045807904</v>
      </c>
    </row>
    <row r="450" customFormat="false" ht="15" hidden="false" customHeight="false" outlineLevel="0" collapsed="false">
      <c r="F450" s="238" t="n">
        <f aca="false">F354*10</f>
        <v>10000</v>
      </c>
      <c r="G450" s="1" t="n">
        <v>62</v>
      </c>
      <c r="H450" s="234" t="n">
        <f aca="false">F450*10^(G450/96)</f>
        <v>44241.8555384792</v>
      </c>
      <c r="J450" s="238" t="n">
        <f aca="false">J258*10</f>
        <v>100</v>
      </c>
      <c r="K450" s="1" t="n">
        <f aca="false">K449+1</f>
        <v>62</v>
      </c>
      <c r="L450" s="239" t="n">
        <f aca="false">J450*10^(K450/192)</f>
        <v>210.337480108703</v>
      </c>
    </row>
    <row r="451" customFormat="false" ht="15" hidden="false" customHeight="false" outlineLevel="0" collapsed="false">
      <c r="F451" s="238" t="n">
        <f aca="false">F355*10</f>
        <v>10000</v>
      </c>
      <c r="G451" s="1" t="n">
        <v>63</v>
      </c>
      <c r="H451" s="234" t="n">
        <f aca="false">F451*10^(G451/96)</f>
        <v>45315.8363760082</v>
      </c>
      <c r="J451" s="238" t="n">
        <f aca="false">J259*10</f>
        <v>100</v>
      </c>
      <c r="K451" s="1" t="n">
        <f aca="false">K450+1</f>
        <v>63</v>
      </c>
      <c r="L451" s="239" t="n">
        <f aca="false">J451*10^(K451/192)</f>
        <v>212.875166179637</v>
      </c>
    </row>
    <row r="452" customFormat="false" ht="15" hidden="false" customHeight="false" outlineLevel="0" collapsed="false">
      <c r="F452" s="238" t="n">
        <f aca="false">F356*10</f>
        <v>10000</v>
      </c>
      <c r="G452" s="1" t="n">
        <v>64</v>
      </c>
      <c r="H452" s="234" t="n">
        <f aca="false">F452*10^(G452/96)</f>
        <v>46415.8883361278</v>
      </c>
      <c r="J452" s="238" t="n">
        <f aca="false">J260*10</f>
        <v>100</v>
      </c>
      <c r="K452" s="1" t="n">
        <f aca="false">K451+1</f>
        <v>64</v>
      </c>
      <c r="L452" s="239" t="n">
        <f aca="false">J452*10^(K452/192)</f>
        <v>215.443469003188</v>
      </c>
    </row>
    <row r="453" customFormat="false" ht="15" hidden="false" customHeight="false" outlineLevel="0" collapsed="false">
      <c r="F453" s="238" t="n">
        <f aca="false">F357*10</f>
        <v>10000</v>
      </c>
      <c r="G453" s="1" t="n">
        <v>65</v>
      </c>
      <c r="H453" s="234" t="n">
        <f aca="false">F453*10^(G453/96)</f>
        <v>47542.6443011106</v>
      </c>
      <c r="J453" s="238" t="n">
        <f aca="false">J261*10</f>
        <v>100</v>
      </c>
      <c r="K453" s="1" t="n">
        <f aca="false">K452+1</f>
        <v>65</v>
      </c>
      <c r="L453" s="239" t="n">
        <f aca="false">J453*10^(K453/192)</f>
        <v>218.042757965291</v>
      </c>
    </row>
    <row r="454" customFormat="false" ht="15" hidden="false" customHeight="false" outlineLevel="0" collapsed="false">
      <c r="F454" s="238" t="n">
        <f aca="false">F358*10</f>
        <v>10000</v>
      </c>
      <c r="G454" s="1" t="n">
        <v>66</v>
      </c>
      <c r="H454" s="234" t="n">
        <f aca="false">F454*10^(G454/96)</f>
        <v>48696.7525165863</v>
      </c>
      <c r="J454" s="238" t="n">
        <f aca="false">J262*10</f>
        <v>100</v>
      </c>
      <c r="K454" s="1" t="n">
        <f aca="false">K453+1</f>
        <v>66</v>
      </c>
      <c r="L454" s="239" t="n">
        <f aca="false">J454*10^(K454/192)</f>
        <v>220.673406908459</v>
      </c>
    </row>
    <row r="455" customFormat="false" ht="15" hidden="false" customHeight="false" outlineLevel="0" collapsed="false">
      <c r="F455" s="238" t="n">
        <f aca="false">F359*10</f>
        <v>10000</v>
      </c>
      <c r="G455" s="1" t="n">
        <v>67</v>
      </c>
      <c r="H455" s="234" t="n">
        <f aca="false">F455*10^(G455/96)</f>
        <v>49878.8769644911</v>
      </c>
      <c r="J455" s="238" t="n">
        <f aca="false">J263*10</f>
        <v>100</v>
      </c>
      <c r="K455" s="1" t="n">
        <f aca="false">K454+1</f>
        <v>67</v>
      </c>
      <c r="L455" s="239" t="n">
        <f aca="false">J455*10^(K455/192)</f>
        <v>223.335794185552</v>
      </c>
    </row>
    <row r="456" customFormat="false" ht="15" hidden="false" customHeight="false" outlineLevel="0" collapsed="false">
      <c r="F456" s="238" t="n">
        <f aca="false">F360*10</f>
        <v>10000</v>
      </c>
      <c r="G456" s="1" t="n">
        <v>68</v>
      </c>
      <c r="H456" s="234" t="n">
        <f aca="false">F456*10^(G456/96)</f>
        <v>51089.6977450693</v>
      </c>
      <c r="J456" s="238" t="n">
        <f aca="false">J264*10</f>
        <v>100</v>
      </c>
      <c r="K456" s="1" t="n">
        <f aca="false">K455+1</f>
        <v>68</v>
      </c>
      <c r="L456" s="239" t="n">
        <f aca="false">J456*10^(K456/192)</f>
        <v>226.030302714192</v>
      </c>
    </row>
    <row r="457" customFormat="false" ht="15" hidden="false" customHeight="false" outlineLevel="0" collapsed="false">
      <c r="F457" s="238" t="n">
        <f aca="false">F361*10</f>
        <v>10000</v>
      </c>
      <c r="G457" s="1" t="n">
        <v>69</v>
      </c>
      <c r="H457" s="234" t="n">
        <f aca="false">F457*10^(G457/96)</f>
        <v>52329.9114681495</v>
      </c>
      <c r="J457" s="238" t="n">
        <f aca="false">J265*10</f>
        <v>100</v>
      </c>
      <c r="K457" s="1" t="n">
        <f aca="false">K456+1</f>
        <v>69</v>
      </c>
      <c r="L457" s="239" t="n">
        <f aca="false">J457*10^(K457/192)</f>
        <v>228.75732003184</v>
      </c>
    </row>
    <row r="458" customFormat="false" ht="15" hidden="false" customHeight="false" outlineLevel="0" collapsed="false">
      <c r="F458" s="238" t="n">
        <f aca="false">F362*10</f>
        <v>10000</v>
      </c>
      <c r="G458" s="1" t="n">
        <v>70</v>
      </c>
      <c r="H458" s="234" t="n">
        <f aca="false">F458*10^(G458/96)</f>
        <v>53600.2316539179</v>
      </c>
      <c r="J458" s="238" t="n">
        <f aca="false">J266*10</f>
        <v>100</v>
      </c>
      <c r="K458" s="1" t="n">
        <f aca="false">K457+1</f>
        <v>70</v>
      </c>
      <c r="L458" s="239" t="n">
        <f aca="false">J458*10^(K458/192)</f>
        <v>231.517238351527</v>
      </c>
    </row>
    <row r="459" customFormat="false" ht="15" hidden="false" customHeight="false" outlineLevel="0" collapsed="false">
      <c r="F459" s="238" t="n">
        <f aca="false">F363*10</f>
        <v>10000</v>
      </c>
      <c r="G459" s="1" t="n">
        <v>71</v>
      </c>
      <c r="H459" s="234" t="n">
        <f aca="false">F459*10^(G459/96)</f>
        <v>54901.3891434214</v>
      </c>
      <c r="J459" s="238" t="n">
        <f aca="false">J267*10</f>
        <v>100</v>
      </c>
      <c r="K459" s="1" t="n">
        <f aca="false">K458+1</f>
        <v>71</v>
      </c>
      <c r="L459" s="239" t="n">
        <f aca="false">J459*10^(K459/192)</f>
        <v>234.310454618272</v>
      </c>
    </row>
    <row r="460" customFormat="false" ht="15" hidden="false" customHeight="false" outlineLevel="0" collapsed="false">
      <c r="F460" s="238" t="n">
        <f aca="false">F364*10</f>
        <v>10000</v>
      </c>
      <c r="G460" s="1" t="n">
        <v>72</v>
      </c>
      <c r="H460" s="234" t="n">
        <f aca="false">F460*10^(G460/96)</f>
        <v>56234.1325190349</v>
      </c>
      <c r="J460" s="238" t="n">
        <f aca="false">J268*10</f>
        <v>100</v>
      </c>
      <c r="K460" s="1" t="n">
        <f aca="false">K459+1</f>
        <v>72</v>
      </c>
      <c r="L460" s="239" t="n">
        <f aca="false">J460*10^(K460/192)</f>
        <v>237.137370566166</v>
      </c>
    </row>
    <row r="461" customFormat="false" ht="15" hidden="false" customHeight="false" outlineLevel="0" collapsed="false">
      <c r="F461" s="238" t="n">
        <f aca="false">F365*10</f>
        <v>10000</v>
      </c>
      <c r="G461" s="1" t="n">
        <v>73</v>
      </c>
      <c r="H461" s="234" t="n">
        <f aca="false">F461*10^(G461/96)</f>
        <v>57599.2285351363</v>
      </c>
      <c r="J461" s="238" t="n">
        <f aca="false">J269*10</f>
        <v>100</v>
      </c>
      <c r="K461" s="1" t="n">
        <f aca="false">K460+1</f>
        <v>73</v>
      </c>
      <c r="L461" s="239" t="n">
        <f aca="false">J461*10^(K461/192)</f>
        <v>239.998392776152</v>
      </c>
    </row>
    <row r="462" customFormat="false" ht="15" hidden="false" customHeight="false" outlineLevel="0" collapsed="false">
      <c r="F462" s="238" t="n">
        <f aca="false">F366*10</f>
        <v>10000</v>
      </c>
      <c r="G462" s="1" t="n">
        <v>74</v>
      </c>
      <c r="H462" s="234" t="n">
        <f aca="false">F462*10^(G462/96)</f>
        <v>58997.4625592356</v>
      </c>
      <c r="J462" s="238" t="n">
        <f aca="false">J270*10</f>
        <v>100</v>
      </c>
      <c r="K462" s="1" t="n">
        <f aca="false">K461+1</f>
        <v>74</v>
      </c>
      <c r="L462" s="239" t="n">
        <f aca="false">J462*10^(K462/192)</f>
        <v>242.893932734508</v>
      </c>
    </row>
    <row r="463" customFormat="false" ht="15" hidden="false" customHeight="false" outlineLevel="0" collapsed="false">
      <c r="F463" s="238" t="n">
        <f aca="false">F367*10</f>
        <v>10000</v>
      </c>
      <c r="G463" s="1" t="n">
        <v>75</v>
      </c>
      <c r="H463" s="234" t="n">
        <f aca="false">F463*10^(G463/96)</f>
        <v>60429.6390238133</v>
      </c>
      <c r="J463" s="238" t="n">
        <f aca="false">J271*10</f>
        <v>100</v>
      </c>
      <c r="K463" s="1" t="n">
        <f aca="false">K462+1</f>
        <v>75</v>
      </c>
      <c r="L463" s="239" t="n">
        <f aca="false">J463*10^(K463/192)</f>
        <v>245.82440689202</v>
      </c>
    </row>
    <row r="464" customFormat="false" ht="15" hidden="false" customHeight="false" outlineLevel="0" collapsed="false">
      <c r="F464" s="238" t="n">
        <f aca="false">F368*10</f>
        <v>10000</v>
      </c>
      <c r="G464" s="1" t="n">
        <v>76</v>
      </c>
      <c r="H464" s="234" t="n">
        <f aca="false">F464*10^(G464/96)</f>
        <v>61896.5818891261</v>
      </c>
      <c r="J464" s="238" t="n">
        <f aca="false">J272*10</f>
        <v>100</v>
      </c>
      <c r="K464" s="1" t="n">
        <f aca="false">K463+1</f>
        <v>76</v>
      </c>
      <c r="L464" s="239" t="n">
        <f aca="false">J464*10^(K464/192)</f>
        <v>248.790236723884</v>
      </c>
    </row>
    <row r="465" customFormat="false" ht="15" hidden="false" customHeight="false" outlineLevel="0" collapsed="false">
      <c r="F465" s="238" t="n">
        <f aca="false">F369*10</f>
        <v>10000</v>
      </c>
      <c r="G465" s="1" t="n">
        <v>77</v>
      </c>
      <c r="H465" s="234" t="n">
        <f aca="false">F465*10^(G465/96)</f>
        <v>63399.1351172485</v>
      </c>
      <c r="J465" s="238" t="n">
        <f aca="false">J273*10</f>
        <v>100</v>
      </c>
      <c r="K465" s="1" t="n">
        <f aca="false">K464+1</f>
        <v>77</v>
      </c>
      <c r="L465" s="239" t="n">
        <f aca="false">J465*10^(K465/192)</f>
        <v>251.791848790322</v>
      </c>
    </row>
    <row r="466" customFormat="false" ht="15" hidden="false" customHeight="false" outlineLevel="0" collapsed="false">
      <c r="F466" s="238" t="n">
        <f aca="false">F370*10</f>
        <v>10000</v>
      </c>
      <c r="G466" s="1" t="n">
        <v>78</v>
      </c>
      <c r="H466" s="234" t="n">
        <f aca="false">F466*10^(G466/96)</f>
        <v>64938.1631576211</v>
      </c>
      <c r="J466" s="238" t="n">
        <f aca="false">J274*10</f>
        <v>100</v>
      </c>
      <c r="K466" s="1" t="n">
        <f aca="false">K465+1</f>
        <v>78</v>
      </c>
      <c r="L466" s="239" t="n">
        <f aca="false">J466*10^(K466/192)</f>
        <v>254.829674797935</v>
      </c>
      <c r="O466" s="227"/>
    </row>
    <row r="467" customFormat="false" ht="15" hidden="false" customHeight="false" outlineLevel="0" collapsed="false">
      <c r="F467" s="238" t="n">
        <f aca="false">F371*10</f>
        <v>10000</v>
      </c>
      <c r="G467" s="1" t="n">
        <v>79</v>
      </c>
      <c r="H467" s="234" t="n">
        <f aca="false">F467*10^(G467/96)</f>
        <v>66514.5514443863</v>
      </c>
      <c r="J467" s="238" t="n">
        <f aca="false">J275*10</f>
        <v>100</v>
      </c>
      <c r="K467" s="1" t="n">
        <f aca="false">K466+1</f>
        <v>79</v>
      </c>
      <c r="L467" s="239" t="n">
        <f aca="false">J467*10^(K467/192)</f>
        <v>257.904151661788</v>
      </c>
    </row>
    <row r="468" customFormat="false" ht="15" hidden="false" customHeight="false" outlineLevel="0" collapsed="false">
      <c r="F468" s="238" t="n">
        <f aca="false">F372*10</f>
        <v>10000</v>
      </c>
      <c r="G468" s="1" t="n">
        <v>80</v>
      </c>
      <c r="H468" s="234" t="n">
        <f aca="false">F468*10^(G468/96)</f>
        <v>68129.2069057961</v>
      </c>
      <c r="J468" s="238" t="n">
        <f aca="false">J276*10</f>
        <v>100</v>
      </c>
      <c r="K468" s="1" t="n">
        <f aca="false">K467+1</f>
        <v>80</v>
      </c>
      <c r="L468" s="239" t="n">
        <f aca="false">J468*10^(K468/192)</f>
        <v>261.015721568254</v>
      </c>
    </row>
    <row r="469" customFormat="false" ht="15" hidden="false" customHeight="false" outlineLevel="0" collapsed="false">
      <c r="F469" s="238" t="n">
        <f aca="false">F373*10</f>
        <v>10000</v>
      </c>
      <c r="G469" s="1" t="n">
        <v>81</v>
      </c>
      <c r="H469" s="234" t="n">
        <f aca="false">F469*10^(G469/96)</f>
        <v>69783.0584859866</v>
      </c>
      <c r="J469" s="238" t="n">
        <f aca="false">J277*10</f>
        <v>100</v>
      </c>
      <c r="K469" s="1" t="n">
        <f aca="false">K468+1</f>
        <v>81</v>
      </c>
      <c r="L469" s="239" t="n">
        <f aca="false">J469*10^(K469/192)</f>
        <v>264.164832038609</v>
      </c>
    </row>
    <row r="470" customFormat="false" ht="15" hidden="false" customHeight="false" outlineLevel="0" collapsed="false">
      <c r="F470" s="238" t="n">
        <f aca="false">F374*10</f>
        <v>10000</v>
      </c>
      <c r="G470" s="1" t="n">
        <v>82</v>
      </c>
      <c r="H470" s="234" t="n">
        <f aca="false">F470*10^(G470/96)</f>
        <v>71477.0576794186</v>
      </c>
      <c r="J470" s="238" t="n">
        <f aca="false">J278*10</f>
        <v>100</v>
      </c>
      <c r="K470" s="1" t="n">
        <f aca="false">K469+1</f>
        <v>82</v>
      </c>
      <c r="L470" s="239" t="n">
        <f aca="false">J470*10^(K470/192)</f>
        <v>267.351935993399</v>
      </c>
      <c r="O470" s="241"/>
      <c r="P470" s="241"/>
    </row>
    <row r="471" customFormat="false" ht="15" hidden="false" customHeight="false" outlineLevel="0" collapsed="false">
      <c r="F471" s="238" t="n">
        <f aca="false">F375*10</f>
        <v>10000</v>
      </c>
      <c r="G471" s="1" t="n">
        <v>83</v>
      </c>
      <c r="H471" s="234" t="n">
        <f aca="false">F471*10^(G471/96)</f>
        <v>73212.1790782913</v>
      </c>
      <c r="J471" s="238" t="n">
        <f aca="false">J279*10</f>
        <v>100</v>
      </c>
      <c r="K471" s="1" t="n">
        <f aca="false">K470+1</f>
        <v>83</v>
      </c>
      <c r="L471" s="239" t="n">
        <f aca="false">J471*10^(K471/192)</f>
        <v>270.577491817578</v>
      </c>
      <c r="O471" s="242"/>
    </row>
    <row r="472" customFormat="false" ht="15" hidden="false" customHeight="false" outlineLevel="0" collapsed="false">
      <c r="F472" s="238" t="n">
        <f aca="false">F376*10</f>
        <v>10000</v>
      </c>
      <c r="G472" s="1" t="n">
        <v>84</v>
      </c>
      <c r="H472" s="234" t="n">
        <f aca="false">F472*10^(G472/96)</f>
        <v>74989.4209332456</v>
      </c>
      <c r="J472" s="238" t="n">
        <f aca="false">J280*10</f>
        <v>100</v>
      </c>
      <c r="K472" s="1" t="n">
        <f aca="false">K471+1</f>
        <v>84</v>
      </c>
      <c r="L472" s="239" t="n">
        <f aca="false">J472*10^(K472/192)</f>
        <v>273.841963426436</v>
      </c>
    </row>
    <row r="473" customFormat="false" ht="15" hidden="false" customHeight="false" outlineLevel="0" collapsed="false">
      <c r="F473" s="238" t="n">
        <f aca="false">F377*10</f>
        <v>10000</v>
      </c>
      <c r="G473" s="1" t="n">
        <v>85</v>
      </c>
      <c r="H473" s="234" t="n">
        <f aca="false">F473*10^(G473/96)</f>
        <v>76809.8057276775</v>
      </c>
      <c r="J473" s="238" t="n">
        <f aca="false">J281*10</f>
        <v>100</v>
      </c>
      <c r="K473" s="1" t="n">
        <f aca="false">K472+1</f>
        <v>85</v>
      </c>
      <c r="L473" s="239" t="n">
        <f aca="false">J473*10^(K473/192)</f>
        <v>277.145820332325</v>
      </c>
    </row>
    <row r="474" customFormat="false" ht="15" hidden="false" customHeight="false" outlineLevel="0" collapsed="false">
      <c r="F474" s="238" t="n">
        <f aca="false">F378*10</f>
        <v>10000</v>
      </c>
      <c r="G474" s="1" t="n">
        <v>86</v>
      </c>
      <c r="H474" s="234" t="n">
        <f aca="false">F474*10^(G474/96)</f>
        <v>78674.380765994</v>
      </c>
      <c r="J474" s="238" t="n">
        <f aca="false">J282*10</f>
        <v>100</v>
      </c>
      <c r="K474" s="1" t="n">
        <f aca="false">K473+1</f>
        <v>86</v>
      </c>
      <c r="L474" s="239" t="n">
        <f aca="false">J474*10^(K474/192)</f>
        <v>280.489537712183</v>
      </c>
    </row>
    <row r="475" customFormat="false" ht="15" hidden="false" customHeight="false" outlineLevel="0" collapsed="false">
      <c r="F475" s="238" t="n">
        <f aca="false">F379*10</f>
        <v>10000</v>
      </c>
      <c r="G475" s="1" t="n">
        <v>87</v>
      </c>
      <c r="H475" s="234" t="n">
        <f aca="false">F475*10^(G475/96)</f>
        <v>80584.2187761482</v>
      </c>
      <c r="J475" s="238" t="n">
        <f aca="false">J283*10</f>
        <v>100</v>
      </c>
      <c r="K475" s="1" t="n">
        <f aca="false">K474+1</f>
        <v>87</v>
      </c>
      <c r="L475" s="239" t="n">
        <f aca="false">J475*10^(K475/192)</f>
        <v>283.873596475876</v>
      </c>
    </row>
    <row r="476" customFormat="false" ht="15" hidden="false" customHeight="false" outlineLevel="0" collapsed="false">
      <c r="F476" s="238" t="n">
        <f aca="false">F380*10</f>
        <v>10000</v>
      </c>
      <c r="G476" s="1" t="n">
        <v>88</v>
      </c>
      <c r="H476" s="234" t="n">
        <f aca="false">F476*10^(G476/96)</f>
        <v>82540.4185268018</v>
      </c>
      <c r="J476" s="238" t="n">
        <f aca="false">J284*10</f>
        <v>100</v>
      </c>
      <c r="K476" s="1" t="n">
        <f aca="false">K475+1</f>
        <v>88</v>
      </c>
      <c r="L476" s="239" t="n">
        <f aca="false">J476*10^(K476/192)</f>
        <v>287.298483335366</v>
      </c>
    </row>
    <row r="477" customFormat="false" ht="15" hidden="false" customHeight="false" outlineLevel="0" collapsed="false">
      <c r="F477" s="238" t="n">
        <f aca="false">F381*10</f>
        <v>10000</v>
      </c>
      <c r="G477" s="1" t="n">
        <v>89</v>
      </c>
      <c r="H477" s="234" t="n">
        <f aca="false">F477*10^(G477/96)</f>
        <v>84544.1054594692</v>
      </c>
      <c r="J477" s="238" t="n">
        <f aca="false">J285*10</f>
        <v>100</v>
      </c>
      <c r="K477" s="1" t="n">
        <f aca="false">K476+1</f>
        <v>89</v>
      </c>
      <c r="L477" s="239" t="n">
        <f aca="false">J477*10^(K477/192)</f>
        <v>290.764690874716</v>
      </c>
    </row>
    <row r="478" customFormat="false" ht="15" hidden="false" customHeight="false" outlineLevel="0" collapsed="false">
      <c r="F478" s="238" t="n">
        <f aca="false">F382*10</f>
        <v>10000</v>
      </c>
      <c r="G478" s="1" t="n">
        <v>90</v>
      </c>
      <c r="H478" s="234" t="n">
        <f aca="false">F478*10^(G478/96)</f>
        <v>86596.4323360066</v>
      </c>
      <c r="J478" s="238" t="n">
        <f aca="false">J286*10</f>
        <v>100</v>
      </c>
      <c r="K478" s="1" t="n">
        <f aca="false">K477+1</f>
        <v>90</v>
      </c>
      <c r="L478" s="239" t="n">
        <f aca="false">J478*10^(K478/192)</f>
        <v>294.272717620928</v>
      </c>
    </row>
    <row r="479" customFormat="false" ht="15" hidden="false" customHeight="false" outlineLevel="0" collapsed="false">
      <c r="F479" s="238" t="n">
        <f aca="false">F383*10</f>
        <v>10000</v>
      </c>
      <c r="G479" s="1" t="n">
        <v>91</v>
      </c>
      <c r="H479" s="234" t="n">
        <f aca="false">F479*10^(G479/96)</f>
        <v>88698.5799018192</v>
      </c>
      <c r="J479" s="238" t="n">
        <f aca="false">J287*10</f>
        <v>100</v>
      </c>
      <c r="K479" s="1" t="n">
        <f aca="false">K478+1</f>
        <v>91</v>
      </c>
      <c r="L479" s="239" t="n">
        <f aca="false">J479*10^(K479/192)</f>
        <v>297.82306811565</v>
      </c>
    </row>
    <row r="480" customFormat="false" ht="15" hidden="false" customHeight="false" outlineLevel="0" collapsed="false">
      <c r="F480" s="238" t="n">
        <f aca="false">F384*10</f>
        <v>10000</v>
      </c>
      <c r="G480" s="1" t="n">
        <v>92</v>
      </c>
      <c r="H480" s="234" t="n">
        <f aca="false">F480*10^(G480/96)</f>
        <v>90851.7575651687</v>
      </c>
      <c r="J480" s="238" t="n">
        <f aca="false">J288*10</f>
        <v>100</v>
      </c>
      <c r="K480" s="1" t="n">
        <f aca="false">K479+1</f>
        <v>92</v>
      </c>
      <c r="L480" s="239" t="n">
        <f aca="false">J480*10^(K480/192)</f>
        <v>301.416252987739</v>
      </c>
    </row>
    <row r="481" customFormat="false" ht="15" hidden="false" customHeight="false" outlineLevel="0" collapsed="false">
      <c r="F481" s="238" t="n">
        <f aca="false">F385*10</f>
        <v>10000</v>
      </c>
      <c r="G481" s="1" t="n">
        <v>93</v>
      </c>
      <c r="H481" s="234" t="n">
        <f aca="false">F481*10^(G481/96)</f>
        <v>93057.2040929699</v>
      </c>
      <c r="J481" s="238" t="n">
        <f aca="false">J289*10</f>
        <v>100</v>
      </c>
      <c r="K481" s="1" t="n">
        <f aca="false">K480+1</f>
        <v>93</v>
      </c>
      <c r="L481" s="239" t="n">
        <f aca="false">J481*10^(K481/192)</f>
        <v>305.052789026703</v>
      </c>
    </row>
    <row r="482" customFormat="false" ht="15" hidden="false" customHeight="false" outlineLevel="0" collapsed="false">
      <c r="F482" s="238" t="n">
        <f aca="false">F386*10</f>
        <v>10000</v>
      </c>
      <c r="G482" s="1" t="n">
        <v>94</v>
      </c>
      <c r="H482" s="234" t="n">
        <f aca="false">F482*10^(G482/96)</f>
        <v>95316.1883234787</v>
      </c>
      <c r="J482" s="238" t="n">
        <f aca="false">J290*10</f>
        <v>100</v>
      </c>
      <c r="K482" s="1" t="n">
        <f aca="false">K481+1</f>
        <v>94</v>
      </c>
      <c r="L482" s="239" t="n">
        <f aca="false">J482*10^(K482/192)</f>
        <v>308.733199257026</v>
      </c>
    </row>
    <row r="483" customFormat="false" ht="15" hidden="false" customHeight="false" outlineLevel="0" collapsed="false">
      <c r="F483" s="238" t="n">
        <f aca="false">F387*10</f>
        <v>10000</v>
      </c>
      <c r="G483" s="1" t="n">
        <v>95</v>
      </c>
      <c r="H483" s="234" t="n">
        <f aca="false">F483*10^(G483/96)</f>
        <v>97630.0098962808</v>
      </c>
      <c r="J483" s="238" t="n">
        <f aca="false">J291*10</f>
        <v>100</v>
      </c>
      <c r="K483" s="1" t="n">
        <f aca="false">K482+1</f>
        <v>95</v>
      </c>
      <c r="L483" s="239" t="n">
        <f aca="false">J483*10^(K483/192)</f>
        <v>312.458013013398</v>
      </c>
    </row>
    <row r="484" customFormat="false" ht="15" hidden="false" customHeight="false" outlineLevel="0" collapsed="false">
      <c r="F484" s="238" t="n">
        <f aca="false">F388*10</f>
        <v>10000</v>
      </c>
      <c r="G484" s="1" t="n">
        <v>96</v>
      </c>
      <c r="H484" s="234" t="n">
        <f aca="false">F484*10^(G484/96)</f>
        <v>100000</v>
      </c>
      <c r="J484" s="238" t="n">
        <f aca="false">J292*10</f>
        <v>100</v>
      </c>
      <c r="K484" s="1" t="n">
        <f aca="false">K483+1</f>
        <v>96</v>
      </c>
      <c r="L484" s="239" t="n">
        <f aca="false">J484*10^(K484/192)</f>
        <v>316.227766016838</v>
      </c>
    </row>
    <row r="485" customFormat="false" ht="15" hidden="false" customHeight="false" outlineLevel="0" collapsed="false">
      <c r="F485" s="238" t="n">
        <f aca="false">F389*10</f>
        <v>100000</v>
      </c>
      <c r="G485" s="1" t="n">
        <v>1</v>
      </c>
      <c r="H485" s="234" t="n">
        <f aca="false">F485*10^(G485/96)</f>
        <v>102427.522138159</v>
      </c>
      <c r="J485" s="238" t="n">
        <f aca="false">J293*10</f>
        <v>100</v>
      </c>
      <c r="K485" s="1" t="n">
        <f aca="false">K484+1</f>
        <v>97</v>
      </c>
      <c r="L485" s="239" t="n">
        <f aca="false">J485*10^(K485/192)</f>
        <v>320.043000451751</v>
      </c>
    </row>
    <row r="486" customFormat="false" ht="15" hidden="false" customHeight="false" outlineLevel="0" collapsed="false">
      <c r="F486" s="238" t="n">
        <f aca="false">F390*10</f>
        <v>100000</v>
      </c>
      <c r="G486" s="1" t="n">
        <v>2</v>
      </c>
      <c r="H486" s="234" t="n">
        <f aca="false">F486*10^(G486/96)</f>
        <v>104913.972913631</v>
      </c>
      <c r="J486" s="238" t="n">
        <f aca="false">J294*10</f>
        <v>100</v>
      </c>
      <c r="K486" s="1" t="n">
        <f aca="false">K485+1</f>
        <v>98</v>
      </c>
      <c r="L486" s="239" t="n">
        <f aca="false">J486*10^(K486/192)</f>
        <v>323.904265043903</v>
      </c>
    </row>
    <row r="487" customFormat="false" ht="15" hidden="false" customHeight="false" outlineLevel="0" collapsed="false">
      <c r="F487" s="238" t="n">
        <f aca="false">F391*10</f>
        <v>100000</v>
      </c>
      <c r="G487" s="1" t="n">
        <v>3</v>
      </c>
      <c r="H487" s="234" t="n">
        <f aca="false">F487*10^(G487/96)</f>
        <v>107460.782832132</v>
      </c>
      <c r="J487" s="238" t="n">
        <f aca="false">J295*10</f>
        <v>100</v>
      </c>
      <c r="K487" s="1" t="n">
        <f aca="false">K486+1</f>
        <v>99</v>
      </c>
      <c r="L487" s="239" t="n">
        <f aca="false">J487*10^(K487/192)</f>
        <v>327.812115139346</v>
      </c>
    </row>
    <row r="488" customFormat="false" ht="15" hidden="false" customHeight="false" outlineLevel="0" collapsed="false">
      <c r="F488" s="238" t="n">
        <f aca="false">F392*10</f>
        <v>100000</v>
      </c>
      <c r="G488" s="1" t="n">
        <v>4</v>
      </c>
      <c r="H488" s="234" t="n">
        <f aca="false">F488*10^(G488/96)</f>
        <v>110069.417125221</v>
      </c>
      <c r="J488" s="238" t="n">
        <f aca="false">J296*10</f>
        <v>100</v>
      </c>
      <c r="K488" s="1" t="n">
        <f aca="false">K487+1</f>
        <v>100</v>
      </c>
      <c r="L488" s="239" t="n">
        <f aca="false">J488*10^(K488/192)</f>
        <v>331.767112784286</v>
      </c>
    </row>
    <row r="489" customFormat="false" ht="15" hidden="false" customHeight="false" outlineLevel="0" collapsed="false">
      <c r="F489" s="238" t="n">
        <f aca="false">F393*10</f>
        <v>100000</v>
      </c>
      <c r="G489" s="1" t="n">
        <v>5</v>
      </c>
      <c r="H489" s="234" t="n">
        <f aca="false">F489*10^(G489/96)</f>
        <v>112741.376593279</v>
      </c>
      <c r="J489" s="238" t="n">
        <f aca="false">J297*10</f>
        <v>100</v>
      </c>
      <c r="K489" s="1" t="n">
        <f aca="false">K488+1</f>
        <v>101</v>
      </c>
      <c r="L489" s="239" t="n">
        <f aca="false">J489*10^(K489/192)</f>
        <v>335.769826805921</v>
      </c>
    </row>
    <row r="490" customFormat="false" ht="15" hidden="false" customHeight="false" outlineLevel="0" collapsed="false">
      <c r="F490" s="238" t="n">
        <f aca="false">F394*10</f>
        <v>100000</v>
      </c>
      <c r="G490" s="1" t="n">
        <v>6</v>
      </c>
      <c r="H490" s="234" t="n">
        <f aca="false">F490*10^(G490/96)</f>
        <v>115478.198468946</v>
      </c>
      <c r="J490" s="238" t="n">
        <f aca="false">J298*10</f>
        <v>100</v>
      </c>
      <c r="K490" s="1" t="n">
        <f aca="false">K489+1</f>
        <v>102</v>
      </c>
      <c r="L490" s="239" t="n">
        <f aca="false">J490*10^(K490/192)</f>
        <v>339.820832894256</v>
      </c>
    </row>
    <row r="491" customFormat="false" ht="15" hidden="false" customHeight="false" outlineLevel="0" collapsed="false">
      <c r="F491" s="238" t="n">
        <f aca="false">F395*10</f>
        <v>100000</v>
      </c>
      <c r="G491" s="1" t="n">
        <v>7</v>
      </c>
      <c r="H491" s="234" t="n">
        <f aca="false">F491*10^(G491/96)</f>
        <v>118281.457301527</v>
      </c>
      <c r="J491" s="238" t="n">
        <f aca="false">J299*10</f>
        <v>100</v>
      </c>
      <c r="K491" s="1" t="n">
        <f aca="false">K490+1</f>
        <v>103</v>
      </c>
      <c r="L491" s="239" t="n">
        <f aca="false">J491*10^(K491/192)</f>
        <v>343.920713684894</v>
      </c>
    </row>
    <row r="492" customFormat="false" ht="15" hidden="false" customHeight="false" outlineLevel="0" collapsed="false">
      <c r="F492" s="238" t="n">
        <f aca="false">F396*10</f>
        <v>100000</v>
      </c>
      <c r="G492" s="1" t="n">
        <v>8</v>
      </c>
      <c r="H492" s="234" t="n">
        <f aca="false">F492*10^(G492/96)</f>
        <v>121152.765862859</v>
      </c>
      <c r="J492" s="238" t="n">
        <f aca="false">J300*10</f>
        <v>100</v>
      </c>
      <c r="K492" s="1" t="n">
        <f aca="false">K491+1</f>
        <v>104</v>
      </c>
      <c r="L492" s="239" t="n">
        <f aca="false">J492*10^(K492/192)</f>
        <v>348.070058842841</v>
      </c>
    </row>
    <row r="493" customFormat="false" ht="15" hidden="false" customHeight="false" outlineLevel="0" collapsed="false">
      <c r="F493" s="238" t="n">
        <f aca="false">F397*10</f>
        <v>100000</v>
      </c>
      <c r="G493" s="1" t="n">
        <v>9</v>
      </c>
      <c r="H493" s="234" t="n">
        <f aca="false">F493*10^(G493/96)</f>
        <v>124093.776075172</v>
      </c>
      <c r="J493" s="238" t="n">
        <f aca="false">J301*10</f>
        <v>100</v>
      </c>
      <c r="K493" s="1" t="n">
        <f aca="false">K492+1</f>
        <v>105</v>
      </c>
      <c r="L493" s="239" t="n">
        <f aca="false">J493*10^(K493/192)</f>
        <v>352.26946514731</v>
      </c>
    </row>
    <row r="494" customFormat="false" ht="15" hidden="false" customHeight="false" outlineLevel="0" collapsed="false">
      <c r="F494" s="238" t="n">
        <f aca="false">F398*10</f>
        <v>100000</v>
      </c>
      <c r="G494" s="1" t="n">
        <v>10</v>
      </c>
      <c r="H494" s="234" t="n">
        <f aca="false">F494*10^(G494/96)</f>
        <v>127106.179961474</v>
      </c>
      <c r="J494" s="238" t="n">
        <f aca="false">J302*10</f>
        <v>100</v>
      </c>
      <c r="K494" s="1" t="n">
        <f aca="false">K493+1</f>
        <v>106</v>
      </c>
      <c r="L494" s="239" t="n">
        <f aca="false">J494*10^(K494/192)</f>
        <v>356.519536577555</v>
      </c>
    </row>
    <row r="495" customFormat="false" ht="15" hidden="false" customHeight="false" outlineLevel="0" collapsed="false">
      <c r="F495" s="238" t="n">
        <f aca="false">F399*10</f>
        <v>100000</v>
      </c>
      <c r="G495" s="1" t="n">
        <v>11</v>
      </c>
      <c r="H495" s="234" t="n">
        <f aca="false">F495*10^(G495/96)</f>
        <v>130191.710619008</v>
      </c>
      <c r="J495" s="238" t="n">
        <f aca="false">J303*10</f>
        <v>100</v>
      </c>
      <c r="K495" s="1" t="n">
        <f aca="false">K494+1</f>
        <v>107</v>
      </c>
      <c r="L495" s="239" t="n">
        <f aca="false">J495*10^(K495/192)</f>
        <v>360.820884399736</v>
      </c>
    </row>
    <row r="496" customFormat="false" ht="15" hidden="false" customHeight="false" outlineLevel="0" collapsed="false">
      <c r="F496" s="238" t="n">
        <f aca="false">F400*10</f>
        <v>100000</v>
      </c>
      <c r="G496" s="1" t="n">
        <v>12</v>
      </c>
      <c r="H496" s="234" t="n">
        <f aca="false">F496*10^(G496/96)</f>
        <v>133352.143216332</v>
      </c>
      <c r="J496" s="238" t="n">
        <f aca="false">J304*10</f>
        <v>100</v>
      </c>
      <c r="K496" s="1" t="n">
        <f aca="false">K495+1</f>
        <v>108</v>
      </c>
      <c r="L496" s="239" t="n">
        <f aca="false">J496*10^(K496/192)</f>
        <v>365.174127254838</v>
      </c>
    </row>
    <row r="497" customFormat="false" ht="15" hidden="false" customHeight="false" outlineLevel="0" collapsed="false">
      <c r="F497" s="238" t="n">
        <f aca="false">F401*10</f>
        <v>100000</v>
      </c>
      <c r="G497" s="1" t="n">
        <v>13</v>
      </c>
      <c r="H497" s="234" t="n">
        <f aca="false">F497*10^(G497/96)</f>
        <v>136589.296014619</v>
      </c>
      <c r="J497" s="238" t="n">
        <f aca="false">J305*10</f>
        <v>100</v>
      </c>
      <c r="K497" s="1" t="n">
        <f aca="false">K496+1</f>
        <v>109</v>
      </c>
      <c r="L497" s="239" t="n">
        <f aca="false">J497*10^(K497/192)</f>
        <v>369.579891247642</v>
      </c>
    </row>
    <row r="498" customFormat="false" ht="15" hidden="false" customHeight="false" outlineLevel="0" collapsed="false">
      <c r="F498" s="238" t="n">
        <f aca="false">F402*10</f>
        <v>100000</v>
      </c>
      <c r="G498" s="1" t="n">
        <v>14</v>
      </c>
      <c r="H498" s="234" t="n">
        <f aca="false">F498*10^(G498/96)</f>
        <v>139905.031413729</v>
      </c>
      <c r="J498" s="238" t="n">
        <f aca="false">J306*10</f>
        <v>100</v>
      </c>
      <c r="K498" s="1" t="n">
        <f aca="false">K497+1</f>
        <v>110</v>
      </c>
      <c r="L498" s="239" t="n">
        <f aca="false">J498*10^(K498/192)</f>
        <v>374.038810036779</v>
      </c>
    </row>
    <row r="499" customFormat="false" ht="15" hidden="false" customHeight="false" outlineLevel="0" collapsed="false">
      <c r="F499" s="238" t="n">
        <f aca="false">F403*10</f>
        <v>100000</v>
      </c>
      <c r="G499" s="1" t="n">
        <v>15</v>
      </c>
      <c r="H499" s="234" t="n">
        <f aca="false">F499*10^(G499/96)</f>
        <v>143301.257023696</v>
      </c>
      <c r="J499" s="238" t="n">
        <f aca="false">J307*10</f>
        <v>100</v>
      </c>
      <c r="K499" s="1" t="n">
        <f aca="false">K498+1</f>
        <v>111</v>
      </c>
      <c r="L499" s="239" t="n">
        <f aca="false">J499*10^(K499/192)</f>
        <v>378.551524925863</v>
      </c>
    </row>
    <row r="500" customFormat="false" ht="15" hidden="false" customHeight="false" outlineLevel="0" collapsed="false">
      <c r="F500" s="238" t="n">
        <f aca="false">F404*10</f>
        <v>100000</v>
      </c>
      <c r="G500" s="1" t="n">
        <v>16</v>
      </c>
      <c r="H500" s="234" t="n">
        <f aca="false">F500*10^(G500/96)</f>
        <v>146779.926762207</v>
      </c>
      <c r="J500" s="238" t="n">
        <f aca="false">J308*10</f>
        <v>100</v>
      </c>
      <c r="K500" s="1" t="n">
        <f aca="false">K499+1</f>
        <v>112</v>
      </c>
      <c r="L500" s="239" t="n">
        <f aca="false">J500*10^(K500/192)</f>
        <v>383.118684955729</v>
      </c>
    </row>
    <row r="501" customFormat="false" ht="15" hidden="false" customHeight="false" outlineLevel="0" collapsed="false">
      <c r="F501" s="238" t="n">
        <f aca="false">F405*10</f>
        <v>100000</v>
      </c>
      <c r="G501" s="1" t="n">
        <v>17</v>
      </c>
      <c r="H501" s="234" t="n">
        <f aca="false">F501*10^(G501/96)</f>
        <v>150343.041978733</v>
      </c>
      <c r="J501" s="238" t="n">
        <f aca="false">J309*10</f>
        <v>100</v>
      </c>
      <c r="K501" s="1" t="n">
        <f aca="false">K500+1</f>
        <v>113</v>
      </c>
      <c r="L501" s="239" t="n">
        <f aca="false">J501*10^(K501/192)</f>
        <v>387.740946997778</v>
      </c>
    </row>
    <row r="502" customFormat="false" ht="15" hidden="false" customHeight="false" outlineLevel="0" collapsed="false">
      <c r="F502" s="238" t="n">
        <f aca="false">F406*10</f>
        <v>100000</v>
      </c>
      <c r="G502" s="1" t="n">
        <v>18</v>
      </c>
      <c r="H502" s="234" t="n">
        <f aca="false">F502*10^(G502/96)</f>
        <v>153992.652605949</v>
      </c>
      <c r="J502" s="238" t="n">
        <f aca="false">J310*10</f>
        <v>100</v>
      </c>
      <c r="K502" s="1" t="n">
        <f aca="false">K501+1</f>
        <v>114</v>
      </c>
      <c r="L502" s="239" t="n">
        <f aca="false">J502*10^(K502/192)</f>
        <v>392.418975848454</v>
      </c>
    </row>
    <row r="503" customFormat="false" ht="15" hidden="false" customHeight="false" outlineLevel="0" collapsed="false">
      <c r="F503" s="238" t="n">
        <f aca="false">F407*10</f>
        <v>100000</v>
      </c>
      <c r="G503" s="1" t="n">
        <v>19</v>
      </c>
      <c r="H503" s="234" t="n">
        <f aca="false">F503*10^(G503/96)</f>
        <v>157730.858339097</v>
      </c>
      <c r="J503" s="238" t="n">
        <f aca="false">J311*10</f>
        <v>100</v>
      </c>
      <c r="K503" s="1" t="n">
        <f aca="false">K502+1</f>
        <v>115</v>
      </c>
      <c r="L503" s="239" t="n">
        <f aca="false">J503*10^(K503/192)</f>
        <v>397.153444324857</v>
      </c>
    </row>
    <row r="504" customFormat="false" ht="15" hidden="false" customHeight="false" outlineLevel="0" collapsed="false">
      <c r="F504" s="238" t="n">
        <f aca="false">F408*10</f>
        <v>100000</v>
      </c>
      <c r="G504" s="1" t="n">
        <v>20</v>
      </c>
      <c r="H504" s="234" t="n">
        <f aca="false">F504*10^(G504/96)</f>
        <v>161559.809843987</v>
      </c>
      <c r="J504" s="238" t="n">
        <f aca="false">J312*10</f>
        <v>100</v>
      </c>
      <c r="K504" s="1" t="n">
        <f aca="false">K503+1</f>
        <v>116</v>
      </c>
      <c r="L504" s="239" t="n">
        <f aca="false">J504*10^(K504/192)</f>
        <v>401.945033361512</v>
      </c>
    </row>
    <row r="505" customFormat="false" ht="15" hidden="false" customHeight="false" outlineLevel="0" collapsed="false">
      <c r="F505" s="238" t="n">
        <f aca="false">F409*10</f>
        <v>100000</v>
      </c>
      <c r="G505" s="1" t="n">
        <v>21</v>
      </c>
      <c r="H505" s="234" t="n">
        <f aca="false">F505*10^(G505/96)</f>
        <v>165481.709994318</v>
      </c>
      <c r="J505" s="238" t="n">
        <f aca="false">J313*10</f>
        <v>100</v>
      </c>
      <c r="K505" s="1" t="n">
        <f aca="false">K504+1</f>
        <v>117</v>
      </c>
      <c r="L505" s="239" t="n">
        <f aca="false">J505*10^(K505/192)</f>
        <v>406.794432108305</v>
      </c>
    </row>
    <row r="506" customFormat="false" ht="15" hidden="false" customHeight="false" outlineLevel="0" collapsed="false">
      <c r="F506" s="238" t="n">
        <f aca="false">F410*10</f>
        <v>100000</v>
      </c>
      <c r="G506" s="1" t="n">
        <v>22</v>
      </c>
      <c r="H506" s="234" t="n">
        <f aca="false">F506*10^(G506/96)</f>
        <v>169498.815139035</v>
      </c>
      <c r="J506" s="238" t="n">
        <f aca="false">J314*10</f>
        <v>100</v>
      </c>
      <c r="K506" s="1" t="n">
        <f aca="false">K505+1</f>
        <v>118</v>
      </c>
      <c r="L506" s="239" t="n">
        <f aca="false">J506*10^(K506/192)</f>
        <v>411.702338029595</v>
      </c>
    </row>
    <row r="507" customFormat="false" ht="15" hidden="false" customHeight="false" outlineLevel="0" collapsed="false">
      <c r="F507" s="238" t="n">
        <f aca="false">F411*10</f>
        <v>100000</v>
      </c>
      <c r="G507" s="1" t="n">
        <v>23</v>
      </c>
      <c r="H507" s="234" t="n">
        <f aca="false">F507*10^(G507/96)</f>
        <v>173613.436400452</v>
      </c>
      <c r="J507" s="238" t="n">
        <f aca="false">J315*10</f>
        <v>100</v>
      </c>
      <c r="K507" s="1" t="n">
        <f aca="false">K506+1</f>
        <v>119</v>
      </c>
      <c r="L507" s="239" t="n">
        <f aca="false">J507*10^(K507/192)</f>
        <v>416.669457004533</v>
      </c>
    </row>
    <row r="508" customFormat="false" ht="15" hidden="false" customHeight="false" outlineLevel="0" collapsed="false">
      <c r="F508" s="238" t="n">
        <f aca="false">F412*10</f>
        <v>100000</v>
      </c>
      <c r="G508" s="1" t="n">
        <v>24</v>
      </c>
      <c r="H508" s="234" t="n">
        <f aca="false">F508*10^(G508/96)</f>
        <v>177827.941003892</v>
      </c>
      <c r="J508" s="238" t="n">
        <f aca="false">J316*10</f>
        <v>100</v>
      </c>
      <c r="K508" s="1" t="n">
        <f aca="false">K507+1</f>
        <v>120</v>
      </c>
      <c r="L508" s="239" t="n">
        <f aca="false">J508*10^(K508/192)</f>
        <v>421.696503428582</v>
      </c>
    </row>
    <row r="509" customFormat="false" ht="15" hidden="false" customHeight="false" outlineLevel="0" collapsed="false">
      <c r="F509" s="238" t="n">
        <f aca="false">F413*10</f>
        <v>100000</v>
      </c>
      <c r="G509" s="1" t="n">
        <v>25</v>
      </c>
      <c r="H509" s="234" t="n">
        <f aca="false">F509*10^(G509/96)</f>
        <v>182144.753639595</v>
      </c>
      <c r="J509" s="238" t="n">
        <f aca="false">J317*10</f>
        <v>100</v>
      </c>
      <c r="K509" s="1" t="n">
        <f aca="false">K508+1</f>
        <v>121</v>
      </c>
      <c r="L509" s="239" t="n">
        <f aca="false">J509*10^(K509/192)</f>
        <v>426.784200316266</v>
      </c>
    </row>
    <row r="510" customFormat="false" ht="15" hidden="false" customHeight="false" outlineLevel="0" collapsed="false">
      <c r="F510" s="238" t="n">
        <f aca="false">F414*10</f>
        <v>100000</v>
      </c>
      <c r="G510" s="1" t="n">
        <v>26</v>
      </c>
      <c r="H510" s="234" t="n">
        <f aca="false">F510*10^(G510/96)</f>
        <v>186566.357857691</v>
      </c>
      <c r="J510" s="238" t="n">
        <f aca="false">J318*10</f>
        <v>100</v>
      </c>
      <c r="K510" s="1" t="n">
        <f aca="false">K509+1</f>
        <v>122</v>
      </c>
      <c r="L510" s="239" t="n">
        <f aca="false">J510*10^(K510/192)</f>
        <v>431.933279405154</v>
      </c>
    </row>
    <row r="511" customFormat="false" ht="15" hidden="false" customHeight="false" outlineLevel="0" collapsed="false">
      <c r="F511" s="238" t="n">
        <f aca="false">F415*10</f>
        <v>100000</v>
      </c>
      <c r="G511" s="1" t="n">
        <v>27</v>
      </c>
      <c r="H511" s="234" t="n">
        <f aca="false">F511*10^(G511/96)</f>
        <v>191095.297497044</v>
      </c>
      <c r="J511" s="238" t="n">
        <f aca="false">J319*10</f>
        <v>100</v>
      </c>
      <c r="K511" s="1" t="n">
        <f aca="false">K510+1</f>
        <v>123</v>
      </c>
      <c r="L511" s="239" t="n">
        <f aca="false">J511*10^(K511/192)</f>
        <v>437.144481261109</v>
      </c>
    </row>
    <row r="512" customFormat="false" ht="15" hidden="false" customHeight="false" outlineLevel="0" collapsed="false">
      <c r="F512" s="238" t="n">
        <f aca="false">F416*10</f>
        <v>100000</v>
      </c>
      <c r="G512" s="1" t="n">
        <v>28</v>
      </c>
      <c r="H512" s="234" t="n">
        <f aca="false">F512*10^(G512/96)</f>
        <v>195734.178148766</v>
      </c>
      <c r="J512" s="238" t="n">
        <f aca="false">J320*10</f>
        <v>100</v>
      </c>
      <c r="K512" s="1" t="n">
        <f aca="false">K511+1</f>
        <v>124</v>
      </c>
      <c r="L512" s="239" t="n">
        <f aca="false">J512*10^(K512/192)</f>
        <v>442.418555384792</v>
      </c>
    </row>
    <row r="513" customFormat="false" ht="15" hidden="false" customHeight="false" outlineLevel="0" collapsed="false">
      <c r="F513" s="238" t="n">
        <f aca="false">F417*10</f>
        <v>100000</v>
      </c>
      <c r="G513" s="1" t="n">
        <v>29</v>
      </c>
      <c r="H513" s="234" t="n">
        <f aca="false">F513*10^(G513/96)</f>
        <v>200485.668655271</v>
      </c>
      <c r="J513" s="238" t="n">
        <f aca="false">J321*10</f>
        <v>100</v>
      </c>
      <c r="K513" s="1" t="n">
        <f aca="false">K512+1</f>
        <v>125</v>
      </c>
      <c r="L513" s="239" t="n">
        <f aca="false">J513*10^(K513/192)</f>
        <v>447.756260319464</v>
      </c>
    </row>
    <row r="514" customFormat="false" ht="15" hidden="false" customHeight="false" outlineLevel="0" collapsed="false">
      <c r="F514" s="238" t="n">
        <f aca="false">F418*10</f>
        <v>100000</v>
      </c>
      <c r="G514" s="1" t="n">
        <v>30</v>
      </c>
      <c r="H514" s="234" t="n">
        <f aca="false">F514*10^(G514/96)</f>
        <v>205352.502645715</v>
      </c>
      <c r="J514" s="238" t="n">
        <f aca="false">J322*10</f>
        <v>100</v>
      </c>
      <c r="K514" s="1" t="n">
        <f aca="false">K513+1</f>
        <v>126</v>
      </c>
      <c r="L514" s="239" t="n">
        <f aca="false">J514*10^(K514/192)</f>
        <v>453.158363760082</v>
      </c>
    </row>
    <row r="515" customFormat="false" ht="15" hidden="false" customHeight="false" outlineLevel="0" collapsed="false">
      <c r="F515" s="238" t="n">
        <f aca="false">F419*10</f>
        <v>100000</v>
      </c>
      <c r="G515" s="1" t="n">
        <v>31</v>
      </c>
      <c r="H515" s="234" t="n">
        <f aca="false">F515*10^(G515/96)</f>
        <v>210337.480108703</v>
      </c>
      <c r="J515" s="238" t="n">
        <f aca="false">J323*10</f>
        <v>100</v>
      </c>
      <c r="K515" s="1" t="n">
        <f aca="false">K514+1</f>
        <v>127</v>
      </c>
      <c r="L515" s="239" t="n">
        <f aca="false">J515*10^(K515/192)</f>
        <v>458.625642663713</v>
      </c>
    </row>
    <row r="516" customFormat="false" ht="15" hidden="false" customHeight="false" outlineLevel="0" collapsed="false">
      <c r="F516" s="238" t="n">
        <f aca="false">F420*10</f>
        <v>100000</v>
      </c>
      <c r="G516" s="1" t="n">
        <v>32</v>
      </c>
      <c r="H516" s="234" t="n">
        <f aca="false">F516*10^(G516/96)</f>
        <v>215443.469003188</v>
      </c>
      <c r="J516" s="238" t="n">
        <f aca="false">J324*10</f>
        <v>100</v>
      </c>
      <c r="K516" s="1" t="n">
        <f aca="false">K515+1</f>
        <v>128</v>
      </c>
      <c r="L516" s="239" t="n">
        <f aca="false">J516*10^(K516/192)</f>
        <v>464.158883361278</v>
      </c>
    </row>
    <row r="517" customFormat="false" ht="15" hidden="false" customHeight="false" outlineLevel="0" collapsed="false">
      <c r="F517" s="238" t="n">
        <f aca="false">F421*10</f>
        <v>100000</v>
      </c>
      <c r="G517" s="1" t="n">
        <v>33</v>
      </c>
      <c r="H517" s="234" t="n">
        <f aca="false">F517*10^(G517/96)</f>
        <v>220673.406908459</v>
      </c>
      <c r="J517" s="238" t="n">
        <f aca="false">J325*10</f>
        <v>100</v>
      </c>
      <c r="K517" s="1" t="n">
        <f aca="false">K516+1</f>
        <v>129</v>
      </c>
      <c r="L517" s="239" t="n">
        <f aca="false">J517*10^(K517/192)</f>
        <v>469.758881670649</v>
      </c>
    </row>
    <row r="518" customFormat="false" ht="15" hidden="false" customHeight="false" outlineLevel="0" collapsed="false">
      <c r="F518" s="238" t="n">
        <f aca="false">F422*10</f>
        <v>100000</v>
      </c>
      <c r="G518" s="1" t="n">
        <v>34</v>
      </c>
      <c r="H518" s="234" t="n">
        <f aca="false">F518*10^(G518/96)</f>
        <v>226030.302714192</v>
      </c>
      <c r="J518" s="238" t="n">
        <f aca="false">J326*10</f>
        <v>100</v>
      </c>
      <c r="K518" s="1" t="n">
        <f aca="false">K517+1</f>
        <v>130</v>
      </c>
      <c r="L518" s="239" t="n">
        <f aca="false">J518*10^(K518/192)</f>
        <v>475.426443011106</v>
      </c>
    </row>
    <row r="519" customFormat="false" ht="15" hidden="false" customHeight="false" outlineLevel="0" collapsed="false">
      <c r="F519" s="238" t="n">
        <f aca="false">F423*10</f>
        <v>100000</v>
      </c>
      <c r="G519" s="1" t="n">
        <v>35</v>
      </c>
      <c r="H519" s="234" t="n">
        <f aca="false">F519*10^(G519/96)</f>
        <v>231517.238351527</v>
      </c>
      <c r="J519" s="238" t="n">
        <f aca="false">J327*10</f>
        <v>100</v>
      </c>
      <c r="K519" s="1" t="n">
        <f aca="false">K518+1</f>
        <v>131</v>
      </c>
      <c r="L519" s="239" t="n">
        <f aca="false">J519*10^(K519/192)</f>
        <v>481.162382519173</v>
      </c>
    </row>
    <row r="520" customFormat="false" ht="15" hidden="false" customHeight="false" outlineLevel="0" collapsed="false">
      <c r="F520" s="238" t="n">
        <f aca="false">F424*10</f>
        <v>100000</v>
      </c>
      <c r="G520" s="1" t="n">
        <v>36</v>
      </c>
      <c r="H520" s="234" t="n">
        <f aca="false">F520*10^(G520/96)</f>
        <v>237137.370566166</v>
      </c>
      <c r="J520" s="238" t="n">
        <f aca="false">J328*10</f>
        <v>100</v>
      </c>
      <c r="K520" s="1" t="n">
        <f aca="false">K519+1</f>
        <v>132</v>
      </c>
      <c r="L520" s="239" t="n">
        <f aca="false">J520*10^(K520/192)</f>
        <v>486.967525165863</v>
      </c>
    </row>
    <row r="521" customFormat="false" ht="15" hidden="false" customHeight="false" outlineLevel="0" collapsed="false">
      <c r="F521" s="238" t="n">
        <f aca="false">F425*10</f>
        <v>100000</v>
      </c>
      <c r="G521" s="1" t="n">
        <v>37</v>
      </c>
      <c r="H521" s="234" t="n">
        <f aca="false">F521*10^(G521/96)</f>
        <v>242893.932734508</v>
      </c>
      <c r="J521" s="238" t="n">
        <f aca="false">J329*10</f>
        <v>100</v>
      </c>
      <c r="K521" s="1" t="n">
        <f aca="false">K520+1</f>
        <v>133</v>
      </c>
      <c r="L521" s="239" t="n">
        <f aca="false">J521*10^(K521/192)</f>
        <v>492.842705875321</v>
      </c>
    </row>
    <row r="522" customFormat="false" ht="15" hidden="false" customHeight="false" outlineLevel="0" collapsed="false">
      <c r="F522" s="238" t="n">
        <f aca="false">F426*10</f>
        <v>100000</v>
      </c>
      <c r="G522" s="1" t="n">
        <v>38</v>
      </c>
      <c r="H522" s="234" t="n">
        <f aca="false">F522*10^(G522/96)</f>
        <v>248790.236723884</v>
      </c>
      <c r="J522" s="238" t="n">
        <f aca="false">J330*10</f>
        <v>100</v>
      </c>
      <c r="K522" s="1" t="n">
        <f aca="false">K521+1</f>
        <v>134</v>
      </c>
      <c r="L522" s="239" t="n">
        <f aca="false">J522*10^(K522/192)</f>
        <v>498.788769644911</v>
      </c>
    </row>
    <row r="523" customFormat="false" ht="15" hidden="false" customHeight="false" outlineLevel="0" collapsed="false">
      <c r="F523" s="238" t="n">
        <f aca="false">F427*10</f>
        <v>100000</v>
      </c>
      <c r="G523" s="1" t="n">
        <v>39</v>
      </c>
      <c r="H523" s="234" t="n">
        <f aca="false">F523*10^(G523/96)</f>
        <v>254829.674797935</v>
      </c>
      <c r="J523" s="238" t="n">
        <f aca="false">J331*10</f>
        <v>100</v>
      </c>
      <c r="K523" s="1" t="n">
        <f aca="false">K522+1</f>
        <v>135</v>
      </c>
      <c r="L523" s="239" t="n">
        <f aca="false">J523*10^(K523/192)</f>
        <v>504.806571666747</v>
      </c>
    </row>
    <row r="524" customFormat="false" ht="15" hidden="false" customHeight="false" outlineLevel="0" collapsed="false">
      <c r="F524" s="238" t="n">
        <f aca="false">F428*10</f>
        <v>100000</v>
      </c>
      <c r="G524" s="1" t="n">
        <v>40</v>
      </c>
      <c r="H524" s="234" t="n">
        <f aca="false">F524*10^(G524/96)</f>
        <v>261015.721568254</v>
      </c>
      <c r="J524" s="238" t="n">
        <f aca="false">J332*10</f>
        <v>100</v>
      </c>
      <c r="K524" s="1" t="n">
        <f aca="false">K523+1</f>
        <v>136</v>
      </c>
      <c r="L524" s="239" t="n">
        <f aca="false">J524*10^(K524/192)</f>
        <v>510.896977450693</v>
      </c>
    </row>
    <row r="525" customFormat="false" ht="15" hidden="false" customHeight="false" outlineLevel="0" collapsed="false">
      <c r="F525" s="238" t="n">
        <f aca="false">F429*10</f>
        <v>100000</v>
      </c>
      <c r="G525" s="1" t="n">
        <v>41</v>
      </c>
      <c r="H525" s="234" t="n">
        <f aca="false">F525*10^(G525/96)</f>
        <v>267351.935993399</v>
      </c>
      <c r="J525" s="238" t="n">
        <f aca="false">J333*10</f>
        <v>100</v>
      </c>
      <c r="K525" s="1" t="n">
        <f aca="false">K524+1</f>
        <v>137</v>
      </c>
      <c r="L525" s="239" t="n">
        <f aca="false">J525*10^(K525/192)</f>
        <v>517.06086294884</v>
      </c>
    </row>
    <row r="526" customFormat="false" ht="15" hidden="false" customHeight="false" outlineLevel="0" collapsed="false">
      <c r="F526" s="238" t="n">
        <f aca="false">F430*10</f>
        <v>100000</v>
      </c>
      <c r="G526" s="1" t="n">
        <v>42</v>
      </c>
      <c r="H526" s="234" t="n">
        <f aca="false">F526*10^(G526/96)</f>
        <v>273841.963426436</v>
      </c>
      <c r="J526" s="238" t="n">
        <f aca="false">J334*10</f>
        <v>100</v>
      </c>
      <c r="K526" s="1" t="n">
        <f aca="false">K525+1</f>
        <v>138</v>
      </c>
      <c r="L526" s="239" t="n">
        <f aca="false">J526*10^(K526/192)</f>
        <v>523.299114681495</v>
      </c>
    </row>
    <row r="527" customFormat="false" ht="15" hidden="false" customHeight="false" outlineLevel="0" collapsed="false">
      <c r="F527" s="238" t="n">
        <f aca="false">F431*10</f>
        <v>100000</v>
      </c>
      <c r="G527" s="1" t="n">
        <v>43</v>
      </c>
      <c r="H527" s="234" t="n">
        <f aca="false">F527*10^(G527/96)</f>
        <v>280489.537712183</v>
      </c>
      <c r="J527" s="238" t="n">
        <f aca="false">J335*10</f>
        <v>100</v>
      </c>
      <c r="K527" s="1" t="n">
        <f aca="false">K526+1</f>
        <v>139</v>
      </c>
      <c r="L527" s="239" t="n">
        <f aca="false">J527*10^(K527/192)</f>
        <v>529.61262986468</v>
      </c>
    </row>
    <row r="528" customFormat="false" ht="15" hidden="false" customHeight="false" outlineLevel="0" collapsed="false">
      <c r="F528" s="238" t="n">
        <f aca="false">F432*10</f>
        <v>100000</v>
      </c>
      <c r="G528" s="1" t="n">
        <v>44</v>
      </c>
      <c r="H528" s="234" t="n">
        <f aca="false">F528*10^(G528/96)</f>
        <v>287298.483335367</v>
      </c>
      <c r="J528" s="238" t="n">
        <f aca="false">J336*10</f>
        <v>100</v>
      </c>
      <c r="K528" s="1" t="n">
        <f aca="false">K527+1</f>
        <v>140</v>
      </c>
      <c r="L528" s="239" t="n">
        <f aca="false">J528*10^(K528/192)</f>
        <v>536.002316539179</v>
      </c>
    </row>
    <row r="529" customFormat="false" ht="15" hidden="false" customHeight="false" outlineLevel="0" collapsed="false">
      <c r="F529" s="238" t="n">
        <f aca="false">F433*10</f>
        <v>100000</v>
      </c>
      <c r="G529" s="1" t="n">
        <v>45</v>
      </c>
      <c r="H529" s="234" t="n">
        <f aca="false">F529*10^(G529/96)</f>
        <v>294272.717620928</v>
      </c>
      <c r="J529" s="238" t="n">
        <f aca="false">J337*10</f>
        <v>100</v>
      </c>
      <c r="K529" s="1" t="n">
        <f aca="false">K528+1</f>
        <v>141</v>
      </c>
      <c r="L529" s="239" t="n">
        <f aca="false">J529*10^(K529/192)</f>
        <v>542.469093701133</v>
      </c>
    </row>
    <row r="530" customFormat="false" ht="15" hidden="false" customHeight="false" outlineLevel="0" collapsed="false">
      <c r="F530" s="238" t="n">
        <f aca="false">F434*10</f>
        <v>100000</v>
      </c>
      <c r="G530" s="1" t="n">
        <v>46</v>
      </c>
      <c r="H530" s="234" t="n">
        <f aca="false">F530*10^(G530/96)</f>
        <v>301416.252987739</v>
      </c>
      <c r="J530" s="238" t="n">
        <f aca="false">J338*10</f>
        <v>100</v>
      </c>
      <c r="K530" s="1" t="n">
        <f aca="false">K529+1</f>
        <v>142</v>
      </c>
      <c r="L530" s="239" t="n">
        <f aca="false">J530*10^(K530/192)</f>
        <v>549.013891434214</v>
      </c>
    </row>
    <row r="531" customFormat="false" ht="15" hidden="false" customHeight="false" outlineLevel="0" collapsed="false">
      <c r="F531" s="238" t="n">
        <f aca="false">F435*10</f>
        <v>100000</v>
      </c>
      <c r="G531" s="1" t="n">
        <v>47</v>
      </c>
      <c r="H531" s="234" t="n">
        <f aca="false">F531*10^(G531/96)</f>
        <v>308733.199257026</v>
      </c>
      <c r="J531" s="238" t="n">
        <f aca="false">J339*10</f>
        <v>100</v>
      </c>
      <c r="K531" s="1" t="n">
        <f aca="false">K530+1</f>
        <v>143</v>
      </c>
      <c r="L531" s="239" t="n">
        <f aca="false">J531*10^(K531/192)</f>
        <v>555.637651043399</v>
      </c>
    </row>
    <row r="532" customFormat="false" ht="15" hidden="false" customHeight="false" outlineLevel="0" collapsed="false">
      <c r="F532" s="238" t="n">
        <f aca="false">F436*10</f>
        <v>100000</v>
      </c>
      <c r="G532" s="1" t="n">
        <v>48</v>
      </c>
      <c r="H532" s="234" t="n">
        <f aca="false">F532*10^(G532/96)</f>
        <v>316227.766016838</v>
      </c>
      <c r="J532" s="238" t="n">
        <f aca="false">J340*10</f>
        <v>100</v>
      </c>
      <c r="K532" s="1" t="n">
        <f aca="false">K531+1</f>
        <v>144</v>
      </c>
      <c r="L532" s="239" t="n">
        <f aca="false">J532*10^(K532/192)</f>
        <v>562.341325190349</v>
      </c>
    </row>
    <row r="533" customFormat="false" ht="15" hidden="false" customHeight="false" outlineLevel="0" collapsed="false">
      <c r="F533" s="238" t="n">
        <f aca="false">F437*10</f>
        <v>100000</v>
      </c>
      <c r="G533" s="1" t="n">
        <v>49</v>
      </c>
      <c r="H533" s="234" t="n">
        <f aca="false">F533*10^(G533/96)</f>
        <v>323904.265043903</v>
      </c>
      <c r="J533" s="238" t="n">
        <f aca="false">J341*10</f>
        <v>100</v>
      </c>
      <c r="K533" s="1" t="n">
        <f aca="false">K532+1</f>
        <v>145</v>
      </c>
      <c r="L533" s="239" t="n">
        <f aca="false">J533*10^(K533/192)</f>
        <v>569.125878030426</v>
      </c>
    </row>
    <row r="534" customFormat="false" ht="15" hidden="false" customHeight="false" outlineLevel="0" collapsed="false">
      <c r="F534" s="238" t="n">
        <f aca="false">F438*10</f>
        <v>100000</v>
      </c>
      <c r="G534" s="1" t="n">
        <v>50</v>
      </c>
      <c r="H534" s="234" t="n">
        <f aca="false">F534*10^(G534/96)</f>
        <v>331767.112784286</v>
      </c>
      <c r="J534" s="238" t="n">
        <f aca="false">J342*10</f>
        <v>100</v>
      </c>
      <c r="K534" s="1" t="n">
        <f aca="false">K533+1</f>
        <v>146</v>
      </c>
      <c r="L534" s="239" t="n">
        <f aca="false">J534*10^(K534/192)</f>
        <v>575.992285351363</v>
      </c>
    </row>
    <row r="535" customFormat="false" ht="15" hidden="false" customHeight="false" outlineLevel="0" collapsed="false">
      <c r="F535" s="238" t="n">
        <f aca="false">F439*10</f>
        <v>100000</v>
      </c>
      <c r="G535" s="1" t="n">
        <v>51</v>
      </c>
      <c r="H535" s="234" t="n">
        <f aca="false">F535*10^(G535/96)</f>
        <v>339820.832894256</v>
      </c>
      <c r="J535" s="238" t="n">
        <f aca="false">J343*10</f>
        <v>100</v>
      </c>
      <c r="K535" s="1" t="n">
        <f aca="false">K534+1</f>
        <v>147</v>
      </c>
      <c r="L535" s="239" t="n">
        <f aca="false">J535*10^(K535/192)</f>
        <v>582.941534713607</v>
      </c>
    </row>
    <row r="536" customFormat="false" ht="15" hidden="false" customHeight="false" outlineLevel="0" collapsed="false">
      <c r="F536" s="238" t="n">
        <f aca="false">F440*10</f>
        <v>100000</v>
      </c>
      <c r="G536" s="1" t="n">
        <v>52</v>
      </c>
      <c r="H536" s="234" t="n">
        <f aca="false">F536*10^(G536/96)</f>
        <v>348070.058842841</v>
      </c>
      <c r="J536" s="238" t="n">
        <f aca="false">J344*10</f>
        <v>100</v>
      </c>
      <c r="K536" s="1" t="n">
        <f aca="false">K535+1</f>
        <v>148</v>
      </c>
      <c r="L536" s="239" t="n">
        <f aca="false">J536*10^(K536/192)</f>
        <v>589.974625592357</v>
      </c>
    </row>
    <row r="537" customFormat="false" ht="15" hidden="false" customHeight="false" outlineLevel="0" collapsed="false">
      <c r="F537" s="238" t="n">
        <f aca="false">F441*10</f>
        <v>100000</v>
      </c>
      <c r="G537" s="1" t="n">
        <v>53</v>
      </c>
      <c r="H537" s="234" t="n">
        <f aca="false">F537*10^(G537/96)</f>
        <v>356519.536577555</v>
      </c>
      <c r="J537" s="238" t="n">
        <f aca="false">J345*10</f>
        <v>100</v>
      </c>
      <c r="K537" s="1" t="n">
        <f aca="false">K536+1</f>
        <v>149</v>
      </c>
      <c r="L537" s="239" t="n">
        <f aca="false">J537*10^(K537/192)</f>
        <v>597.092569521305</v>
      </c>
    </row>
    <row r="538" customFormat="false" ht="15" hidden="false" customHeight="false" outlineLevel="0" collapsed="false">
      <c r="F538" s="238" t="n">
        <f aca="false">F442*10</f>
        <v>100000</v>
      </c>
      <c r="G538" s="1" t="n">
        <v>54</v>
      </c>
      <c r="H538" s="234" t="n">
        <f aca="false">F538*10^(G538/96)</f>
        <v>365174.127254838</v>
      </c>
      <c r="J538" s="238" t="n">
        <f aca="false">J346*10</f>
        <v>100</v>
      </c>
      <c r="K538" s="1" t="n">
        <f aca="false">K537+1</f>
        <v>150</v>
      </c>
      <c r="L538" s="239" t="n">
        <f aca="false">J538*10^(K538/192)</f>
        <v>604.296390238133</v>
      </c>
    </row>
    <row r="539" customFormat="false" ht="15" hidden="false" customHeight="false" outlineLevel="0" collapsed="false">
      <c r="F539" s="238" t="n">
        <f aca="false">F443*10</f>
        <v>100000</v>
      </c>
      <c r="G539" s="1" t="n">
        <v>55</v>
      </c>
      <c r="H539" s="234" t="n">
        <f aca="false">F539*10^(G539/96)</f>
        <v>374038.810036779</v>
      </c>
      <c r="J539" s="238" t="n">
        <f aca="false">J347*10</f>
        <v>100</v>
      </c>
      <c r="K539" s="1" t="n">
        <f aca="false">K538+1</f>
        <v>151</v>
      </c>
      <c r="L539" s="239" t="n">
        <f aca="false">J539*10^(K539/192)</f>
        <v>611.587123831739</v>
      </c>
    </row>
    <row r="540" customFormat="false" ht="15" hidden="false" customHeight="false" outlineLevel="0" collapsed="false">
      <c r="F540" s="238" t="n">
        <f aca="false">F444*10</f>
        <v>100000</v>
      </c>
      <c r="G540" s="1" t="n">
        <v>56</v>
      </c>
      <c r="H540" s="234" t="n">
        <f aca="false">F540*10^(G540/96)</f>
        <v>383118.684955729</v>
      </c>
      <c r="J540" s="238" t="n">
        <f aca="false">J348*10</f>
        <v>100</v>
      </c>
      <c r="K540" s="1" t="n">
        <f aca="false">K539+1</f>
        <v>152</v>
      </c>
      <c r="L540" s="239" t="n">
        <f aca="false">J540*10^(K540/192)</f>
        <v>618.965818891261</v>
      </c>
    </row>
    <row r="541" customFormat="false" ht="15" hidden="false" customHeight="false" outlineLevel="0" collapsed="false">
      <c r="F541" s="238" t="n">
        <f aca="false">F445*10</f>
        <v>100000</v>
      </c>
      <c r="G541" s="1" t="n">
        <v>57</v>
      </c>
      <c r="H541" s="234" t="n">
        <f aca="false">F541*10^(G541/96)</f>
        <v>392418.975848454</v>
      </c>
      <c r="J541" s="238" t="n">
        <f aca="false">J349*10</f>
        <v>100</v>
      </c>
      <c r="K541" s="1" t="n">
        <f aca="false">K540+1</f>
        <v>153</v>
      </c>
      <c r="L541" s="239" t="n">
        <f aca="false">J541*10^(K541/192)</f>
        <v>626.433536656886</v>
      </c>
    </row>
    <row r="542" customFormat="false" ht="15" hidden="false" customHeight="false" outlineLevel="0" collapsed="false">
      <c r="F542" s="238" t="n">
        <f aca="false">F446*10</f>
        <v>100000</v>
      </c>
      <c r="G542" s="1" t="n">
        <v>58</v>
      </c>
      <c r="H542" s="234" t="n">
        <f aca="false">F542*10^(G542/96)</f>
        <v>401945.033361512</v>
      </c>
      <c r="J542" s="238" t="n">
        <f aca="false">J350*10</f>
        <v>100</v>
      </c>
      <c r="K542" s="1" t="n">
        <f aca="false">K541+1</f>
        <v>154</v>
      </c>
      <c r="L542" s="239" t="n">
        <f aca="false">J542*10^(K542/192)</f>
        <v>633.991351172484</v>
      </c>
    </row>
    <row r="543" customFormat="false" ht="15" hidden="false" customHeight="false" outlineLevel="0" collapsed="false">
      <c r="F543" s="238" t="n">
        <f aca="false">F447*10</f>
        <v>100000</v>
      </c>
      <c r="G543" s="1" t="n">
        <v>59</v>
      </c>
      <c r="H543" s="234" t="n">
        <f aca="false">F543*10^(G543/96)</f>
        <v>411702.338029595</v>
      </c>
      <c r="J543" s="238" t="n">
        <f aca="false">J351*10</f>
        <v>100</v>
      </c>
      <c r="K543" s="1" t="n">
        <f aca="false">K542+1</f>
        <v>155</v>
      </c>
      <c r="L543" s="239" t="n">
        <f aca="false">J543*10^(K543/192)</f>
        <v>641.640349440085</v>
      </c>
    </row>
    <row r="544" customFormat="false" ht="15" hidden="false" customHeight="false" outlineLevel="0" collapsed="false">
      <c r="F544" s="238" t="n">
        <f aca="false">F448*10</f>
        <v>100000</v>
      </c>
      <c r="G544" s="1" t="n">
        <v>60</v>
      </c>
      <c r="H544" s="234" t="n">
        <f aca="false">F544*10^(G544/96)</f>
        <v>421696.503428582</v>
      </c>
      <c r="J544" s="238" t="n">
        <f aca="false">J352*10</f>
        <v>100</v>
      </c>
      <c r="K544" s="1" t="n">
        <f aca="false">K543+1</f>
        <v>156</v>
      </c>
      <c r="L544" s="239" t="n">
        <f aca="false">J544*10^(K544/192)</f>
        <v>649.381631576211</v>
      </c>
    </row>
    <row r="545" customFormat="false" ht="15" hidden="false" customHeight="false" outlineLevel="0" collapsed="false">
      <c r="F545" s="238" t="n">
        <f aca="false">F449*10</f>
        <v>100000</v>
      </c>
      <c r="G545" s="1" t="n">
        <v>61</v>
      </c>
      <c r="H545" s="234" t="n">
        <f aca="false">F545*10^(G545/96)</f>
        <v>431933.279405154</v>
      </c>
      <c r="J545" s="238" t="n">
        <f aca="false">J353*10</f>
        <v>100</v>
      </c>
      <c r="K545" s="1" t="n">
        <f aca="false">K544+1</f>
        <v>157</v>
      </c>
      <c r="L545" s="239" t="n">
        <f aca="false">J545*10^(K545/192)</f>
        <v>657.216310970106</v>
      </c>
    </row>
    <row r="546" customFormat="false" ht="15" hidden="false" customHeight="false" outlineLevel="0" collapsed="false">
      <c r="F546" s="238" t="n">
        <f aca="false">F450*10</f>
        <v>100000</v>
      </c>
      <c r="G546" s="1" t="n">
        <v>62</v>
      </c>
      <c r="H546" s="234" t="n">
        <f aca="false">F546*10^(G546/96)</f>
        <v>442418.555384792</v>
      </c>
      <c r="J546" s="238" t="n">
        <f aca="false">J354*10</f>
        <v>100</v>
      </c>
      <c r="K546" s="1" t="n">
        <f aca="false">K545+1</f>
        <v>158</v>
      </c>
      <c r="L546" s="239" t="n">
        <f aca="false">J546*10^(K546/192)</f>
        <v>665.145514443863</v>
      </c>
    </row>
    <row r="547" customFormat="false" ht="15" hidden="false" customHeight="false" outlineLevel="0" collapsed="false">
      <c r="F547" s="238" t="n">
        <f aca="false">F451*10</f>
        <v>100000</v>
      </c>
      <c r="G547" s="1" t="n">
        <v>63</v>
      </c>
      <c r="H547" s="234" t="n">
        <f aca="false">F547*10^(G547/96)</f>
        <v>453158.363760082</v>
      </c>
      <c r="J547" s="238" t="n">
        <f aca="false">J355*10</f>
        <v>100</v>
      </c>
      <c r="K547" s="1" t="n">
        <f aca="false">K546+1</f>
        <v>159</v>
      </c>
      <c r="L547" s="239" t="n">
        <f aca="false">J547*10^(K547/192)</f>
        <v>673.170382414498</v>
      </c>
    </row>
    <row r="548" customFormat="false" ht="15" hidden="false" customHeight="false" outlineLevel="0" collapsed="false">
      <c r="F548" s="238" t="n">
        <f aca="false">F452*10</f>
        <v>100000</v>
      </c>
      <c r="G548" s="1" t="n">
        <v>64</v>
      </c>
      <c r="H548" s="234" t="n">
        <f aca="false">F548*10^(G548/96)</f>
        <v>464158.883361278</v>
      </c>
      <c r="J548" s="238" t="n">
        <f aca="false">J356*10</f>
        <v>100</v>
      </c>
      <c r="K548" s="1" t="n">
        <f aca="false">K547+1</f>
        <v>160</v>
      </c>
      <c r="L548" s="239" t="n">
        <f aca="false">J548*10^(K548/192)</f>
        <v>681.292069057961</v>
      </c>
    </row>
    <row r="549" customFormat="false" ht="15" hidden="false" customHeight="false" outlineLevel="0" collapsed="false">
      <c r="F549" s="238" t="n">
        <f aca="false">F453*10</f>
        <v>100000</v>
      </c>
      <c r="G549" s="1" t="n">
        <v>65</v>
      </c>
      <c r="H549" s="234" t="n">
        <f aca="false">F549*10^(G549/96)</f>
        <v>475426.443011106</v>
      </c>
      <c r="J549" s="238" t="n">
        <f aca="false">J357*10</f>
        <v>100</v>
      </c>
      <c r="K549" s="1" t="n">
        <f aca="false">K548+1</f>
        <v>161</v>
      </c>
      <c r="L549" s="239" t="n">
        <f aca="false">J549*10^(K549/192)</f>
        <v>689.511742475141</v>
      </c>
    </row>
    <row r="550" customFormat="false" ht="15" hidden="false" customHeight="false" outlineLevel="0" collapsed="false">
      <c r="F550" s="238" t="n">
        <f aca="false">F454*10</f>
        <v>100000</v>
      </c>
      <c r="G550" s="1" t="n">
        <v>66</v>
      </c>
      <c r="H550" s="234" t="n">
        <f aca="false">F550*10^(G550/96)</f>
        <v>486967.525165863</v>
      </c>
      <c r="J550" s="238" t="n">
        <f aca="false">J358*10</f>
        <v>100</v>
      </c>
      <c r="K550" s="1" t="n">
        <f aca="false">K549+1</f>
        <v>162</v>
      </c>
      <c r="L550" s="239" t="n">
        <f aca="false">J550*10^(K550/192)</f>
        <v>697.830584859866</v>
      </c>
    </row>
    <row r="551" customFormat="false" ht="15" hidden="false" customHeight="false" outlineLevel="0" collapsed="false">
      <c r="F551" s="238" t="n">
        <f aca="false">F455*10</f>
        <v>100000</v>
      </c>
      <c r="G551" s="1" t="n">
        <v>67</v>
      </c>
      <c r="H551" s="234" t="n">
        <f aca="false">F551*10^(G551/96)</f>
        <v>498788.769644911</v>
      </c>
      <c r="J551" s="238" t="n">
        <f aca="false">J359*10</f>
        <v>100</v>
      </c>
      <c r="K551" s="1" t="n">
        <f aca="false">K550+1</f>
        <v>163</v>
      </c>
      <c r="L551" s="239" t="n">
        <f aca="false">J551*10^(K551/192)</f>
        <v>706.249792668933</v>
      </c>
    </row>
    <row r="552" customFormat="false" ht="15" hidden="false" customHeight="false" outlineLevel="0" collapsed="false">
      <c r="F552" s="238" t="n">
        <f aca="false">F456*10</f>
        <v>100000</v>
      </c>
      <c r="G552" s="1" t="n">
        <v>68</v>
      </c>
      <c r="H552" s="234" t="n">
        <f aca="false">F552*10^(G552/96)</f>
        <v>510896.977450693</v>
      </c>
      <c r="J552" s="238" t="n">
        <f aca="false">J360*10</f>
        <v>100</v>
      </c>
      <c r="K552" s="1" t="n">
        <f aca="false">K551+1</f>
        <v>164</v>
      </c>
      <c r="L552" s="239" t="n">
        <f aca="false">J552*10^(K552/192)</f>
        <v>714.770576794186</v>
      </c>
    </row>
    <row r="553" customFormat="false" ht="15" hidden="false" customHeight="false" outlineLevel="0" collapsed="false">
      <c r="F553" s="238" t="n">
        <f aca="false">F457*10</f>
        <v>100000</v>
      </c>
      <c r="G553" s="1" t="n">
        <v>69</v>
      </c>
      <c r="H553" s="234" t="n">
        <f aca="false">F553*10^(G553/96)</f>
        <v>523299.114681495</v>
      </c>
      <c r="J553" s="238" t="n">
        <f aca="false">J361*10</f>
        <v>100</v>
      </c>
      <c r="K553" s="1" t="n">
        <f aca="false">K552+1</f>
        <v>165</v>
      </c>
      <c r="L553" s="239" t="n">
        <f aca="false">J553*10^(K553/192)</f>
        <v>723.394162736675</v>
      </c>
    </row>
    <row r="554" customFormat="false" ht="15" hidden="false" customHeight="false" outlineLevel="0" collapsed="false">
      <c r="F554" s="238" t="n">
        <f aca="false">F458*10</f>
        <v>100000</v>
      </c>
      <c r="G554" s="1" t="n">
        <v>70</v>
      </c>
      <c r="H554" s="234" t="n">
        <f aca="false">F554*10^(G554/96)</f>
        <v>536002.316539179</v>
      </c>
      <c r="J554" s="238" t="n">
        <f aca="false">J362*10</f>
        <v>100</v>
      </c>
      <c r="K554" s="1" t="n">
        <f aca="false">K553+1</f>
        <v>166</v>
      </c>
      <c r="L554" s="239" t="n">
        <f aca="false">J554*10^(K554/192)</f>
        <v>732.121790782913</v>
      </c>
    </row>
    <row r="555" customFormat="false" ht="15" hidden="false" customHeight="false" outlineLevel="0" collapsed="false">
      <c r="F555" s="238" t="n">
        <f aca="false">F459*10</f>
        <v>100000</v>
      </c>
      <c r="G555" s="1" t="n">
        <v>71</v>
      </c>
      <c r="H555" s="234" t="n">
        <f aca="false">F555*10^(G555/96)</f>
        <v>549013.891434214</v>
      </c>
      <c r="J555" s="238" t="n">
        <f aca="false">J363*10</f>
        <v>100</v>
      </c>
      <c r="K555" s="1" t="n">
        <f aca="false">K554+1</f>
        <v>167</v>
      </c>
      <c r="L555" s="239" t="n">
        <f aca="false">J555*10^(K555/192)</f>
        <v>740.954716183259</v>
      </c>
    </row>
    <row r="556" customFormat="false" ht="15" hidden="false" customHeight="false" outlineLevel="0" collapsed="false">
      <c r="F556" s="238" t="n">
        <f aca="false">F460*10</f>
        <v>100000</v>
      </c>
      <c r="G556" s="1" t="n">
        <v>72</v>
      </c>
      <c r="H556" s="234" t="n">
        <f aca="false">F556*10^(G556/96)</f>
        <v>562341.325190349</v>
      </c>
      <c r="J556" s="238" t="n">
        <f aca="false">J364*10</f>
        <v>100</v>
      </c>
      <c r="K556" s="1" t="n">
        <f aca="false">K555+1</f>
        <v>168</v>
      </c>
      <c r="L556" s="239" t="n">
        <f aca="false">J556*10^(K556/192)</f>
        <v>749.894209332456</v>
      </c>
    </row>
    <row r="557" customFormat="false" ht="15" hidden="false" customHeight="false" outlineLevel="0" collapsed="false">
      <c r="F557" s="238" t="n">
        <f aca="false">F461*10</f>
        <v>100000</v>
      </c>
      <c r="G557" s="1" t="n">
        <v>73</v>
      </c>
      <c r="H557" s="234" t="n">
        <f aca="false">F557*10^(G557/96)</f>
        <v>575992.285351363</v>
      </c>
      <c r="J557" s="238" t="n">
        <f aca="false">J365*10</f>
        <v>100</v>
      </c>
      <c r="K557" s="1" t="n">
        <f aca="false">K556+1</f>
        <v>169</v>
      </c>
      <c r="L557" s="239" t="n">
        <f aca="false">J557*10^(K557/192)</f>
        <v>758.941555952343</v>
      </c>
    </row>
    <row r="558" customFormat="false" ht="15" hidden="false" customHeight="false" outlineLevel="0" collapsed="false">
      <c r="F558" s="238" t="n">
        <f aca="false">F462*10</f>
        <v>100000</v>
      </c>
      <c r="G558" s="1" t="n">
        <v>74</v>
      </c>
      <c r="H558" s="234" t="n">
        <f aca="false">F558*10^(G558/96)</f>
        <v>589974.625592356</v>
      </c>
      <c r="J558" s="238" t="n">
        <f aca="false">J366*10</f>
        <v>100</v>
      </c>
      <c r="K558" s="1" t="n">
        <f aca="false">K557+1</f>
        <v>170</v>
      </c>
      <c r="L558" s="239" t="n">
        <f aca="false">J558*10^(K558/192)</f>
        <v>768.098057276775</v>
      </c>
    </row>
    <row r="559" customFormat="false" ht="15" hidden="false" customHeight="false" outlineLevel="0" collapsed="false">
      <c r="F559" s="238" t="n">
        <f aca="false">F463*10</f>
        <v>100000</v>
      </c>
      <c r="G559" s="1" t="n">
        <v>75</v>
      </c>
      <c r="H559" s="234" t="n">
        <f aca="false">F559*10^(G559/96)</f>
        <v>604296.390238133</v>
      </c>
      <c r="J559" s="238" t="n">
        <f aca="false">J367*10</f>
        <v>100</v>
      </c>
      <c r="K559" s="1" t="n">
        <f aca="false">K558+1</f>
        <v>171</v>
      </c>
      <c r="L559" s="239" t="n">
        <f aca="false">J559*10^(K559/192)</f>
        <v>777.365030238776</v>
      </c>
    </row>
    <row r="560" customFormat="false" ht="15" hidden="false" customHeight="false" outlineLevel="0" collapsed="false">
      <c r="F560" s="238" t="n">
        <f aca="false">F464*10</f>
        <v>100000</v>
      </c>
      <c r="G560" s="1" t="n">
        <v>76</v>
      </c>
      <c r="H560" s="234" t="n">
        <f aca="false">F560*10^(G560/96)</f>
        <v>618965.818891261</v>
      </c>
      <c r="J560" s="238" t="n">
        <f aca="false">J368*10</f>
        <v>100</v>
      </c>
      <c r="K560" s="1" t="n">
        <f aca="false">K559+1</f>
        <v>172</v>
      </c>
      <c r="L560" s="239" t="n">
        <f aca="false">J560*10^(K560/192)</f>
        <v>786.74380765994</v>
      </c>
    </row>
    <row r="561" customFormat="false" ht="15" hidden="false" customHeight="false" outlineLevel="0" collapsed="false">
      <c r="F561" s="238" t="n">
        <f aca="false">F465*10</f>
        <v>100000</v>
      </c>
      <c r="G561" s="1" t="n">
        <v>77</v>
      </c>
      <c r="H561" s="234" t="n">
        <f aca="false">F561*10^(G561/96)</f>
        <v>633991.351172485</v>
      </c>
      <c r="J561" s="238" t="n">
        <f aca="false">J369*10</f>
        <v>100</v>
      </c>
      <c r="K561" s="1" t="n">
        <f aca="false">K560+1</f>
        <v>173</v>
      </c>
      <c r="L561" s="239" t="n">
        <f aca="false">J561*10^(K561/192)</f>
        <v>796.23573844213</v>
      </c>
    </row>
    <row r="562" customFormat="false" ht="15" hidden="false" customHeight="false" outlineLevel="0" collapsed="false">
      <c r="F562" s="238" t="n">
        <f aca="false">F466*10</f>
        <v>100000</v>
      </c>
      <c r="G562" s="1" t="n">
        <v>78</v>
      </c>
      <c r="H562" s="234" t="n">
        <f aca="false">F562*10^(G562/96)</f>
        <v>649381.631576211</v>
      </c>
      <c r="J562" s="238" t="n">
        <f aca="false">J370*10</f>
        <v>100</v>
      </c>
      <c r="K562" s="1" t="n">
        <f aca="false">K561+1</f>
        <v>174</v>
      </c>
      <c r="L562" s="239" t="n">
        <f aca="false">J562*10^(K562/192)</f>
        <v>805.842187761482</v>
      </c>
    </row>
    <row r="563" customFormat="false" ht="15" hidden="false" customHeight="false" outlineLevel="0" collapsed="false">
      <c r="F563" s="238" t="n">
        <f aca="false">F467*10</f>
        <v>100000</v>
      </c>
      <c r="G563" s="1" t="n">
        <v>79</v>
      </c>
      <c r="H563" s="234" t="n">
        <f aca="false">F563*10^(G563/96)</f>
        <v>665145.514443863</v>
      </c>
      <c r="J563" s="238" t="n">
        <f aca="false">J371*10</f>
        <v>100</v>
      </c>
      <c r="K563" s="1" t="n">
        <f aca="false">K562+1</f>
        <v>175</v>
      </c>
      <c r="L563" s="239" t="n">
        <f aca="false">J563*10^(K563/192)</f>
        <v>815.564537264749</v>
      </c>
    </row>
    <row r="564" customFormat="false" ht="15" hidden="false" customHeight="false" outlineLevel="0" collapsed="false">
      <c r="F564" s="238" t="n">
        <f aca="false">F468*10</f>
        <v>100000</v>
      </c>
      <c r="G564" s="1" t="n">
        <v>80</v>
      </c>
      <c r="H564" s="234" t="n">
        <f aca="false">F564*10^(G564/96)</f>
        <v>681292.069057961</v>
      </c>
      <c r="J564" s="238" t="n">
        <f aca="false">J372*10</f>
        <v>100</v>
      </c>
      <c r="K564" s="1" t="n">
        <f aca="false">K563+1</f>
        <v>176</v>
      </c>
      <c r="L564" s="239" t="n">
        <f aca="false">J564*10^(K564/192)</f>
        <v>825.404185268018</v>
      </c>
    </row>
    <row r="565" customFormat="false" ht="15" hidden="false" customHeight="false" outlineLevel="0" collapsed="false">
      <c r="F565" s="238" t="n">
        <f aca="false">F469*10</f>
        <v>100000</v>
      </c>
      <c r="G565" s="1" t="n">
        <v>81</v>
      </c>
      <c r="H565" s="234" t="n">
        <f aca="false">F565*10^(G565/96)</f>
        <v>697830.584859866</v>
      </c>
      <c r="J565" s="238" t="n">
        <f aca="false">J373*10</f>
        <v>100</v>
      </c>
      <c r="K565" s="1" t="n">
        <f aca="false">K564+1</f>
        <v>177</v>
      </c>
      <c r="L565" s="239" t="n">
        <f aca="false">J565*10^(K565/192)</f>
        <v>835.362546957826</v>
      </c>
    </row>
    <row r="566" customFormat="false" ht="15" hidden="false" customHeight="false" outlineLevel="0" collapsed="false">
      <c r="F566" s="238" t="n">
        <f aca="false">F470*10</f>
        <v>100000</v>
      </c>
      <c r="G566" s="1" t="n">
        <v>82</v>
      </c>
      <c r="H566" s="234" t="n">
        <f aca="false">F566*10^(G566/96)</f>
        <v>714770.576794186</v>
      </c>
      <c r="J566" s="238" t="n">
        <f aca="false">J374*10</f>
        <v>100</v>
      </c>
      <c r="K566" s="1" t="n">
        <f aca="false">K565+1</f>
        <v>178</v>
      </c>
      <c r="L566" s="239" t="n">
        <f aca="false">J566*10^(K566/192)</f>
        <v>845.441054594692</v>
      </c>
    </row>
    <row r="567" customFormat="false" ht="15" hidden="false" customHeight="false" outlineLevel="0" collapsed="false">
      <c r="F567" s="238" t="n">
        <f aca="false">F471*10</f>
        <v>100000</v>
      </c>
      <c r="G567" s="1" t="n">
        <v>83</v>
      </c>
      <c r="H567" s="234" t="n">
        <f aca="false">F567*10^(G567/96)</f>
        <v>732121.790782913</v>
      </c>
      <c r="J567" s="238" t="n">
        <f aca="false">J375*10</f>
        <v>100</v>
      </c>
      <c r="K567" s="1" t="n">
        <f aca="false">K566+1</f>
        <v>179</v>
      </c>
      <c r="L567" s="239" t="n">
        <f aca="false">J567*10^(K567/192)</f>
        <v>855.641157719118</v>
      </c>
    </row>
    <row r="568" customFormat="false" ht="15" hidden="false" customHeight="false" outlineLevel="0" collapsed="false">
      <c r="F568" s="238" t="n">
        <f aca="false">F472*10</f>
        <v>100000</v>
      </c>
      <c r="G568" s="1" t="n">
        <v>84</v>
      </c>
      <c r="H568" s="234" t="n">
        <f aca="false">F568*10^(G568/96)</f>
        <v>749894.209332456</v>
      </c>
      <c r="J568" s="238" t="n">
        <f aca="false">J376*10</f>
        <v>100</v>
      </c>
      <c r="K568" s="1" t="n">
        <f aca="false">K567+1</f>
        <v>180</v>
      </c>
      <c r="L568" s="239" t="n">
        <f aca="false">J568*10^(K568/192)</f>
        <v>865.964323360066</v>
      </c>
    </row>
    <row r="569" customFormat="false" ht="15" hidden="false" customHeight="false" outlineLevel="0" collapsed="false">
      <c r="F569" s="238" t="n">
        <f aca="false">F473*10</f>
        <v>100000</v>
      </c>
      <c r="G569" s="1" t="n">
        <v>85</v>
      </c>
      <c r="H569" s="234" t="n">
        <f aca="false">F569*10^(G569/96)</f>
        <v>768098.057276775</v>
      </c>
      <c r="J569" s="238" t="n">
        <f aca="false">J377*10</f>
        <v>100</v>
      </c>
      <c r="K569" s="1" t="n">
        <f aca="false">K568+1</f>
        <v>181</v>
      </c>
      <c r="L569" s="239" t="n">
        <f aca="false">J569*10^(K569/192)</f>
        <v>876.412036245952</v>
      </c>
    </row>
    <row r="570" customFormat="false" ht="15" hidden="false" customHeight="false" outlineLevel="0" collapsed="false">
      <c r="F570" s="238" t="n">
        <f aca="false">F474*10</f>
        <v>100000</v>
      </c>
      <c r="G570" s="1" t="n">
        <v>86</v>
      </c>
      <c r="H570" s="234" t="n">
        <f aca="false">F570*10^(G570/96)</f>
        <v>786743.80765994</v>
      </c>
      <c r="J570" s="238" t="n">
        <f aca="false">J378*10</f>
        <v>100</v>
      </c>
      <c r="K570" s="1" t="n">
        <f aca="false">K569+1</f>
        <v>182</v>
      </c>
      <c r="L570" s="239" t="n">
        <f aca="false">J570*10^(K570/192)</f>
        <v>886.985799018192</v>
      </c>
    </row>
    <row r="571" customFormat="false" ht="15" hidden="false" customHeight="false" outlineLevel="0" collapsed="false">
      <c r="F571" s="238" t="n">
        <f aca="false">F475*10</f>
        <v>100000</v>
      </c>
      <c r="G571" s="1" t="n">
        <v>87</v>
      </c>
      <c r="H571" s="234" t="n">
        <f aca="false">F571*10^(G571/96)</f>
        <v>805842.187761482</v>
      </c>
      <c r="J571" s="238" t="n">
        <f aca="false">J379*10</f>
        <v>100</v>
      </c>
      <c r="K571" s="1" t="n">
        <f aca="false">K570+1</f>
        <v>183</v>
      </c>
      <c r="L571" s="239" t="n">
        <f aca="false">J571*10^(K571/192)</f>
        <v>897.687132447314</v>
      </c>
    </row>
    <row r="572" customFormat="false" ht="15" hidden="false" customHeight="false" outlineLevel="0" collapsed="false">
      <c r="F572" s="238" t="n">
        <f aca="false">F476*10</f>
        <v>100000</v>
      </c>
      <c r="G572" s="1" t="n">
        <v>88</v>
      </c>
      <c r="H572" s="234" t="n">
        <f aca="false">F572*10^(G572/96)</f>
        <v>825404.185268018</v>
      </c>
      <c r="J572" s="238" t="n">
        <f aca="false">J380*10</f>
        <v>100</v>
      </c>
      <c r="K572" s="1" t="n">
        <f aca="false">K571+1</f>
        <v>184</v>
      </c>
      <c r="L572" s="239" t="n">
        <f aca="false">J572*10^(K572/192)</f>
        <v>908.517575651687</v>
      </c>
    </row>
    <row r="573" customFormat="false" ht="15" hidden="false" customHeight="false" outlineLevel="0" collapsed="false">
      <c r="F573" s="238" t="n">
        <f aca="false">F477*10</f>
        <v>100000</v>
      </c>
      <c r="G573" s="1" t="n">
        <v>89</v>
      </c>
      <c r="H573" s="234" t="n">
        <f aca="false">F573*10^(G573/96)</f>
        <v>845441.054594692</v>
      </c>
      <c r="J573" s="238" t="n">
        <f aca="false">J381*10</f>
        <v>100</v>
      </c>
      <c r="K573" s="1" t="n">
        <f aca="false">K572+1</f>
        <v>185</v>
      </c>
      <c r="L573" s="239" t="n">
        <f aca="false">J573*10^(K573/192)</f>
        <v>919.478686318879</v>
      </c>
    </row>
    <row r="574" customFormat="false" ht="15" hidden="false" customHeight="false" outlineLevel="0" collapsed="false">
      <c r="F574" s="238" t="n">
        <f aca="false">F478*10</f>
        <v>100000</v>
      </c>
      <c r="G574" s="1" t="n">
        <v>90</v>
      </c>
      <c r="H574" s="234" t="n">
        <f aca="false">F574*10^(G574/96)</f>
        <v>865964.323360066</v>
      </c>
      <c r="J574" s="238" t="n">
        <f aca="false">J382*10</f>
        <v>100</v>
      </c>
      <c r="K574" s="1" t="n">
        <f aca="false">K573+1</f>
        <v>186</v>
      </c>
      <c r="L574" s="239" t="n">
        <f aca="false">J574*10^(K574/192)</f>
        <v>930.572040929699</v>
      </c>
    </row>
    <row r="575" customFormat="false" ht="15" hidden="false" customHeight="false" outlineLevel="0" collapsed="false">
      <c r="F575" s="238" t="n">
        <f aca="false">F479*10</f>
        <v>100000</v>
      </c>
      <c r="G575" s="1" t="n">
        <v>91</v>
      </c>
      <c r="H575" s="234" t="n">
        <f aca="false">F575*10^(G575/96)</f>
        <v>886985.799018192</v>
      </c>
      <c r="J575" s="238" t="n">
        <f aca="false">J383*10</f>
        <v>100</v>
      </c>
      <c r="K575" s="1" t="n">
        <f aca="false">K574+1</f>
        <v>187</v>
      </c>
      <c r="L575" s="239" t="n">
        <f aca="false">J575*10^(K575/192)</f>
        <v>941.799234984926</v>
      </c>
    </row>
    <row r="576" customFormat="false" ht="15" hidden="false" customHeight="false" outlineLevel="0" collapsed="false">
      <c r="F576" s="238" t="n">
        <f aca="false">F480*10</f>
        <v>100000</v>
      </c>
      <c r="G576" s="1" t="n">
        <v>92</v>
      </c>
      <c r="H576" s="234" t="n">
        <f aca="false">F576*10^(G576/96)</f>
        <v>908517.575651687</v>
      </c>
      <c r="J576" s="238" t="n">
        <f aca="false">J384*10</f>
        <v>100</v>
      </c>
      <c r="K576" s="1" t="n">
        <f aca="false">K575+1</f>
        <v>188</v>
      </c>
      <c r="L576" s="239" t="n">
        <f aca="false">J576*10^(K576/192)</f>
        <v>953.161883234787</v>
      </c>
    </row>
    <row r="577" customFormat="false" ht="15" hidden="false" customHeight="false" outlineLevel="0" collapsed="false">
      <c r="F577" s="238" t="n">
        <f aca="false">F481*10</f>
        <v>100000</v>
      </c>
      <c r="G577" s="1" t="n">
        <v>93</v>
      </c>
      <c r="H577" s="234" t="n">
        <f aca="false">F577*10^(G577/96)</f>
        <v>930572.040929699</v>
      </c>
      <c r="J577" s="238" t="n">
        <f aca="false">J385*10</f>
        <v>100</v>
      </c>
      <c r="K577" s="1" t="n">
        <f aca="false">K576+1</f>
        <v>189</v>
      </c>
      <c r="L577" s="239" t="n">
        <f aca="false">J577*10^(K577/192)</f>
        <v>964.661619911199</v>
      </c>
    </row>
    <row r="578" customFormat="false" ht="15" hidden="false" customHeight="false" outlineLevel="0" collapsed="false">
      <c r="F578" s="238" t="n">
        <f aca="false">F482*10</f>
        <v>100000</v>
      </c>
      <c r="G578" s="1" t="n">
        <v>94</v>
      </c>
      <c r="H578" s="234" t="n">
        <f aca="false">F578*10^(G578/96)</f>
        <v>953161.883234787</v>
      </c>
      <c r="J578" s="238" t="n">
        <f aca="false">J386*10</f>
        <v>100</v>
      </c>
      <c r="K578" s="1" t="n">
        <f aca="false">K577+1</f>
        <v>190</v>
      </c>
      <c r="L578" s="239" t="n">
        <f aca="false">J578*10^(K578/192)</f>
        <v>976.300098962808</v>
      </c>
    </row>
    <row r="579" customFormat="false" ht="15" hidden="false" customHeight="false" outlineLevel="0" collapsed="false">
      <c r="F579" s="238" t="n">
        <f aca="false">F483*10</f>
        <v>100000</v>
      </c>
      <c r="G579" s="1" t="n">
        <v>95</v>
      </c>
      <c r="H579" s="234" t="n">
        <f aca="false">F579*10^(G579/96)</f>
        <v>976300.098962808</v>
      </c>
      <c r="J579" s="238" t="n">
        <f aca="false">J387*10</f>
        <v>100</v>
      </c>
      <c r="K579" s="1" t="n">
        <f aca="false">K578+1</f>
        <v>191</v>
      </c>
      <c r="L579" s="239" t="n">
        <f aca="false">J579*10^(K579/192)</f>
        <v>988.078994292869</v>
      </c>
    </row>
    <row r="580" customFormat="false" ht="15" hidden="false" customHeight="false" outlineLevel="0" collapsed="false">
      <c r="F580" s="238" t="n">
        <f aca="false">F484*10</f>
        <v>100000</v>
      </c>
      <c r="G580" s="1" t="n">
        <v>96</v>
      </c>
      <c r="H580" s="234" t="n">
        <f aca="false">F580*10^(G580/96)</f>
        <v>1000000</v>
      </c>
      <c r="J580" s="238" t="n">
        <f aca="false">J388*10</f>
        <v>100</v>
      </c>
      <c r="K580" s="1" t="n">
        <f aca="false">K579+1</f>
        <v>192</v>
      </c>
      <c r="L580" s="239" t="n">
        <f aca="false">J580*10^(K580/192)</f>
        <v>1000</v>
      </c>
    </row>
    <row r="581" customFormat="false" ht="15" hidden="false" customHeight="false" outlineLevel="0" collapsed="false">
      <c r="F581" s="238" t="n">
        <f aca="false">F485*10</f>
        <v>1000000</v>
      </c>
      <c r="G581" s="1" t="n">
        <v>1</v>
      </c>
      <c r="H581" s="234" t="n">
        <f aca="false">F581*10^(G581/96)</f>
        <v>1024275.22138159</v>
      </c>
      <c r="J581" s="238" t="n">
        <f aca="false">J389*10</f>
        <v>1000</v>
      </c>
      <c r="K581" s="1" t="n">
        <v>1</v>
      </c>
      <c r="L581" s="239" t="n">
        <f aca="false">J581*10^(K581/192)</f>
        <v>1012.06483062183</v>
      </c>
    </row>
    <row r="582" customFormat="false" ht="15" hidden="false" customHeight="false" outlineLevel="0" collapsed="false">
      <c r="F582" s="238" t="n">
        <f aca="false">F486*10</f>
        <v>1000000</v>
      </c>
      <c r="G582" s="1" t="n">
        <v>2</v>
      </c>
      <c r="H582" s="234" t="n">
        <f aca="false">F582*10^(G582/96)</f>
        <v>1049139.72913631</v>
      </c>
      <c r="J582" s="238" t="n">
        <f aca="false">J390*10</f>
        <v>1000</v>
      </c>
      <c r="K582" s="1" t="n">
        <f aca="false">K581+1</f>
        <v>2</v>
      </c>
      <c r="L582" s="239" t="n">
        <f aca="false">J582*10^(K582/192)</f>
        <v>1024.27522138159</v>
      </c>
    </row>
    <row r="583" customFormat="false" ht="15" hidden="false" customHeight="false" outlineLevel="0" collapsed="false">
      <c r="F583" s="238" t="n">
        <f aca="false">F487*10</f>
        <v>1000000</v>
      </c>
      <c r="G583" s="1" t="n">
        <v>3</v>
      </c>
      <c r="H583" s="234" t="n">
        <f aca="false">F583*10^(G583/96)</f>
        <v>1074607.82832132</v>
      </c>
      <c r="J583" s="238" t="n">
        <f aca="false">J391*10</f>
        <v>1000</v>
      </c>
      <c r="K583" s="1" t="n">
        <f aca="false">K582+1</f>
        <v>3</v>
      </c>
      <c r="L583" s="239" t="n">
        <f aca="false">J583*10^(K583/192)</f>
        <v>1036.6329284377</v>
      </c>
    </row>
    <row r="584" customFormat="false" ht="15" hidden="false" customHeight="false" outlineLevel="0" collapsed="false">
      <c r="F584" s="238" t="n">
        <f aca="false">F488*10</f>
        <v>1000000</v>
      </c>
      <c r="G584" s="1" t="n">
        <v>4</v>
      </c>
      <c r="H584" s="234" t="n">
        <f aca="false">F584*10^(G584/96)</f>
        <v>1100694.17125221</v>
      </c>
      <c r="J584" s="238" t="n">
        <f aca="false">J392*10</f>
        <v>1000</v>
      </c>
      <c r="K584" s="1" t="n">
        <f aca="false">K583+1</f>
        <v>4</v>
      </c>
      <c r="L584" s="239" t="n">
        <f aca="false">J584*10^(K584/192)</f>
        <v>1049.13972913631</v>
      </c>
    </row>
    <row r="585" customFormat="false" ht="15" hidden="false" customHeight="false" outlineLevel="0" collapsed="false">
      <c r="F585" s="238" t="n">
        <f aca="false">F489*10</f>
        <v>1000000</v>
      </c>
      <c r="G585" s="1" t="n">
        <v>5</v>
      </c>
      <c r="H585" s="234" t="n">
        <f aca="false">F585*10^(G585/96)</f>
        <v>1127413.76593279</v>
      </c>
      <c r="J585" s="238" t="n">
        <f aca="false">J393*10</f>
        <v>1000</v>
      </c>
      <c r="K585" s="1" t="n">
        <f aca="false">K584+1</f>
        <v>5</v>
      </c>
      <c r="L585" s="239" t="n">
        <f aca="false">J585*10^(K585/192)</f>
        <v>1061.79742226697</v>
      </c>
    </row>
    <row r="586" customFormat="false" ht="15" hidden="false" customHeight="false" outlineLevel="0" collapsed="false">
      <c r="F586" s="238" t="n">
        <f aca="false">F490*10</f>
        <v>1000000</v>
      </c>
      <c r="G586" s="1" t="n">
        <v>6</v>
      </c>
      <c r="H586" s="234" t="n">
        <f aca="false">F586*10^(G586/96)</f>
        <v>1154781.98468946</v>
      </c>
      <c r="J586" s="238" t="n">
        <f aca="false">J394*10</f>
        <v>1000</v>
      </c>
      <c r="K586" s="1" t="n">
        <f aca="false">K585+1</f>
        <v>6</v>
      </c>
      <c r="L586" s="239" t="n">
        <f aca="false">J586*10^(K586/192)</f>
        <v>1074.60782832132</v>
      </c>
    </row>
    <row r="587" customFormat="false" ht="15" hidden="false" customHeight="false" outlineLevel="0" collapsed="false">
      <c r="F587" s="238" t="n">
        <f aca="false">F491*10</f>
        <v>1000000</v>
      </c>
      <c r="G587" s="1" t="n">
        <v>7</v>
      </c>
      <c r="H587" s="234" t="n">
        <f aca="false">F587*10^(G587/96)</f>
        <v>1182814.57301527</v>
      </c>
      <c r="J587" s="238" t="n">
        <f aca="false">J395*10</f>
        <v>1000</v>
      </c>
      <c r="K587" s="1" t="n">
        <f aca="false">K586+1</f>
        <v>7</v>
      </c>
      <c r="L587" s="239" t="n">
        <f aca="false">J587*10^(K587/192)</f>
        <v>1087.57278975491</v>
      </c>
    </row>
    <row r="588" customFormat="false" ht="15" hidden="false" customHeight="false" outlineLevel="0" collapsed="false">
      <c r="F588" s="238" t="n">
        <f aca="false">F492*10</f>
        <v>1000000</v>
      </c>
      <c r="G588" s="1" t="n">
        <v>8</v>
      </c>
      <c r="H588" s="234" t="n">
        <f aca="false">F588*10^(G588/96)</f>
        <v>1211527.65862859</v>
      </c>
      <c r="J588" s="238" t="n">
        <f aca="false">J396*10</f>
        <v>1000</v>
      </c>
      <c r="K588" s="1" t="n">
        <f aca="false">K587+1</f>
        <v>8</v>
      </c>
      <c r="L588" s="239" t="n">
        <f aca="false">J588*10^(K588/192)</f>
        <v>1100.69417125221</v>
      </c>
    </row>
    <row r="589" customFormat="false" ht="15" hidden="false" customHeight="false" outlineLevel="0" collapsed="false">
      <c r="F589" s="238" t="n">
        <f aca="false">F493*10</f>
        <v>1000000</v>
      </c>
      <c r="G589" s="1" t="n">
        <v>9</v>
      </c>
      <c r="H589" s="234" t="n">
        <f aca="false">F589*10^(G589/96)</f>
        <v>1240937.76075172</v>
      </c>
      <c r="J589" s="238" t="n">
        <f aca="false">J397*10</f>
        <v>1000</v>
      </c>
      <c r="K589" s="1" t="n">
        <f aca="false">K588+1</f>
        <v>9</v>
      </c>
      <c r="L589" s="239" t="n">
        <f aca="false">J589*10^(K589/192)</f>
        <v>1113.9738599948</v>
      </c>
    </row>
    <row r="590" customFormat="false" ht="15" hidden="false" customHeight="false" outlineLevel="0" collapsed="false">
      <c r="F590" s="238" t="n">
        <f aca="false">F494*10</f>
        <v>1000000</v>
      </c>
      <c r="G590" s="1" t="n">
        <v>10</v>
      </c>
      <c r="H590" s="234" t="n">
        <f aca="false">F590*10^(G590/96)</f>
        <v>1271061.79961475</v>
      </c>
      <c r="J590" s="238" t="n">
        <f aca="false">J398*10</f>
        <v>1000</v>
      </c>
      <c r="K590" s="1" t="n">
        <f aca="false">K589+1</f>
        <v>10</v>
      </c>
      <c r="L590" s="239" t="n">
        <f aca="false">J590*10^(K590/192)</f>
        <v>1127.41376593279</v>
      </c>
    </row>
    <row r="591" customFormat="false" ht="15" hidden="false" customHeight="false" outlineLevel="0" collapsed="false">
      <c r="F591" s="238" t="n">
        <f aca="false">F495*10</f>
        <v>1000000</v>
      </c>
      <c r="G591" s="1" t="n">
        <v>11</v>
      </c>
      <c r="H591" s="234" t="n">
        <f aca="false">F591*10^(G591/96)</f>
        <v>1301917.10619008</v>
      </c>
      <c r="J591" s="238" t="n">
        <f aca="false">J399*10</f>
        <v>1000</v>
      </c>
      <c r="K591" s="1" t="n">
        <f aca="false">K590+1</f>
        <v>11</v>
      </c>
      <c r="L591" s="239" t="n">
        <f aca="false">J591*10^(K591/192)</f>
        <v>1141.01582205948</v>
      </c>
    </row>
    <row r="592" customFormat="false" ht="15" hidden="false" customHeight="false" outlineLevel="0" collapsed="false">
      <c r="F592" s="238" t="n">
        <f aca="false">F496*10</f>
        <v>1000000</v>
      </c>
      <c r="G592" s="1" t="n">
        <v>12</v>
      </c>
      <c r="H592" s="234" t="n">
        <f aca="false">F592*10^(G592/96)</f>
        <v>1333521.43216332</v>
      </c>
      <c r="J592" s="238" t="n">
        <f aca="false">J400*10</f>
        <v>1000</v>
      </c>
      <c r="K592" s="1" t="n">
        <f aca="false">K591+1</f>
        <v>12</v>
      </c>
      <c r="L592" s="239" t="n">
        <f aca="false">J592*10^(K592/192)</f>
        <v>1154.78198468946</v>
      </c>
    </row>
    <row r="593" customFormat="false" ht="15" hidden="false" customHeight="false" outlineLevel="0" collapsed="false">
      <c r="F593" s="238" t="n">
        <f aca="false">F497*10</f>
        <v>1000000</v>
      </c>
      <c r="G593" s="1" t="n">
        <v>13</v>
      </c>
      <c r="H593" s="234" t="n">
        <f aca="false">F593*10^(G593/96)</f>
        <v>1365892.96014619</v>
      </c>
      <c r="J593" s="238" t="n">
        <f aca="false">J401*10</f>
        <v>1000</v>
      </c>
      <c r="K593" s="1" t="n">
        <f aca="false">K592+1</f>
        <v>13</v>
      </c>
      <c r="L593" s="239" t="n">
        <f aca="false">J593*10^(K593/192)</f>
        <v>1168.71423373988</v>
      </c>
    </row>
    <row r="594" customFormat="false" ht="15" hidden="false" customHeight="false" outlineLevel="0" collapsed="false">
      <c r="F594" s="238" t="n">
        <f aca="false">F498*10</f>
        <v>1000000</v>
      </c>
      <c r="G594" s="1" t="n">
        <v>14</v>
      </c>
      <c r="H594" s="234" t="n">
        <f aca="false">F594*10^(G594/96)</f>
        <v>1399050.31413729</v>
      </c>
      <c r="J594" s="238" t="n">
        <f aca="false">J402*10</f>
        <v>1000</v>
      </c>
      <c r="K594" s="1" t="n">
        <f aca="false">K593+1</f>
        <v>14</v>
      </c>
      <c r="L594" s="239" t="n">
        <f aca="false">J594*10^(K594/192)</f>
        <v>1182.81457301527</v>
      </c>
    </row>
    <row r="595" customFormat="false" ht="15" hidden="false" customHeight="false" outlineLevel="0" collapsed="false">
      <c r="F595" s="238" t="n">
        <f aca="false">F499*10</f>
        <v>1000000</v>
      </c>
      <c r="G595" s="1" t="n">
        <v>15</v>
      </c>
      <c r="H595" s="234" t="n">
        <f aca="false">F595*10^(G595/96)</f>
        <v>1433012.57023696</v>
      </c>
      <c r="J595" s="238" t="n">
        <f aca="false">J403*10</f>
        <v>1000</v>
      </c>
      <c r="K595" s="1" t="n">
        <f aca="false">K594+1</f>
        <v>15</v>
      </c>
      <c r="L595" s="239" t="n">
        <f aca="false">J595*10^(K595/192)</f>
        <v>1197.08503049573</v>
      </c>
    </row>
    <row r="596" customFormat="false" ht="15" hidden="false" customHeight="false" outlineLevel="0" collapsed="false">
      <c r="F596" s="238" t="n">
        <f aca="false">F500*10</f>
        <v>1000000</v>
      </c>
      <c r="G596" s="1" t="n">
        <v>16</v>
      </c>
      <c r="H596" s="234" t="n">
        <f aca="false">F596*10^(G596/96)</f>
        <v>1467799.26762207</v>
      </c>
      <c r="J596" s="238" t="n">
        <f aca="false">J404*10</f>
        <v>1000</v>
      </c>
      <c r="K596" s="1" t="n">
        <f aca="false">K595+1</f>
        <v>16</v>
      </c>
      <c r="L596" s="239" t="n">
        <f aca="false">J596*10^(K596/192)</f>
        <v>1211.52765862859</v>
      </c>
    </row>
    <row r="597" customFormat="false" ht="15" hidden="false" customHeight="false" outlineLevel="0" collapsed="false">
      <c r="F597" s="238" t="n">
        <f aca="false">F501*10</f>
        <v>1000000</v>
      </c>
      <c r="G597" s="1" t="n">
        <v>17</v>
      </c>
      <c r="H597" s="234" t="n">
        <f aca="false">F597*10^(G597/96)</f>
        <v>1503430.41978733</v>
      </c>
      <c r="J597" s="238" t="n">
        <f aca="false">J405*10</f>
        <v>1000</v>
      </c>
      <c r="K597" s="1" t="n">
        <f aca="false">K596+1</f>
        <v>17</v>
      </c>
      <c r="L597" s="239" t="n">
        <f aca="false">J597*10^(K597/192)</f>
        <v>1226.1445346236</v>
      </c>
    </row>
    <row r="598" customFormat="false" ht="15" hidden="false" customHeight="false" outlineLevel="0" collapsed="false">
      <c r="F598" s="238" t="n">
        <f aca="false">F502*10</f>
        <v>1000000</v>
      </c>
      <c r="G598" s="1" t="n">
        <v>18</v>
      </c>
      <c r="H598" s="234" t="n">
        <f aca="false">F598*10^(G598/96)</f>
        <v>1539926.52605949</v>
      </c>
      <c r="J598" s="238" t="n">
        <f aca="false">J406*10</f>
        <v>1000</v>
      </c>
      <c r="K598" s="1" t="n">
        <f aca="false">K597+1</f>
        <v>18</v>
      </c>
      <c r="L598" s="239" t="n">
        <f aca="false">J598*10^(K598/192)</f>
        <v>1240.93776075172</v>
      </c>
    </row>
    <row r="599" customFormat="false" ht="15" hidden="false" customHeight="false" outlineLevel="0" collapsed="false">
      <c r="F599" s="238" t="n">
        <f aca="false">F503*10</f>
        <v>1000000</v>
      </c>
      <c r="G599" s="1" t="n">
        <v>19</v>
      </c>
      <c r="H599" s="234" t="n">
        <f aca="false">F599*10^(G599/96)</f>
        <v>1577308.58339097</v>
      </c>
      <c r="J599" s="238" t="n">
        <f aca="false">J407*10</f>
        <v>1000</v>
      </c>
      <c r="K599" s="1" t="n">
        <f aca="false">K598+1</f>
        <v>19</v>
      </c>
      <c r="L599" s="239" t="n">
        <f aca="false">J599*10^(K599/192)</f>
        <v>1255.90946464742</v>
      </c>
    </row>
    <row r="600" customFormat="false" ht="15" hidden="false" customHeight="false" outlineLevel="0" collapsed="false">
      <c r="F600" s="238" t="n">
        <f aca="false">F504*10</f>
        <v>1000000</v>
      </c>
      <c r="G600" s="1" t="n">
        <v>20</v>
      </c>
      <c r="H600" s="234" t="n">
        <f aca="false">F600*10^(G600/96)</f>
        <v>1615598.09843987</v>
      </c>
      <c r="J600" s="238" t="n">
        <f aca="false">J408*10</f>
        <v>1000</v>
      </c>
      <c r="K600" s="1" t="n">
        <f aca="false">K599+1</f>
        <v>20</v>
      </c>
      <c r="L600" s="239" t="n">
        <f aca="false">J600*10^(K600/192)</f>
        <v>1271.06179961474</v>
      </c>
    </row>
    <row r="601" customFormat="false" ht="15" hidden="false" customHeight="false" outlineLevel="0" collapsed="false">
      <c r="F601" s="238" t="n">
        <f aca="false">F505*10</f>
        <v>1000000</v>
      </c>
      <c r="G601" s="1" t="n">
        <v>21</v>
      </c>
      <c r="H601" s="234" t="n">
        <f aca="false">F601*10^(G601/96)</f>
        <v>1654817.09994318</v>
      </c>
      <c r="J601" s="238" t="n">
        <f aca="false">J409*10</f>
        <v>1000</v>
      </c>
      <c r="K601" s="1" t="n">
        <f aca="false">K600+1</f>
        <v>21</v>
      </c>
      <c r="L601" s="239" t="n">
        <f aca="false">J601*10^(K601/192)</f>
        <v>1286.39694493697</v>
      </c>
    </row>
    <row r="602" customFormat="false" ht="15" hidden="false" customHeight="false" outlineLevel="0" collapsed="false">
      <c r="F602" s="238" t="n">
        <f aca="false">F506*10</f>
        <v>1000000</v>
      </c>
      <c r="G602" s="1" t="n">
        <v>22</v>
      </c>
      <c r="H602" s="234" t="n">
        <f aca="false">F602*10^(G602/96)</f>
        <v>1694988.15139035</v>
      </c>
      <c r="J602" s="238" t="n">
        <f aca="false">J410*10</f>
        <v>1000</v>
      </c>
      <c r="K602" s="1" t="n">
        <f aca="false">K601+1</f>
        <v>22</v>
      </c>
      <c r="L602" s="239" t="n">
        <f aca="false">J602*10^(K602/192)</f>
        <v>1301.91710619008</v>
      </c>
    </row>
    <row r="603" customFormat="false" ht="15" hidden="false" customHeight="false" outlineLevel="0" collapsed="false">
      <c r="F603" s="238" t="n">
        <f aca="false">F507*10</f>
        <v>1000000</v>
      </c>
      <c r="G603" s="1" t="n">
        <v>23</v>
      </c>
      <c r="H603" s="234" t="n">
        <f aca="false">F603*10^(G603/96)</f>
        <v>1736134.36400452</v>
      </c>
      <c r="J603" s="238" t="n">
        <f aca="false">J411*10</f>
        <v>1000</v>
      </c>
      <c r="K603" s="1" t="n">
        <f aca="false">K602+1</f>
        <v>23</v>
      </c>
      <c r="L603" s="239" t="n">
        <f aca="false">J603*10^(K603/192)</f>
        <v>1317.62451555992</v>
      </c>
    </row>
    <row r="604" customFormat="false" ht="15" hidden="false" customHeight="false" outlineLevel="0" collapsed="false">
      <c r="F604" s="238" t="n">
        <f aca="false">F508*10</f>
        <v>1000000</v>
      </c>
      <c r="G604" s="1" t="n">
        <v>24</v>
      </c>
      <c r="H604" s="234" t="n">
        <f aca="false">F604*10^(G604/96)</f>
        <v>1778279.41003892</v>
      </c>
      <c r="J604" s="238" t="n">
        <f aca="false">J412*10</f>
        <v>1000</v>
      </c>
      <c r="K604" s="1" t="n">
        <f aca="false">K603+1</f>
        <v>24</v>
      </c>
      <c r="L604" s="239" t="n">
        <f aca="false">J604*10^(K604/192)</f>
        <v>1333.52143216332</v>
      </c>
    </row>
    <row r="605" customFormat="false" ht="15" hidden="false" customHeight="false" outlineLevel="0" collapsed="false">
      <c r="F605" s="238" t="n">
        <f aca="false">F509*10</f>
        <v>1000000</v>
      </c>
      <c r="G605" s="1" t="n">
        <v>25</v>
      </c>
      <c r="H605" s="234" t="n">
        <f aca="false">F605*10^(G605/96)</f>
        <v>1821447.53639595</v>
      </c>
      <c r="J605" s="238" t="n">
        <f aca="false">J413*10</f>
        <v>1000</v>
      </c>
      <c r="K605" s="1" t="n">
        <f aca="false">K604+1</f>
        <v>25</v>
      </c>
      <c r="L605" s="239" t="n">
        <f aca="false">J605*10^(K605/192)</f>
        <v>1349.61014237295</v>
      </c>
    </row>
    <row r="606" customFormat="false" ht="15" hidden="false" customHeight="false" outlineLevel="0" collapsed="false">
      <c r="F606" s="238" t="n">
        <f aca="false">F510*10</f>
        <v>1000000</v>
      </c>
      <c r="G606" s="1" t="n">
        <v>26</v>
      </c>
      <c r="H606" s="234" t="n">
        <f aca="false">F606*10^(G606/96)</f>
        <v>1865663.57857691</v>
      </c>
      <c r="J606" s="238" t="n">
        <f aca="false">J414*10</f>
        <v>1000</v>
      </c>
      <c r="K606" s="1" t="n">
        <f aca="false">K605+1</f>
        <v>26</v>
      </c>
      <c r="L606" s="239" t="n">
        <f aca="false">J606*10^(K606/192)</f>
        <v>1365.89296014619</v>
      </c>
    </row>
    <row r="607" customFormat="false" ht="15" hidden="false" customHeight="false" outlineLevel="0" collapsed="false">
      <c r="F607" s="238" t="n">
        <f aca="false">F511*10</f>
        <v>1000000</v>
      </c>
      <c r="G607" s="1" t="n">
        <v>27</v>
      </c>
      <c r="H607" s="234" t="n">
        <f aca="false">F607*10^(G607/96)</f>
        <v>1910952.97497044</v>
      </c>
      <c r="J607" s="238" t="n">
        <f aca="false">J415*10</f>
        <v>1000</v>
      </c>
      <c r="K607" s="1" t="n">
        <f aca="false">K606+1</f>
        <v>27</v>
      </c>
      <c r="L607" s="239" t="n">
        <f aca="false">J607*10^(K607/192)</f>
        <v>1382.3722273579</v>
      </c>
    </row>
    <row r="608" customFormat="false" ht="15" hidden="false" customHeight="false" outlineLevel="0" collapsed="false">
      <c r="F608" s="238" t="n">
        <f aca="false">F512*10</f>
        <v>1000000</v>
      </c>
      <c r="G608" s="1" t="n">
        <v>28</v>
      </c>
      <c r="H608" s="234" t="n">
        <f aca="false">F608*10^(G608/96)</f>
        <v>1957341.78148766</v>
      </c>
      <c r="J608" s="238" t="n">
        <f aca="false">J416*10</f>
        <v>1000</v>
      </c>
      <c r="K608" s="1" t="n">
        <f aca="false">K607+1</f>
        <v>28</v>
      </c>
      <c r="L608" s="239" t="n">
        <f aca="false">J608*10^(K608/192)</f>
        <v>1399.05031413729</v>
      </c>
    </row>
    <row r="609" customFormat="false" ht="15" hidden="false" customHeight="false" outlineLevel="0" collapsed="false">
      <c r="F609" s="238" t="n">
        <f aca="false">F513*10</f>
        <v>1000000</v>
      </c>
      <c r="G609" s="1" t="n">
        <v>29</v>
      </c>
      <c r="H609" s="234" t="n">
        <f aca="false">F609*10^(G609/96)</f>
        <v>2004856.68655271</v>
      </c>
      <c r="J609" s="238" t="n">
        <f aca="false">J417*10</f>
        <v>1000</v>
      </c>
      <c r="K609" s="1" t="n">
        <f aca="false">K608+1</f>
        <v>29</v>
      </c>
      <c r="L609" s="239" t="n">
        <f aca="false">J609*10^(K609/192)</f>
        <v>1415.92961920878</v>
      </c>
    </row>
    <row r="610" customFormat="false" ht="15" hidden="false" customHeight="false" outlineLevel="0" collapsed="false">
      <c r="F610" s="238" t="n">
        <f aca="false">F514*10</f>
        <v>1000000</v>
      </c>
      <c r="G610" s="1" t="n">
        <v>30</v>
      </c>
      <c r="H610" s="234" t="n">
        <f aca="false">F610*10^(G610/96)</f>
        <v>2053525.02645715</v>
      </c>
      <c r="J610" s="238" t="n">
        <f aca="false">J418*10</f>
        <v>1000</v>
      </c>
      <c r="K610" s="1" t="n">
        <f aca="false">K609+1</f>
        <v>30</v>
      </c>
      <c r="L610" s="239" t="n">
        <f aca="false">J610*10^(K610/192)</f>
        <v>1433.01257023696</v>
      </c>
    </row>
    <row r="611" customFormat="false" ht="15" hidden="false" customHeight="false" outlineLevel="0" collapsed="false">
      <c r="F611" s="238" t="n">
        <f aca="false">F515*10</f>
        <v>1000000</v>
      </c>
      <c r="G611" s="1" t="n">
        <v>31</v>
      </c>
      <c r="H611" s="234" t="n">
        <f aca="false">F611*10^(G611/96)</f>
        <v>2103374.80108703</v>
      </c>
      <c r="J611" s="238" t="n">
        <f aca="false">J419*10</f>
        <v>1000</v>
      </c>
      <c r="K611" s="1" t="n">
        <f aca="false">K610+1</f>
        <v>31</v>
      </c>
      <c r="L611" s="239" t="n">
        <f aca="false">J611*10^(K611/192)</f>
        <v>1450.30162417582</v>
      </c>
    </row>
    <row r="612" customFormat="false" ht="15" hidden="false" customHeight="false" outlineLevel="0" collapsed="false">
      <c r="F612" s="238" t="n">
        <f aca="false">F516*10</f>
        <v>1000000</v>
      </c>
      <c r="G612" s="1" t="n">
        <v>32</v>
      </c>
      <c r="H612" s="234" t="n">
        <f aca="false">F612*10^(G612/96)</f>
        <v>2154434.69003188</v>
      </c>
      <c r="J612" s="238" t="n">
        <f aca="false">J420*10</f>
        <v>1000</v>
      </c>
      <c r="K612" s="1" t="n">
        <f aca="false">K611+1</f>
        <v>32</v>
      </c>
      <c r="L612" s="239" t="n">
        <f aca="false">J612*10^(K612/192)</f>
        <v>1467.79926762207</v>
      </c>
    </row>
    <row r="613" customFormat="false" ht="15" hidden="false" customHeight="false" outlineLevel="0" collapsed="false">
      <c r="F613" s="238" t="n">
        <f aca="false">F517*10</f>
        <v>1000000</v>
      </c>
      <c r="G613" s="1" t="n">
        <v>33</v>
      </c>
      <c r="H613" s="234" t="n">
        <f aca="false">F613*10^(G613/96)</f>
        <v>2206734.06908459</v>
      </c>
      <c r="J613" s="238" t="n">
        <f aca="false">J421*10</f>
        <v>1000</v>
      </c>
      <c r="K613" s="1" t="n">
        <f aca="false">K612+1</f>
        <v>33</v>
      </c>
      <c r="L613" s="239" t="n">
        <f aca="false">J613*10^(K613/192)</f>
        <v>1485.50801717278</v>
      </c>
    </row>
    <row r="614" customFormat="false" ht="15" hidden="false" customHeight="false" outlineLevel="0" collapsed="false">
      <c r="F614" s="238" t="n">
        <f aca="false">F518*10</f>
        <v>1000000</v>
      </c>
      <c r="G614" s="1" t="n">
        <v>34</v>
      </c>
      <c r="H614" s="234" t="n">
        <f aca="false">F614*10^(G614/96)</f>
        <v>2260303.02714192</v>
      </c>
      <c r="J614" s="238" t="n">
        <f aca="false">J422*10</f>
        <v>1000</v>
      </c>
      <c r="K614" s="1" t="n">
        <f aca="false">K613+1</f>
        <v>34</v>
      </c>
      <c r="L614" s="239" t="n">
        <f aca="false">J614*10^(K614/192)</f>
        <v>1503.43041978733</v>
      </c>
    </row>
    <row r="615" customFormat="false" ht="15" hidden="false" customHeight="false" outlineLevel="0" collapsed="false">
      <c r="F615" s="238" t="n">
        <f aca="false">F519*10</f>
        <v>1000000</v>
      </c>
      <c r="G615" s="1" t="n">
        <v>35</v>
      </c>
      <c r="H615" s="234" t="n">
        <f aca="false">F615*10^(G615/96)</f>
        <v>2315172.38351527</v>
      </c>
      <c r="J615" s="238" t="n">
        <f aca="false">J423*10</f>
        <v>1000</v>
      </c>
      <c r="K615" s="1" t="n">
        <f aca="false">K614+1</f>
        <v>35</v>
      </c>
      <c r="L615" s="239" t="n">
        <f aca="false">J615*10^(K615/192)</f>
        <v>1521.56905315377</v>
      </c>
    </row>
    <row r="616" customFormat="false" ht="15" hidden="false" customHeight="false" outlineLevel="0" collapsed="false">
      <c r="F616" s="238" t="n">
        <f aca="false">F520*10</f>
        <v>1000000</v>
      </c>
      <c r="G616" s="1" t="n">
        <v>36</v>
      </c>
      <c r="H616" s="234" t="n">
        <f aca="false">F616*10^(G616/96)</f>
        <v>2371373.70566166</v>
      </c>
      <c r="J616" s="238" t="n">
        <f aca="false">J424*10</f>
        <v>1000</v>
      </c>
      <c r="K616" s="1" t="n">
        <f aca="false">K615+1</f>
        <v>36</v>
      </c>
      <c r="L616" s="239" t="n">
        <f aca="false">J616*10^(K616/192)</f>
        <v>1539.92652605949</v>
      </c>
    </row>
    <row r="617" customFormat="false" ht="15" hidden="false" customHeight="false" outlineLevel="0" collapsed="false">
      <c r="F617" s="238" t="n">
        <f aca="false">F521*10</f>
        <v>1000000</v>
      </c>
      <c r="G617" s="1" t="n">
        <v>37</v>
      </c>
      <c r="H617" s="234" t="n">
        <f aca="false">F617*10^(G617/96)</f>
        <v>2428939.32734508</v>
      </c>
      <c r="J617" s="238" t="n">
        <f aca="false">J425*10</f>
        <v>1000</v>
      </c>
      <c r="K617" s="1" t="n">
        <f aca="false">K616+1</f>
        <v>37</v>
      </c>
      <c r="L617" s="239" t="n">
        <f aca="false">J617*10^(K617/192)</f>
        <v>1558.50547876646</v>
      </c>
    </row>
    <row r="618" customFormat="false" ht="15" hidden="false" customHeight="false" outlineLevel="0" collapsed="false">
      <c r="F618" s="238" t="n">
        <f aca="false">F522*10</f>
        <v>1000000</v>
      </c>
      <c r="G618" s="1" t="n">
        <v>38</v>
      </c>
      <c r="H618" s="234" t="n">
        <f aca="false">F618*10^(G618/96)</f>
        <v>2487902.36723884</v>
      </c>
      <c r="J618" s="238" t="n">
        <f aca="false">J426*10</f>
        <v>1000</v>
      </c>
      <c r="K618" s="1" t="n">
        <f aca="false">K617+1</f>
        <v>38</v>
      </c>
      <c r="L618" s="239" t="n">
        <f aca="false">J618*10^(K618/192)</f>
        <v>1577.30858339097</v>
      </c>
    </row>
    <row r="619" customFormat="false" ht="15" hidden="false" customHeight="false" outlineLevel="0" collapsed="false">
      <c r="F619" s="238" t="n">
        <f aca="false">F523*10</f>
        <v>1000000</v>
      </c>
      <c r="G619" s="1" t="n">
        <v>39</v>
      </c>
      <c r="H619" s="234" t="n">
        <f aca="false">F619*10^(G619/96)</f>
        <v>2548296.74797935</v>
      </c>
      <c r="J619" s="238" t="n">
        <f aca="false">J427*10</f>
        <v>1000</v>
      </c>
      <c r="K619" s="1" t="n">
        <f aca="false">K618+1</f>
        <v>39</v>
      </c>
      <c r="L619" s="239" t="n">
        <f aca="false">J619*10^(K619/192)</f>
        <v>1596.33854428794</v>
      </c>
    </row>
    <row r="620" customFormat="false" ht="15" hidden="false" customHeight="false" outlineLevel="0" collapsed="false">
      <c r="F620" s="238" t="n">
        <f aca="false">F524*10</f>
        <v>1000000</v>
      </c>
      <c r="G620" s="1" t="n">
        <v>40</v>
      </c>
      <c r="H620" s="234" t="n">
        <f aca="false">F620*10^(G620/96)</f>
        <v>2610157.21568254</v>
      </c>
      <c r="J620" s="238" t="n">
        <f aca="false">J428*10</f>
        <v>1000</v>
      </c>
      <c r="K620" s="1" t="n">
        <f aca="false">K619+1</f>
        <v>40</v>
      </c>
      <c r="L620" s="239" t="n">
        <f aca="false">J620*10^(K620/192)</f>
        <v>1615.59809843987</v>
      </c>
    </row>
    <row r="621" customFormat="false" ht="15" hidden="false" customHeight="false" outlineLevel="0" collapsed="false">
      <c r="F621" s="238" t="n">
        <f aca="false">F525*10</f>
        <v>1000000</v>
      </c>
      <c r="G621" s="1" t="n">
        <v>41</v>
      </c>
      <c r="H621" s="234" t="n">
        <f aca="false">F621*10^(G621/96)</f>
        <v>2673519.35993399</v>
      </c>
      <c r="J621" s="238" t="n">
        <f aca="false">J429*10</f>
        <v>1000</v>
      </c>
      <c r="K621" s="1" t="n">
        <f aca="false">K620+1</f>
        <v>41</v>
      </c>
      <c r="L621" s="239" t="n">
        <f aca="false">J621*10^(K621/192)</f>
        <v>1635.0900158505</v>
      </c>
    </row>
    <row r="622" customFormat="false" ht="15" hidden="false" customHeight="false" outlineLevel="0" collapsed="false">
      <c r="F622" s="238" t="n">
        <f aca="false">F526*10</f>
        <v>1000000</v>
      </c>
      <c r="G622" s="1" t="n">
        <v>42</v>
      </c>
      <c r="H622" s="234" t="n">
        <f aca="false">F622*10^(G622/96)</f>
        <v>2738419.63426436</v>
      </c>
      <c r="J622" s="238" t="n">
        <f aca="false">J430*10</f>
        <v>1000</v>
      </c>
      <c r="K622" s="1" t="n">
        <f aca="false">K621+1</f>
        <v>42</v>
      </c>
      <c r="L622" s="239" t="n">
        <f aca="false">J622*10^(K622/192)</f>
        <v>1654.81709994318</v>
      </c>
    </row>
    <row r="623" customFormat="false" ht="15" hidden="false" customHeight="false" outlineLevel="0" collapsed="false">
      <c r="F623" s="238" t="n">
        <f aca="false">F527*10</f>
        <v>1000000</v>
      </c>
      <c r="G623" s="1" t="n">
        <v>43</v>
      </c>
      <c r="H623" s="234" t="n">
        <f aca="false">F623*10^(G623/96)</f>
        <v>2804895.37712183</v>
      </c>
      <c r="J623" s="238" t="n">
        <f aca="false">J431*10</f>
        <v>1000</v>
      </c>
      <c r="K623" s="1" t="n">
        <f aca="false">K622+1</f>
        <v>43</v>
      </c>
      <c r="L623" s="239" t="n">
        <f aca="false">J623*10^(K623/192)</f>
        <v>1674.7821879641</v>
      </c>
    </row>
    <row r="624" customFormat="false" ht="15" hidden="false" customHeight="false" outlineLevel="0" collapsed="false">
      <c r="F624" s="238" t="n">
        <f aca="false">F528*10</f>
        <v>1000000</v>
      </c>
      <c r="G624" s="1" t="n">
        <v>44</v>
      </c>
      <c r="H624" s="234" t="n">
        <f aca="false">F624*10^(G624/96)</f>
        <v>2872984.83335366</v>
      </c>
      <c r="J624" s="238" t="n">
        <f aca="false">J432*10</f>
        <v>1000</v>
      </c>
      <c r="K624" s="1" t="n">
        <f aca="false">K623+1</f>
        <v>44</v>
      </c>
      <c r="L624" s="239" t="n">
        <f aca="false">J624*10^(K624/192)</f>
        <v>1694.98815139035</v>
      </c>
    </row>
    <row r="625" customFormat="false" ht="15" hidden="false" customHeight="false" outlineLevel="0" collapsed="false">
      <c r="F625" s="238" t="n">
        <f aca="false">F529*10</f>
        <v>1000000</v>
      </c>
      <c r="G625" s="1" t="n">
        <v>45</v>
      </c>
      <c r="H625" s="234" t="n">
        <f aca="false">F625*10^(G625/96)</f>
        <v>2942727.17620928</v>
      </c>
      <c r="J625" s="238" t="n">
        <f aca="false">J433*10</f>
        <v>1000</v>
      </c>
      <c r="K625" s="1" t="n">
        <f aca="false">K624+1</f>
        <v>45</v>
      </c>
      <c r="L625" s="239" t="n">
        <f aca="false">J625*10^(K625/192)</f>
        <v>1715.43789634288</v>
      </c>
    </row>
    <row r="626" customFormat="false" ht="15" hidden="false" customHeight="false" outlineLevel="0" collapsed="false">
      <c r="F626" s="238" t="n">
        <f aca="false">F530*10</f>
        <v>1000000</v>
      </c>
      <c r="G626" s="1" t="n">
        <v>46</v>
      </c>
      <c r="H626" s="234" t="n">
        <f aca="false">F626*10^(G626/96)</f>
        <v>3014162.52987739</v>
      </c>
      <c r="J626" s="238" t="n">
        <f aca="false">J434*10</f>
        <v>1000</v>
      </c>
      <c r="K626" s="1" t="n">
        <f aca="false">K625+1</f>
        <v>46</v>
      </c>
      <c r="L626" s="239" t="n">
        <f aca="false">J626*10^(K626/192)</f>
        <v>1736.13436400452</v>
      </c>
    </row>
    <row r="627" customFormat="false" ht="15" hidden="false" customHeight="false" outlineLevel="0" collapsed="false">
      <c r="F627" s="238" t="n">
        <f aca="false">F531*10</f>
        <v>1000000</v>
      </c>
      <c r="G627" s="1" t="n">
        <v>47</v>
      </c>
      <c r="H627" s="234" t="n">
        <f aca="false">F627*10^(G627/96)</f>
        <v>3087331.99257026</v>
      </c>
      <c r="J627" s="238" t="n">
        <f aca="false">J435*10</f>
        <v>1000</v>
      </c>
      <c r="K627" s="1" t="n">
        <f aca="false">K626+1</f>
        <v>47</v>
      </c>
      <c r="L627" s="239" t="n">
        <f aca="false">J627*10^(K627/192)</f>
        <v>1757.08053104298</v>
      </c>
    </row>
    <row r="628" customFormat="false" ht="15" hidden="false" customHeight="false" outlineLevel="0" collapsed="false">
      <c r="F628" s="238" t="n">
        <f aca="false">F532*10</f>
        <v>1000000</v>
      </c>
      <c r="G628" s="1" t="n">
        <v>48</v>
      </c>
      <c r="H628" s="234" t="n">
        <f aca="false">F628*10^(G628/96)</f>
        <v>3162277.66016838</v>
      </c>
      <c r="J628" s="238" t="n">
        <f aca="false">J436*10</f>
        <v>1000</v>
      </c>
      <c r="K628" s="1" t="n">
        <f aca="false">K627+1</f>
        <v>48</v>
      </c>
      <c r="L628" s="239" t="n">
        <f aca="false">J628*10^(K628/192)</f>
        <v>1778.27941003892</v>
      </c>
    </row>
    <row r="629" customFormat="false" ht="15" hidden="false" customHeight="false" outlineLevel="0" collapsed="false">
      <c r="F629" s="238" t="n">
        <f aca="false">F533*10</f>
        <v>1000000</v>
      </c>
      <c r="G629" s="1" t="n">
        <v>49</v>
      </c>
      <c r="H629" s="234" t="n">
        <f aca="false">F629*10^(G629/96)</f>
        <v>3239042.65043903</v>
      </c>
      <c r="J629" s="238" t="n">
        <f aca="false">J437*10</f>
        <v>1000</v>
      </c>
      <c r="K629" s="1" t="n">
        <f aca="false">K628+1</f>
        <v>49</v>
      </c>
      <c r="L629" s="239" t="n">
        <f aca="false">J629*10^(K629/192)</f>
        <v>1799.73404991933</v>
      </c>
    </row>
    <row r="630" customFormat="false" ht="15" hidden="false" customHeight="false" outlineLevel="0" collapsed="false">
      <c r="F630" s="238" t="n">
        <f aca="false">F534*10</f>
        <v>1000000</v>
      </c>
      <c r="G630" s="1" t="n">
        <v>50</v>
      </c>
      <c r="H630" s="234" t="n">
        <f aca="false">F630*10^(G630/96)</f>
        <v>3317671.12784286</v>
      </c>
      <c r="J630" s="238" t="n">
        <f aca="false">J438*10</f>
        <v>1000</v>
      </c>
      <c r="K630" s="1" t="n">
        <f aca="false">K629+1</f>
        <v>50</v>
      </c>
      <c r="L630" s="239" t="n">
        <f aca="false">J630*10^(K630/192)</f>
        <v>1821.44753639595</v>
      </c>
    </row>
    <row r="631" customFormat="false" ht="15" hidden="false" customHeight="false" outlineLevel="0" collapsed="false">
      <c r="F631" s="238" t="n">
        <f aca="false">F535*10</f>
        <v>1000000</v>
      </c>
      <c r="G631" s="1" t="n">
        <v>51</v>
      </c>
      <c r="H631" s="234" t="n">
        <f aca="false">F631*10^(G631/96)</f>
        <v>3398208.32894256</v>
      </c>
      <c r="J631" s="238" t="n">
        <f aca="false">J439*10</f>
        <v>1000</v>
      </c>
      <c r="K631" s="1" t="n">
        <f aca="false">K630+1</f>
        <v>51</v>
      </c>
      <c r="L631" s="239" t="n">
        <f aca="false">J631*10^(K631/192)</f>
        <v>1843.42299240911</v>
      </c>
    </row>
    <row r="632" customFormat="false" ht="15" hidden="false" customHeight="false" outlineLevel="0" collapsed="false">
      <c r="F632" s="238" t="n">
        <f aca="false">F536*10</f>
        <v>1000000</v>
      </c>
      <c r="G632" s="1" t="n">
        <v>52</v>
      </c>
      <c r="H632" s="234" t="n">
        <f aca="false">F632*10^(G632/96)</f>
        <v>3480700.58842841</v>
      </c>
      <c r="J632" s="238" t="n">
        <f aca="false">J440*10</f>
        <v>1000</v>
      </c>
      <c r="K632" s="1" t="n">
        <f aca="false">K631+1</f>
        <v>52</v>
      </c>
      <c r="L632" s="239" t="n">
        <f aca="false">J632*10^(K632/192)</f>
        <v>1865.66357857691</v>
      </c>
    </row>
    <row r="633" customFormat="false" ht="15" hidden="false" customHeight="false" outlineLevel="0" collapsed="false">
      <c r="F633" s="238" t="n">
        <f aca="false">F537*10</f>
        <v>1000000</v>
      </c>
      <c r="G633" s="1" t="n">
        <v>53</v>
      </c>
      <c r="H633" s="234" t="n">
        <f aca="false">F633*10^(G633/96)</f>
        <v>3565195.36577555</v>
      </c>
      <c r="J633" s="238" t="n">
        <f aca="false">J441*10</f>
        <v>1000</v>
      </c>
      <c r="K633" s="1" t="n">
        <f aca="false">K632+1</f>
        <v>53</v>
      </c>
      <c r="L633" s="239" t="n">
        <f aca="false">J633*10^(K633/192)</f>
        <v>1888.17249364976</v>
      </c>
    </row>
    <row r="634" customFormat="false" ht="15" hidden="false" customHeight="false" outlineLevel="0" collapsed="false">
      <c r="F634" s="238" t="n">
        <f aca="false">F538*10</f>
        <v>1000000</v>
      </c>
      <c r="G634" s="1" t="n">
        <v>54</v>
      </c>
      <c r="H634" s="234" t="n">
        <f aca="false">F634*10^(G634/96)</f>
        <v>3651741.27254838</v>
      </c>
      <c r="J634" s="238" t="n">
        <f aca="false">J442*10</f>
        <v>1000</v>
      </c>
      <c r="K634" s="1" t="n">
        <f aca="false">K633+1</f>
        <v>54</v>
      </c>
      <c r="L634" s="239" t="n">
        <f aca="false">J634*10^(K634/192)</f>
        <v>1910.95297497044</v>
      </c>
    </row>
    <row r="635" customFormat="false" ht="15" hidden="false" customHeight="false" outlineLevel="0" collapsed="false">
      <c r="F635" s="238" t="n">
        <f aca="false">F539*10</f>
        <v>1000000</v>
      </c>
      <c r="G635" s="1" t="n">
        <v>55</v>
      </c>
      <c r="H635" s="234" t="n">
        <f aca="false">F635*10^(G635/96)</f>
        <v>3740388.10036779</v>
      </c>
      <c r="J635" s="238" t="n">
        <f aca="false">J443*10</f>
        <v>1000</v>
      </c>
      <c r="K635" s="1" t="n">
        <f aca="false">K634+1</f>
        <v>55</v>
      </c>
      <c r="L635" s="239" t="n">
        <f aca="false">J635*10^(K635/192)</f>
        <v>1934.00829893974</v>
      </c>
    </row>
    <row r="636" customFormat="false" ht="15" hidden="false" customHeight="false" outlineLevel="0" collapsed="false">
      <c r="F636" s="238" t="n">
        <f aca="false">F540*10</f>
        <v>1000000</v>
      </c>
      <c r="G636" s="1" t="n">
        <v>56</v>
      </c>
      <c r="H636" s="234" t="n">
        <f aca="false">F636*10^(G636/96)</f>
        <v>3831186.84955729</v>
      </c>
      <c r="J636" s="238" t="n">
        <f aca="false">J444*10</f>
        <v>1000</v>
      </c>
      <c r="K636" s="1" t="n">
        <f aca="false">K635+1</f>
        <v>56</v>
      </c>
      <c r="L636" s="239" t="n">
        <f aca="false">J636*10^(K636/192)</f>
        <v>1957.34178148766</v>
      </c>
    </row>
    <row r="637" customFormat="false" ht="15" hidden="false" customHeight="false" outlineLevel="0" collapsed="false">
      <c r="F637" s="238" t="n">
        <f aca="false">F541*10</f>
        <v>1000000</v>
      </c>
      <c r="G637" s="1" t="n">
        <v>57</v>
      </c>
      <c r="H637" s="234" t="n">
        <f aca="false">F637*10^(G637/96)</f>
        <v>3924189.75848454</v>
      </c>
      <c r="J637" s="238" t="n">
        <f aca="false">J445*10</f>
        <v>1000</v>
      </c>
      <c r="K637" s="1" t="n">
        <f aca="false">K636+1</f>
        <v>57</v>
      </c>
      <c r="L637" s="239" t="n">
        <f aca="false">J637*10^(K637/192)</f>
        <v>1980.95677855034</v>
      </c>
    </row>
    <row r="638" customFormat="false" ht="15" hidden="false" customHeight="false" outlineLevel="0" collapsed="false">
      <c r="F638" s="238" t="n">
        <f aca="false">F542*10</f>
        <v>1000000</v>
      </c>
      <c r="G638" s="1" t="n">
        <v>58</v>
      </c>
      <c r="H638" s="234" t="n">
        <f aca="false">F638*10^(G638/96)</f>
        <v>4019450.33361512</v>
      </c>
      <c r="J638" s="238" t="n">
        <f aca="false">J446*10</f>
        <v>1000</v>
      </c>
      <c r="K638" s="1" t="n">
        <f aca="false">K637+1</f>
        <v>58</v>
      </c>
      <c r="L638" s="239" t="n">
        <f aca="false">J638*10^(K638/192)</f>
        <v>2004.85668655271</v>
      </c>
    </row>
    <row r="639" customFormat="false" ht="15" hidden="false" customHeight="false" outlineLevel="0" collapsed="false">
      <c r="F639" s="238" t="n">
        <f aca="false">F543*10</f>
        <v>1000000</v>
      </c>
      <c r="G639" s="1" t="n">
        <v>59</v>
      </c>
      <c r="H639" s="234" t="n">
        <f aca="false">F639*10^(G639/96)</f>
        <v>4117023.38029595</v>
      </c>
      <c r="J639" s="238" t="n">
        <f aca="false">J447*10</f>
        <v>1000</v>
      </c>
      <c r="K639" s="1" t="n">
        <f aca="false">K638+1</f>
        <v>59</v>
      </c>
      <c r="L639" s="239" t="n">
        <f aca="false">J639*10^(K639/192)</f>
        <v>2029.04494289701</v>
      </c>
    </row>
    <row r="640" customFormat="false" ht="15" hidden="false" customHeight="false" outlineLevel="0" collapsed="false">
      <c r="F640" s="238" t="n">
        <f aca="false">F544*10</f>
        <v>1000000</v>
      </c>
      <c r="G640" s="1" t="n">
        <v>60</v>
      </c>
      <c r="H640" s="234" t="n">
        <f aca="false">F640*10^(G640/96)</f>
        <v>4216965.03428582</v>
      </c>
      <c r="J640" s="238" t="n">
        <f aca="false">J448*10</f>
        <v>1000</v>
      </c>
      <c r="K640" s="1" t="n">
        <f aca="false">K639+1</f>
        <v>60</v>
      </c>
      <c r="L640" s="239" t="n">
        <f aca="false">J640*10^(K640/192)</f>
        <v>2053.52502645715</v>
      </c>
    </row>
    <row r="641" customFormat="false" ht="15" hidden="false" customHeight="false" outlineLevel="0" collapsed="false">
      <c r="F641" s="238" t="n">
        <f aca="false">F545*10</f>
        <v>1000000</v>
      </c>
      <c r="G641" s="1" t="n">
        <v>61</v>
      </c>
      <c r="H641" s="234" t="n">
        <f aca="false">F641*10^(G641/96)</f>
        <v>4319332.79405155</v>
      </c>
      <c r="J641" s="238" t="n">
        <f aca="false">J449*10</f>
        <v>1000</v>
      </c>
      <c r="K641" s="1" t="n">
        <f aca="false">K640+1</f>
        <v>61</v>
      </c>
      <c r="L641" s="239" t="n">
        <f aca="false">J641*10^(K641/192)</f>
        <v>2078.30045807904</v>
      </c>
    </row>
    <row r="642" customFormat="false" ht="15" hidden="false" customHeight="false" outlineLevel="0" collapsed="false">
      <c r="F642" s="238" t="n">
        <f aca="false">F546*10</f>
        <v>1000000</v>
      </c>
      <c r="G642" s="1" t="n">
        <v>62</v>
      </c>
      <c r="H642" s="234" t="n">
        <f aca="false">F642*10^(G642/96)</f>
        <v>4424185.55384792</v>
      </c>
      <c r="J642" s="238" t="n">
        <f aca="false">J450*10</f>
        <v>1000</v>
      </c>
      <c r="K642" s="1" t="n">
        <f aca="false">K641+1</f>
        <v>62</v>
      </c>
      <c r="L642" s="239" t="n">
        <f aca="false">J642*10^(K642/192)</f>
        <v>2103.37480108703</v>
      </c>
    </row>
    <row r="643" customFormat="false" ht="15" hidden="false" customHeight="false" outlineLevel="0" collapsed="false">
      <c r="F643" s="238" t="n">
        <f aca="false">F547*10</f>
        <v>1000000</v>
      </c>
      <c r="G643" s="1" t="n">
        <v>63</v>
      </c>
      <c r="H643" s="234" t="n">
        <f aca="false">F643*10^(G643/96)</f>
        <v>4531583.63760082</v>
      </c>
      <c r="J643" s="238" t="n">
        <f aca="false">J451*10</f>
        <v>1000</v>
      </c>
      <c r="K643" s="1" t="n">
        <f aca="false">K642+1</f>
        <v>63</v>
      </c>
      <c r="L643" s="239" t="n">
        <f aca="false">J643*10^(K643/192)</f>
        <v>2128.75166179637</v>
      </c>
    </row>
    <row r="644" customFormat="false" ht="15" hidden="false" customHeight="false" outlineLevel="0" collapsed="false">
      <c r="F644" s="238" t="n">
        <f aca="false">F548*10</f>
        <v>1000000</v>
      </c>
      <c r="G644" s="1" t="n">
        <v>64</v>
      </c>
      <c r="H644" s="234" t="n">
        <f aca="false">F644*10^(G644/96)</f>
        <v>4641588.83361278</v>
      </c>
      <c r="J644" s="238" t="n">
        <f aca="false">J452*10</f>
        <v>1000</v>
      </c>
      <c r="K644" s="1" t="n">
        <f aca="false">K643+1</f>
        <v>64</v>
      </c>
      <c r="L644" s="239" t="n">
        <f aca="false">J644*10^(K644/192)</f>
        <v>2154.43469003188</v>
      </c>
    </row>
    <row r="645" customFormat="false" ht="15" hidden="false" customHeight="false" outlineLevel="0" collapsed="false">
      <c r="F645" s="238" t="n">
        <f aca="false">F549*10</f>
        <v>1000000</v>
      </c>
      <c r="G645" s="1" t="n">
        <v>65</v>
      </c>
      <c r="H645" s="234" t="n">
        <f aca="false">F645*10^(G645/96)</f>
        <v>4754264.43011106</v>
      </c>
      <c r="J645" s="238" t="n">
        <f aca="false">J453*10</f>
        <v>1000</v>
      </c>
      <c r="K645" s="1" t="n">
        <f aca="false">K644+1</f>
        <v>65</v>
      </c>
      <c r="L645" s="239" t="n">
        <f aca="false">J645*10^(K645/192)</f>
        <v>2180.42757965291</v>
      </c>
    </row>
    <row r="646" customFormat="false" ht="15" hidden="false" customHeight="false" outlineLevel="0" collapsed="false">
      <c r="F646" s="238" t="n">
        <f aca="false">F550*10</f>
        <v>1000000</v>
      </c>
      <c r="G646" s="1" t="n">
        <v>66</v>
      </c>
      <c r="H646" s="234" t="n">
        <f aca="false">F646*10^(G646/96)</f>
        <v>4869675.25165863</v>
      </c>
      <c r="J646" s="238" t="n">
        <f aca="false">J454*10</f>
        <v>1000</v>
      </c>
      <c r="K646" s="1" t="n">
        <f aca="false">K645+1</f>
        <v>66</v>
      </c>
      <c r="L646" s="239" t="n">
        <f aca="false">J646*10^(K646/192)</f>
        <v>2206.73406908459</v>
      </c>
    </row>
    <row r="647" customFormat="false" ht="15" hidden="false" customHeight="false" outlineLevel="0" collapsed="false">
      <c r="F647" s="238" t="n">
        <f aca="false">F551*10</f>
        <v>1000000</v>
      </c>
      <c r="G647" s="1" t="n">
        <v>67</v>
      </c>
      <c r="H647" s="234" t="n">
        <f aca="false">F647*10^(G647/96)</f>
        <v>4987887.69644911</v>
      </c>
      <c r="J647" s="238" t="n">
        <f aca="false">J455*10</f>
        <v>1000</v>
      </c>
      <c r="K647" s="1" t="n">
        <f aca="false">K646+1</f>
        <v>67</v>
      </c>
      <c r="L647" s="239" t="n">
        <f aca="false">J647*10^(K647/192)</f>
        <v>2233.35794185552</v>
      </c>
    </row>
    <row r="648" customFormat="false" ht="15" hidden="false" customHeight="false" outlineLevel="0" collapsed="false">
      <c r="F648" s="238" t="n">
        <f aca="false">F552*10</f>
        <v>1000000</v>
      </c>
      <c r="G648" s="1" t="n">
        <v>68</v>
      </c>
      <c r="H648" s="234" t="n">
        <f aca="false">F648*10^(G648/96)</f>
        <v>5108969.77450693</v>
      </c>
      <c r="J648" s="238" t="n">
        <f aca="false">J456*10</f>
        <v>1000</v>
      </c>
      <c r="K648" s="1" t="n">
        <f aca="false">K647+1</f>
        <v>68</v>
      </c>
      <c r="L648" s="239" t="n">
        <f aca="false">J648*10^(K648/192)</f>
        <v>2260.30302714192</v>
      </c>
    </row>
    <row r="649" customFormat="false" ht="15" hidden="false" customHeight="false" outlineLevel="0" collapsed="false">
      <c r="F649" s="238" t="n">
        <f aca="false">F553*10</f>
        <v>1000000</v>
      </c>
      <c r="G649" s="1" t="n">
        <v>69</v>
      </c>
      <c r="H649" s="234" t="n">
        <f aca="false">F649*10^(G649/96)</f>
        <v>5232991.14681495</v>
      </c>
      <c r="J649" s="238" t="n">
        <f aca="false">J457*10</f>
        <v>1000</v>
      </c>
      <c r="K649" s="1" t="n">
        <f aca="false">K648+1</f>
        <v>69</v>
      </c>
      <c r="L649" s="239" t="n">
        <f aca="false">J649*10^(K649/192)</f>
        <v>2287.5732003184</v>
      </c>
    </row>
    <row r="650" customFormat="false" ht="15" hidden="false" customHeight="false" outlineLevel="0" collapsed="false">
      <c r="F650" s="238" t="n">
        <f aca="false">F554*10</f>
        <v>1000000</v>
      </c>
      <c r="G650" s="1" t="n">
        <v>70</v>
      </c>
      <c r="H650" s="234" t="n">
        <f aca="false">F650*10^(G650/96)</f>
        <v>5360023.16539179</v>
      </c>
      <c r="J650" s="238" t="n">
        <f aca="false">J458*10</f>
        <v>1000</v>
      </c>
      <c r="K650" s="1" t="n">
        <f aca="false">K649+1</f>
        <v>70</v>
      </c>
      <c r="L650" s="239" t="n">
        <f aca="false">J650*10^(K650/192)</f>
        <v>2315.17238351527</v>
      </c>
    </row>
    <row r="651" customFormat="false" ht="15" hidden="false" customHeight="false" outlineLevel="0" collapsed="false">
      <c r="F651" s="238" t="n">
        <f aca="false">F555*10</f>
        <v>1000000</v>
      </c>
      <c r="G651" s="1" t="n">
        <v>71</v>
      </c>
      <c r="H651" s="234" t="n">
        <f aca="false">F651*10^(G651/96)</f>
        <v>5490138.91434214</v>
      </c>
      <c r="J651" s="238" t="n">
        <f aca="false">J459*10</f>
        <v>1000</v>
      </c>
      <c r="K651" s="1" t="n">
        <f aca="false">K650+1</f>
        <v>71</v>
      </c>
      <c r="L651" s="239" t="n">
        <f aca="false">J651*10^(K651/192)</f>
        <v>2343.10454618272</v>
      </c>
    </row>
    <row r="652" customFormat="false" ht="15" hidden="false" customHeight="false" outlineLevel="0" collapsed="false">
      <c r="F652" s="238" t="n">
        <f aca="false">F556*10</f>
        <v>1000000</v>
      </c>
      <c r="G652" s="1" t="n">
        <v>72</v>
      </c>
      <c r="H652" s="234" t="n">
        <f aca="false">F652*10^(G652/96)</f>
        <v>5623413.25190349</v>
      </c>
      <c r="J652" s="238" t="n">
        <f aca="false">J460*10</f>
        <v>1000</v>
      </c>
      <c r="K652" s="1" t="n">
        <f aca="false">K651+1</f>
        <v>72</v>
      </c>
      <c r="L652" s="239" t="n">
        <f aca="false">J652*10^(K652/192)</f>
        <v>2371.37370566166</v>
      </c>
    </row>
    <row r="653" customFormat="false" ht="15" hidden="false" customHeight="false" outlineLevel="0" collapsed="false">
      <c r="F653" s="238" t="n">
        <f aca="false">F557*10</f>
        <v>1000000</v>
      </c>
      <c r="G653" s="1" t="n">
        <v>73</v>
      </c>
      <c r="H653" s="234" t="n">
        <f aca="false">F653*10^(G653/96)</f>
        <v>5759922.85351363</v>
      </c>
      <c r="J653" s="238" t="n">
        <f aca="false">J461*10</f>
        <v>1000</v>
      </c>
      <c r="K653" s="1" t="n">
        <f aca="false">K652+1</f>
        <v>73</v>
      </c>
      <c r="L653" s="239" t="n">
        <f aca="false">J653*10^(K653/192)</f>
        <v>2399.98392776152</v>
      </c>
    </row>
    <row r="654" customFormat="false" ht="15" hidden="false" customHeight="false" outlineLevel="0" collapsed="false">
      <c r="F654" s="238" t="n">
        <f aca="false">F558*10</f>
        <v>1000000</v>
      </c>
      <c r="G654" s="1" t="n">
        <v>74</v>
      </c>
      <c r="H654" s="234" t="n">
        <f aca="false">F654*10^(G654/96)</f>
        <v>5899746.25592357</v>
      </c>
      <c r="J654" s="238" t="n">
        <f aca="false">J462*10</f>
        <v>1000</v>
      </c>
      <c r="K654" s="1" t="n">
        <f aca="false">K653+1</f>
        <v>74</v>
      </c>
      <c r="L654" s="239" t="n">
        <f aca="false">J654*10^(K654/192)</f>
        <v>2428.93932734508</v>
      </c>
    </row>
    <row r="655" customFormat="false" ht="15" hidden="false" customHeight="false" outlineLevel="0" collapsed="false">
      <c r="F655" s="238" t="n">
        <f aca="false">F559*10</f>
        <v>1000000</v>
      </c>
      <c r="G655" s="1" t="n">
        <v>75</v>
      </c>
      <c r="H655" s="234" t="n">
        <f aca="false">F655*10^(G655/96)</f>
        <v>6042963.90238133</v>
      </c>
      <c r="J655" s="238" t="n">
        <f aca="false">J463*10</f>
        <v>1000</v>
      </c>
      <c r="K655" s="1" t="n">
        <f aca="false">K654+1</f>
        <v>75</v>
      </c>
      <c r="L655" s="239" t="n">
        <f aca="false">J655*10^(K655/192)</f>
        <v>2458.2440689202</v>
      </c>
    </row>
    <row r="656" customFormat="false" ht="15" hidden="false" customHeight="false" outlineLevel="0" collapsed="false">
      <c r="F656" s="238" t="n">
        <f aca="false">F560*10</f>
        <v>1000000</v>
      </c>
      <c r="G656" s="1" t="n">
        <v>76</v>
      </c>
      <c r="H656" s="234" t="n">
        <f aca="false">F656*10^(G656/96)</f>
        <v>6189658.18891261</v>
      </c>
      <c r="J656" s="238" t="n">
        <f aca="false">J464*10</f>
        <v>1000</v>
      </c>
      <c r="K656" s="1" t="n">
        <f aca="false">K655+1</f>
        <v>76</v>
      </c>
      <c r="L656" s="239" t="n">
        <f aca="false">J656*10^(K656/192)</f>
        <v>2487.90236723884</v>
      </c>
    </row>
    <row r="657" customFormat="false" ht="15" hidden="false" customHeight="false" outlineLevel="0" collapsed="false">
      <c r="F657" s="238" t="n">
        <f aca="false">F561*10</f>
        <v>1000000</v>
      </c>
      <c r="G657" s="1" t="n">
        <v>77</v>
      </c>
      <c r="H657" s="234" t="n">
        <f aca="false">F657*10^(G657/96)</f>
        <v>6339913.51172485</v>
      </c>
      <c r="J657" s="238" t="n">
        <f aca="false">J465*10</f>
        <v>1000</v>
      </c>
      <c r="K657" s="1" t="n">
        <f aca="false">K656+1</f>
        <v>77</v>
      </c>
      <c r="L657" s="239" t="n">
        <f aca="false">J657*10^(K657/192)</f>
        <v>2517.91848790322</v>
      </c>
    </row>
    <row r="658" customFormat="false" ht="15" hidden="false" customHeight="false" outlineLevel="0" collapsed="false">
      <c r="F658" s="238" t="n">
        <f aca="false">F562*10</f>
        <v>1000000</v>
      </c>
      <c r="G658" s="1" t="n">
        <v>78</v>
      </c>
      <c r="H658" s="234" t="n">
        <f aca="false">F658*10^(G658/96)</f>
        <v>6493816.31576211</v>
      </c>
      <c r="J658" s="238" t="n">
        <f aca="false">J466*10</f>
        <v>1000</v>
      </c>
      <c r="K658" s="1" t="n">
        <f aca="false">K657+1</f>
        <v>78</v>
      </c>
      <c r="L658" s="239" t="n">
        <f aca="false">J658*10^(K658/192)</f>
        <v>2548.29674797935</v>
      </c>
    </row>
    <row r="659" customFormat="false" ht="15" hidden="false" customHeight="false" outlineLevel="0" collapsed="false">
      <c r="F659" s="238" t="n">
        <f aca="false">F563*10</f>
        <v>1000000</v>
      </c>
      <c r="G659" s="1" t="n">
        <v>79</v>
      </c>
      <c r="H659" s="234" t="n">
        <f aca="false">F659*10^(G659/96)</f>
        <v>6651455.14443863</v>
      </c>
      <c r="J659" s="238" t="n">
        <f aca="false">J467*10</f>
        <v>1000</v>
      </c>
      <c r="K659" s="1" t="n">
        <f aca="false">K658+1</f>
        <v>79</v>
      </c>
      <c r="L659" s="239" t="n">
        <f aca="false">J659*10^(K659/192)</f>
        <v>2579.04151661788</v>
      </c>
    </row>
    <row r="660" customFormat="false" ht="15" hidden="false" customHeight="false" outlineLevel="0" collapsed="false">
      <c r="F660" s="238" t="n">
        <f aca="false">F564*10</f>
        <v>1000000</v>
      </c>
      <c r="G660" s="1" t="n">
        <v>80</v>
      </c>
      <c r="H660" s="234" t="n">
        <f aca="false">F660*10^(G660/96)</f>
        <v>6812920.69057961</v>
      </c>
      <c r="J660" s="238" t="n">
        <f aca="false">J468*10</f>
        <v>1000</v>
      </c>
      <c r="K660" s="1" t="n">
        <f aca="false">K659+1</f>
        <v>80</v>
      </c>
      <c r="L660" s="239" t="n">
        <f aca="false">J660*10^(K660/192)</f>
        <v>2610.15721568254</v>
      </c>
    </row>
    <row r="661" customFormat="false" ht="15" hidden="false" customHeight="false" outlineLevel="0" collapsed="false">
      <c r="F661" s="238" t="n">
        <f aca="false">F565*10</f>
        <v>1000000</v>
      </c>
      <c r="G661" s="1" t="n">
        <v>81</v>
      </c>
      <c r="H661" s="234" t="n">
        <f aca="false">F661*10^(G661/96)</f>
        <v>6978305.84859866</v>
      </c>
      <c r="J661" s="238" t="n">
        <f aca="false">J469*10</f>
        <v>1000</v>
      </c>
      <c r="K661" s="1" t="n">
        <f aca="false">K660+1</f>
        <v>81</v>
      </c>
      <c r="L661" s="239" t="n">
        <f aca="false">J661*10^(K661/192)</f>
        <v>2641.64832038609</v>
      </c>
    </row>
    <row r="662" customFormat="false" ht="15" hidden="false" customHeight="false" outlineLevel="0" collapsed="false">
      <c r="F662" s="238" t="n">
        <f aca="false">F566*10</f>
        <v>1000000</v>
      </c>
      <c r="G662" s="1" t="n">
        <v>82</v>
      </c>
      <c r="H662" s="234" t="n">
        <f aca="false">F662*10^(G662/96)</f>
        <v>7147705.76794186</v>
      </c>
      <c r="J662" s="238" t="n">
        <f aca="false">J470*10</f>
        <v>1000</v>
      </c>
      <c r="K662" s="1" t="n">
        <f aca="false">K661+1</f>
        <v>82</v>
      </c>
      <c r="L662" s="239" t="n">
        <f aca="false">J662*10^(K662/192)</f>
        <v>2673.51935993399</v>
      </c>
    </row>
    <row r="663" customFormat="false" ht="15" hidden="false" customHeight="false" outlineLevel="0" collapsed="false">
      <c r="F663" s="238" t="n">
        <f aca="false">F567*10</f>
        <v>1000000</v>
      </c>
      <c r="G663" s="1" t="n">
        <v>83</v>
      </c>
      <c r="H663" s="234" t="n">
        <f aca="false">F663*10^(G663/96)</f>
        <v>7321217.90782913</v>
      </c>
      <c r="J663" s="238" t="n">
        <f aca="false">J471*10</f>
        <v>1000</v>
      </c>
      <c r="K663" s="1" t="n">
        <f aca="false">K662+1</f>
        <v>83</v>
      </c>
      <c r="L663" s="239" t="n">
        <f aca="false">J663*10^(K663/192)</f>
        <v>2705.77491817578</v>
      </c>
    </row>
    <row r="664" customFormat="false" ht="15" hidden="false" customHeight="false" outlineLevel="0" collapsed="false">
      <c r="F664" s="238" t="n">
        <f aca="false">F568*10</f>
        <v>1000000</v>
      </c>
      <c r="G664" s="1" t="n">
        <v>84</v>
      </c>
      <c r="H664" s="234" t="n">
        <f aca="false">F664*10^(G664/96)</f>
        <v>7498942.09332456</v>
      </c>
      <c r="J664" s="238" t="n">
        <f aca="false">J472*10</f>
        <v>1000</v>
      </c>
      <c r="K664" s="1" t="n">
        <f aca="false">K663+1</f>
        <v>84</v>
      </c>
      <c r="L664" s="239" t="n">
        <f aca="false">J664*10^(K664/192)</f>
        <v>2738.41963426436</v>
      </c>
    </row>
    <row r="665" customFormat="false" ht="15" hidden="false" customHeight="false" outlineLevel="0" collapsed="false">
      <c r="F665" s="238" t="n">
        <f aca="false">F569*10</f>
        <v>1000000</v>
      </c>
      <c r="G665" s="1" t="n">
        <v>85</v>
      </c>
      <c r="H665" s="234" t="n">
        <f aca="false">F665*10^(G665/96)</f>
        <v>7680980.57276775</v>
      </c>
      <c r="J665" s="238" t="n">
        <f aca="false">J473*10</f>
        <v>1000</v>
      </c>
      <c r="K665" s="1" t="n">
        <f aca="false">K664+1</f>
        <v>85</v>
      </c>
      <c r="L665" s="239" t="n">
        <f aca="false">J665*10^(K665/192)</f>
        <v>2771.45820332325</v>
      </c>
    </row>
    <row r="666" customFormat="false" ht="15" hidden="false" customHeight="false" outlineLevel="0" collapsed="false">
      <c r="F666" s="238" t="n">
        <f aca="false">F570*10</f>
        <v>1000000</v>
      </c>
      <c r="G666" s="1" t="n">
        <v>86</v>
      </c>
      <c r="H666" s="234" t="n">
        <f aca="false">F666*10^(G666/96)</f>
        <v>7867438.0765994</v>
      </c>
      <c r="J666" s="238" t="n">
        <f aca="false">J474*10</f>
        <v>1000</v>
      </c>
      <c r="K666" s="1" t="n">
        <f aca="false">K665+1</f>
        <v>86</v>
      </c>
      <c r="L666" s="239" t="n">
        <f aca="false">J666*10^(K666/192)</f>
        <v>2804.89537712183</v>
      </c>
    </row>
    <row r="667" customFormat="false" ht="15" hidden="false" customHeight="false" outlineLevel="0" collapsed="false">
      <c r="F667" s="238" t="n">
        <f aca="false">F571*10</f>
        <v>1000000</v>
      </c>
      <c r="G667" s="1" t="n">
        <v>87</v>
      </c>
      <c r="H667" s="234" t="n">
        <f aca="false">F667*10^(G667/96)</f>
        <v>8058421.87761482</v>
      </c>
      <c r="J667" s="238" t="n">
        <f aca="false">J475*10</f>
        <v>1000</v>
      </c>
      <c r="K667" s="1" t="n">
        <f aca="false">K666+1</f>
        <v>87</v>
      </c>
      <c r="L667" s="239" t="n">
        <f aca="false">J667*10^(K667/192)</f>
        <v>2838.73596475876</v>
      </c>
    </row>
    <row r="668" customFormat="false" ht="15" hidden="false" customHeight="false" outlineLevel="0" collapsed="false">
      <c r="F668" s="238" t="n">
        <f aca="false">F572*10</f>
        <v>1000000</v>
      </c>
      <c r="G668" s="1" t="n">
        <v>88</v>
      </c>
      <c r="H668" s="234" t="n">
        <f aca="false">F668*10^(G668/96)</f>
        <v>8254041.85268018</v>
      </c>
      <c r="J668" s="238" t="n">
        <f aca="false">J476*10</f>
        <v>1000</v>
      </c>
      <c r="K668" s="1" t="n">
        <f aca="false">K667+1</f>
        <v>88</v>
      </c>
      <c r="L668" s="239" t="n">
        <f aca="false">J668*10^(K668/192)</f>
        <v>2872.98483335366</v>
      </c>
    </row>
    <row r="669" customFormat="false" ht="15" hidden="false" customHeight="false" outlineLevel="0" collapsed="false">
      <c r="F669" s="238" t="n">
        <f aca="false">F573*10</f>
        <v>1000000</v>
      </c>
      <c r="G669" s="1" t="n">
        <v>89</v>
      </c>
      <c r="H669" s="234" t="n">
        <f aca="false">F669*10^(G669/96)</f>
        <v>8454410.54594692</v>
      </c>
      <c r="J669" s="238" t="n">
        <f aca="false">J477*10</f>
        <v>1000</v>
      </c>
      <c r="K669" s="1" t="n">
        <f aca="false">K668+1</f>
        <v>89</v>
      </c>
      <c r="L669" s="239" t="n">
        <f aca="false">J669*10^(K669/192)</f>
        <v>2907.64690874716</v>
      </c>
    </row>
    <row r="670" customFormat="false" ht="15" hidden="false" customHeight="false" outlineLevel="0" collapsed="false">
      <c r="F670" s="238" t="n">
        <f aca="false">F574*10</f>
        <v>1000000</v>
      </c>
      <c r="G670" s="1" t="n">
        <v>90</v>
      </c>
      <c r="H670" s="234" t="n">
        <f aca="false">F670*10^(G670/96)</f>
        <v>8659643.23360065</v>
      </c>
      <c r="J670" s="238" t="n">
        <f aca="false">J478*10</f>
        <v>1000</v>
      </c>
      <c r="K670" s="1" t="n">
        <f aca="false">K669+1</f>
        <v>90</v>
      </c>
      <c r="L670" s="239" t="n">
        <f aca="false">J670*10^(K670/192)</f>
        <v>2942.72717620928</v>
      </c>
    </row>
    <row r="671" customFormat="false" ht="15" hidden="false" customHeight="false" outlineLevel="0" collapsed="false">
      <c r="F671" s="238" t="n">
        <f aca="false">F575*10</f>
        <v>1000000</v>
      </c>
      <c r="G671" s="1" t="n">
        <v>91</v>
      </c>
      <c r="H671" s="234" t="n">
        <f aca="false">F671*10^(G671/96)</f>
        <v>8869857.99018192</v>
      </c>
      <c r="J671" s="238" t="n">
        <f aca="false">J479*10</f>
        <v>1000</v>
      </c>
      <c r="K671" s="1" t="n">
        <f aca="false">K670+1</f>
        <v>91</v>
      </c>
      <c r="L671" s="239" t="n">
        <f aca="false">J671*10^(K671/192)</f>
        <v>2978.2306811565</v>
      </c>
    </row>
    <row r="672" customFormat="false" ht="15" hidden="false" customHeight="false" outlineLevel="0" collapsed="false">
      <c r="F672" s="238" t="n">
        <f aca="false">F576*10</f>
        <v>1000000</v>
      </c>
      <c r="G672" s="1" t="n">
        <v>92</v>
      </c>
      <c r="H672" s="234" t="n">
        <f aca="false">F672*10^(G672/96)</f>
        <v>9085175.75651687</v>
      </c>
      <c r="J672" s="238" t="n">
        <f aca="false">J480*10</f>
        <v>1000</v>
      </c>
      <c r="K672" s="1" t="n">
        <f aca="false">K671+1</f>
        <v>92</v>
      </c>
      <c r="L672" s="239" t="n">
        <f aca="false">J672*10^(K672/192)</f>
        <v>3014.16252987739</v>
      </c>
    </row>
    <row r="673" customFormat="false" ht="15" hidden="false" customHeight="false" outlineLevel="0" collapsed="false">
      <c r="F673" s="238" t="n">
        <f aca="false">F577*10</f>
        <v>1000000</v>
      </c>
      <c r="G673" s="1" t="n">
        <v>93</v>
      </c>
      <c r="H673" s="234" t="n">
        <f aca="false">F673*10^(G673/96)</f>
        <v>9305720.40929699</v>
      </c>
      <c r="J673" s="238" t="n">
        <f aca="false">J481*10</f>
        <v>1000</v>
      </c>
      <c r="K673" s="1" t="n">
        <f aca="false">K672+1</f>
        <v>93</v>
      </c>
      <c r="L673" s="239" t="n">
        <f aca="false">J673*10^(K673/192)</f>
        <v>3050.52789026703</v>
      </c>
    </row>
    <row r="674" customFormat="false" ht="15" hidden="false" customHeight="false" outlineLevel="0" collapsed="false">
      <c r="F674" s="238" t="n">
        <f aca="false">F578*10</f>
        <v>1000000</v>
      </c>
      <c r="G674" s="1" t="n">
        <v>94</v>
      </c>
      <c r="H674" s="234" t="n">
        <f aca="false">F674*10^(G674/96)</f>
        <v>9531618.83234787</v>
      </c>
      <c r="J674" s="238" t="n">
        <f aca="false">J482*10</f>
        <v>1000</v>
      </c>
      <c r="K674" s="1" t="n">
        <f aca="false">K673+1</f>
        <v>94</v>
      </c>
      <c r="L674" s="239" t="n">
        <f aca="false">J674*10^(K674/192)</f>
        <v>3087.33199257026</v>
      </c>
    </row>
    <row r="675" customFormat="false" ht="15" hidden="false" customHeight="false" outlineLevel="0" collapsed="false">
      <c r="F675" s="238" t="n">
        <f aca="false">F579*10</f>
        <v>1000000</v>
      </c>
      <c r="G675" s="1" t="n">
        <v>95</v>
      </c>
      <c r="H675" s="234" t="n">
        <f aca="false">F675*10^(G675/96)</f>
        <v>9763000.98962808</v>
      </c>
      <c r="J675" s="238" t="n">
        <f aca="false">J483*10</f>
        <v>1000</v>
      </c>
      <c r="K675" s="1" t="n">
        <f aca="false">K674+1</f>
        <v>95</v>
      </c>
      <c r="L675" s="239" t="n">
        <f aca="false">J675*10^(K675/192)</f>
        <v>3124.58013013398</v>
      </c>
    </row>
    <row r="676" customFormat="false" ht="15" hidden="false" customHeight="false" outlineLevel="0" collapsed="false">
      <c r="F676" s="238" t="n">
        <f aca="false">F580*10</f>
        <v>1000000</v>
      </c>
      <c r="G676" s="1" t="n">
        <v>96</v>
      </c>
      <c r="H676" s="234" t="n">
        <f aca="false">F676*10^(G676/96)</f>
        <v>10000000</v>
      </c>
      <c r="J676" s="238" t="n">
        <f aca="false">J484*10</f>
        <v>1000</v>
      </c>
      <c r="K676" s="1" t="n">
        <f aca="false">K675+1</f>
        <v>96</v>
      </c>
      <c r="L676" s="239" t="n">
        <f aca="false">J676*10^(K676/192)</f>
        <v>3162.27766016838</v>
      </c>
    </row>
    <row r="677" customFormat="false" ht="15" hidden="false" customHeight="false" outlineLevel="0" collapsed="false">
      <c r="J677" s="238" t="n">
        <f aca="false">J485*10</f>
        <v>1000</v>
      </c>
      <c r="K677" s="1" t="n">
        <f aca="false">K676+1</f>
        <v>97</v>
      </c>
      <c r="L677" s="239" t="n">
        <f aca="false">J677*10^(K677/192)</f>
        <v>3200.43000451751</v>
      </c>
    </row>
    <row r="678" customFormat="false" ht="15" hidden="false" customHeight="false" outlineLevel="0" collapsed="false">
      <c r="J678" s="238" t="n">
        <f aca="false">J486*10</f>
        <v>1000</v>
      </c>
      <c r="K678" s="1" t="n">
        <f aca="false">K677+1</f>
        <v>98</v>
      </c>
      <c r="L678" s="239" t="n">
        <f aca="false">J678*10^(K678/192)</f>
        <v>3239.04265043903</v>
      </c>
    </row>
    <row r="679" customFormat="false" ht="15" hidden="false" customHeight="false" outlineLevel="0" collapsed="false">
      <c r="J679" s="238" t="n">
        <f aca="false">J487*10</f>
        <v>1000</v>
      </c>
      <c r="K679" s="1" t="n">
        <f aca="false">K678+1</f>
        <v>99</v>
      </c>
      <c r="L679" s="239" t="n">
        <f aca="false">J679*10^(K679/192)</f>
        <v>3278.12115139346</v>
      </c>
    </row>
    <row r="680" customFormat="false" ht="15" hidden="false" customHeight="false" outlineLevel="0" collapsed="false">
      <c r="J680" s="238" t="n">
        <f aca="false">J488*10</f>
        <v>1000</v>
      </c>
      <c r="K680" s="1" t="n">
        <f aca="false">K679+1</f>
        <v>100</v>
      </c>
      <c r="L680" s="239" t="n">
        <f aca="false">J680*10^(K680/192)</f>
        <v>3317.67112784286</v>
      </c>
    </row>
    <row r="681" customFormat="false" ht="15" hidden="false" customHeight="false" outlineLevel="0" collapsed="false">
      <c r="J681" s="238" t="n">
        <f aca="false">J489*10</f>
        <v>1000</v>
      </c>
      <c r="K681" s="1" t="n">
        <f aca="false">K680+1</f>
        <v>101</v>
      </c>
      <c r="L681" s="239" t="n">
        <f aca="false">J681*10^(K681/192)</f>
        <v>3357.69826805922</v>
      </c>
    </row>
    <row r="682" customFormat="false" ht="15" hidden="false" customHeight="false" outlineLevel="0" collapsed="false">
      <c r="J682" s="238" t="n">
        <f aca="false">J490*10</f>
        <v>1000</v>
      </c>
      <c r="K682" s="1" t="n">
        <f aca="false">K681+1</f>
        <v>102</v>
      </c>
      <c r="L682" s="239" t="n">
        <f aca="false">J682*10^(K682/192)</f>
        <v>3398.20832894256</v>
      </c>
    </row>
    <row r="683" customFormat="false" ht="15" hidden="false" customHeight="false" outlineLevel="0" collapsed="false">
      <c r="J683" s="238" t="n">
        <f aca="false">J491*10</f>
        <v>1000</v>
      </c>
      <c r="K683" s="1" t="n">
        <f aca="false">K682+1</f>
        <v>103</v>
      </c>
      <c r="L683" s="239" t="n">
        <f aca="false">J683*10^(K683/192)</f>
        <v>3439.20713684894</v>
      </c>
    </row>
    <row r="684" customFormat="false" ht="15" hidden="false" customHeight="false" outlineLevel="0" collapsed="false">
      <c r="J684" s="238" t="n">
        <f aca="false">J492*10</f>
        <v>1000</v>
      </c>
      <c r="K684" s="1" t="n">
        <f aca="false">K683+1</f>
        <v>104</v>
      </c>
      <c r="L684" s="239" t="n">
        <f aca="false">J684*10^(K684/192)</f>
        <v>3480.70058842841</v>
      </c>
    </row>
    <row r="685" customFormat="false" ht="15" hidden="false" customHeight="false" outlineLevel="0" collapsed="false">
      <c r="J685" s="238" t="n">
        <f aca="false">J493*10</f>
        <v>1000</v>
      </c>
      <c r="K685" s="1" t="n">
        <f aca="false">K684+1</f>
        <v>105</v>
      </c>
      <c r="L685" s="239" t="n">
        <f aca="false">J685*10^(K685/192)</f>
        <v>3522.6946514731</v>
      </c>
    </row>
    <row r="686" customFormat="false" ht="15" hidden="false" customHeight="false" outlineLevel="0" collapsed="false">
      <c r="J686" s="238" t="n">
        <f aca="false">J494*10</f>
        <v>1000</v>
      </c>
      <c r="K686" s="1" t="n">
        <f aca="false">K685+1</f>
        <v>106</v>
      </c>
      <c r="L686" s="239" t="n">
        <f aca="false">J686*10^(K686/192)</f>
        <v>3565.19536577555</v>
      </c>
    </row>
    <row r="687" customFormat="false" ht="15" hidden="false" customHeight="false" outlineLevel="0" collapsed="false">
      <c r="J687" s="238" t="n">
        <f aca="false">J495*10</f>
        <v>1000</v>
      </c>
      <c r="K687" s="1" t="n">
        <f aca="false">K686+1</f>
        <v>107</v>
      </c>
      <c r="L687" s="239" t="n">
        <f aca="false">J687*10^(K687/192)</f>
        <v>3608.20884399736</v>
      </c>
    </row>
    <row r="688" customFormat="false" ht="15" hidden="false" customHeight="false" outlineLevel="0" collapsed="false">
      <c r="J688" s="238" t="n">
        <f aca="false">J496*10</f>
        <v>1000</v>
      </c>
      <c r="K688" s="1" t="n">
        <f aca="false">K687+1</f>
        <v>108</v>
      </c>
      <c r="L688" s="239" t="n">
        <f aca="false">J688*10^(K688/192)</f>
        <v>3651.74127254838</v>
      </c>
    </row>
    <row r="689" customFormat="false" ht="15" hidden="false" customHeight="false" outlineLevel="0" collapsed="false">
      <c r="J689" s="238" t="n">
        <f aca="false">J497*10</f>
        <v>1000</v>
      </c>
      <c r="K689" s="1" t="n">
        <f aca="false">K688+1</f>
        <v>109</v>
      </c>
      <c r="L689" s="239" t="n">
        <f aca="false">J689*10^(K689/192)</f>
        <v>3695.79891247642</v>
      </c>
    </row>
    <row r="690" customFormat="false" ht="15" hidden="false" customHeight="false" outlineLevel="0" collapsed="false">
      <c r="J690" s="238" t="n">
        <f aca="false">J498*10</f>
        <v>1000</v>
      </c>
      <c r="K690" s="1" t="n">
        <f aca="false">K689+1</f>
        <v>110</v>
      </c>
      <c r="L690" s="239" t="n">
        <f aca="false">J690*10^(K690/192)</f>
        <v>3740.38810036779</v>
      </c>
    </row>
    <row r="691" customFormat="false" ht="15" hidden="false" customHeight="false" outlineLevel="0" collapsed="false">
      <c r="J691" s="238" t="n">
        <f aca="false">J499*10</f>
        <v>1000</v>
      </c>
      <c r="K691" s="1" t="n">
        <f aca="false">K690+1</f>
        <v>111</v>
      </c>
      <c r="L691" s="239" t="n">
        <f aca="false">J691*10^(K691/192)</f>
        <v>3785.51524925863</v>
      </c>
    </row>
    <row r="692" customFormat="false" ht="15" hidden="false" customHeight="false" outlineLevel="0" collapsed="false">
      <c r="J692" s="238" t="n">
        <f aca="false">J500*10</f>
        <v>1000</v>
      </c>
      <c r="K692" s="1" t="n">
        <f aca="false">K691+1</f>
        <v>112</v>
      </c>
      <c r="L692" s="239" t="n">
        <f aca="false">J692*10^(K692/192)</f>
        <v>3831.18684955729</v>
      </c>
    </row>
    <row r="693" customFormat="false" ht="15" hidden="false" customHeight="false" outlineLevel="0" collapsed="false">
      <c r="J693" s="238" t="n">
        <f aca="false">J501*10</f>
        <v>1000</v>
      </c>
      <c r="K693" s="1" t="n">
        <f aca="false">K692+1</f>
        <v>113</v>
      </c>
      <c r="L693" s="239" t="n">
        <f aca="false">J693*10^(K693/192)</f>
        <v>3877.40946997778</v>
      </c>
    </row>
    <row r="694" customFormat="false" ht="15" hidden="false" customHeight="false" outlineLevel="0" collapsed="false">
      <c r="J694" s="238" t="n">
        <f aca="false">J502*10</f>
        <v>1000</v>
      </c>
      <c r="K694" s="1" t="n">
        <f aca="false">K693+1</f>
        <v>114</v>
      </c>
      <c r="L694" s="239" t="n">
        <f aca="false">J694*10^(K694/192)</f>
        <v>3924.18975848454</v>
      </c>
    </row>
    <row r="695" customFormat="false" ht="15" hidden="false" customHeight="false" outlineLevel="0" collapsed="false">
      <c r="J695" s="238" t="n">
        <f aca="false">J503*10</f>
        <v>1000</v>
      </c>
      <c r="K695" s="1" t="n">
        <f aca="false">K694+1</f>
        <v>115</v>
      </c>
      <c r="L695" s="239" t="n">
        <f aca="false">J695*10^(K695/192)</f>
        <v>3971.53444324857</v>
      </c>
    </row>
    <row r="696" customFormat="false" ht="15" hidden="false" customHeight="false" outlineLevel="0" collapsed="false">
      <c r="J696" s="238" t="n">
        <f aca="false">J504*10</f>
        <v>1000</v>
      </c>
      <c r="K696" s="1" t="n">
        <f aca="false">K695+1</f>
        <v>116</v>
      </c>
      <c r="L696" s="239" t="n">
        <f aca="false">J696*10^(K696/192)</f>
        <v>4019.45033361512</v>
      </c>
    </row>
    <row r="697" customFormat="false" ht="15" hidden="false" customHeight="false" outlineLevel="0" collapsed="false">
      <c r="J697" s="238" t="n">
        <f aca="false">J505*10</f>
        <v>1000</v>
      </c>
      <c r="K697" s="1" t="n">
        <f aca="false">K696+1</f>
        <v>117</v>
      </c>
      <c r="L697" s="239" t="n">
        <f aca="false">J697*10^(K697/192)</f>
        <v>4067.94432108305</v>
      </c>
    </row>
    <row r="698" customFormat="false" ht="15" hidden="false" customHeight="false" outlineLevel="0" collapsed="false">
      <c r="J698" s="238" t="n">
        <f aca="false">J506*10</f>
        <v>1000</v>
      </c>
      <c r="K698" s="1" t="n">
        <f aca="false">K697+1</f>
        <v>118</v>
      </c>
      <c r="L698" s="239" t="n">
        <f aca="false">J698*10^(K698/192)</f>
        <v>4117.02338029595</v>
      </c>
    </row>
    <row r="699" customFormat="false" ht="15" hidden="false" customHeight="false" outlineLevel="0" collapsed="false">
      <c r="J699" s="238" t="n">
        <f aca="false">J507*10</f>
        <v>1000</v>
      </c>
      <c r="K699" s="1" t="n">
        <f aca="false">K698+1</f>
        <v>119</v>
      </c>
      <c r="L699" s="239" t="n">
        <f aca="false">J699*10^(K699/192)</f>
        <v>4166.69457004533</v>
      </c>
    </row>
    <row r="700" customFormat="false" ht="15" hidden="false" customHeight="false" outlineLevel="0" collapsed="false">
      <c r="J700" s="238" t="n">
        <f aca="false">J508*10</f>
        <v>1000</v>
      </c>
      <c r="K700" s="1" t="n">
        <f aca="false">K699+1</f>
        <v>120</v>
      </c>
      <c r="L700" s="239" t="n">
        <f aca="false">J700*10^(K700/192)</f>
        <v>4216.96503428582</v>
      </c>
    </row>
    <row r="701" customFormat="false" ht="15" hidden="false" customHeight="false" outlineLevel="0" collapsed="false">
      <c r="J701" s="238" t="n">
        <f aca="false">J509*10</f>
        <v>1000</v>
      </c>
      <c r="K701" s="1" t="n">
        <f aca="false">K700+1</f>
        <v>121</v>
      </c>
      <c r="L701" s="239" t="n">
        <f aca="false">J701*10^(K701/192)</f>
        <v>4267.84200316266</v>
      </c>
    </row>
    <row r="702" customFormat="false" ht="15" hidden="false" customHeight="false" outlineLevel="0" collapsed="false">
      <c r="J702" s="238" t="n">
        <f aca="false">J510*10</f>
        <v>1000</v>
      </c>
      <c r="K702" s="1" t="n">
        <f aca="false">K701+1</f>
        <v>122</v>
      </c>
      <c r="L702" s="239" t="n">
        <f aca="false">J702*10^(K702/192)</f>
        <v>4319.33279405155</v>
      </c>
    </row>
    <row r="703" customFormat="false" ht="15" hidden="false" customHeight="false" outlineLevel="0" collapsed="false">
      <c r="J703" s="238" t="n">
        <f aca="false">J511*10</f>
        <v>1000</v>
      </c>
      <c r="K703" s="1" t="n">
        <f aca="false">K702+1</f>
        <v>123</v>
      </c>
      <c r="L703" s="239" t="n">
        <f aca="false">J703*10^(K703/192)</f>
        <v>4371.44481261109</v>
      </c>
    </row>
    <row r="704" customFormat="false" ht="15" hidden="false" customHeight="false" outlineLevel="0" collapsed="false">
      <c r="J704" s="238" t="n">
        <f aca="false">J512*10</f>
        <v>1000</v>
      </c>
      <c r="K704" s="1" t="n">
        <f aca="false">K703+1</f>
        <v>124</v>
      </c>
      <c r="L704" s="239" t="n">
        <f aca="false">J704*10^(K704/192)</f>
        <v>4424.18555384792</v>
      </c>
    </row>
    <row r="705" customFormat="false" ht="15" hidden="false" customHeight="false" outlineLevel="0" collapsed="false">
      <c r="J705" s="238" t="n">
        <f aca="false">J513*10</f>
        <v>1000</v>
      </c>
      <c r="K705" s="1" t="n">
        <f aca="false">K704+1</f>
        <v>125</v>
      </c>
      <c r="L705" s="239" t="n">
        <f aca="false">J705*10^(K705/192)</f>
        <v>4477.56260319464</v>
      </c>
    </row>
    <row r="706" customFormat="false" ht="15" hidden="false" customHeight="false" outlineLevel="0" collapsed="false">
      <c r="J706" s="238" t="n">
        <f aca="false">J514*10</f>
        <v>1000</v>
      </c>
      <c r="K706" s="1" t="n">
        <f aca="false">K705+1</f>
        <v>126</v>
      </c>
      <c r="L706" s="239" t="n">
        <f aca="false">J706*10^(K706/192)</f>
        <v>4531.58363760082</v>
      </c>
    </row>
    <row r="707" customFormat="false" ht="15" hidden="false" customHeight="false" outlineLevel="0" collapsed="false">
      <c r="J707" s="238" t="n">
        <f aca="false">J515*10</f>
        <v>1000</v>
      </c>
      <c r="K707" s="1" t="n">
        <f aca="false">K706+1</f>
        <v>127</v>
      </c>
      <c r="L707" s="239" t="n">
        <f aca="false">J707*10^(K707/192)</f>
        <v>4586.25642663713</v>
      </c>
    </row>
    <row r="708" customFormat="false" ht="15" hidden="false" customHeight="false" outlineLevel="0" collapsed="false">
      <c r="J708" s="238" t="n">
        <f aca="false">J516*10</f>
        <v>1000</v>
      </c>
      <c r="K708" s="1" t="n">
        <f aca="false">K707+1</f>
        <v>128</v>
      </c>
      <c r="L708" s="239" t="n">
        <f aca="false">J708*10^(K708/192)</f>
        <v>4641.58883361278</v>
      </c>
    </row>
    <row r="709" customFormat="false" ht="15" hidden="false" customHeight="false" outlineLevel="0" collapsed="false">
      <c r="J709" s="238" t="n">
        <f aca="false">J517*10</f>
        <v>1000</v>
      </c>
      <c r="K709" s="1" t="n">
        <f aca="false">K708+1</f>
        <v>129</v>
      </c>
      <c r="L709" s="239" t="n">
        <f aca="false">J709*10^(K709/192)</f>
        <v>4697.58881670649</v>
      </c>
    </row>
    <row r="710" customFormat="false" ht="15" hidden="false" customHeight="false" outlineLevel="0" collapsed="false">
      <c r="J710" s="238" t="n">
        <f aca="false">J518*10</f>
        <v>1000</v>
      </c>
      <c r="K710" s="1" t="n">
        <f aca="false">K709+1</f>
        <v>130</v>
      </c>
      <c r="L710" s="239" t="n">
        <f aca="false">J710*10^(K710/192)</f>
        <v>4754.26443011106</v>
      </c>
    </row>
    <row r="711" customFormat="false" ht="15" hidden="false" customHeight="false" outlineLevel="0" collapsed="false">
      <c r="J711" s="238" t="n">
        <f aca="false">J519*10</f>
        <v>1000</v>
      </c>
      <c r="K711" s="1" t="n">
        <f aca="false">K710+1</f>
        <v>131</v>
      </c>
      <c r="L711" s="239" t="n">
        <f aca="false">J711*10^(K711/192)</f>
        <v>4811.62382519173</v>
      </c>
    </row>
    <row r="712" customFormat="false" ht="15" hidden="false" customHeight="false" outlineLevel="0" collapsed="false">
      <c r="J712" s="238" t="n">
        <f aca="false">J520*10</f>
        <v>1000</v>
      </c>
      <c r="K712" s="1" t="n">
        <f aca="false">K711+1</f>
        <v>132</v>
      </c>
      <c r="L712" s="239" t="n">
        <f aca="false">J712*10^(K712/192)</f>
        <v>4869.67525165863</v>
      </c>
    </row>
    <row r="713" customFormat="false" ht="15" hidden="false" customHeight="false" outlineLevel="0" collapsed="false">
      <c r="J713" s="238" t="n">
        <f aca="false">J521*10</f>
        <v>1000</v>
      </c>
      <c r="K713" s="1" t="n">
        <f aca="false">K712+1</f>
        <v>133</v>
      </c>
      <c r="L713" s="239" t="n">
        <f aca="false">J713*10^(K713/192)</f>
        <v>4928.42705875321</v>
      </c>
    </row>
    <row r="714" customFormat="false" ht="15" hidden="false" customHeight="false" outlineLevel="0" collapsed="false">
      <c r="J714" s="238" t="n">
        <f aca="false">J522*10</f>
        <v>1000</v>
      </c>
      <c r="K714" s="1" t="n">
        <f aca="false">K713+1</f>
        <v>134</v>
      </c>
      <c r="L714" s="239" t="n">
        <f aca="false">J714*10^(K714/192)</f>
        <v>4987.88769644911</v>
      </c>
    </row>
    <row r="715" customFormat="false" ht="15" hidden="false" customHeight="false" outlineLevel="0" collapsed="false">
      <c r="J715" s="238" t="n">
        <f aca="false">J523*10</f>
        <v>1000</v>
      </c>
      <c r="K715" s="1" t="n">
        <f aca="false">K714+1</f>
        <v>135</v>
      </c>
      <c r="L715" s="239" t="n">
        <f aca="false">J715*10^(K715/192)</f>
        <v>5048.06571666747</v>
      </c>
    </row>
    <row r="716" customFormat="false" ht="15" hidden="false" customHeight="false" outlineLevel="0" collapsed="false">
      <c r="J716" s="238" t="n">
        <f aca="false">J524*10</f>
        <v>1000</v>
      </c>
      <c r="K716" s="1" t="n">
        <f aca="false">K715+1</f>
        <v>136</v>
      </c>
      <c r="L716" s="239" t="n">
        <f aca="false">J716*10^(K716/192)</f>
        <v>5108.96977450693</v>
      </c>
    </row>
    <row r="717" customFormat="false" ht="15" hidden="false" customHeight="false" outlineLevel="0" collapsed="false">
      <c r="J717" s="238" t="n">
        <f aca="false">J525*10</f>
        <v>1000</v>
      </c>
      <c r="K717" s="1" t="n">
        <f aca="false">K716+1</f>
        <v>137</v>
      </c>
      <c r="L717" s="239" t="n">
        <f aca="false">J717*10^(K717/192)</f>
        <v>5170.6086294884</v>
      </c>
    </row>
    <row r="718" customFormat="false" ht="15" hidden="false" customHeight="false" outlineLevel="0" collapsed="false">
      <c r="J718" s="238" t="n">
        <f aca="false">J526*10</f>
        <v>1000</v>
      </c>
      <c r="K718" s="1" t="n">
        <f aca="false">K717+1</f>
        <v>138</v>
      </c>
      <c r="L718" s="239" t="n">
        <f aca="false">J718*10^(K718/192)</f>
        <v>5232.99114681495</v>
      </c>
    </row>
    <row r="719" customFormat="false" ht="15" hidden="false" customHeight="false" outlineLevel="0" collapsed="false">
      <c r="J719" s="238" t="n">
        <f aca="false">J527*10</f>
        <v>1000</v>
      </c>
      <c r="K719" s="1" t="n">
        <f aca="false">K718+1</f>
        <v>139</v>
      </c>
      <c r="L719" s="239" t="n">
        <f aca="false">J719*10^(K719/192)</f>
        <v>5296.1262986468</v>
      </c>
    </row>
    <row r="720" customFormat="false" ht="15" hidden="false" customHeight="false" outlineLevel="0" collapsed="false">
      <c r="J720" s="238" t="n">
        <f aca="false">J528*10</f>
        <v>1000</v>
      </c>
      <c r="K720" s="1" t="n">
        <f aca="false">K719+1</f>
        <v>140</v>
      </c>
      <c r="L720" s="239" t="n">
        <f aca="false">J720*10^(K720/192)</f>
        <v>5360.02316539179</v>
      </c>
    </row>
    <row r="721" customFormat="false" ht="15" hidden="false" customHeight="false" outlineLevel="0" collapsed="false">
      <c r="J721" s="238" t="n">
        <f aca="false">J529*10</f>
        <v>1000</v>
      </c>
      <c r="K721" s="1" t="n">
        <f aca="false">K720+1</f>
        <v>141</v>
      </c>
      <c r="L721" s="239" t="n">
        <f aca="false">J721*10^(K721/192)</f>
        <v>5424.69093701133</v>
      </c>
    </row>
    <row r="722" customFormat="false" ht="15" hidden="false" customHeight="false" outlineLevel="0" collapsed="false">
      <c r="J722" s="238" t="n">
        <f aca="false">J530*10</f>
        <v>1000</v>
      </c>
      <c r="K722" s="1" t="n">
        <f aca="false">K721+1</f>
        <v>142</v>
      </c>
      <c r="L722" s="239" t="n">
        <f aca="false">J722*10^(K722/192)</f>
        <v>5490.13891434214</v>
      </c>
    </row>
    <row r="723" customFormat="false" ht="15" hidden="false" customHeight="false" outlineLevel="0" collapsed="false">
      <c r="J723" s="238" t="n">
        <f aca="false">J531*10</f>
        <v>1000</v>
      </c>
      <c r="K723" s="1" t="n">
        <f aca="false">K722+1</f>
        <v>143</v>
      </c>
      <c r="L723" s="239" t="n">
        <f aca="false">J723*10^(K723/192)</f>
        <v>5556.37651043399</v>
      </c>
    </row>
    <row r="724" customFormat="false" ht="15" hidden="false" customHeight="false" outlineLevel="0" collapsed="false">
      <c r="J724" s="238" t="n">
        <f aca="false">J532*10</f>
        <v>1000</v>
      </c>
      <c r="K724" s="1" t="n">
        <f aca="false">K723+1</f>
        <v>144</v>
      </c>
      <c r="L724" s="239" t="n">
        <f aca="false">J724*10^(K724/192)</f>
        <v>5623.41325190349</v>
      </c>
    </row>
    <row r="725" customFormat="false" ht="15" hidden="false" customHeight="false" outlineLevel="0" collapsed="false">
      <c r="J725" s="238" t="n">
        <f aca="false">J533*10</f>
        <v>1000</v>
      </c>
      <c r="K725" s="1" t="n">
        <f aca="false">K724+1</f>
        <v>145</v>
      </c>
      <c r="L725" s="239" t="n">
        <f aca="false">J725*10^(K725/192)</f>
        <v>5691.25878030426</v>
      </c>
    </row>
    <row r="726" customFormat="false" ht="15" hidden="false" customHeight="false" outlineLevel="0" collapsed="false">
      <c r="J726" s="238" t="n">
        <f aca="false">J534*10</f>
        <v>1000</v>
      </c>
      <c r="K726" s="1" t="n">
        <f aca="false">K725+1</f>
        <v>146</v>
      </c>
      <c r="L726" s="239" t="n">
        <f aca="false">J726*10^(K726/192)</f>
        <v>5759.92285351363</v>
      </c>
    </row>
    <row r="727" customFormat="false" ht="15" hidden="false" customHeight="false" outlineLevel="0" collapsed="false">
      <c r="J727" s="238" t="n">
        <f aca="false">J535*10</f>
        <v>1000</v>
      </c>
      <c r="K727" s="1" t="n">
        <f aca="false">K726+1</f>
        <v>147</v>
      </c>
      <c r="L727" s="239" t="n">
        <f aca="false">J727*10^(K727/192)</f>
        <v>5829.41534713607</v>
      </c>
    </row>
    <row r="728" customFormat="false" ht="15" hidden="false" customHeight="false" outlineLevel="0" collapsed="false">
      <c r="J728" s="238" t="n">
        <f aca="false">J536*10</f>
        <v>1000</v>
      </c>
      <c r="K728" s="1" t="n">
        <f aca="false">K727+1</f>
        <v>148</v>
      </c>
      <c r="L728" s="239" t="n">
        <f aca="false">J728*10^(K728/192)</f>
        <v>5899.74625592357</v>
      </c>
    </row>
    <row r="729" customFormat="false" ht="15" hidden="false" customHeight="false" outlineLevel="0" collapsed="false">
      <c r="J729" s="238" t="n">
        <f aca="false">J537*10</f>
        <v>1000</v>
      </c>
      <c r="K729" s="1" t="n">
        <f aca="false">K728+1</f>
        <v>149</v>
      </c>
      <c r="L729" s="239" t="n">
        <f aca="false">J729*10^(K729/192)</f>
        <v>5970.92569521305</v>
      </c>
    </row>
    <row r="730" customFormat="false" ht="15" hidden="false" customHeight="false" outlineLevel="0" collapsed="false">
      <c r="J730" s="238" t="n">
        <f aca="false">J538*10</f>
        <v>1000</v>
      </c>
      <c r="K730" s="1" t="n">
        <f aca="false">K729+1</f>
        <v>150</v>
      </c>
      <c r="L730" s="239" t="n">
        <f aca="false">J730*10^(K730/192)</f>
        <v>6042.96390238133</v>
      </c>
    </row>
    <row r="731" customFormat="false" ht="15" hidden="false" customHeight="false" outlineLevel="0" collapsed="false">
      <c r="J731" s="238" t="n">
        <f aca="false">J539*10</f>
        <v>1000</v>
      </c>
      <c r="K731" s="1" t="n">
        <f aca="false">K730+1</f>
        <v>151</v>
      </c>
      <c r="L731" s="239" t="n">
        <f aca="false">J731*10^(K731/192)</f>
        <v>6115.87123831739</v>
      </c>
    </row>
    <row r="732" customFormat="false" ht="15" hidden="false" customHeight="false" outlineLevel="0" collapsed="false">
      <c r="J732" s="238" t="n">
        <f aca="false">J540*10</f>
        <v>1000</v>
      </c>
      <c r="K732" s="1" t="n">
        <f aca="false">K731+1</f>
        <v>152</v>
      </c>
      <c r="L732" s="239" t="n">
        <f aca="false">J732*10^(K732/192)</f>
        <v>6189.65818891261</v>
      </c>
    </row>
    <row r="733" customFormat="false" ht="15" hidden="false" customHeight="false" outlineLevel="0" collapsed="false">
      <c r="J733" s="238" t="n">
        <f aca="false">J541*10</f>
        <v>1000</v>
      </c>
      <c r="K733" s="1" t="n">
        <f aca="false">K732+1</f>
        <v>153</v>
      </c>
      <c r="L733" s="239" t="n">
        <f aca="false">J733*10^(K733/192)</f>
        <v>6264.33536656886</v>
      </c>
    </row>
    <row r="734" customFormat="false" ht="15" hidden="false" customHeight="false" outlineLevel="0" collapsed="false">
      <c r="J734" s="238" t="n">
        <f aca="false">J542*10</f>
        <v>1000</v>
      </c>
      <c r="K734" s="1" t="n">
        <f aca="false">K733+1</f>
        <v>154</v>
      </c>
      <c r="L734" s="239" t="n">
        <f aca="false">J734*10^(K734/192)</f>
        <v>6339.91351172485</v>
      </c>
    </row>
    <row r="735" customFormat="false" ht="15" hidden="false" customHeight="false" outlineLevel="0" collapsed="false">
      <c r="J735" s="238" t="n">
        <f aca="false">J543*10</f>
        <v>1000</v>
      </c>
      <c r="K735" s="1" t="n">
        <f aca="false">K734+1</f>
        <v>155</v>
      </c>
      <c r="L735" s="239" t="n">
        <f aca="false">J735*10^(K735/192)</f>
        <v>6416.40349440085</v>
      </c>
    </row>
    <row r="736" customFormat="false" ht="15" hidden="false" customHeight="false" outlineLevel="0" collapsed="false">
      <c r="J736" s="238" t="n">
        <f aca="false">J544*10</f>
        <v>1000</v>
      </c>
      <c r="K736" s="1" t="n">
        <f aca="false">K735+1</f>
        <v>156</v>
      </c>
      <c r="L736" s="239" t="n">
        <f aca="false">J736*10^(K736/192)</f>
        <v>6493.81631576211</v>
      </c>
    </row>
    <row r="737" customFormat="false" ht="15" hidden="false" customHeight="false" outlineLevel="0" collapsed="false">
      <c r="J737" s="238" t="n">
        <f aca="false">J545*10</f>
        <v>1000</v>
      </c>
      <c r="K737" s="1" t="n">
        <f aca="false">K736+1</f>
        <v>157</v>
      </c>
      <c r="L737" s="239" t="n">
        <f aca="false">J737*10^(K737/192)</f>
        <v>6572.16310970106</v>
      </c>
    </row>
    <row r="738" customFormat="false" ht="15" hidden="false" customHeight="false" outlineLevel="0" collapsed="false">
      <c r="J738" s="238" t="n">
        <f aca="false">J546*10</f>
        <v>1000</v>
      </c>
      <c r="K738" s="1" t="n">
        <f aca="false">K737+1</f>
        <v>158</v>
      </c>
      <c r="L738" s="239" t="n">
        <f aca="false">J738*10^(K738/192)</f>
        <v>6651.45514443863</v>
      </c>
    </row>
    <row r="739" customFormat="false" ht="15" hidden="false" customHeight="false" outlineLevel="0" collapsed="false">
      <c r="J739" s="238" t="n">
        <f aca="false">J547*10</f>
        <v>1000</v>
      </c>
      <c r="K739" s="1" t="n">
        <f aca="false">K738+1</f>
        <v>159</v>
      </c>
      <c r="L739" s="239" t="n">
        <f aca="false">J739*10^(K739/192)</f>
        <v>6731.70382414498</v>
      </c>
    </row>
    <row r="740" customFormat="false" ht="15" hidden="false" customHeight="false" outlineLevel="0" collapsed="false">
      <c r="J740" s="238" t="n">
        <f aca="false">J548*10</f>
        <v>1000</v>
      </c>
      <c r="K740" s="1" t="n">
        <f aca="false">K739+1</f>
        <v>160</v>
      </c>
      <c r="L740" s="239" t="n">
        <f aca="false">J740*10^(K740/192)</f>
        <v>6812.92069057961</v>
      </c>
    </row>
    <row r="741" customFormat="false" ht="15" hidden="false" customHeight="false" outlineLevel="0" collapsed="false">
      <c r="J741" s="238" t="n">
        <f aca="false">J549*10</f>
        <v>1000</v>
      </c>
      <c r="K741" s="1" t="n">
        <f aca="false">K740+1</f>
        <v>161</v>
      </c>
      <c r="L741" s="239" t="n">
        <f aca="false">J741*10^(K741/192)</f>
        <v>6895.11742475141</v>
      </c>
    </row>
    <row r="742" customFormat="false" ht="15" hidden="false" customHeight="false" outlineLevel="0" collapsed="false">
      <c r="J742" s="238" t="n">
        <f aca="false">J550*10</f>
        <v>1000</v>
      </c>
      <c r="K742" s="1" t="n">
        <f aca="false">K741+1</f>
        <v>162</v>
      </c>
      <c r="L742" s="239" t="n">
        <f aca="false">J742*10^(K742/192)</f>
        <v>6978.30584859866</v>
      </c>
    </row>
    <row r="743" customFormat="false" ht="15" hidden="false" customHeight="false" outlineLevel="0" collapsed="false">
      <c r="J743" s="238" t="n">
        <f aca="false">J551*10</f>
        <v>1000</v>
      </c>
      <c r="K743" s="1" t="n">
        <f aca="false">K742+1</f>
        <v>163</v>
      </c>
      <c r="L743" s="239" t="n">
        <f aca="false">J743*10^(K743/192)</f>
        <v>7062.49792668933</v>
      </c>
    </row>
    <row r="744" customFormat="false" ht="15" hidden="false" customHeight="false" outlineLevel="0" collapsed="false">
      <c r="J744" s="238" t="n">
        <f aca="false">J552*10</f>
        <v>1000</v>
      </c>
      <c r="K744" s="1" t="n">
        <f aca="false">K743+1</f>
        <v>164</v>
      </c>
      <c r="L744" s="239" t="n">
        <f aca="false">J744*10^(K744/192)</f>
        <v>7147.70576794186</v>
      </c>
    </row>
    <row r="745" customFormat="false" ht="15" hidden="false" customHeight="false" outlineLevel="0" collapsed="false">
      <c r="J745" s="238" t="n">
        <f aca="false">J553*10</f>
        <v>1000</v>
      </c>
      <c r="K745" s="1" t="n">
        <f aca="false">K744+1</f>
        <v>165</v>
      </c>
      <c r="L745" s="239" t="n">
        <f aca="false">J745*10^(K745/192)</f>
        <v>7233.94162736675</v>
      </c>
    </row>
    <row r="746" customFormat="false" ht="15" hidden="false" customHeight="false" outlineLevel="0" collapsed="false">
      <c r="J746" s="238" t="n">
        <f aca="false">J554*10</f>
        <v>1000</v>
      </c>
      <c r="K746" s="1" t="n">
        <f aca="false">K745+1</f>
        <v>166</v>
      </c>
      <c r="L746" s="239" t="n">
        <f aca="false">J746*10^(K746/192)</f>
        <v>7321.21790782913</v>
      </c>
    </row>
    <row r="747" customFormat="false" ht="15" hidden="false" customHeight="false" outlineLevel="0" collapsed="false">
      <c r="J747" s="238" t="n">
        <f aca="false">J555*10</f>
        <v>1000</v>
      </c>
      <c r="K747" s="1" t="n">
        <f aca="false">K746+1</f>
        <v>167</v>
      </c>
      <c r="L747" s="239" t="n">
        <f aca="false">J747*10^(K747/192)</f>
        <v>7409.54716183259</v>
      </c>
    </row>
    <row r="748" customFormat="false" ht="15" hidden="false" customHeight="false" outlineLevel="0" collapsed="false">
      <c r="J748" s="238" t="n">
        <f aca="false">J556*10</f>
        <v>1000</v>
      </c>
      <c r="K748" s="1" t="n">
        <f aca="false">K747+1</f>
        <v>168</v>
      </c>
      <c r="L748" s="239" t="n">
        <f aca="false">J748*10^(K748/192)</f>
        <v>7498.94209332456</v>
      </c>
    </row>
    <row r="749" customFormat="false" ht="15" hidden="false" customHeight="false" outlineLevel="0" collapsed="false">
      <c r="J749" s="238" t="n">
        <f aca="false">J557*10</f>
        <v>1000</v>
      </c>
      <c r="K749" s="1" t="n">
        <f aca="false">K748+1</f>
        <v>169</v>
      </c>
      <c r="L749" s="239" t="n">
        <f aca="false">J749*10^(K749/192)</f>
        <v>7589.41555952343</v>
      </c>
    </row>
    <row r="750" customFormat="false" ht="15" hidden="false" customHeight="false" outlineLevel="0" collapsed="false">
      <c r="J750" s="238" t="n">
        <f aca="false">J558*10</f>
        <v>1000</v>
      </c>
      <c r="K750" s="1" t="n">
        <f aca="false">K749+1</f>
        <v>170</v>
      </c>
      <c r="L750" s="239" t="n">
        <f aca="false">J750*10^(K750/192)</f>
        <v>7680.98057276775</v>
      </c>
    </row>
    <row r="751" customFormat="false" ht="15" hidden="false" customHeight="false" outlineLevel="0" collapsed="false">
      <c r="J751" s="238" t="n">
        <f aca="false">J559*10</f>
        <v>1000</v>
      </c>
      <c r="K751" s="1" t="n">
        <f aca="false">K750+1</f>
        <v>171</v>
      </c>
      <c r="L751" s="239" t="n">
        <f aca="false">J751*10^(K751/192)</f>
        <v>7773.65030238776</v>
      </c>
    </row>
    <row r="752" customFormat="false" ht="15" hidden="false" customHeight="false" outlineLevel="0" collapsed="false">
      <c r="J752" s="238" t="n">
        <f aca="false">J560*10</f>
        <v>1000</v>
      </c>
      <c r="K752" s="1" t="n">
        <f aca="false">K751+1</f>
        <v>172</v>
      </c>
      <c r="L752" s="239" t="n">
        <f aca="false">J752*10^(K752/192)</f>
        <v>7867.4380765994</v>
      </c>
    </row>
    <row r="753" customFormat="false" ht="15" hidden="false" customHeight="false" outlineLevel="0" collapsed="false">
      <c r="J753" s="238" t="n">
        <f aca="false">J561*10</f>
        <v>1000</v>
      </c>
      <c r="K753" s="1" t="n">
        <f aca="false">K752+1</f>
        <v>173</v>
      </c>
      <c r="L753" s="239" t="n">
        <f aca="false">J753*10^(K753/192)</f>
        <v>7962.3573844213</v>
      </c>
    </row>
    <row r="754" customFormat="false" ht="15" hidden="false" customHeight="false" outlineLevel="0" collapsed="false">
      <c r="J754" s="238" t="n">
        <f aca="false">J562*10</f>
        <v>1000</v>
      </c>
      <c r="K754" s="1" t="n">
        <f aca="false">K753+1</f>
        <v>174</v>
      </c>
      <c r="L754" s="239" t="n">
        <f aca="false">J754*10^(K754/192)</f>
        <v>8058.42187761482</v>
      </c>
    </row>
    <row r="755" customFormat="false" ht="15" hidden="false" customHeight="false" outlineLevel="0" collapsed="false">
      <c r="J755" s="238" t="n">
        <f aca="false">J563*10</f>
        <v>1000</v>
      </c>
      <c r="K755" s="1" t="n">
        <f aca="false">K754+1</f>
        <v>175</v>
      </c>
      <c r="L755" s="239" t="n">
        <f aca="false">J755*10^(K755/192)</f>
        <v>8155.64537264749</v>
      </c>
    </row>
    <row r="756" customFormat="false" ht="15" hidden="false" customHeight="false" outlineLevel="0" collapsed="false">
      <c r="J756" s="238" t="n">
        <f aca="false">J564*10</f>
        <v>1000</v>
      </c>
      <c r="K756" s="1" t="n">
        <f aca="false">K755+1</f>
        <v>176</v>
      </c>
      <c r="L756" s="239" t="n">
        <f aca="false">J756*10^(K756/192)</f>
        <v>8254.04185268018</v>
      </c>
    </row>
    <row r="757" customFormat="false" ht="15" hidden="false" customHeight="false" outlineLevel="0" collapsed="false">
      <c r="J757" s="238" t="n">
        <f aca="false">J565*10</f>
        <v>1000</v>
      </c>
      <c r="K757" s="1" t="n">
        <f aca="false">K756+1</f>
        <v>177</v>
      </c>
      <c r="L757" s="239" t="n">
        <f aca="false">J757*10^(K757/192)</f>
        <v>8353.62546957826</v>
      </c>
    </row>
    <row r="758" customFormat="false" ht="15" hidden="false" customHeight="false" outlineLevel="0" collapsed="false">
      <c r="J758" s="238" t="n">
        <f aca="false">J566*10</f>
        <v>1000</v>
      </c>
      <c r="K758" s="1" t="n">
        <f aca="false">K757+1</f>
        <v>178</v>
      </c>
      <c r="L758" s="239" t="n">
        <f aca="false">J758*10^(K758/192)</f>
        <v>8454.41054594693</v>
      </c>
    </row>
    <row r="759" customFormat="false" ht="15" hidden="false" customHeight="false" outlineLevel="0" collapsed="false">
      <c r="J759" s="238" t="n">
        <f aca="false">J567*10</f>
        <v>1000</v>
      </c>
      <c r="K759" s="1" t="n">
        <f aca="false">K758+1</f>
        <v>179</v>
      </c>
      <c r="L759" s="239" t="n">
        <f aca="false">J759*10^(K759/192)</f>
        <v>8556.41157719118</v>
      </c>
    </row>
    <row r="760" customFormat="false" ht="15" hidden="false" customHeight="false" outlineLevel="0" collapsed="false">
      <c r="J760" s="238" t="n">
        <f aca="false">J568*10</f>
        <v>1000</v>
      </c>
      <c r="K760" s="1" t="n">
        <f aca="false">K759+1</f>
        <v>180</v>
      </c>
      <c r="L760" s="239" t="n">
        <f aca="false">J760*10^(K760/192)</f>
        <v>8659.64323360066</v>
      </c>
    </row>
    <row r="761" customFormat="false" ht="15" hidden="false" customHeight="false" outlineLevel="0" collapsed="false">
      <c r="J761" s="238" t="n">
        <f aca="false">J569*10</f>
        <v>1000</v>
      </c>
      <c r="K761" s="1" t="n">
        <f aca="false">K760+1</f>
        <v>181</v>
      </c>
      <c r="L761" s="239" t="n">
        <f aca="false">J761*10^(K761/192)</f>
        <v>8764.12036245952</v>
      </c>
    </row>
    <row r="762" customFormat="false" ht="15" hidden="false" customHeight="false" outlineLevel="0" collapsed="false">
      <c r="J762" s="238" t="n">
        <f aca="false">J570*10</f>
        <v>1000</v>
      </c>
      <c r="K762" s="1" t="n">
        <f aca="false">K761+1</f>
        <v>182</v>
      </c>
      <c r="L762" s="239" t="n">
        <f aca="false">J762*10^(K762/192)</f>
        <v>8869.85799018192</v>
      </c>
    </row>
    <row r="763" customFormat="false" ht="15" hidden="false" customHeight="false" outlineLevel="0" collapsed="false">
      <c r="J763" s="238" t="n">
        <f aca="false">J571*10</f>
        <v>1000</v>
      </c>
      <c r="K763" s="1" t="n">
        <f aca="false">K762+1</f>
        <v>183</v>
      </c>
      <c r="L763" s="239" t="n">
        <f aca="false">J763*10^(K763/192)</f>
        <v>8976.87132447314</v>
      </c>
    </row>
    <row r="764" customFormat="false" ht="15" hidden="false" customHeight="false" outlineLevel="0" collapsed="false">
      <c r="J764" s="238" t="n">
        <f aca="false">J572*10</f>
        <v>1000</v>
      </c>
      <c r="K764" s="1" t="n">
        <f aca="false">K763+1</f>
        <v>184</v>
      </c>
      <c r="L764" s="239" t="n">
        <f aca="false">J764*10^(K764/192)</f>
        <v>9085.17575651687</v>
      </c>
    </row>
    <row r="765" customFormat="false" ht="15" hidden="false" customHeight="false" outlineLevel="0" collapsed="false">
      <c r="J765" s="238" t="n">
        <f aca="false">J573*10</f>
        <v>1000</v>
      </c>
      <c r="K765" s="1" t="n">
        <f aca="false">K764+1</f>
        <v>185</v>
      </c>
      <c r="L765" s="239" t="n">
        <f aca="false">J765*10^(K765/192)</f>
        <v>9194.78686318879</v>
      </c>
    </row>
    <row r="766" customFormat="false" ht="15" hidden="false" customHeight="false" outlineLevel="0" collapsed="false">
      <c r="J766" s="238" t="n">
        <f aca="false">J574*10</f>
        <v>1000</v>
      </c>
      <c r="K766" s="1" t="n">
        <f aca="false">K765+1</f>
        <v>186</v>
      </c>
      <c r="L766" s="239" t="n">
        <f aca="false">J766*10^(K766/192)</f>
        <v>9305.72040929699</v>
      </c>
    </row>
    <row r="767" customFormat="false" ht="15" hidden="false" customHeight="false" outlineLevel="0" collapsed="false">
      <c r="J767" s="238" t="n">
        <f aca="false">J575*10</f>
        <v>1000</v>
      </c>
      <c r="K767" s="1" t="n">
        <f aca="false">K766+1</f>
        <v>187</v>
      </c>
      <c r="L767" s="239" t="n">
        <f aca="false">J767*10^(K767/192)</f>
        <v>9417.99234984926</v>
      </c>
    </row>
    <row r="768" customFormat="false" ht="15" hidden="false" customHeight="false" outlineLevel="0" collapsed="false">
      <c r="J768" s="238" t="n">
        <f aca="false">J576*10</f>
        <v>1000</v>
      </c>
      <c r="K768" s="1" t="n">
        <f aca="false">K767+1</f>
        <v>188</v>
      </c>
      <c r="L768" s="239" t="n">
        <f aca="false">J768*10^(K768/192)</f>
        <v>9531.61883234788</v>
      </c>
    </row>
    <row r="769" customFormat="false" ht="15" hidden="false" customHeight="false" outlineLevel="0" collapsed="false">
      <c r="J769" s="238" t="n">
        <f aca="false">J577*10</f>
        <v>1000</v>
      </c>
      <c r="K769" s="1" t="n">
        <f aca="false">K768+1</f>
        <v>189</v>
      </c>
      <c r="L769" s="239" t="n">
        <f aca="false">J769*10^(K769/192)</f>
        <v>9646.61619911199</v>
      </c>
    </row>
    <row r="770" customFormat="false" ht="15" hidden="false" customHeight="false" outlineLevel="0" collapsed="false">
      <c r="J770" s="238" t="n">
        <f aca="false">J578*10</f>
        <v>1000</v>
      </c>
      <c r="K770" s="1" t="n">
        <f aca="false">K769+1</f>
        <v>190</v>
      </c>
      <c r="L770" s="239" t="n">
        <f aca="false">J770*10^(K770/192)</f>
        <v>9763.00098962808</v>
      </c>
    </row>
    <row r="771" customFormat="false" ht="15" hidden="false" customHeight="false" outlineLevel="0" collapsed="false">
      <c r="J771" s="238" t="n">
        <f aca="false">J579*10</f>
        <v>1000</v>
      </c>
      <c r="K771" s="1" t="n">
        <f aca="false">K770+1</f>
        <v>191</v>
      </c>
      <c r="L771" s="239" t="n">
        <f aca="false">J771*10^(K771/192)</f>
        <v>9880.78994292869</v>
      </c>
    </row>
    <row r="772" customFormat="false" ht="15" hidden="false" customHeight="false" outlineLevel="0" collapsed="false">
      <c r="J772" s="238" t="n">
        <f aca="false">J580*10</f>
        <v>1000</v>
      </c>
      <c r="K772" s="1" t="n">
        <f aca="false">K771+1</f>
        <v>192</v>
      </c>
      <c r="L772" s="239" t="n">
        <f aca="false">J772*10^(K772/192)</f>
        <v>10000</v>
      </c>
    </row>
    <row r="773" customFormat="false" ht="15" hidden="false" customHeight="false" outlineLevel="0" collapsed="false">
      <c r="J773" s="238" t="n">
        <f aca="false">J581*10</f>
        <v>10000</v>
      </c>
      <c r="K773" s="1" t="n">
        <v>1</v>
      </c>
      <c r="L773" s="239" t="n">
        <f aca="false">J773*10^(K773/192)</f>
        <v>10120.6483062183</v>
      </c>
    </row>
    <row r="774" customFormat="false" ht="15" hidden="false" customHeight="false" outlineLevel="0" collapsed="false">
      <c r="J774" s="238" t="n">
        <f aca="false">J582*10</f>
        <v>10000</v>
      </c>
      <c r="K774" s="1" t="n">
        <f aca="false">K773+1</f>
        <v>2</v>
      </c>
      <c r="L774" s="239" t="n">
        <f aca="false">J774*10^(K774/192)</f>
        <v>10242.7522138159</v>
      </c>
    </row>
    <row r="775" customFormat="false" ht="15" hidden="false" customHeight="false" outlineLevel="0" collapsed="false">
      <c r="J775" s="238" t="n">
        <f aca="false">J583*10</f>
        <v>10000</v>
      </c>
      <c r="K775" s="1" t="n">
        <f aca="false">K774+1</f>
        <v>3</v>
      </c>
      <c r="L775" s="239" t="n">
        <f aca="false">J775*10^(K775/192)</f>
        <v>10366.329284377</v>
      </c>
    </row>
    <row r="776" customFormat="false" ht="15" hidden="false" customHeight="false" outlineLevel="0" collapsed="false">
      <c r="J776" s="238" t="n">
        <f aca="false">J584*10</f>
        <v>10000</v>
      </c>
      <c r="K776" s="1" t="n">
        <f aca="false">K775+1</f>
        <v>4</v>
      </c>
      <c r="L776" s="239" t="n">
        <f aca="false">J776*10^(K776/192)</f>
        <v>10491.3972913631</v>
      </c>
    </row>
    <row r="777" customFormat="false" ht="15" hidden="false" customHeight="false" outlineLevel="0" collapsed="false">
      <c r="J777" s="238" t="n">
        <f aca="false">J585*10</f>
        <v>10000</v>
      </c>
      <c r="K777" s="1" t="n">
        <f aca="false">K776+1</f>
        <v>5</v>
      </c>
      <c r="L777" s="239" t="n">
        <f aca="false">J777*10^(K777/192)</f>
        <v>10617.9742226697</v>
      </c>
    </row>
    <row r="778" customFormat="false" ht="15" hidden="false" customHeight="false" outlineLevel="0" collapsed="false">
      <c r="J778" s="238" t="n">
        <f aca="false">J586*10</f>
        <v>10000</v>
      </c>
      <c r="K778" s="1" t="n">
        <f aca="false">K777+1</f>
        <v>6</v>
      </c>
      <c r="L778" s="239" t="n">
        <f aca="false">J778*10^(K778/192)</f>
        <v>10746.0782832132</v>
      </c>
    </row>
    <row r="779" customFormat="false" ht="15" hidden="false" customHeight="false" outlineLevel="0" collapsed="false">
      <c r="J779" s="238" t="n">
        <f aca="false">J587*10</f>
        <v>10000</v>
      </c>
      <c r="K779" s="1" t="n">
        <f aca="false">K778+1</f>
        <v>7</v>
      </c>
      <c r="L779" s="239" t="n">
        <f aca="false">J779*10^(K779/192)</f>
        <v>10875.7278975491</v>
      </c>
    </row>
    <row r="780" customFormat="false" ht="15" hidden="false" customHeight="false" outlineLevel="0" collapsed="false">
      <c r="J780" s="238" t="n">
        <f aca="false">J588*10</f>
        <v>10000</v>
      </c>
      <c r="K780" s="1" t="n">
        <f aca="false">K779+1</f>
        <v>8</v>
      </c>
      <c r="L780" s="239" t="n">
        <f aca="false">J780*10^(K780/192)</f>
        <v>11006.9417125221</v>
      </c>
    </row>
    <row r="781" customFormat="false" ht="15" hidden="false" customHeight="false" outlineLevel="0" collapsed="false">
      <c r="J781" s="238" t="n">
        <f aca="false">J589*10</f>
        <v>10000</v>
      </c>
      <c r="K781" s="1" t="n">
        <f aca="false">K780+1</f>
        <v>9</v>
      </c>
      <c r="L781" s="239" t="n">
        <f aca="false">J781*10^(K781/192)</f>
        <v>11139.738599948</v>
      </c>
    </row>
    <row r="782" customFormat="false" ht="15" hidden="false" customHeight="false" outlineLevel="0" collapsed="false">
      <c r="J782" s="238" t="n">
        <f aca="false">J590*10</f>
        <v>10000</v>
      </c>
      <c r="K782" s="1" t="n">
        <f aca="false">K781+1</f>
        <v>10</v>
      </c>
      <c r="L782" s="239" t="n">
        <f aca="false">J782*10^(K782/192)</f>
        <v>11274.1376593279</v>
      </c>
    </row>
    <row r="783" customFormat="false" ht="15" hidden="false" customHeight="false" outlineLevel="0" collapsed="false">
      <c r="J783" s="238" t="n">
        <f aca="false">J591*10</f>
        <v>10000</v>
      </c>
      <c r="K783" s="1" t="n">
        <f aca="false">K782+1</f>
        <v>11</v>
      </c>
      <c r="L783" s="239" t="n">
        <f aca="false">J783*10^(K783/192)</f>
        <v>11410.1582205948</v>
      </c>
    </row>
    <row r="784" customFormat="false" ht="15" hidden="false" customHeight="false" outlineLevel="0" collapsed="false">
      <c r="J784" s="238" t="n">
        <f aca="false">J592*10</f>
        <v>10000</v>
      </c>
      <c r="K784" s="1" t="n">
        <f aca="false">K783+1</f>
        <v>12</v>
      </c>
      <c r="L784" s="239" t="n">
        <f aca="false">J784*10^(K784/192)</f>
        <v>11547.8198468946</v>
      </c>
    </row>
    <row r="785" customFormat="false" ht="15" hidden="false" customHeight="false" outlineLevel="0" collapsed="false">
      <c r="J785" s="238" t="n">
        <f aca="false">J593*10</f>
        <v>10000</v>
      </c>
      <c r="K785" s="1" t="n">
        <f aca="false">K784+1</f>
        <v>13</v>
      </c>
      <c r="L785" s="239" t="n">
        <f aca="false">J785*10^(K785/192)</f>
        <v>11687.1423373988</v>
      </c>
    </row>
    <row r="786" customFormat="false" ht="15" hidden="false" customHeight="false" outlineLevel="0" collapsed="false">
      <c r="J786" s="238" t="n">
        <f aca="false">J594*10</f>
        <v>10000</v>
      </c>
      <c r="K786" s="1" t="n">
        <f aca="false">K785+1</f>
        <v>14</v>
      </c>
      <c r="L786" s="239" t="n">
        <f aca="false">J786*10^(K786/192)</f>
        <v>11828.1457301527</v>
      </c>
    </row>
    <row r="787" customFormat="false" ht="15" hidden="false" customHeight="false" outlineLevel="0" collapsed="false">
      <c r="J787" s="238" t="n">
        <f aca="false">J595*10</f>
        <v>10000</v>
      </c>
      <c r="K787" s="1" t="n">
        <f aca="false">K786+1</f>
        <v>15</v>
      </c>
      <c r="L787" s="239" t="n">
        <f aca="false">J787*10^(K787/192)</f>
        <v>11970.8503049573</v>
      </c>
    </row>
    <row r="788" customFormat="false" ht="15" hidden="false" customHeight="false" outlineLevel="0" collapsed="false">
      <c r="J788" s="238" t="n">
        <f aca="false">J596*10</f>
        <v>10000</v>
      </c>
      <c r="K788" s="1" t="n">
        <f aca="false">K787+1</f>
        <v>16</v>
      </c>
      <c r="L788" s="239" t="n">
        <f aca="false">J788*10^(K788/192)</f>
        <v>12115.2765862859</v>
      </c>
    </row>
    <row r="789" customFormat="false" ht="15" hidden="false" customHeight="false" outlineLevel="0" collapsed="false">
      <c r="J789" s="238" t="n">
        <f aca="false">J597*10</f>
        <v>10000</v>
      </c>
      <c r="K789" s="1" t="n">
        <f aca="false">K788+1</f>
        <v>17</v>
      </c>
      <c r="L789" s="239" t="n">
        <f aca="false">J789*10^(K789/192)</f>
        <v>12261.445346236</v>
      </c>
    </row>
    <row r="790" customFormat="false" ht="15" hidden="false" customHeight="false" outlineLevel="0" collapsed="false">
      <c r="J790" s="238" t="n">
        <f aca="false">J598*10</f>
        <v>10000</v>
      </c>
      <c r="K790" s="1" t="n">
        <f aca="false">K789+1</f>
        <v>18</v>
      </c>
      <c r="L790" s="239" t="n">
        <f aca="false">J790*10^(K790/192)</f>
        <v>12409.3776075172</v>
      </c>
    </row>
    <row r="791" customFormat="false" ht="15" hidden="false" customHeight="false" outlineLevel="0" collapsed="false">
      <c r="J791" s="238" t="n">
        <f aca="false">J599*10</f>
        <v>10000</v>
      </c>
      <c r="K791" s="1" t="n">
        <f aca="false">K790+1</f>
        <v>19</v>
      </c>
      <c r="L791" s="239" t="n">
        <f aca="false">J791*10^(K791/192)</f>
        <v>12559.0946464742</v>
      </c>
    </row>
    <row r="792" customFormat="false" ht="15" hidden="false" customHeight="false" outlineLevel="0" collapsed="false">
      <c r="J792" s="238" t="n">
        <f aca="false">J600*10</f>
        <v>10000</v>
      </c>
      <c r="K792" s="1" t="n">
        <f aca="false">K791+1</f>
        <v>20</v>
      </c>
      <c r="L792" s="239" t="n">
        <f aca="false">J792*10^(K792/192)</f>
        <v>12710.6179961474</v>
      </c>
    </row>
    <row r="793" customFormat="false" ht="15" hidden="false" customHeight="false" outlineLevel="0" collapsed="false">
      <c r="J793" s="238" t="n">
        <f aca="false">J601*10</f>
        <v>10000</v>
      </c>
      <c r="K793" s="1" t="n">
        <f aca="false">K792+1</f>
        <v>21</v>
      </c>
      <c r="L793" s="239" t="n">
        <f aca="false">J793*10^(K793/192)</f>
        <v>12863.9694493697</v>
      </c>
    </row>
    <row r="794" customFormat="false" ht="15" hidden="false" customHeight="false" outlineLevel="0" collapsed="false">
      <c r="J794" s="238" t="n">
        <f aca="false">J602*10</f>
        <v>10000</v>
      </c>
      <c r="K794" s="1" t="n">
        <f aca="false">K793+1</f>
        <v>22</v>
      </c>
      <c r="L794" s="239" t="n">
        <f aca="false">J794*10^(K794/192)</f>
        <v>13019.1710619008</v>
      </c>
    </row>
    <row r="795" customFormat="false" ht="15" hidden="false" customHeight="false" outlineLevel="0" collapsed="false">
      <c r="J795" s="238" t="n">
        <f aca="false">J603*10</f>
        <v>10000</v>
      </c>
      <c r="K795" s="1" t="n">
        <f aca="false">K794+1</f>
        <v>23</v>
      </c>
      <c r="L795" s="239" t="n">
        <f aca="false">J795*10^(K795/192)</f>
        <v>13176.2451555992</v>
      </c>
    </row>
    <row r="796" customFormat="false" ht="15" hidden="false" customHeight="false" outlineLevel="0" collapsed="false">
      <c r="J796" s="238" t="n">
        <f aca="false">J604*10</f>
        <v>10000</v>
      </c>
      <c r="K796" s="1" t="n">
        <f aca="false">K795+1</f>
        <v>24</v>
      </c>
      <c r="L796" s="239" t="n">
        <f aca="false">J796*10^(K796/192)</f>
        <v>13335.2143216332</v>
      </c>
    </row>
    <row r="797" customFormat="false" ht="15" hidden="false" customHeight="false" outlineLevel="0" collapsed="false">
      <c r="J797" s="238" t="n">
        <f aca="false">J605*10</f>
        <v>10000</v>
      </c>
      <c r="K797" s="1" t="n">
        <f aca="false">K796+1</f>
        <v>25</v>
      </c>
      <c r="L797" s="239" t="n">
        <f aca="false">J797*10^(K797/192)</f>
        <v>13496.1014237295</v>
      </c>
    </row>
    <row r="798" customFormat="false" ht="15" hidden="false" customHeight="false" outlineLevel="0" collapsed="false">
      <c r="J798" s="238" t="n">
        <f aca="false">J606*10</f>
        <v>10000</v>
      </c>
      <c r="K798" s="1" t="n">
        <f aca="false">K797+1</f>
        <v>26</v>
      </c>
      <c r="L798" s="239" t="n">
        <f aca="false">J798*10^(K798/192)</f>
        <v>13658.9296014619</v>
      </c>
    </row>
    <row r="799" customFormat="false" ht="15" hidden="false" customHeight="false" outlineLevel="0" collapsed="false">
      <c r="J799" s="238" t="n">
        <f aca="false">J607*10</f>
        <v>10000</v>
      </c>
      <c r="K799" s="1" t="n">
        <f aca="false">K798+1</f>
        <v>27</v>
      </c>
      <c r="L799" s="239" t="n">
        <f aca="false">J799*10^(K799/192)</f>
        <v>13823.722273579</v>
      </c>
    </row>
    <row r="800" customFormat="false" ht="15" hidden="false" customHeight="false" outlineLevel="0" collapsed="false">
      <c r="J800" s="238" t="n">
        <f aca="false">J608*10</f>
        <v>10000</v>
      </c>
      <c r="K800" s="1" t="n">
        <f aca="false">K799+1</f>
        <v>28</v>
      </c>
      <c r="L800" s="239" t="n">
        <f aca="false">J800*10^(K800/192)</f>
        <v>13990.5031413729</v>
      </c>
    </row>
    <row r="801" customFormat="false" ht="15" hidden="false" customHeight="false" outlineLevel="0" collapsed="false">
      <c r="J801" s="238" t="n">
        <f aca="false">J609*10</f>
        <v>10000</v>
      </c>
      <c r="K801" s="1" t="n">
        <f aca="false">K800+1</f>
        <v>29</v>
      </c>
      <c r="L801" s="239" t="n">
        <f aca="false">J801*10^(K801/192)</f>
        <v>14159.2961920878</v>
      </c>
    </row>
    <row r="802" customFormat="false" ht="15" hidden="false" customHeight="false" outlineLevel="0" collapsed="false">
      <c r="J802" s="238" t="n">
        <f aca="false">J610*10</f>
        <v>10000</v>
      </c>
      <c r="K802" s="1" t="n">
        <f aca="false">K801+1</f>
        <v>30</v>
      </c>
      <c r="L802" s="239" t="n">
        <f aca="false">J802*10^(K802/192)</f>
        <v>14330.1257023696</v>
      </c>
    </row>
    <row r="803" customFormat="false" ht="15" hidden="false" customHeight="false" outlineLevel="0" collapsed="false">
      <c r="J803" s="238" t="n">
        <f aca="false">J611*10</f>
        <v>10000</v>
      </c>
      <c r="K803" s="1" t="n">
        <f aca="false">K802+1</f>
        <v>31</v>
      </c>
      <c r="L803" s="239" t="n">
        <f aca="false">J803*10^(K803/192)</f>
        <v>14503.0162417582</v>
      </c>
    </row>
    <row r="804" customFormat="false" ht="15" hidden="false" customHeight="false" outlineLevel="0" collapsed="false">
      <c r="J804" s="238" t="n">
        <f aca="false">J612*10</f>
        <v>10000</v>
      </c>
      <c r="K804" s="1" t="n">
        <f aca="false">K803+1</f>
        <v>32</v>
      </c>
      <c r="L804" s="239" t="n">
        <f aca="false">J804*10^(K804/192)</f>
        <v>14677.9926762207</v>
      </c>
    </row>
    <row r="805" customFormat="false" ht="15" hidden="false" customHeight="false" outlineLevel="0" collapsed="false">
      <c r="J805" s="238" t="n">
        <f aca="false">J613*10</f>
        <v>10000</v>
      </c>
      <c r="K805" s="1" t="n">
        <f aca="false">K804+1</f>
        <v>33</v>
      </c>
      <c r="L805" s="239" t="n">
        <f aca="false">J805*10^(K805/192)</f>
        <v>14855.0801717278</v>
      </c>
    </row>
    <row r="806" customFormat="false" ht="15" hidden="false" customHeight="false" outlineLevel="0" collapsed="false">
      <c r="J806" s="238" t="n">
        <f aca="false">J614*10</f>
        <v>10000</v>
      </c>
      <c r="K806" s="1" t="n">
        <f aca="false">K805+1</f>
        <v>34</v>
      </c>
      <c r="L806" s="239" t="n">
        <f aca="false">J806*10^(K806/192)</f>
        <v>15034.3041978733</v>
      </c>
    </row>
    <row r="807" customFormat="false" ht="15" hidden="false" customHeight="false" outlineLevel="0" collapsed="false">
      <c r="J807" s="238" t="n">
        <f aca="false">J615*10</f>
        <v>10000</v>
      </c>
      <c r="K807" s="1" t="n">
        <f aca="false">K806+1</f>
        <v>35</v>
      </c>
      <c r="L807" s="239" t="n">
        <f aca="false">J807*10^(K807/192)</f>
        <v>15215.6905315377</v>
      </c>
    </row>
    <row r="808" customFormat="false" ht="15" hidden="false" customHeight="false" outlineLevel="0" collapsed="false">
      <c r="J808" s="238" t="n">
        <f aca="false">J616*10</f>
        <v>10000</v>
      </c>
      <c r="K808" s="1" t="n">
        <f aca="false">K807+1</f>
        <v>36</v>
      </c>
      <c r="L808" s="239" t="n">
        <f aca="false">J808*10^(K808/192)</f>
        <v>15399.2652605949</v>
      </c>
    </row>
    <row r="809" customFormat="false" ht="15" hidden="false" customHeight="false" outlineLevel="0" collapsed="false">
      <c r="J809" s="238" t="n">
        <f aca="false">J617*10</f>
        <v>10000</v>
      </c>
      <c r="K809" s="1" t="n">
        <f aca="false">K808+1</f>
        <v>37</v>
      </c>
      <c r="L809" s="239" t="n">
        <f aca="false">J809*10^(K809/192)</f>
        <v>15585.0547876646</v>
      </c>
    </row>
    <row r="810" customFormat="false" ht="15" hidden="false" customHeight="false" outlineLevel="0" collapsed="false">
      <c r="J810" s="238" t="n">
        <f aca="false">J618*10</f>
        <v>10000</v>
      </c>
      <c r="K810" s="1" t="n">
        <f aca="false">K809+1</f>
        <v>38</v>
      </c>
      <c r="L810" s="239" t="n">
        <f aca="false">J810*10^(K810/192)</f>
        <v>15773.0858339097</v>
      </c>
    </row>
    <row r="811" customFormat="false" ht="15" hidden="false" customHeight="false" outlineLevel="0" collapsed="false">
      <c r="J811" s="238" t="n">
        <f aca="false">J619*10</f>
        <v>10000</v>
      </c>
      <c r="K811" s="1" t="n">
        <f aca="false">K810+1</f>
        <v>39</v>
      </c>
      <c r="L811" s="239" t="n">
        <f aca="false">J811*10^(K811/192)</f>
        <v>15963.3854428794</v>
      </c>
    </row>
    <row r="812" customFormat="false" ht="15" hidden="false" customHeight="false" outlineLevel="0" collapsed="false">
      <c r="J812" s="238" t="n">
        <f aca="false">J620*10</f>
        <v>10000</v>
      </c>
      <c r="K812" s="1" t="n">
        <f aca="false">K811+1</f>
        <v>40</v>
      </c>
      <c r="L812" s="239" t="n">
        <f aca="false">J812*10^(K812/192)</f>
        <v>16155.9809843987</v>
      </c>
    </row>
    <row r="813" customFormat="false" ht="15" hidden="false" customHeight="false" outlineLevel="0" collapsed="false">
      <c r="J813" s="238" t="n">
        <f aca="false">J621*10</f>
        <v>10000</v>
      </c>
      <c r="K813" s="1" t="n">
        <f aca="false">K812+1</f>
        <v>41</v>
      </c>
      <c r="L813" s="239" t="n">
        <f aca="false">J813*10^(K813/192)</f>
        <v>16350.900158505</v>
      </c>
    </row>
    <row r="814" customFormat="false" ht="15" hidden="false" customHeight="false" outlineLevel="0" collapsed="false">
      <c r="J814" s="238" t="n">
        <f aca="false">J622*10</f>
        <v>10000</v>
      </c>
      <c r="K814" s="1" t="n">
        <f aca="false">K813+1</f>
        <v>42</v>
      </c>
      <c r="L814" s="239" t="n">
        <f aca="false">J814*10^(K814/192)</f>
        <v>16548.1709994318</v>
      </c>
    </row>
    <row r="815" customFormat="false" ht="15" hidden="false" customHeight="false" outlineLevel="0" collapsed="false">
      <c r="J815" s="238" t="n">
        <f aca="false">J623*10</f>
        <v>10000</v>
      </c>
      <c r="K815" s="1" t="n">
        <f aca="false">K814+1</f>
        <v>43</v>
      </c>
      <c r="L815" s="239" t="n">
        <f aca="false">J815*10^(K815/192)</f>
        <v>16747.821879641</v>
      </c>
    </row>
    <row r="816" customFormat="false" ht="15" hidden="false" customHeight="false" outlineLevel="0" collapsed="false">
      <c r="J816" s="238" t="n">
        <f aca="false">J624*10</f>
        <v>10000</v>
      </c>
      <c r="K816" s="1" t="n">
        <f aca="false">K815+1</f>
        <v>44</v>
      </c>
      <c r="L816" s="239" t="n">
        <f aca="false">J816*10^(K816/192)</f>
        <v>16949.8815139035</v>
      </c>
    </row>
    <row r="817" customFormat="false" ht="15" hidden="false" customHeight="false" outlineLevel="0" collapsed="false">
      <c r="J817" s="238" t="n">
        <f aca="false">J625*10</f>
        <v>10000</v>
      </c>
      <c r="K817" s="1" t="n">
        <f aca="false">K816+1</f>
        <v>45</v>
      </c>
      <c r="L817" s="239" t="n">
        <f aca="false">J817*10^(K817/192)</f>
        <v>17154.3789634288</v>
      </c>
    </row>
    <row r="818" customFormat="false" ht="15" hidden="false" customHeight="false" outlineLevel="0" collapsed="false">
      <c r="J818" s="238" t="n">
        <f aca="false">J626*10</f>
        <v>10000</v>
      </c>
      <c r="K818" s="1" t="n">
        <f aca="false">K817+1</f>
        <v>46</v>
      </c>
      <c r="L818" s="239" t="n">
        <f aca="false">J818*10^(K818/192)</f>
        <v>17361.3436400452</v>
      </c>
    </row>
    <row r="819" customFormat="false" ht="15" hidden="false" customHeight="false" outlineLevel="0" collapsed="false">
      <c r="J819" s="238" t="n">
        <f aca="false">J627*10</f>
        <v>10000</v>
      </c>
      <c r="K819" s="1" t="n">
        <f aca="false">K818+1</f>
        <v>47</v>
      </c>
      <c r="L819" s="239" t="n">
        <f aca="false">J819*10^(K819/192)</f>
        <v>17570.8053104298</v>
      </c>
    </row>
    <row r="820" customFormat="false" ht="15" hidden="false" customHeight="false" outlineLevel="0" collapsed="false">
      <c r="J820" s="238" t="n">
        <f aca="false">J628*10</f>
        <v>10000</v>
      </c>
      <c r="K820" s="1" t="n">
        <f aca="false">K819+1</f>
        <v>48</v>
      </c>
      <c r="L820" s="239" t="n">
        <f aca="false">J820*10^(K820/192)</f>
        <v>17782.7941003892</v>
      </c>
    </row>
    <row r="821" customFormat="false" ht="15" hidden="false" customHeight="false" outlineLevel="0" collapsed="false">
      <c r="J821" s="238" t="n">
        <f aca="false">J629*10</f>
        <v>10000</v>
      </c>
      <c r="K821" s="1" t="n">
        <f aca="false">K820+1</f>
        <v>49</v>
      </c>
      <c r="L821" s="239" t="n">
        <f aca="false">J821*10^(K821/192)</f>
        <v>17997.3404991933</v>
      </c>
    </row>
    <row r="822" customFormat="false" ht="15" hidden="false" customHeight="false" outlineLevel="0" collapsed="false">
      <c r="J822" s="238" t="n">
        <f aca="false">J630*10</f>
        <v>10000</v>
      </c>
      <c r="K822" s="1" t="n">
        <f aca="false">K821+1</f>
        <v>50</v>
      </c>
      <c r="L822" s="239" t="n">
        <f aca="false">J822*10^(K822/192)</f>
        <v>18214.4753639595</v>
      </c>
    </row>
    <row r="823" customFormat="false" ht="15" hidden="false" customHeight="false" outlineLevel="0" collapsed="false">
      <c r="J823" s="238" t="n">
        <f aca="false">J631*10</f>
        <v>10000</v>
      </c>
      <c r="K823" s="1" t="n">
        <f aca="false">K822+1</f>
        <v>51</v>
      </c>
      <c r="L823" s="239" t="n">
        <f aca="false">J823*10^(K823/192)</f>
        <v>18434.2299240911</v>
      </c>
    </row>
    <row r="824" customFormat="false" ht="15" hidden="false" customHeight="false" outlineLevel="0" collapsed="false">
      <c r="J824" s="238" t="n">
        <f aca="false">J632*10</f>
        <v>10000</v>
      </c>
      <c r="K824" s="1" t="n">
        <f aca="false">K823+1</f>
        <v>52</v>
      </c>
      <c r="L824" s="239" t="n">
        <f aca="false">J824*10^(K824/192)</f>
        <v>18656.6357857691</v>
      </c>
    </row>
    <row r="825" customFormat="false" ht="15" hidden="false" customHeight="false" outlineLevel="0" collapsed="false">
      <c r="J825" s="238" t="n">
        <f aca="false">J633*10</f>
        <v>10000</v>
      </c>
      <c r="K825" s="1" t="n">
        <f aca="false">K824+1</f>
        <v>53</v>
      </c>
      <c r="L825" s="239" t="n">
        <f aca="false">J825*10^(K825/192)</f>
        <v>18881.7249364976</v>
      </c>
    </row>
    <row r="826" customFormat="false" ht="15" hidden="false" customHeight="false" outlineLevel="0" collapsed="false">
      <c r="J826" s="238" t="n">
        <f aca="false">J634*10</f>
        <v>10000</v>
      </c>
      <c r="K826" s="1" t="n">
        <f aca="false">K825+1</f>
        <v>54</v>
      </c>
      <c r="L826" s="239" t="n">
        <f aca="false">J826*10^(K826/192)</f>
        <v>19109.5297497044</v>
      </c>
    </row>
    <row r="827" customFormat="false" ht="15" hidden="false" customHeight="false" outlineLevel="0" collapsed="false">
      <c r="J827" s="238" t="n">
        <f aca="false">J635*10</f>
        <v>10000</v>
      </c>
      <c r="K827" s="1" t="n">
        <f aca="false">K826+1</f>
        <v>55</v>
      </c>
      <c r="L827" s="239" t="n">
        <f aca="false">J827*10^(K827/192)</f>
        <v>19340.0829893974</v>
      </c>
    </row>
    <row r="828" customFormat="false" ht="15" hidden="false" customHeight="false" outlineLevel="0" collapsed="false">
      <c r="J828" s="238" t="n">
        <f aca="false">J636*10</f>
        <v>10000</v>
      </c>
      <c r="K828" s="1" t="n">
        <f aca="false">K827+1</f>
        <v>56</v>
      </c>
      <c r="L828" s="239" t="n">
        <f aca="false">J828*10^(K828/192)</f>
        <v>19573.4178148766</v>
      </c>
    </row>
    <row r="829" customFormat="false" ht="15" hidden="false" customHeight="false" outlineLevel="0" collapsed="false">
      <c r="J829" s="238" t="n">
        <f aca="false">J637*10</f>
        <v>10000</v>
      </c>
      <c r="K829" s="1" t="n">
        <f aca="false">K828+1</f>
        <v>57</v>
      </c>
      <c r="L829" s="239" t="n">
        <f aca="false">J829*10^(K829/192)</f>
        <v>19809.5677855034</v>
      </c>
    </row>
    <row r="830" customFormat="false" ht="15" hidden="false" customHeight="false" outlineLevel="0" collapsed="false">
      <c r="J830" s="238" t="n">
        <f aca="false">J638*10</f>
        <v>10000</v>
      </c>
      <c r="K830" s="1" t="n">
        <f aca="false">K829+1</f>
        <v>58</v>
      </c>
      <c r="L830" s="239" t="n">
        <f aca="false">J830*10^(K830/192)</f>
        <v>20048.5668655271</v>
      </c>
    </row>
    <row r="831" customFormat="false" ht="15" hidden="false" customHeight="false" outlineLevel="0" collapsed="false">
      <c r="J831" s="238" t="n">
        <f aca="false">J639*10</f>
        <v>10000</v>
      </c>
      <c r="K831" s="1" t="n">
        <f aca="false">K830+1</f>
        <v>59</v>
      </c>
      <c r="L831" s="239" t="n">
        <f aca="false">J831*10^(K831/192)</f>
        <v>20290.4494289701</v>
      </c>
    </row>
    <row r="832" customFormat="false" ht="15" hidden="false" customHeight="false" outlineLevel="0" collapsed="false">
      <c r="J832" s="238" t="n">
        <f aca="false">J640*10</f>
        <v>10000</v>
      </c>
      <c r="K832" s="1" t="n">
        <f aca="false">K831+1</f>
        <v>60</v>
      </c>
      <c r="L832" s="239" t="n">
        <f aca="false">J832*10^(K832/192)</f>
        <v>20535.2502645715</v>
      </c>
    </row>
    <row r="833" customFormat="false" ht="15" hidden="false" customHeight="false" outlineLevel="0" collapsed="false">
      <c r="J833" s="238" t="n">
        <f aca="false">J641*10</f>
        <v>10000</v>
      </c>
      <c r="K833" s="1" t="n">
        <f aca="false">K832+1</f>
        <v>61</v>
      </c>
      <c r="L833" s="239" t="n">
        <f aca="false">J833*10^(K833/192)</f>
        <v>20783.0045807904</v>
      </c>
    </row>
    <row r="834" customFormat="false" ht="15" hidden="false" customHeight="false" outlineLevel="0" collapsed="false">
      <c r="J834" s="238" t="n">
        <f aca="false">J642*10</f>
        <v>10000</v>
      </c>
      <c r="K834" s="1" t="n">
        <f aca="false">K833+1</f>
        <v>62</v>
      </c>
      <c r="L834" s="239" t="n">
        <f aca="false">J834*10^(K834/192)</f>
        <v>21033.7480108703</v>
      </c>
    </row>
    <row r="835" customFormat="false" ht="15" hidden="false" customHeight="false" outlineLevel="0" collapsed="false">
      <c r="J835" s="238" t="n">
        <f aca="false">J643*10</f>
        <v>10000</v>
      </c>
      <c r="K835" s="1" t="n">
        <f aca="false">K834+1</f>
        <v>63</v>
      </c>
      <c r="L835" s="239" t="n">
        <f aca="false">J835*10^(K835/192)</f>
        <v>21287.5166179637</v>
      </c>
    </row>
    <row r="836" customFormat="false" ht="15" hidden="false" customHeight="false" outlineLevel="0" collapsed="false">
      <c r="J836" s="238" t="n">
        <f aca="false">J644*10</f>
        <v>10000</v>
      </c>
      <c r="K836" s="1" t="n">
        <f aca="false">K835+1</f>
        <v>64</v>
      </c>
      <c r="L836" s="239" t="n">
        <f aca="false">J836*10^(K836/192)</f>
        <v>21544.3469003188</v>
      </c>
    </row>
    <row r="837" customFormat="false" ht="15" hidden="false" customHeight="false" outlineLevel="0" collapsed="false">
      <c r="J837" s="238" t="n">
        <f aca="false">J645*10</f>
        <v>10000</v>
      </c>
      <c r="K837" s="1" t="n">
        <f aca="false">K836+1</f>
        <v>65</v>
      </c>
      <c r="L837" s="239" t="n">
        <f aca="false">J837*10^(K837/192)</f>
        <v>21804.2757965291</v>
      </c>
    </row>
    <row r="838" customFormat="false" ht="15" hidden="false" customHeight="false" outlineLevel="0" collapsed="false">
      <c r="J838" s="238" t="n">
        <f aca="false">J646*10</f>
        <v>10000</v>
      </c>
      <c r="K838" s="1" t="n">
        <f aca="false">K837+1</f>
        <v>66</v>
      </c>
      <c r="L838" s="239" t="n">
        <f aca="false">J838*10^(K838/192)</f>
        <v>22067.3406908459</v>
      </c>
    </row>
    <row r="839" customFormat="false" ht="15" hidden="false" customHeight="false" outlineLevel="0" collapsed="false">
      <c r="J839" s="238" t="n">
        <f aca="false">J647*10</f>
        <v>10000</v>
      </c>
      <c r="K839" s="1" t="n">
        <f aca="false">K838+1</f>
        <v>67</v>
      </c>
      <c r="L839" s="239" t="n">
        <f aca="false">J839*10^(K839/192)</f>
        <v>22333.5794185552</v>
      </c>
    </row>
    <row r="840" customFormat="false" ht="15" hidden="false" customHeight="false" outlineLevel="0" collapsed="false">
      <c r="J840" s="238" t="n">
        <f aca="false">J648*10</f>
        <v>10000</v>
      </c>
      <c r="K840" s="1" t="n">
        <f aca="false">K839+1</f>
        <v>68</v>
      </c>
      <c r="L840" s="239" t="n">
        <f aca="false">J840*10^(K840/192)</f>
        <v>22603.0302714192</v>
      </c>
    </row>
    <row r="841" customFormat="false" ht="15" hidden="false" customHeight="false" outlineLevel="0" collapsed="false">
      <c r="J841" s="238" t="n">
        <f aca="false">J649*10</f>
        <v>10000</v>
      </c>
      <c r="K841" s="1" t="n">
        <f aca="false">K840+1</f>
        <v>69</v>
      </c>
      <c r="L841" s="239" t="n">
        <f aca="false">J841*10^(K841/192)</f>
        <v>22875.732003184</v>
      </c>
    </row>
    <row r="842" customFormat="false" ht="15" hidden="false" customHeight="false" outlineLevel="0" collapsed="false">
      <c r="J842" s="238" t="n">
        <f aca="false">J650*10</f>
        <v>10000</v>
      </c>
      <c r="K842" s="1" t="n">
        <f aca="false">K841+1</f>
        <v>70</v>
      </c>
      <c r="L842" s="239" t="n">
        <f aca="false">J842*10^(K842/192)</f>
        <v>23151.7238351527</v>
      </c>
    </row>
    <row r="843" customFormat="false" ht="15" hidden="false" customHeight="false" outlineLevel="0" collapsed="false">
      <c r="J843" s="238" t="n">
        <f aca="false">J651*10</f>
        <v>10000</v>
      </c>
      <c r="K843" s="1" t="n">
        <f aca="false">K842+1</f>
        <v>71</v>
      </c>
      <c r="L843" s="239" t="n">
        <f aca="false">J843*10^(K843/192)</f>
        <v>23431.0454618272</v>
      </c>
    </row>
    <row r="844" customFormat="false" ht="15" hidden="false" customHeight="false" outlineLevel="0" collapsed="false">
      <c r="J844" s="238" t="n">
        <f aca="false">J652*10</f>
        <v>10000</v>
      </c>
      <c r="K844" s="1" t="n">
        <f aca="false">K843+1</f>
        <v>72</v>
      </c>
      <c r="L844" s="239" t="n">
        <f aca="false">J844*10^(K844/192)</f>
        <v>23713.7370566166</v>
      </c>
    </row>
    <row r="845" customFormat="false" ht="15" hidden="false" customHeight="false" outlineLevel="0" collapsed="false">
      <c r="J845" s="238" t="n">
        <f aca="false">J653*10</f>
        <v>10000</v>
      </c>
      <c r="K845" s="1" t="n">
        <f aca="false">K844+1</f>
        <v>73</v>
      </c>
      <c r="L845" s="239" t="n">
        <f aca="false">J845*10^(K845/192)</f>
        <v>23999.8392776152</v>
      </c>
    </row>
    <row r="846" customFormat="false" ht="15" hidden="false" customHeight="false" outlineLevel="0" collapsed="false">
      <c r="J846" s="238" t="n">
        <f aca="false">J654*10</f>
        <v>10000</v>
      </c>
      <c r="K846" s="1" t="n">
        <f aca="false">K845+1</f>
        <v>74</v>
      </c>
      <c r="L846" s="239" t="n">
        <f aca="false">J846*10^(K846/192)</f>
        <v>24289.3932734508</v>
      </c>
    </row>
    <row r="847" customFormat="false" ht="15" hidden="false" customHeight="false" outlineLevel="0" collapsed="false">
      <c r="J847" s="238" t="n">
        <f aca="false">J655*10</f>
        <v>10000</v>
      </c>
      <c r="K847" s="1" t="n">
        <f aca="false">K846+1</f>
        <v>75</v>
      </c>
      <c r="L847" s="239" t="n">
        <f aca="false">J847*10^(K847/192)</f>
        <v>24582.440689202</v>
      </c>
    </row>
    <row r="848" customFormat="false" ht="15" hidden="false" customHeight="false" outlineLevel="0" collapsed="false">
      <c r="J848" s="238" t="n">
        <f aca="false">J656*10</f>
        <v>10000</v>
      </c>
      <c r="K848" s="1" t="n">
        <f aca="false">K847+1</f>
        <v>76</v>
      </c>
      <c r="L848" s="239" t="n">
        <f aca="false">J848*10^(K848/192)</f>
        <v>24879.0236723884</v>
      </c>
    </row>
    <row r="849" customFormat="false" ht="15" hidden="false" customHeight="false" outlineLevel="0" collapsed="false">
      <c r="J849" s="238" t="n">
        <f aca="false">J657*10</f>
        <v>10000</v>
      </c>
      <c r="K849" s="1" t="n">
        <f aca="false">K848+1</f>
        <v>77</v>
      </c>
      <c r="L849" s="239" t="n">
        <f aca="false">J849*10^(K849/192)</f>
        <v>25179.1848790322</v>
      </c>
    </row>
    <row r="850" customFormat="false" ht="15" hidden="false" customHeight="false" outlineLevel="0" collapsed="false">
      <c r="J850" s="238" t="n">
        <f aca="false">J658*10</f>
        <v>10000</v>
      </c>
      <c r="K850" s="1" t="n">
        <f aca="false">K849+1</f>
        <v>78</v>
      </c>
      <c r="L850" s="239" t="n">
        <f aca="false">J850*10^(K850/192)</f>
        <v>25482.9674797935</v>
      </c>
    </row>
    <row r="851" customFormat="false" ht="15" hidden="false" customHeight="false" outlineLevel="0" collapsed="false">
      <c r="J851" s="238" t="n">
        <f aca="false">J659*10</f>
        <v>10000</v>
      </c>
      <c r="K851" s="1" t="n">
        <f aca="false">K850+1</f>
        <v>79</v>
      </c>
      <c r="L851" s="239" t="n">
        <f aca="false">J851*10^(K851/192)</f>
        <v>25790.4151661788</v>
      </c>
    </row>
    <row r="852" customFormat="false" ht="15" hidden="false" customHeight="false" outlineLevel="0" collapsed="false">
      <c r="J852" s="238" t="n">
        <f aca="false">J660*10</f>
        <v>10000</v>
      </c>
      <c r="K852" s="1" t="n">
        <f aca="false">K851+1</f>
        <v>80</v>
      </c>
      <c r="L852" s="239" t="n">
        <f aca="false">J852*10^(K852/192)</f>
        <v>26101.5721568254</v>
      </c>
    </row>
    <row r="853" customFormat="false" ht="15" hidden="false" customHeight="false" outlineLevel="0" collapsed="false">
      <c r="J853" s="238" t="n">
        <f aca="false">J661*10</f>
        <v>10000</v>
      </c>
      <c r="K853" s="1" t="n">
        <f aca="false">K852+1</f>
        <v>81</v>
      </c>
      <c r="L853" s="239" t="n">
        <f aca="false">J853*10^(K853/192)</f>
        <v>26416.4832038609</v>
      </c>
    </row>
    <row r="854" customFormat="false" ht="15" hidden="false" customHeight="false" outlineLevel="0" collapsed="false">
      <c r="J854" s="238" t="n">
        <f aca="false">J662*10</f>
        <v>10000</v>
      </c>
      <c r="K854" s="1" t="n">
        <f aca="false">K853+1</f>
        <v>82</v>
      </c>
      <c r="L854" s="239" t="n">
        <f aca="false">J854*10^(K854/192)</f>
        <v>26735.1935993399</v>
      </c>
    </row>
    <row r="855" customFormat="false" ht="15" hidden="false" customHeight="false" outlineLevel="0" collapsed="false">
      <c r="J855" s="238" t="n">
        <f aca="false">J663*10</f>
        <v>10000</v>
      </c>
      <c r="K855" s="1" t="n">
        <f aca="false">K854+1</f>
        <v>83</v>
      </c>
      <c r="L855" s="239" t="n">
        <f aca="false">J855*10^(K855/192)</f>
        <v>27057.7491817578</v>
      </c>
    </row>
    <row r="856" customFormat="false" ht="15" hidden="false" customHeight="false" outlineLevel="0" collapsed="false">
      <c r="J856" s="238" t="n">
        <f aca="false">J664*10</f>
        <v>10000</v>
      </c>
      <c r="K856" s="1" t="n">
        <f aca="false">K855+1</f>
        <v>84</v>
      </c>
      <c r="L856" s="239" t="n">
        <f aca="false">J856*10^(K856/192)</f>
        <v>27384.1963426436</v>
      </c>
    </row>
    <row r="857" customFormat="false" ht="15" hidden="false" customHeight="false" outlineLevel="0" collapsed="false">
      <c r="J857" s="238" t="n">
        <f aca="false">J665*10</f>
        <v>10000</v>
      </c>
      <c r="K857" s="1" t="n">
        <f aca="false">K856+1</f>
        <v>85</v>
      </c>
      <c r="L857" s="239" t="n">
        <f aca="false">J857*10^(K857/192)</f>
        <v>27714.5820332325</v>
      </c>
    </row>
    <row r="858" customFormat="false" ht="15" hidden="false" customHeight="false" outlineLevel="0" collapsed="false">
      <c r="J858" s="238" t="n">
        <f aca="false">J666*10</f>
        <v>10000</v>
      </c>
      <c r="K858" s="1" t="n">
        <f aca="false">K857+1</f>
        <v>86</v>
      </c>
      <c r="L858" s="239" t="n">
        <f aca="false">J858*10^(K858/192)</f>
        <v>28048.9537712183</v>
      </c>
    </row>
    <row r="859" customFormat="false" ht="15" hidden="false" customHeight="false" outlineLevel="0" collapsed="false">
      <c r="J859" s="238" t="n">
        <f aca="false">J667*10</f>
        <v>10000</v>
      </c>
      <c r="K859" s="1" t="n">
        <f aca="false">K858+1</f>
        <v>87</v>
      </c>
      <c r="L859" s="239" t="n">
        <f aca="false">J859*10^(K859/192)</f>
        <v>28387.3596475876</v>
      </c>
    </row>
    <row r="860" customFormat="false" ht="15" hidden="false" customHeight="false" outlineLevel="0" collapsed="false">
      <c r="J860" s="238" t="n">
        <f aca="false">J668*10</f>
        <v>10000</v>
      </c>
      <c r="K860" s="1" t="n">
        <f aca="false">K859+1</f>
        <v>88</v>
      </c>
      <c r="L860" s="239" t="n">
        <f aca="false">J860*10^(K860/192)</f>
        <v>28729.8483335366</v>
      </c>
    </row>
    <row r="861" customFormat="false" ht="15" hidden="false" customHeight="false" outlineLevel="0" collapsed="false">
      <c r="J861" s="238" t="n">
        <f aca="false">J669*10</f>
        <v>10000</v>
      </c>
      <c r="K861" s="1" t="n">
        <f aca="false">K860+1</f>
        <v>89</v>
      </c>
      <c r="L861" s="239" t="n">
        <f aca="false">J861*10^(K861/192)</f>
        <v>29076.4690874716</v>
      </c>
    </row>
    <row r="862" customFormat="false" ht="15" hidden="false" customHeight="false" outlineLevel="0" collapsed="false">
      <c r="J862" s="238" t="n">
        <f aca="false">J670*10</f>
        <v>10000</v>
      </c>
      <c r="K862" s="1" t="n">
        <f aca="false">K861+1</f>
        <v>90</v>
      </c>
      <c r="L862" s="239" t="n">
        <f aca="false">J862*10^(K862/192)</f>
        <v>29427.2717620928</v>
      </c>
    </row>
    <row r="863" customFormat="false" ht="15" hidden="false" customHeight="false" outlineLevel="0" collapsed="false">
      <c r="J863" s="238" t="n">
        <f aca="false">J671*10</f>
        <v>10000</v>
      </c>
      <c r="K863" s="1" t="n">
        <f aca="false">K862+1</f>
        <v>91</v>
      </c>
      <c r="L863" s="239" t="n">
        <f aca="false">J863*10^(K863/192)</f>
        <v>29782.306811565</v>
      </c>
    </row>
    <row r="864" customFormat="false" ht="15" hidden="false" customHeight="false" outlineLevel="0" collapsed="false">
      <c r="J864" s="238" t="n">
        <f aca="false">J672*10</f>
        <v>10000</v>
      </c>
      <c r="K864" s="1" t="n">
        <f aca="false">K863+1</f>
        <v>92</v>
      </c>
      <c r="L864" s="239" t="n">
        <f aca="false">J864*10^(K864/192)</f>
        <v>30141.6252987739</v>
      </c>
    </row>
    <row r="865" customFormat="false" ht="15" hidden="false" customHeight="false" outlineLevel="0" collapsed="false">
      <c r="J865" s="238" t="n">
        <f aca="false">J673*10</f>
        <v>10000</v>
      </c>
      <c r="K865" s="1" t="n">
        <f aca="false">K864+1</f>
        <v>93</v>
      </c>
      <c r="L865" s="239" t="n">
        <f aca="false">J865*10^(K865/192)</f>
        <v>30505.2789026703</v>
      </c>
    </row>
    <row r="866" customFormat="false" ht="15" hidden="false" customHeight="false" outlineLevel="0" collapsed="false">
      <c r="J866" s="238" t="n">
        <f aca="false">J674*10</f>
        <v>10000</v>
      </c>
      <c r="K866" s="1" t="n">
        <f aca="false">K865+1</f>
        <v>94</v>
      </c>
      <c r="L866" s="239" t="n">
        <f aca="false">J866*10^(K866/192)</f>
        <v>30873.3199257026</v>
      </c>
    </row>
    <row r="867" customFormat="false" ht="15" hidden="false" customHeight="false" outlineLevel="0" collapsed="false">
      <c r="J867" s="238" t="n">
        <f aca="false">J675*10</f>
        <v>10000</v>
      </c>
      <c r="K867" s="1" t="n">
        <f aca="false">K866+1</f>
        <v>95</v>
      </c>
      <c r="L867" s="239" t="n">
        <f aca="false">J867*10^(K867/192)</f>
        <v>31245.8013013398</v>
      </c>
    </row>
    <row r="868" customFormat="false" ht="15" hidden="false" customHeight="false" outlineLevel="0" collapsed="false">
      <c r="J868" s="238" t="n">
        <f aca="false">J676*10</f>
        <v>10000</v>
      </c>
      <c r="K868" s="1" t="n">
        <f aca="false">K867+1</f>
        <v>96</v>
      </c>
      <c r="L868" s="239" t="n">
        <f aca="false">J868*10^(K868/192)</f>
        <v>31622.7766016838</v>
      </c>
    </row>
    <row r="869" customFormat="false" ht="15" hidden="false" customHeight="false" outlineLevel="0" collapsed="false">
      <c r="J869" s="238" t="n">
        <f aca="false">J677*10</f>
        <v>10000</v>
      </c>
      <c r="K869" s="1" t="n">
        <f aca="false">K868+1</f>
        <v>97</v>
      </c>
      <c r="L869" s="239" t="n">
        <f aca="false">J869*10^(K869/192)</f>
        <v>32004.3000451751</v>
      </c>
    </row>
    <row r="870" customFormat="false" ht="15" hidden="false" customHeight="false" outlineLevel="0" collapsed="false">
      <c r="J870" s="238" t="n">
        <f aca="false">J678*10</f>
        <v>10000</v>
      </c>
      <c r="K870" s="1" t="n">
        <f aca="false">K869+1</f>
        <v>98</v>
      </c>
      <c r="L870" s="239" t="n">
        <f aca="false">J870*10^(K870/192)</f>
        <v>32390.4265043903</v>
      </c>
    </row>
    <row r="871" customFormat="false" ht="15" hidden="false" customHeight="false" outlineLevel="0" collapsed="false">
      <c r="J871" s="238" t="n">
        <f aca="false">J679*10</f>
        <v>10000</v>
      </c>
      <c r="K871" s="1" t="n">
        <f aca="false">K870+1</f>
        <v>99</v>
      </c>
      <c r="L871" s="239" t="n">
        <f aca="false">J871*10^(K871/192)</f>
        <v>32781.2115139346</v>
      </c>
    </row>
    <row r="872" customFormat="false" ht="15" hidden="false" customHeight="false" outlineLevel="0" collapsed="false">
      <c r="J872" s="238" t="n">
        <f aca="false">J680*10</f>
        <v>10000</v>
      </c>
      <c r="K872" s="1" t="n">
        <f aca="false">K871+1</f>
        <v>100</v>
      </c>
      <c r="L872" s="239" t="n">
        <f aca="false">J872*10^(K872/192)</f>
        <v>33176.7112784286</v>
      </c>
    </row>
    <row r="873" customFormat="false" ht="15" hidden="false" customHeight="false" outlineLevel="0" collapsed="false">
      <c r="J873" s="238" t="n">
        <f aca="false">J681*10</f>
        <v>10000</v>
      </c>
      <c r="K873" s="1" t="n">
        <f aca="false">K872+1</f>
        <v>101</v>
      </c>
      <c r="L873" s="239" t="n">
        <f aca="false">J873*10^(K873/192)</f>
        <v>33576.9826805922</v>
      </c>
    </row>
    <row r="874" customFormat="false" ht="15" hidden="false" customHeight="false" outlineLevel="0" collapsed="false">
      <c r="J874" s="238" t="n">
        <f aca="false">J682*10</f>
        <v>10000</v>
      </c>
      <c r="K874" s="1" t="n">
        <f aca="false">K873+1</f>
        <v>102</v>
      </c>
      <c r="L874" s="239" t="n">
        <f aca="false">J874*10^(K874/192)</f>
        <v>33982.0832894256</v>
      </c>
    </row>
    <row r="875" customFormat="false" ht="15" hidden="false" customHeight="false" outlineLevel="0" collapsed="false">
      <c r="J875" s="238" t="n">
        <f aca="false">J683*10</f>
        <v>10000</v>
      </c>
      <c r="K875" s="1" t="n">
        <f aca="false">K874+1</f>
        <v>103</v>
      </c>
      <c r="L875" s="239" t="n">
        <f aca="false">J875*10^(K875/192)</f>
        <v>34392.0713684894</v>
      </c>
    </row>
    <row r="876" customFormat="false" ht="15" hidden="false" customHeight="false" outlineLevel="0" collapsed="false">
      <c r="J876" s="238" t="n">
        <f aca="false">J684*10</f>
        <v>10000</v>
      </c>
      <c r="K876" s="1" t="n">
        <f aca="false">K875+1</f>
        <v>104</v>
      </c>
      <c r="L876" s="239" t="n">
        <f aca="false">J876*10^(K876/192)</f>
        <v>34807.0058842841</v>
      </c>
    </row>
    <row r="877" customFormat="false" ht="15" hidden="false" customHeight="false" outlineLevel="0" collapsed="false">
      <c r="J877" s="238" t="n">
        <f aca="false">J685*10</f>
        <v>10000</v>
      </c>
      <c r="K877" s="1" t="n">
        <f aca="false">K876+1</f>
        <v>105</v>
      </c>
      <c r="L877" s="239" t="n">
        <f aca="false">J877*10^(K877/192)</f>
        <v>35226.946514731</v>
      </c>
    </row>
    <row r="878" customFormat="false" ht="15" hidden="false" customHeight="false" outlineLevel="0" collapsed="false">
      <c r="J878" s="238" t="n">
        <f aca="false">J686*10</f>
        <v>10000</v>
      </c>
      <c r="K878" s="1" t="n">
        <f aca="false">K877+1</f>
        <v>106</v>
      </c>
      <c r="L878" s="239" t="n">
        <f aca="false">J878*10^(K878/192)</f>
        <v>35651.9536577555</v>
      </c>
    </row>
    <row r="879" customFormat="false" ht="15" hidden="false" customHeight="false" outlineLevel="0" collapsed="false">
      <c r="J879" s="238" t="n">
        <f aca="false">J687*10</f>
        <v>10000</v>
      </c>
      <c r="K879" s="1" t="n">
        <f aca="false">K878+1</f>
        <v>107</v>
      </c>
      <c r="L879" s="239" t="n">
        <f aca="false">J879*10^(K879/192)</f>
        <v>36082.0884399736</v>
      </c>
    </row>
    <row r="880" customFormat="false" ht="15" hidden="false" customHeight="false" outlineLevel="0" collapsed="false">
      <c r="J880" s="238" t="n">
        <f aca="false">J688*10</f>
        <v>10000</v>
      </c>
      <c r="K880" s="1" t="n">
        <f aca="false">K879+1</f>
        <v>108</v>
      </c>
      <c r="L880" s="239" t="n">
        <f aca="false">J880*10^(K880/192)</f>
        <v>36517.4127254838</v>
      </c>
    </row>
    <row r="881" customFormat="false" ht="15" hidden="false" customHeight="false" outlineLevel="0" collapsed="false">
      <c r="J881" s="238" t="n">
        <f aca="false">J689*10</f>
        <v>10000</v>
      </c>
      <c r="K881" s="1" t="n">
        <f aca="false">K880+1</f>
        <v>109</v>
      </c>
      <c r="L881" s="239" t="n">
        <f aca="false">J881*10^(K881/192)</f>
        <v>36957.9891247642</v>
      </c>
    </row>
    <row r="882" customFormat="false" ht="15" hidden="false" customHeight="false" outlineLevel="0" collapsed="false">
      <c r="J882" s="238" t="n">
        <f aca="false">J690*10</f>
        <v>10000</v>
      </c>
      <c r="K882" s="1" t="n">
        <f aca="false">K881+1</f>
        <v>110</v>
      </c>
      <c r="L882" s="239" t="n">
        <f aca="false">J882*10^(K882/192)</f>
        <v>37403.8810036779</v>
      </c>
    </row>
    <row r="883" customFormat="false" ht="15" hidden="false" customHeight="false" outlineLevel="0" collapsed="false">
      <c r="J883" s="238" t="n">
        <f aca="false">J691*10</f>
        <v>10000</v>
      </c>
      <c r="K883" s="1" t="n">
        <f aca="false">K882+1</f>
        <v>111</v>
      </c>
      <c r="L883" s="239" t="n">
        <f aca="false">J883*10^(K883/192)</f>
        <v>37855.1524925863</v>
      </c>
    </row>
    <row r="884" customFormat="false" ht="15" hidden="false" customHeight="false" outlineLevel="0" collapsed="false">
      <c r="J884" s="238" t="n">
        <f aca="false">J692*10</f>
        <v>10000</v>
      </c>
      <c r="K884" s="1" t="n">
        <f aca="false">K883+1</f>
        <v>112</v>
      </c>
      <c r="L884" s="239" t="n">
        <f aca="false">J884*10^(K884/192)</f>
        <v>38311.8684955729</v>
      </c>
    </row>
    <row r="885" customFormat="false" ht="15" hidden="false" customHeight="false" outlineLevel="0" collapsed="false">
      <c r="J885" s="238" t="n">
        <f aca="false">J693*10</f>
        <v>10000</v>
      </c>
      <c r="K885" s="1" t="n">
        <f aca="false">K884+1</f>
        <v>113</v>
      </c>
      <c r="L885" s="239" t="n">
        <f aca="false">J885*10^(K885/192)</f>
        <v>38774.0946997778</v>
      </c>
    </row>
    <row r="886" customFormat="false" ht="15" hidden="false" customHeight="false" outlineLevel="0" collapsed="false">
      <c r="J886" s="238" t="n">
        <f aca="false">J694*10</f>
        <v>10000</v>
      </c>
      <c r="K886" s="1" t="n">
        <f aca="false">K885+1</f>
        <v>114</v>
      </c>
      <c r="L886" s="239" t="n">
        <f aca="false">J886*10^(K886/192)</f>
        <v>39241.8975848454</v>
      </c>
    </row>
    <row r="887" customFormat="false" ht="15" hidden="false" customHeight="false" outlineLevel="0" collapsed="false">
      <c r="J887" s="238" t="n">
        <f aca="false">J695*10</f>
        <v>10000</v>
      </c>
      <c r="K887" s="1" t="n">
        <f aca="false">K886+1</f>
        <v>115</v>
      </c>
      <c r="L887" s="239" t="n">
        <f aca="false">J887*10^(K887/192)</f>
        <v>39715.3444324857</v>
      </c>
    </row>
    <row r="888" customFormat="false" ht="15" hidden="false" customHeight="false" outlineLevel="0" collapsed="false">
      <c r="J888" s="238" t="n">
        <f aca="false">J696*10</f>
        <v>10000</v>
      </c>
      <c r="K888" s="1" t="n">
        <f aca="false">K887+1</f>
        <v>116</v>
      </c>
      <c r="L888" s="239" t="n">
        <f aca="false">J888*10^(K888/192)</f>
        <v>40194.5033361513</v>
      </c>
    </row>
    <row r="889" customFormat="false" ht="15" hidden="false" customHeight="false" outlineLevel="0" collapsed="false">
      <c r="J889" s="238" t="n">
        <f aca="false">J697*10</f>
        <v>10000</v>
      </c>
      <c r="K889" s="1" t="n">
        <f aca="false">K888+1</f>
        <v>117</v>
      </c>
      <c r="L889" s="239" t="n">
        <f aca="false">J889*10^(K889/192)</f>
        <v>40679.4432108305</v>
      </c>
    </row>
    <row r="890" customFormat="false" ht="15" hidden="false" customHeight="false" outlineLevel="0" collapsed="false">
      <c r="J890" s="238" t="n">
        <f aca="false">J698*10</f>
        <v>10000</v>
      </c>
      <c r="K890" s="1" t="n">
        <f aca="false">K889+1</f>
        <v>118</v>
      </c>
      <c r="L890" s="239" t="n">
        <f aca="false">J890*10^(K890/192)</f>
        <v>41170.2338029595</v>
      </c>
    </row>
    <row r="891" customFormat="false" ht="15" hidden="false" customHeight="false" outlineLevel="0" collapsed="false">
      <c r="J891" s="238" t="n">
        <f aca="false">J699*10</f>
        <v>10000</v>
      </c>
      <c r="K891" s="1" t="n">
        <f aca="false">K890+1</f>
        <v>119</v>
      </c>
      <c r="L891" s="239" t="n">
        <f aca="false">J891*10^(K891/192)</f>
        <v>41666.9457004533</v>
      </c>
    </row>
    <row r="892" customFormat="false" ht="15" hidden="false" customHeight="false" outlineLevel="0" collapsed="false">
      <c r="J892" s="238" t="n">
        <f aca="false">J700*10</f>
        <v>10000</v>
      </c>
      <c r="K892" s="1" t="n">
        <f aca="false">K891+1</f>
        <v>120</v>
      </c>
      <c r="L892" s="239" t="n">
        <f aca="false">J892*10^(K892/192)</f>
        <v>42169.6503428582</v>
      </c>
    </row>
    <row r="893" customFormat="false" ht="15" hidden="false" customHeight="false" outlineLevel="0" collapsed="false">
      <c r="J893" s="238" t="n">
        <f aca="false">J701*10</f>
        <v>10000</v>
      </c>
      <c r="K893" s="1" t="n">
        <f aca="false">K892+1</f>
        <v>121</v>
      </c>
      <c r="L893" s="239" t="n">
        <f aca="false">J893*10^(K893/192)</f>
        <v>42678.4200316266</v>
      </c>
    </row>
    <row r="894" customFormat="false" ht="15" hidden="false" customHeight="false" outlineLevel="0" collapsed="false">
      <c r="J894" s="238" t="n">
        <f aca="false">J702*10</f>
        <v>10000</v>
      </c>
      <c r="K894" s="1" t="n">
        <f aca="false">K893+1</f>
        <v>122</v>
      </c>
      <c r="L894" s="239" t="n">
        <f aca="false">J894*10^(K894/192)</f>
        <v>43193.3279405154</v>
      </c>
    </row>
    <row r="895" customFormat="false" ht="15" hidden="false" customHeight="false" outlineLevel="0" collapsed="false">
      <c r="J895" s="238" t="n">
        <f aca="false">J703*10</f>
        <v>10000</v>
      </c>
      <c r="K895" s="1" t="n">
        <f aca="false">K894+1</f>
        <v>123</v>
      </c>
      <c r="L895" s="239" t="n">
        <f aca="false">J895*10^(K895/192)</f>
        <v>43714.4481261109</v>
      </c>
    </row>
    <row r="896" customFormat="false" ht="15" hidden="false" customHeight="false" outlineLevel="0" collapsed="false">
      <c r="J896" s="238" t="n">
        <f aca="false">J704*10</f>
        <v>10000</v>
      </c>
      <c r="K896" s="1" t="n">
        <f aca="false">K895+1</f>
        <v>124</v>
      </c>
      <c r="L896" s="239" t="n">
        <f aca="false">J896*10^(K896/192)</f>
        <v>44241.8555384792</v>
      </c>
    </row>
    <row r="897" customFormat="false" ht="15" hidden="false" customHeight="false" outlineLevel="0" collapsed="false">
      <c r="J897" s="238" t="n">
        <f aca="false">J705*10</f>
        <v>10000</v>
      </c>
      <c r="K897" s="1" t="n">
        <f aca="false">K896+1</f>
        <v>125</v>
      </c>
      <c r="L897" s="239" t="n">
        <f aca="false">J897*10^(K897/192)</f>
        <v>44775.6260319464</v>
      </c>
    </row>
    <row r="898" customFormat="false" ht="15" hidden="false" customHeight="false" outlineLevel="0" collapsed="false">
      <c r="J898" s="238" t="n">
        <f aca="false">J706*10</f>
        <v>10000</v>
      </c>
      <c r="K898" s="1" t="n">
        <f aca="false">K897+1</f>
        <v>126</v>
      </c>
      <c r="L898" s="239" t="n">
        <f aca="false">J898*10^(K898/192)</f>
        <v>45315.8363760082</v>
      </c>
    </row>
    <row r="899" customFormat="false" ht="15" hidden="false" customHeight="false" outlineLevel="0" collapsed="false">
      <c r="J899" s="238" t="n">
        <f aca="false">J707*10</f>
        <v>10000</v>
      </c>
      <c r="K899" s="1" t="n">
        <f aca="false">K898+1</f>
        <v>127</v>
      </c>
      <c r="L899" s="239" t="n">
        <f aca="false">J899*10^(K899/192)</f>
        <v>45862.5642663713</v>
      </c>
    </row>
    <row r="900" customFormat="false" ht="15" hidden="false" customHeight="false" outlineLevel="0" collapsed="false">
      <c r="J900" s="238" t="n">
        <f aca="false">J708*10</f>
        <v>10000</v>
      </c>
      <c r="K900" s="1" t="n">
        <f aca="false">K899+1</f>
        <v>128</v>
      </c>
      <c r="L900" s="239" t="n">
        <f aca="false">J900*10^(K900/192)</f>
        <v>46415.8883361278</v>
      </c>
    </row>
    <row r="901" customFormat="false" ht="15" hidden="false" customHeight="false" outlineLevel="0" collapsed="false">
      <c r="J901" s="238" t="n">
        <f aca="false">J709*10</f>
        <v>10000</v>
      </c>
      <c r="K901" s="1" t="n">
        <f aca="false">K900+1</f>
        <v>129</v>
      </c>
      <c r="L901" s="239" t="n">
        <f aca="false">J901*10^(K901/192)</f>
        <v>46975.8881670649</v>
      </c>
    </row>
    <row r="902" customFormat="false" ht="15" hidden="false" customHeight="false" outlineLevel="0" collapsed="false">
      <c r="J902" s="238" t="n">
        <f aca="false">J710*10</f>
        <v>10000</v>
      </c>
      <c r="K902" s="1" t="n">
        <f aca="false">K901+1</f>
        <v>130</v>
      </c>
      <c r="L902" s="239" t="n">
        <f aca="false">J902*10^(K902/192)</f>
        <v>47542.6443011106</v>
      </c>
    </row>
    <row r="903" customFormat="false" ht="15" hidden="false" customHeight="false" outlineLevel="0" collapsed="false">
      <c r="J903" s="238" t="n">
        <f aca="false">J711*10</f>
        <v>10000</v>
      </c>
      <c r="K903" s="1" t="n">
        <f aca="false">K902+1</f>
        <v>131</v>
      </c>
      <c r="L903" s="239" t="n">
        <f aca="false">J903*10^(K903/192)</f>
        <v>48116.2382519173</v>
      </c>
    </row>
    <row r="904" customFormat="false" ht="15" hidden="false" customHeight="false" outlineLevel="0" collapsed="false">
      <c r="J904" s="238" t="n">
        <f aca="false">J712*10</f>
        <v>10000</v>
      </c>
      <c r="K904" s="1" t="n">
        <f aca="false">K903+1</f>
        <v>132</v>
      </c>
      <c r="L904" s="239" t="n">
        <f aca="false">J904*10^(K904/192)</f>
        <v>48696.7525165863</v>
      </c>
    </row>
    <row r="905" customFormat="false" ht="15" hidden="false" customHeight="false" outlineLevel="0" collapsed="false">
      <c r="J905" s="238" t="n">
        <f aca="false">J713*10</f>
        <v>10000</v>
      </c>
      <c r="K905" s="1" t="n">
        <f aca="false">K904+1</f>
        <v>133</v>
      </c>
      <c r="L905" s="239" t="n">
        <f aca="false">J905*10^(K905/192)</f>
        <v>49284.2705875321</v>
      </c>
    </row>
    <row r="906" customFormat="false" ht="15" hidden="false" customHeight="false" outlineLevel="0" collapsed="false">
      <c r="J906" s="238" t="n">
        <f aca="false">J714*10</f>
        <v>10000</v>
      </c>
      <c r="K906" s="1" t="n">
        <f aca="false">K905+1</f>
        <v>134</v>
      </c>
      <c r="L906" s="239" t="n">
        <f aca="false">J906*10^(K906/192)</f>
        <v>49878.8769644911</v>
      </c>
    </row>
    <row r="907" customFormat="false" ht="15" hidden="false" customHeight="false" outlineLevel="0" collapsed="false">
      <c r="J907" s="238" t="n">
        <f aca="false">J715*10</f>
        <v>10000</v>
      </c>
      <c r="K907" s="1" t="n">
        <f aca="false">K906+1</f>
        <v>135</v>
      </c>
      <c r="L907" s="239" t="n">
        <f aca="false">J907*10^(K907/192)</f>
        <v>50480.6571666747</v>
      </c>
    </row>
    <row r="908" customFormat="false" ht="15" hidden="false" customHeight="false" outlineLevel="0" collapsed="false">
      <c r="J908" s="238" t="n">
        <f aca="false">J716*10</f>
        <v>10000</v>
      </c>
      <c r="K908" s="1" t="n">
        <f aca="false">K907+1</f>
        <v>136</v>
      </c>
      <c r="L908" s="239" t="n">
        <f aca="false">J908*10^(K908/192)</f>
        <v>51089.6977450693</v>
      </c>
    </row>
    <row r="909" customFormat="false" ht="15" hidden="false" customHeight="false" outlineLevel="0" collapsed="false">
      <c r="J909" s="238" t="n">
        <f aca="false">J717*10</f>
        <v>10000</v>
      </c>
      <c r="K909" s="1" t="n">
        <f aca="false">K908+1</f>
        <v>137</v>
      </c>
      <c r="L909" s="239" t="n">
        <f aca="false">J909*10^(K909/192)</f>
        <v>51706.086294884</v>
      </c>
    </row>
    <row r="910" customFormat="false" ht="15" hidden="false" customHeight="false" outlineLevel="0" collapsed="false">
      <c r="J910" s="238" t="n">
        <f aca="false">J718*10</f>
        <v>10000</v>
      </c>
      <c r="K910" s="1" t="n">
        <f aca="false">K909+1</f>
        <v>138</v>
      </c>
      <c r="L910" s="239" t="n">
        <f aca="false">J910*10^(K910/192)</f>
        <v>52329.9114681495</v>
      </c>
    </row>
    <row r="911" customFormat="false" ht="15" hidden="false" customHeight="false" outlineLevel="0" collapsed="false">
      <c r="J911" s="238" t="n">
        <f aca="false">J719*10</f>
        <v>10000</v>
      </c>
      <c r="K911" s="1" t="n">
        <f aca="false">K910+1</f>
        <v>139</v>
      </c>
      <c r="L911" s="239" t="n">
        <f aca="false">J911*10^(K911/192)</f>
        <v>52961.262986468</v>
      </c>
    </row>
    <row r="912" customFormat="false" ht="15" hidden="false" customHeight="false" outlineLevel="0" collapsed="false">
      <c r="J912" s="238" t="n">
        <f aca="false">J720*10</f>
        <v>10000</v>
      </c>
      <c r="K912" s="1" t="n">
        <f aca="false">K911+1</f>
        <v>140</v>
      </c>
      <c r="L912" s="239" t="n">
        <f aca="false">J912*10^(K912/192)</f>
        <v>53600.2316539179</v>
      </c>
    </row>
    <row r="913" customFormat="false" ht="15" hidden="false" customHeight="false" outlineLevel="0" collapsed="false">
      <c r="J913" s="238" t="n">
        <f aca="false">J721*10</f>
        <v>10000</v>
      </c>
      <c r="K913" s="1" t="n">
        <f aca="false">K912+1</f>
        <v>141</v>
      </c>
      <c r="L913" s="239" t="n">
        <f aca="false">J913*10^(K913/192)</f>
        <v>54246.9093701133</v>
      </c>
    </row>
    <row r="914" customFormat="false" ht="15" hidden="false" customHeight="false" outlineLevel="0" collapsed="false">
      <c r="J914" s="238" t="n">
        <f aca="false">J722*10</f>
        <v>10000</v>
      </c>
      <c r="K914" s="1" t="n">
        <f aca="false">K913+1</f>
        <v>142</v>
      </c>
      <c r="L914" s="239" t="n">
        <f aca="false">J914*10^(K914/192)</f>
        <v>54901.3891434214</v>
      </c>
    </row>
    <row r="915" customFormat="false" ht="15" hidden="false" customHeight="false" outlineLevel="0" collapsed="false">
      <c r="J915" s="238" t="n">
        <f aca="false">J723*10</f>
        <v>10000</v>
      </c>
      <c r="K915" s="1" t="n">
        <f aca="false">K914+1</f>
        <v>143</v>
      </c>
      <c r="L915" s="239" t="n">
        <f aca="false">J915*10^(K915/192)</f>
        <v>55563.7651043399</v>
      </c>
    </row>
    <row r="916" customFormat="false" ht="15" hidden="false" customHeight="false" outlineLevel="0" collapsed="false">
      <c r="J916" s="238" t="n">
        <f aca="false">J724*10</f>
        <v>10000</v>
      </c>
      <c r="K916" s="1" t="n">
        <f aca="false">K915+1</f>
        <v>144</v>
      </c>
      <c r="L916" s="239" t="n">
        <f aca="false">J916*10^(K916/192)</f>
        <v>56234.1325190349</v>
      </c>
    </row>
    <row r="917" customFormat="false" ht="15" hidden="false" customHeight="false" outlineLevel="0" collapsed="false">
      <c r="J917" s="238" t="n">
        <f aca="false">J725*10</f>
        <v>10000</v>
      </c>
      <c r="K917" s="1" t="n">
        <f aca="false">K916+1</f>
        <v>145</v>
      </c>
      <c r="L917" s="239" t="n">
        <f aca="false">J917*10^(K917/192)</f>
        <v>56912.5878030426</v>
      </c>
    </row>
    <row r="918" customFormat="false" ht="15" hidden="false" customHeight="false" outlineLevel="0" collapsed="false">
      <c r="J918" s="238" t="n">
        <f aca="false">J726*10</f>
        <v>10000</v>
      </c>
      <c r="K918" s="1" t="n">
        <f aca="false">K917+1</f>
        <v>146</v>
      </c>
      <c r="L918" s="239" t="n">
        <f aca="false">J918*10^(K918/192)</f>
        <v>57599.2285351363</v>
      </c>
    </row>
    <row r="919" customFormat="false" ht="15" hidden="false" customHeight="false" outlineLevel="0" collapsed="false">
      <c r="J919" s="238" t="n">
        <f aca="false">J727*10</f>
        <v>10000</v>
      </c>
      <c r="K919" s="1" t="n">
        <f aca="false">K918+1</f>
        <v>147</v>
      </c>
      <c r="L919" s="239" t="n">
        <f aca="false">J919*10^(K919/192)</f>
        <v>58294.1534713607</v>
      </c>
    </row>
    <row r="920" customFormat="false" ht="15" hidden="false" customHeight="false" outlineLevel="0" collapsed="false">
      <c r="J920" s="238" t="n">
        <f aca="false">J728*10</f>
        <v>10000</v>
      </c>
      <c r="K920" s="1" t="n">
        <f aca="false">K919+1</f>
        <v>148</v>
      </c>
      <c r="L920" s="239" t="n">
        <f aca="false">J920*10^(K920/192)</f>
        <v>58997.4625592356</v>
      </c>
    </row>
    <row r="921" customFormat="false" ht="15" hidden="false" customHeight="false" outlineLevel="0" collapsed="false">
      <c r="J921" s="238" t="n">
        <f aca="false">J729*10</f>
        <v>10000</v>
      </c>
      <c r="K921" s="1" t="n">
        <f aca="false">K920+1</f>
        <v>149</v>
      </c>
      <c r="L921" s="239" t="n">
        <f aca="false">J921*10^(K921/192)</f>
        <v>59709.2569521305</v>
      </c>
    </row>
    <row r="922" customFormat="false" ht="15" hidden="false" customHeight="false" outlineLevel="0" collapsed="false">
      <c r="J922" s="238" t="n">
        <f aca="false">J730*10</f>
        <v>10000</v>
      </c>
      <c r="K922" s="1" t="n">
        <f aca="false">K921+1</f>
        <v>150</v>
      </c>
      <c r="L922" s="239" t="n">
        <f aca="false">J922*10^(K922/192)</f>
        <v>60429.6390238133</v>
      </c>
    </row>
    <row r="923" customFormat="false" ht="15" hidden="false" customHeight="false" outlineLevel="0" collapsed="false">
      <c r="J923" s="238" t="n">
        <f aca="false">J731*10</f>
        <v>10000</v>
      </c>
      <c r="K923" s="1" t="n">
        <f aca="false">K922+1</f>
        <v>151</v>
      </c>
      <c r="L923" s="239" t="n">
        <f aca="false">J923*10^(K923/192)</f>
        <v>61158.7123831739</v>
      </c>
    </row>
    <row r="924" customFormat="false" ht="15" hidden="false" customHeight="false" outlineLevel="0" collapsed="false">
      <c r="J924" s="238" t="n">
        <f aca="false">J732*10</f>
        <v>10000</v>
      </c>
      <c r="K924" s="1" t="n">
        <f aca="false">K923+1</f>
        <v>152</v>
      </c>
      <c r="L924" s="239" t="n">
        <f aca="false">J924*10^(K924/192)</f>
        <v>61896.5818891261</v>
      </c>
    </row>
    <row r="925" customFormat="false" ht="15" hidden="false" customHeight="false" outlineLevel="0" collapsed="false">
      <c r="J925" s="238" t="n">
        <f aca="false">J733*10</f>
        <v>10000</v>
      </c>
      <c r="K925" s="1" t="n">
        <f aca="false">K924+1</f>
        <v>153</v>
      </c>
      <c r="L925" s="239" t="n">
        <f aca="false">J925*10^(K925/192)</f>
        <v>62643.3536656886</v>
      </c>
    </row>
    <row r="926" customFormat="false" ht="15" hidden="false" customHeight="false" outlineLevel="0" collapsed="false">
      <c r="J926" s="238" t="n">
        <f aca="false">J734*10</f>
        <v>10000</v>
      </c>
      <c r="K926" s="1" t="n">
        <f aca="false">K925+1</f>
        <v>154</v>
      </c>
      <c r="L926" s="239" t="n">
        <f aca="false">J926*10^(K926/192)</f>
        <v>63399.1351172485</v>
      </c>
    </row>
    <row r="927" customFormat="false" ht="15" hidden="false" customHeight="false" outlineLevel="0" collapsed="false">
      <c r="J927" s="238" t="n">
        <f aca="false">J735*10</f>
        <v>10000</v>
      </c>
      <c r="K927" s="1" t="n">
        <f aca="false">K926+1</f>
        <v>155</v>
      </c>
      <c r="L927" s="239" t="n">
        <f aca="false">J927*10^(K927/192)</f>
        <v>64164.0349440085</v>
      </c>
    </row>
    <row r="928" customFormat="false" ht="15" hidden="false" customHeight="false" outlineLevel="0" collapsed="false">
      <c r="J928" s="238" t="n">
        <f aca="false">J736*10</f>
        <v>10000</v>
      </c>
      <c r="K928" s="1" t="n">
        <f aca="false">K927+1</f>
        <v>156</v>
      </c>
      <c r="L928" s="239" t="n">
        <f aca="false">J928*10^(K928/192)</f>
        <v>64938.1631576211</v>
      </c>
    </row>
    <row r="929" customFormat="false" ht="15" hidden="false" customHeight="false" outlineLevel="0" collapsed="false">
      <c r="J929" s="238" t="n">
        <f aca="false">J737*10</f>
        <v>10000</v>
      </c>
      <c r="K929" s="1" t="n">
        <f aca="false">K928+1</f>
        <v>157</v>
      </c>
      <c r="L929" s="239" t="n">
        <f aca="false">J929*10^(K929/192)</f>
        <v>65721.6310970106</v>
      </c>
    </row>
    <row r="930" customFormat="false" ht="15" hidden="false" customHeight="false" outlineLevel="0" collapsed="false">
      <c r="J930" s="238" t="n">
        <f aca="false">J738*10</f>
        <v>10000</v>
      </c>
      <c r="K930" s="1" t="n">
        <f aca="false">K929+1</f>
        <v>158</v>
      </c>
      <c r="L930" s="239" t="n">
        <f aca="false">J930*10^(K930/192)</f>
        <v>66514.5514443863</v>
      </c>
    </row>
    <row r="931" customFormat="false" ht="15" hidden="false" customHeight="false" outlineLevel="0" collapsed="false">
      <c r="J931" s="238" t="n">
        <f aca="false">J739*10</f>
        <v>10000</v>
      </c>
      <c r="K931" s="1" t="n">
        <f aca="false">K930+1</f>
        <v>159</v>
      </c>
      <c r="L931" s="239" t="n">
        <f aca="false">J931*10^(K931/192)</f>
        <v>67317.0382414498</v>
      </c>
    </row>
    <row r="932" customFormat="false" ht="15" hidden="false" customHeight="false" outlineLevel="0" collapsed="false">
      <c r="J932" s="238" t="n">
        <f aca="false">J740*10</f>
        <v>10000</v>
      </c>
      <c r="K932" s="1" t="n">
        <f aca="false">K931+1</f>
        <v>160</v>
      </c>
      <c r="L932" s="239" t="n">
        <f aca="false">J932*10^(K932/192)</f>
        <v>68129.2069057961</v>
      </c>
    </row>
    <row r="933" customFormat="false" ht="15" hidden="false" customHeight="false" outlineLevel="0" collapsed="false">
      <c r="J933" s="238" t="n">
        <f aca="false">J741*10</f>
        <v>10000</v>
      </c>
      <c r="K933" s="1" t="n">
        <f aca="false">K932+1</f>
        <v>161</v>
      </c>
      <c r="L933" s="239" t="n">
        <f aca="false">J933*10^(K933/192)</f>
        <v>68951.1742475141</v>
      </c>
    </row>
    <row r="934" customFormat="false" ht="15" hidden="false" customHeight="false" outlineLevel="0" collapsed="false">
      <c r="J934" s="238" t="n">
        <f aca="false">J742*10</f>
        <v>10000</v>
      </c>
      <c r="K934" s="1" t="n">
        <f aca="false">K933+1</f>
        <v>162</v>
      </c>
      <c r="L934" s="239" t="n">
        <f aca="false">J934*10^(K934/192)</f>
        <v>69783.0584859866</v>
      </c>
    </row>
    <row r="935" customFormat="false" ht="15" hidden="false" customHeight="false" outlineLevel="0" collapsed="false">
      <c r="J935" s="238" t="n">
        <f aca="false">J743*10</f>
        <v>10000</v>
      </c>
      <c r="K935" s="1" t="n">
        <f aca="false">K934+1</f>
        <v>163</v>
      </c>
      <c r="L935" s="239" t="n">
        <f aca="false">J935*10^(K935/192)</f>
        <v>70624.9792668933</v>
      </c>
    </row>
    <row r="936" customFormat="false" ht="15" hidden="false" customHeight="false" outlineLevel="0" collapsed="false">
      <c r="J936" s="238" t="n">
        <f aca="false">J744*10</f>
        <v>10000</v>
      </c>
      <c r="K936" s="1" t="n">
        <f aca="false">K935+1</f>
        <v>164</v>
      </c>
      <c r="L936" s="239" t="n">
        <f aca="false">J936*10^(K936/192)</f>
        <v>71477.0576794186</v>
      </c>
    </row>
    <row r="937" customFormat="false" ht="15" hidden="false" customHeight="false" outlineLevel="0" collapsed="false">
      <c r="J937" s="238" t="n">
        <f aca="false">J745*10</f>
        <v>10000</v>
      </c>
      <c r="K937" s="1" t="n">
        <f aca="false">K936+1</f>
        <v>165</v>
      </c>
      <c r="L937" s="239" t="n">
        <f aca="false">J937*10^(K937/192)</f>
        <v>72339.4162736675</v>
      </c>
    </row>
    <row r="938" customFormat="false" ht="15" hidden="false" customHeight="false" outlineLevel="0" collapsed="false">
      <c r="J938" s="238" t="n">
        <f aca="false">J746*10</f>
        <v>10000</v>
      </c>
      <c r="K938" s="1" t="n">
        <f aca="false">K937+1</f>
        <v>166</v>
      </c>
      <c r="L938" s="239" t="n">
        <f aca="false">J938*10^(K938/192)</f>
        <v>73212.1790782913</v>
      </c>
    </row>
    <row r="939" customFormat="false" ht="15" hidden="false" customHeight="false" outlineLevel="0" collapsed="false">
      <c r="J939" s="238" t="n">
        <f aca="false">J747*10</f>
        <v>10000</v>
      </c>
      <c r="K939" s="1" t="n">
        <f aca="false">K938+1</f>
        <v>167</v>
      </c>
      <c r="L939" s="239" t="n">
        <f aca="false">J939*10^(K939/192)</f>
        <v>74095.4716183259</v>
      </c>
    </row>
    <row r="940" customFormat="false" ht="15" hidden="false" customHeight="false" outlineLevel="0" collapsed="false">
      <c r="J940" s="238" t="n">
        <f aca="false">J748*10</f>
        <v>10000</v>
      </c>
      <c r="K940" s="1" t="n">
        <f aca="false">K939+1</f>
        <v>168</v>
      </c>
      <c r="L940" s="239" t="n">
        <f aca="false">J940*10^(K940/192)</f>
        <v>74989.4209332456</v>
      </c>
    </row>
    <row r="941" customFormat="false" ht="15" hidden="false" customHeight="false" outlineLevel="0" collapsed="false">
      <c r="J941" s="238" t="n">
        <f aca="false">J749*10</f>
        <v>10000</v>
      </c>
      <c r="K941" s="1" t="n">
        <f aca="false">K940+1</f>
        <v>169</v>
      </c>
      <c r="L941" s="239" t="n">
        <f aca="false">J941*10^(K941/192)</f>
        <v>75894.1555952343</v>
      </c>
    </row>
    <row r="942" customFormat="false" ht="15" hidden="false" customHeight="false" outlineLevel="0" collapsed="false">
      <c r="J942" s="238" t="n">
        <f aca="false">J750*10</f>
        <v>10000</v>
      </c>
      <c r="K942" s="1" t="n">
        <f aca="false">K941+1</f>
        <v>170</v>
      </c>
      <c r="L942" s="239" t="n">
        <f aca="false">J942*10^(K942/192)</f>
        <v>76809.8057276775</v>
      </c>
    </row>
    <row r="943" customFormat="false" ht="15" hidden="false" customHeight="false" outlineLevel="0" collapsed="false">
      <c r="J943" s="238" t="n">
        <f aca="false">J751*10</f>
        <v>10000</v>
      </c>
      <c r="K943" s="1" t="n">
        <f aca="false">K942+1</f>
        <v>171</v>
      </c>
      <c r="L943" s="239" t="n">
        <f aca="false">J943*10^(K943/192)</f>
        <v>77736.5030238776</v>
      </c>
    </row>
    <row r="944" customFormat="false" ht="15" hidden="false" customHeight="false" outlineLevel="0" collapsed="false">
      <c r="J944" s="238" t="n">
        <f aca="false">J752*10</f>
        <v>10000</v>
      </c>
      <c r="K944" s="1" t="n">
        <f aca="false">K943+1</f>
        <v>172</v>
      </c>
      <c r="L944" s="239" t="n">
        <f aca="false">J944*10^(K944/192)</f>
        <v>78674.380765994</v>
      </c>
    </row>
    <row r="945" customFormat="false" ht="15" hidden="false" customHeight="false" outlineLevel="0" collapsed="false">
      <c r="J945" s="238" t="n">
        <f aca="false">J753*10</f>
        <v>10000</v>
      </c>
      <c r="K945" s="1" t="n">
        <f aca="false">K944+1</f>
        <v>173</v>
      </c>
      <c r="L945" s="239" t="n">
        <f aca="false">J945*10^(K945/192)</f>
        <v>79623.573844213</v>
      </c>
    </row>
    <row r="946" customFormat="false" ht="15" hidden="false" customHeight="false" outlineLevel="0" collapsed="false">
      <c r="J946" s="238" t="n">
        <f aca="false">J754*10</f>
        <v>10000</v>
      </c>
      <c r="K946" s="1" t="n">
        <f aca="false">K945+1</f>
        <v>174</v>
      </c>
      <c r="L946" s="239" t="n">
        <f aca="false">J946*10^(K946/192)</f>
        <v>80584.2187761482</v>
      </c>
    </row>
    <row r="947" customFormat="false" ht="15" hidden="false" customHeight="false" outlineLevel="0" collapsed="false">
      <c r="J947" s="238" t="n">
        <f aca="false">J755*10</f>
        <v>10000</v>
      </c>
      <c r="K947" s="1" t="n">
        <f aca="false">K946+1</f>
        <v>175</v>
      </c>
      <c r="L947" s="239" t="n">
        <f aca="false">J947*10^(K947/192)</f>
        <v>81556.4537264749</v>
      </c>
    </row>
    <row r="948" customFormat="false" ht="15" hidden="false" customHeight="false" outlineLevel="0" collapsed="false">
      <c r="J948" s="238" t="n">
        <f aca="false">J756*10</f>
        <v>10000</v>
      </c>
      <c r="K948" s="1" t="n">
        <f aca="false">K947+1</f>
        <v>176</v>
      </c>
      <c r="L948" s="239" t="n">
        <f aca="false">J948*10^(K948/192)</f>
        <v>82540.4185268018</v>
      </c>
    </row>
    <row r="949" customFormat="false" ht="15" hidden="false" customHeight="false" outlineLevel="0" collapsed="false">
      <c r="J949" s="238" t="n">
        <f aca="false">J757*10</f>
        <v>10000</v>
      </c>
      <c r="K949" s="1" t="n">
        <f aca="false">K948+1</f>
        <v>177</v>
      </c>
      <c r="L949" s="239" t="n">
        <f aca="false">J949*10^(K949/192)</f>
        <v>83536.2546957826</v>
      </c>
    </row>
    <row r="950" customFormat="false" ht="15" hidden="false" customHeight="false" outlineLevel="0" collapsed="false">
      <c r="J950" s="238" t="n">
        <f aca="false">J758*10</f>
        <v>10000</v>
      </c>
      <c r="K950" s="1" t="n">
        <f aca="false">K949+1</f>
        <v>178</v>
      </c>
      <c r="L950" s="239" t="n">
        <f aca="false">J950*10^(K950/192)</f>
        <v>84544.1054594692</v>
      </c>
    </row>
    <row r="951" customFormat="false" ht="15" hidden="false" customHeight="false" outlineLevel="0" collapsed="false">
      <c r="J951" s="238" t="n">
        <f aca="false">J759*10</f>
        <v>10000</v>
      </c>
      <c r="K951" s="1" t="n">
        <f aca="false">K950+1</f>
        <v>179</v>
      </c>
      <c r="L951" s="239" t="n">
        <f aca="false">J951*10^(K951/192)</f>
        <v>85564.1157719118</v>
      </c>
    </row>
    <row r="952" customFormat="false" ht="15" hidden="false" customHeight="false" outlineLevel="0" collapsed="false">
      <c r="J952" s="238" t="n">
        <f aca="false">J760*10</f>
        <v>10000</v>
      </c>
      <c r="K952" s="1" t="n">
        <f aca="false">K951+1</f>
        <v>180</v>
      </c>
      <c r="L952" s="239" t="n">
        <f aca="false">J952*10^(K952/192)</f>
        <v>86596.4323360066</v>
      </c>
    </row>
    <row r="953" customFormat="false" ht="15" hidden="false" customHeight="false" outlineLevel="0" collapsed="false">
      <c r="J953" s="238" t="n">
        <f aca="false">J761*10</f>
        <v>10000</v>
      </c>
      <c r="K953" s="1" t="n">
        <f aca="false">K952+1</f>
        <v>181</v>
      </c>
      <c r="L953" s="239" t="n">
        <f aca="false">J953*10^(K953/192)</f>
        <v>87641.2036245952</v>
      </c>
    </row>
    <row r="954" customFormat="false" ht="15" hidden="false" customHeight="false" outlineLevel="0" collapsed="false">
      <c r="J954" s="238" t="n">
        <f aca="false">J762*10</f>
        <v>10000</v>
      </c>
      <c r="K954" s="1" t="n">
        <f aca="false">K953+1</f>
        <v>182</v>
      </c>
      <c r="L954" s="239" t="n">
        <f aca="false">J954*10^(K954/192)</f>
        <v>88698.5799018192</v>
      </c>
    </row>
    <row r="955" customFormat="false" ht="15" hidden="false" customHeight="false" outlineLevel="0" collapsed="false">
      <c r="J955" s="238" t="n">
        <f aca="false">J763*10</f>
        <v>10000</v>
      </c>
      <c r="K955" s="1" t="n">
        <f aca="false">K954+1</f>
        <v>183</v>
      </c>
      <c r="L955" s="239" t="n">
        <f aca="false">J955*10^(K955/192)</f>
        <v>89768.7132447314</v>
      </c>
    </row>
    <row r="956" customFormat="false" ht="15" hidden="false" customHeight="false" outlineLevel="0" collapsed="false">
      <c r="J956" s="238" t="n">
        <f aca="false">J764*10</f>
        <v>10000</v>
      </c>
      <c r="K956" s="1" t="n">
        <f aca="false">K955+1</f>
        <v>184</v>
      </c>
      <c r="L956" s="239" t="n">
        <f aca="false">J956*10^(K956/192)</f>
        <v>90851.7575651687</v>
      </c>
    </row>
    <row r="957" customFormat="false" ht="15" hidden="false" customHeight="false" outlineLevel="0" collapsed="false">
      <c r="J957" s="238" t="n">
        <f aca="false">J765*10</f>
        <v>10000</v>
      </c>
      <c r="K957" s="1" t="n">
        <f aca="false">K956+1</f>
        <v>185</v>
      </c>
      <c r="L957" s="239" t="n">
        <f aca="false">J957*10^(K957/192)</f>
        <v>91947.8686318879</v>
      </c>
    </row>
    <row r="958" customFormat="false" ht="15" hidden="false" customHeight="false" outlineLevel="0" collapsed="false">
      <c r="J958" s="238" t="n">
        <f aca="false">J766*10</f>
        <v>10000</v>
      </c>
      <c r="K958" s="1" t="n">
        <f aca="false">K957+1</f>
        <v>186</v>
      </c>
      <c r="L958" s="239" t="n">
        <f aca="false">J958*10^(K958/192)</f>
        <v>93057.2040929699</v>
      </c>
    </row>
    <row r="959" customFormat="false" ht="15" hidden="false" customHeight="false" outlineLevel="0" collapsed="false">
      <c r="J959" s="238" t="n">
        <f aca="false">J767*10</f>
        <v>10000</v>
      </c>
      <c r="K959" s="1" t="n">
        <f aca="false">K958+1</f>
        <v>187</v>
      </c>
      <c r="L959" s="239" t="n">
        <f aca="false">J959*10^(K959/192)</f>
        <v>94179.9234984926</v>
      </c>
    </row>
    <row r="960" customFormat="false" ht="15" hidden="false" customHeight="false" outlineLevel="0" collapsed="false">
      <c r="J960" s="238" t="n">
        <f aca="false">J768*10</f>
        <v>10000</v>
      </c>
      <c r="K960" s="1" t="n">
        <f aca="false">K959+1</f>
        <v>188</v>
      </c>
      <c r="L960" s="239" t="n">
        <f aca="false">J960*10^(K960/192)</f>
        <v>95316.1883234787</v>
      </c>
    </row>
    <row r="961" customFormat="false" ht="15" hidden="false" customHeight="false" outlineLevel="0" collapsed="false">
      <c r="J961" s="238" t="n">
        <f aca="false">J769*10</f>
        <v>10000</v>
      </c>
      <c r="K961" s="1" t="n">
        <f aca="false">K960+1</f>
        <v>189</v>
      </c>
      <c r="L961" s="239" t="n">
        <f aca="false">J961*10^(K961/192)</f>
        <v>96466.1619911199</v>
      </c>
    </row>
    <row r="962" customFormat="false" ht="15" hidden="false" customHeight="false" outlineLevel="0" collapsed="false">
      <c r="J962" s="238" t="n">
        <f aca="false">J770*10</f>
        <v>10000</v>
      </c>
      <c r="K962" s="1" t="n">
        <f aca="false">K961+1</f>
        <v>190</v>
      </c>
      <c r="L962" s="239" t="n">
        <f aca="false">J962*10^(K962/192)</f>
        <v>97630.0098962808</v>
      </c>
    </row>
    <row r="963" customFormat="false" ht="15" hidden="false" customHeight="false" outlineLevel="0" collapsed="false">
      <c r="J963" s="238" t="n">
        <f aca="false">J771*10</f>
        <v>10000</v>
      </c>
      <c r="K963" s="1" t="n">
        <f aca="false">K962+1</f>
        <v>191</v>
      </c>
      <c r="L963" s="239" t="n">
        <f aca="false">J963*10^(K963/192)</f>
        <v>98807.8994292869</v>
      </c>
    </row>
    <row r="964" customFormat="false" ht="15" hidden="false" customHeight="false" outlineLevel="0" collapsed="false">
      <c r="J964" s="238" t="n">
        <f aca="false">J772*10</f>
        <v>10000</v>
      </c>
      <c r="K964" s="1" t="n">
        <f aca="false">K963+1</f>
        <v>192</v>
      </c>
      <c r="L964" s="239" t="n">
        <f aca="false">J964*10^(K964/192)</f>
        <v>100000</v>
      </c>
    </row>
    <row r="965" customFormat="false" ht="15" hidden="false" customHeight="false" outlineLevel="0" collapsed="false">
      <c r="J965" s="238" t="n">
        <f aca="false">J773*10</f>
        <v>100000</v>
      </c>
      <c r="K965" s="1" t="n">
        <v>1</v>
      </c>
      <c r="L965" s="239" t="n">
        <f aca="false">J965*10^(K965/192)</f>
        <v>101206.483062183</v>
      </c>
    </row>
    <row r="966" customFormat="false" ht="15" hidden="false" customHeight="false" outlineLevel="0" collapsed="false">
      <c r="J966" s="238" t="n">
        <f aca="false">J774*10</f>
        <v>100000</v>
      </c>
      <c r="K966" s="1" t="n">
        <f aca="false">K965+1</f>
        <v>2</v>
      </c>
      <c r="L966" s="239" t="n">
        <f aca="false">J966*10^(K966/192)</f>
        <v>102427.522138159</v>
      </c>
    </row>
    <row r="967" customFormat="false" ht="15" hidden="false" customHeight="false" outlineLevel="0" collapsed="false">
      <c r="J967" s="238" t="n">
        <f aca="false">J775*10</f>
        <v>100000</v>
      </c>
      <c r="K967" s="1" t="n">
        <f aca="false">K966+1</f>
        <v>3</v>
      </c>
      <c r="L967" s="239" t="n">
        <f aca="false">J967*10^(K967/192)</f>
        <v>103663.29284377</v>
      </c>
    </row>
    <row r="968" customFormat="false" ht="15" hidden="false" customHeight="false" outlineLevel="0" collapsed="false">
      <c r="J968" s="238" t="n">
        <f aca="false">J776*10</f>
        <v>100000</v>
      </c>
      <c r="K968" s="1" t="n">
        <f aca="false">K967+1</f>
        <v>4</v>
      </c>
      <c r="L968" s="239" t="n">
        <f aca="false">J968*10^(K968/192)</f>
        <v>104913.972913631</v>
      </c>
    </row>
    <row r="969" customFormat="false" ht="15" hidden="false" customHeight="false" outlineLevel="0" collapsed="false">
      <c r="J969" s="238" t="n">
        <f aca="false">J777*10</f>
        <v>100000</v>
      </c>
      <c r="K969" s="1" t="n">
        <f aca="false">K968+1</f>
        <v>5</v>
      </c>
      <c r="L969" s="239" t="n">
        <f aca="false">J969*10^(K969/192)</f>
        <v>106179.742226697</v>
      </c>
    </row>
    <row r="970" customFormat="false" ht="15" hidden="false" customHeight="false" outlineLevel="0" collapsed="false">
      <c r="J970" s="238" t="n">
        <f aca="false">J778*10</f>
        <v>100000</v>
      </c>
      <c r="K970" s="1" t="n">
        <f aca="false">K969+1</f>
        <v>6</v>
      </c>
      <c r="L970" s="239" t="n">
        <f aca="false">J970*10^(K970/192)</f>
        <v>107460.782832132</v>
      </c>
    </row>
    <row r="971" customFormat="false" ht="15" hidden="false" customHeight="false" outlineLevel="0" collapsed="false">
      <c r="J971" s="238" t="n">
        <f aca="false">J779*10</f>
        <v>100000</v>
      </c>
      <c r="K971" s="1" t="n">
        <f aca="false">K970+1</f>
        <v>7</v>
      </c>
      <c r="L971" s="239" t="n">
        <f aca="false">J971*10^(K971/192)</f>
        <v>108757.278975491</v>
      </c>
    </row>
    <row r="972" customFormat="false" ht="15" hidden="false" customHeight="false" outlineLevel="0" collapsed="false">
      <c r="J972" s="238" t="n">
        <f aca="false">J780*10</f>
        <v>100000</v>
      </c>
      <c r="K972" s="1" t="n">
        <f aca="false">K971+1</f>
        <v>8</v>
      </c>
      <c r="L972" s="239" t="n">
        <f aca="false">J972*10^(K972/192)</f>
        <v>110069.417125221</v>
      </c>
    </row>
    <row r="973" customFormat="false" ht="15" hidden="false" customHeight="false" outlineLevel="0" collapsed="false">
      <c r="J973" s="238" t="n">
        <f aca="false">J781*10</f>
        <v>100000</v>
      </c>
      <c r="K973" s="1" t="n">
        <f aca="false">K972+1</f>
        <v>9</v>
      </c>
      <c r="L973" s="239" t="n">
        <f aca="false">J973*10^(K973/192)</f>
        <v>111397.38599948</v>
      </c>
    </row>
    <row r="974" customFormat="false" ht="15" hidden="false" customHeight="false" outlineLevel="0" collapsed="false">
      <c r="J974" s="238" t="n">
        <f aca="false">J782*10</f>
        <v>100000</v>
      </c>
      <c r="K974" s="1" t="n">
        <f aca="false">K973+1</f>
        <v>10</v>
      </c>
      <c r="L974" s="239" t="n">
        <f aca="false">J974*10^(K974/192)</f>
        <v>112741.376593279</v>
      </c>
    </row>
    <row r="975" customFormat="false" ht="15" hidden="false" customHeight="false" outlineLevel="0" collapsed="false">
      <c r="J975" s="238" t="n">
        <f aca="false">J783*10</f>
        <v>100000</v>
      </c>
      <c r="K975" s="1" t="n">
        <f aca="false">K974+1</f>
        <v>11</v>
      </c>
      <c r="L975" s="239" t="n">
        <f aca="false">J975*10^(K975/192)</f>
        <v>114101.582205948</v>
      </c>
    </row>
    <row r="976" customFormat="false" ht="15" hidden="false" customHeight="false" outlineLevel="0" collapsed="false">
      <c r="J976" s="238" t="n">
        <f aca="false">J784*10</f>
        <v>100000</v>
      </c>
      <c r="K976" s="1" t="n">
        <f aca="false">K975+1</f>
        <v>12</v>
      </c>
      <c r="L976" s="239" t="n">
        <f aca="false">J976*10^(K976/192)</f>
        <v>115478.198468946</v>
      </c>
    </row>
    <row r="977" customFormat="false" ht="15" hidden="false" customHeight="false" outlineLevel="0" collapsed="false">
      <c r="J977" s="238" t="n">
        <f aca="false">J785*10</f>
        <v>100000</v>
      </c>
      <c r="K977" s="1" t="n">
        <f aca="false">K976+1</f>
        <v>13</v>
      </c>
      <c r="L977" s="239" t="n">
        <f aca="false">J977*10^(K977/192)</f>
        <v>116871.423373988</v>
      </c>
    </row>
    <row r="978" customFormat="false" ht="15" hidden="false" customHeight="false" outlineLevel="0" collapsed="false">
      <c r="J978" s="238" t="n">
        <f aca="false">J786*10</f>
        <v>100000</v>
      </c>
      <c r="K978" s="1" t="n">
        <f aca="false">K977+1</f>
        <v>14</v>
      </c>
      <c r="L978" s="239" t="n">
        <f aca="false">J978*10^(K978/192)</f>
        <v>118281.457301527</v>
      </c>
    </row>
    <row r="979" customFormat="false" ht="15" hidden="false" customHeight="false" outlineLevel="0" collapsed="false">
      <c r="J979" s="238" t="n">
        <f aca="false">J787*10</f>
        <v>100000</v>
      </c>
      <c r="K979" s="1" t="n">
        <f aca="false">K978+1</f>
        <v>15</v>
      </c>
      <c r="L979" s="239" t="n">
        <f aca="false">J979*10^(K979/192)</f>
        <v>119708.503049573</v>
      </c>
    </row>
    <row r="980" customFormat="false" ht="15" hidden="false" customHeight="false" outlineLevel="0" collapsed="false">
      <c r="J980" s="238" t="n">
        <f aca="false">J788*10</f>
        <v>100000</v>
      </c>
      <c r="K980" s="1" t="n">
        <f aca="false">K979+1</f>
        <v>16</v>
      </c>
      <c r="L980" s="239" t="n">
        <f aca="false">J980*10^(K980/192)</f>
        <v>121152.765862859</v>
      </c>
    </row>
    <row r="981" customFormat="false" ht="15" hidden="false" customHeight="false" outlineLevel="0" collapsed="false">
      <c r="J981" s="238" t="n">
        <f aca="false">J789*10</f>
        <v>100000</v>
      </c>
      <c r="K981" s="1" t="n">
        <f aca="false">K980+1</f>
        <v>17</v>
      </c>
      <c r="L981" s="239" t="n">
        <f aca="false">J981*10^(K981/192)</f>
        <v>122614.45346236</v>
      </c>
    </row>
    <row r="982" customFormat="false" ht="15" hidden="false" customHeight="false" outlineLevel="0" collapsed="false">
      <c r="J982" s="238" t="n">
        <f aca="false">J790*10</f>
        <v>100000</v>
      </c>
      <c r="K982" s="1" t="n">
        <f aca="false">K981+1</f>
        <v>18</v>
      </c>
      <c r="L982" s="239" t="n">
        <f aca="false">J982*10^(K982/192)</f>
        <v>124093.776075172</v>
      </c>
    </row>
    <row r="983" customFormat="false" ht="15" hidden="false" customHeight="false" outlineLevel="0" collapsed="false">
      <c r="J983" s="238" t="n">
        <f aca="false">J791*10</f>
        <v>100000</v>
      </c>
      <c r="K983" s="1" t="n">
        <f aca="false">K982+1</f>
        <v>19</v>
      </c>
      <c r="L983" s="239" t="n">
        <f aca="false">J983*10^(K983/192)</f>
        <v>125590.946464742</v>
      </c>
    </row>
    <row r="984" customFormat="false" ht="15" hidden="false" customHeight="false" outlineLevel="0" collapsed="false">
      <c r="J984" s="238" t="n">
        <f aca="false">J792*10</f>
        <v>100000</v>
      </c>
      <c r="K984" s="1" t="n">
        <f aca="false">K983+1</f>
        <v>20</v>
      </c>
      <c r="L984" s="239" t="n">
        <f aca="false">J984*10^(K984/192)</f>
        <v>127106.179961474</v>
      </c>
    </row>
    <row r="985" customFormat="false" ht="15" hidden="false" customHeight="false" outlineLevel="0" collapsed="false">
      <c r="J985" s="238" t="n">
        <f aca="false">J793*10</f>
        <v>100000</v>
      </c>
      <c r="K985" s="1" t="n">
        <f aca="false">K984+1</f>
        <v>21</v>
      </c>
      <c r="L985" s="239" t="n">
        <f aca="false">J985*10^(K985/192)</f>
        <v>128639.694493697</v>
      </c>
    </row>
    <row r="986" customFormat="false" ht="15" hidden="false" customHeight="false" outlineLevel="0" collapsed="false">
      <c r="J986" s="238" t="n">
        <f aca="false">J794*10</f>
        <v>100000</v>
      </c>
      <c r="K986" s="1" t="n">
        <f aca="false">K985+1</f>
        <v>22</v>
      </c>
      <c r="L986" s="239" t="n">
        <f aca="false">J986*10^(K986/192)</f>
        <v>130191.710619008</v>
      </c>
    </row>
    <row r="987" customFormat="false" ht="15" hidden="false" customHeight="false" outlineLevel="0" collapsed="false">
      <c r="J987" s="238" t="n">
        <f aca="false">J795*10</f>
        <v>100000</v>
      </c>
      <c r="K987" s="1" t="n">
        <f aca="false">K986+1</f>
        <v>23</v>
      </c>
      <c r="L987" s="239" t="n">
        <f aca="false">J987*10^(K987/192)</f>
        <v>131762.451555992</v>
      </c>
    </row>
    <row r="988" customFormat="false" ht="15" hidden="false" customHeight="false" outlineLevel="0" collapsed="false">
      <c r="J988" s="238" t="n">
        <f aca="false">J796*10</f>
        <v>100000</v>
      </c>
      <c r="K988" s="1" t="n">
        <f aca="false">K987+1</f>
        <v>24</v>
      </c>
      <c r="L988" s="239" t="n">
        <f aca="false">J988*10^(K988/192)</f>
        <v>133352.143216332</v>
      </c>
    </row>
    <row r="989" customFormat="false" ht="15" hidden="false" customHeight="false" outlineLevel="0" collapsed="false">
      <c r="J989" s="238" t="n">
        <f aca="false">J797*10</f>
        <v>100000</v>
      </c>
      <c r="K989" s="1" t="n">
        <f aca="false">K988+1</f>
        <v>25</v>
      </c>
      <c r="L989" s="239" t="n">
        <f aca="false">J989*10^(K989/192)</f>
        <v>134961.014237295</v>
      </c>
    </row>
    <row r="990" customFormat="false" ht="15" hidden="false" customHeight="false" outlineLevel="0" collapsed="false">
      <c r="J990" s="238" t="n">
        <f aca="false">J798*10</f>
        <v>100000</v>
      </c>
      <c r="K990" s="1" t="n">
        <f aca="false">K989+1</f>
        <v>26</v>
      </c>
      <c r="L990" s="239" t="n">
        <f aca="false">J990*10^(K990/192)</f>
        <v>136589.296014619</v>
      </c>
    </row>
    <row r="991" customFormat="false" ht="15" hidden="false" customHeight="false" outlineLevel="0" collapsed="false">
      <c r="J991" s="238" t="n">
        <f aca="false">J799*10</f>
        <v>100000</v>
      </c>
      <c r="K991" s="1" t="n">
        <f aca="false">K990+1</f>
        <v>27</v>
      </c>
      <c r="L991" s="239" t="n">
        <f aca="false">J991*10^(K991/192)</f>
        <v>138237.22273579</v>
      </c>
    </row>
    <row r="992" customFormat="false" ht="15" hidden="false" customHeight="false" outlineLevel="0" collapsed="false">
      <c r="J992" s="238" t="n">
        <f aca="false">J800*10</f>
        <v>100000</v>
      </c>
      <c r="K992" s="1" t="n">
        <f aca="false">K991+1</f>
        <v>28</v>
      </c>
      <c r="L992" s="239" t="n">
        <f aca="false">J992*10^(K992/192)</f>
        <v>139905.031413729</v>
      </c>
    </row>
    <row r="993" customFormat="false" ht="15" hidden="false" customHeight="false" outlineLevel="0" collapsed="false">
      <c r="J993" s="238" t="n">
        <f aca="false">J801*10</f>
        <v>100000</v>
      </c>
      <c r="K993" s="1" t="n">
        <f aca="false">K992+1</f>
        <v>29</v>
      </c>
      <c r="L993" s="239" t="n">
        <f aca="false">J993*10^(K993/192)</f>
        <v>141592.961920878</v>
      </c>
    </row>
    <row r="994" customFormat="false" ht="15" hidden="false" customHeight="false" outlineLevel="0" collapsed="false">
      <c r="J994" s="238" t="n">
        <f aca="false">J802*10</f>
        <v>100000</v>
      </c>
      <c r="K994" s="1" t="n">
        <f aca="false">K993+1</f>
        <v>30</v>
      </c>
      <c r="L994" s="239" t="n">
        <f aca="false">J994*10^(K994/192)</f>
        <v>143301.257023696</v>
      </c>
    </row>
    <row r="995" customFormat="false" ht="15" hidden="false" customHeight="false" outlineLevel="0" collapsed="false">
      <c r="J995" s="238" t="n">
        <f aca="false">J803*10</f>
        <v>100000</v>
      </c>
      <c r="K995" s="1" t="n">
        <f aca="false">K994+1</f>
        <v>31</v>
      </c>
      <c r="L995" s="239" t="n">
        <f aca="false">J995*10^(K995/192)</f>
        <v>145030.162417582</v>
      </c>
    </row>
    <row r="996" customFormat="false" ht="15" hidden="false" customHeight="false" outlineLevel="0" collapsed="false">
      <c r="J996" s="238" t="n">
        <f aca="false">J804*10</f>
        <v>100000</v>
      </c>
      <c r="K996" s="1" t="n">
        <f aca="false">K995+1</f>
        <v>32</v>
      </c>
      <c r="L996" s="239" t="n">
        <f aca="false">J996*10^(K996/192)</f>
        <v>146779.926762207</v>
      </c>
    </row>
    <row r="997" customFormat="false" ht="15" hidden="false" customHeight="false" outlineLevel="0" collapsed="false">
      <c r="J997" s="238" t="n">
        <f aca="false">J805*10</f>
        <v>100000</v>
      </c>
      <c r="K997" s="1" t="n">
        <f aca="false">K996+1</f>
        <v>33</v>
      </c>
      <c r="L997" s="239" t="n">
        <f aca="false">J997*10^(K997/192)</f>
        <v>148550.801717278</v>
      </c>
    </row>
    <row r="998" customFormat="false" ht="15" hidden="false" customHeight="false" outlineLevel="0" collapsed="false">
      <c r="J998" s="238" t="n">
        <f aca="false">J806*10</f>
        <v>100000</v>
      </c>
      <c r="K998" s="1" t="n">
        <f aca="false">K997+1</f>
        <v>34</v>
      </c>
      <c r="L998" s="239" t="n">
        <f aca="false">J998*10^(K998/192)</f>
        <v>150343.041978733</v>
      </c>
    </row>
    <row r="999" customFormat="false" ht="15" hidden="false" customHeight="false" outlineLevel="0" collapsed="false">
      <c r="J999" s="238" t="n">
        <f aca="false">J807*10</f>
        <v>100000</v>
      </c>
      <c r="K999" s="1" t="n">
        <f aca="false">K998+1</f>
        <v>35</v>
      </c>
      <c r="L999" s="239" t="n">
        <f aca="false">J999*10^(K999/192)</f>
        <v>152156.905315377</v>
      </c>
    </row>
    <row r="1000" customFormat="false" ht="15" hidden="false" customHeight="false" outlineLevel="0" collapsed="false">
      <c r="J1000" s="238" t="n">
        <f aca="false">J808*10</f>
        <v>100000</v>
      </c>
      <c r="K1000" s="1" t="n">
        <f aca="false">K999+1</f>
        <v>36</v>
      </c>
      <c r="L1000" s="239" t="n">
        <f aca="false">J1000*10^(K1000/192)</f>
        <v>153992.652605949</v>
      </c>
    </row>
    <row r="1001" customFormat="false" ht="15" hidden="false" customHeight="false" outlineLevel="0" collapsed="false">
      <c r="J1001" s="238" t="n">
        <f aca="false">J809*10</f>
        <v>100000</v>
      </c>
      <c r="K1001" s="1" t="n">
        <f aca="false">K1000+1</f>
        <v>37</v>
      </c>
      <c r="L1001" s="239" t="n">
        <f aca="false">J1001*10^(K1001/192)</f>
        <v>155850.547876646</v>
      </c>
    </row>
    <row r="1002" customFormat="false" ht="15" hidden="false" customHeight="false" outlineLevel="0" collapsed="false">
      <c r="J1002" s="238" t="n">
        <f aca="false">J810*10</f>
        <v>100000</v>
      </c>
      <c r="K1002" s="1" t="n">
        <f aca="false">K1001+1</f>
        <v>38</v>
      </c>
      <c r="L1002" s="239" t="n">
        <f aca="false">J1002*10^(K1002/192)</f>
        <v>157730.858339097</v>
      </c>
    </row>
    <row r="1003" customFormat="false" ht="15" hidden="false" customHeight="false" outlineLevel="0" collapsed="false">
      <c r="J1003" s="238" t="n">
        <f aca="false">J811*10</f>
        <v>100000</v>
      </c>
      <c r="K1003" s="1" t="n">
        <f aca="false">K1002+1</f>
        <v>39</v>
      </c>
      <c r="L1003" s="239" t="n">
        <f aca="false">J1003*10^(K1003/192)</f>
        <v>159633.854428794</v>
      </c>
    </row>
    <row r="1004" customFormat="false" ht="15" hidden="false" customHeight="false" outlineLevel="0" collapsed="false">
      <c r="J1004" s="238" t="n">
        <f aca="false">J812*10</f>
        <v>100000</v>
      </c>
      <c r="K1004" s="1" t="n">
        <f aca="false">K1003+1</f>
        <v>40</v>
      </c>
      <c r="L1004" s="239" t="n">
        <f aca="false">J1004*10^(K1004/192)</f>
        <v>161559.809843987</v>
      </c>
    </row>
    <row r="1005" customFormat="false" ht="15" hidden="false" customHeight="false" outlineLevel="0" collapsed="false">
      <c r="J1005" s="238" t="n">
        <f aca="false">J813*10</f>
        <v>100000</v>
      </c>
      <c r="K1005" s="1" t="n">
        <f aca="false">K1004+1</f>
        <v>41</v>
      </c>
      <c r="L1005" s="239" t="n">
        <f aca="false">J1005*10^(K1005/192)</f>
        <v>163509.00158505</v>
      </c>
    </row>
    <row r="1006" customFormat="false" ht="15" hidden="false" customHeight="false" outlineLevel="0" collapsed="false">
      <c r="J1006" s="238" t="n">
        <f aca="false">J814*10</f>
        <v>100000</v>
      </c>
      <c r="K1006" s="1" t="n">
        <f aca="false">K1005+1</f>
        <v>42</v>
      </c>
      <c r="L1006" s="239" t="n">
        <f aca="false">J1006*10^(K1006/192)</f>
        <v>165481.709994318</v>
      </c>
    </row>
    <row r="1007" customFormat="false" ht="15" hidden="false" customHeight="false" outlineLevel="0" collapsed="false">
      <c r="J1007" s="238" t="n">
        <f aca="false">J815*10</f>
        <v>100000</v>
      </c>
      <c r="K1007" s="1" t="n">
        <f aca="false">K1006+1</f>
        <v>43</v>
      </c>
      <c r="L1007" s="239" t="n">
        <f aca="false">J1007*10^(K1007/192)</f>
        <v>167478.21879641</v>
      </c>
    </row>
    <row r="1008" customFormat="false" ht="15" hidden="false" customHeight="false" outlineLevel="0" collapsed="false">
      <c r="J1008" s="238" t="n">
        <f aca="false">J816*10</f>
        <v>100000</v>
      </c>
      <c r="K1008" s="1" t="n">
        <f aca="false">K1007+1</f>
        <v>44</v>
      </c>
      <c r="L1008" s="239" t="n">
        <f aca="false">J1008*10^(K1008/192)</f>
        <v>169498.815139035</v>
      </c>
    </row>
    <row r="1009" customFormat="false" ht="15" hidden="false" customHeight="false" outlineLevel="0" collapsed="false">
      <c r="J1009" s="238" t="n">
        <f aca="false">J817*10</f>
        <v>100000</v>
      </c>
      <c r="K1009" s="1" t="n">
        <f aca="false">K1008+1</f>
        <v>45</v>
      </c>
      <c r="L1009" s="239" t="n">
        <f aca="false">J1009*10^(K1009/192)</f>
        <v>171543.789634288</v>
      </c>
    </row>
    <row r="1010" customFormat="false" ht="15" hidden="false" customHeight="false" outlineLevel="0" collapsed="false">
      <c r="J1010" s="238" t="n">
        <f aca="false">J818*10</f>
        <v>100000</v>
      </c>
      <c r="K1010" s="1" t="n">
        <f aca="false">K1009+1</f>
        <v>46</v>
      </c>
      <c r="L1010" s="239" t="n">
        <f aca="false">J1010*10^(K1010/192)</f>
        <v>173613.436400452</v>
      </c>
    </row>
    <row r="1011" customFormat="false" ht="15" hidden="false" customHeight="false" outlineLevel="0" collapsed="false">
      <c r="J1011" s="238" t="n">
        <f aca="false">J819*10</f>
        <v>100000</v>
      </c>
      <c r="K1011" s="1" t="n">
        <f aca="false">K1010+1</f>
        <v>47</v>
      </c>
      <c r="L1011" s="239" t="n">
        <f aca="false">J1011*10^(K1011/192)</f>
        <v>175708.053104298</v>
      </c>
    </row>
    <row r="1012" customFormat="false" ht="15" hidden="false" customHeight="false" outlineLevel="0" collapsed="false">
      <c r="J1012" s="238" t="n">
        <f aca="false">J820*10</f>
        <v>100000</v>
      </c>
      <c r="K1012" s="1" t="n">
        <f aca="false">K1011+1</f>
        <v>48</v>
      </c>
      <c r="L1012" s="239" t="n">
        <f aca="false">J1012*10^(K1012/192)</f>
        <v>177827.941003892</v>
      </c>
    </row>
    <row r="1013" customFormat="false" ht="15" hidden="false" customHeight="false" outlineLevel="0" collapsed="false">
      <c r="J1013" s="238" t="n">
        <f aca="false">J821*10</f>
        <v>100000</v>
      </c>
      <c r="K1013" s="1" t="n">
        <f aca="false">K1012+1</f>
        <v>49</v>
      </c>
      <c r="L1013" s="239" t="n">
        <f aca="false">J1013*10^(K1013/192)</f>
        <v>179973.404991933</v>
      </c>
    </row>
    <row r="1014" customFormat="false" ht="15" hidden="false" customHeight="false" outlineLevel="0" collapsed="false">
      <c r="J1014" s="238" t="n">
        <f aca="false">J822*10</f>
        <v>100000</v>
      </c>
      <c r="K1014" s="1" t="n">
        <f aca="false">K1013+1</f>
        <v>50</v>
      </c>
      <c r="L1014" s="239" t="n">
        <f aca="false">J1014*10^(K1014/192)</f>
        <v>182144.753639595</v>
      </c>
    </row>
    <row r="1015" customFormat="false" ht="15" hidden="false" customHeight="false" outlineLevel="0" collapsed="false">
      <c r="J1015" s="238" t="n">
        <f aca="false">J823*10</f>
        <v>100000</v>
      </c>
      <c r="K1015" s="1" t="n">
        <f aca="false">K1014+1</f>
        <v>51</v>
      </c>
      <c r="L1015" s="239" t="n">
        <f aca="false">J1015*10^(K1015/192)</f>
        <v>184342.299240911</v>
      </c>
    </row>
    <row r="1016" customFormat="false" ht="15" hidden="false" customHeight="false" outlineLevel="0" collapsed="false">
      <c r="J1016" s="238" t="n">
        <f aca="false">J824*10</f>
        <v>100000</v>
      </c>
      <c r="K1016" s="1" t="n">
        <f aca="false">K1015+1</f>
        <v>52</v>
      </c>
      <c r="L1016" s="239" t="n">
        <f aca="false">J1016*10^(K1016/192)</f>
        <v>186566.357857691</v>
      </c>
    </row>
    <row r="1017" customFormat="false" ht="15" hidden="false" customHeight="false" outlineLevel="0" collapsed="false">
      <c r="J1017" s="238" t="n">
        <f aca="false">J825*10</f>
        <v>100000</v>
      </c>
      <c r="K1017" s="1" t="n">
        <f aca="false">K1016+1</f>
        <v>53</v>
      </c>
      <c r="L1017" s="239" t="n">
        <f aca="false">J1017*10^(K1017/192)</f>
        <v>188817.249364976</v>
      </c>
    </row>
    <row r="1018" customFormat="false" ht="15" hidden="false" customHeight="false" outlineLevel="0" collapsed="false">
      <c r="J1018" s="238" t="n">
        <f aca="false">J826*10</f>
        <v>100000</v>
      </c>
      <c r="K1018" s="1" t="n">
        <f aca="false">K1017+1</f>
        <v>54</v>
      </c>
      <c r="L1018" s="239" t="n">
        <f aca="false">J1018*10^(K1018/192)</f>
        <v>191095.297497044</v>
      </c>
    </row>
    <row r="1019" customFormat="false" ht="15" hidden="false" customHeight="false" outlineLevel="0" collapsed="false">
      <c r="J1019" s="238" t="n">
        <f aca="false">J827*10</f>
        <v>100000</v>
      </c>
      <c r="K1019" s="1" t="n">
        <f aca="false">K1018+1</f>
        <v>55</v>
      </c>
      <c r="L1019" s="239" t="n">
        <f aca="false">J1019*10^(K1019/192)</f>
        <v>193400.829893974</v>
      </c>
    </row>
    <row r="1020" customFormat="false" ht="15" hidden="false" customHeight="false" outlineLevel="0" collapsed="false">
      <c r="J1020" s="238" t="n">
        <f aca="false">J828*10</f>
        <v>100000</v>
      </c>
      <c r="K1020" s="1" t="n">
        <f aca="false">K1019+1</f>
        <v>56</v>
      </c>
      <c r="L1020" s="239" t="n">
        <f aca="false">J1020*10^(K1020/192)</f>
        <v>195734.178148766</v>
      </c>
    </row>
    <row r="1021" customFormat="false" ht="15" hidden="false" customHeight="false" outlineLevel="0" collapsed="false">
      <c r="J1021" s="238" t="n">
        <f aca="false">J829*10</f>
        <v>100000</v>
      </c>
      <c r="K1021" s="1" t="n">
        <f aca="false">K1020+1</f>
        <v>57</v>
      </c>
      <c r="L1021" s="239" t="n">
        <f aca="false">J1021*10^(K1021/192)</f>
        <v>198095.677855034</v>
      </c>
    </row>
    <row r="1022" customFormat="false" ht="15" hidden="false" customHeight="false" outlineLevel="0" collapsed="false">
      <c r="J1022" s="238" t="n">
        <f aca="false">J830*10</f>
        <v>100000</v>
      </c>
      <c r="K1022" s="1" t="n">
        <f aca="false">K1021+1</f>
        <v>58</v>
      </c>
      <c r="L1022" s="239" t="n">
        <f aca="false">J1022*10^(K1022/192)</f>
        <v>200485.668655271</v>
      </c>
    </row>
    <row r="1023" customFormat="false" ht="15" hidden="false" customHeight="false" outlineLevel="0" collapsed="false">
      <c r="J1023" s="238" t="n">
        <f aca="false">J831*10</f>
        <v>100000</v>
      </c>
      <c r="K1023" s="1" t="n">
        <f aca="false">K1022+1</f>
        <v>59</v>
      </c>
      <c r="L1023" s="239" t="n">
        <f aca="false">J1023*10^(K1023/192)</f>
        <v>202904.494289701</v>
      </c>
    </row>
    <row r="1024" customFormat="false" ht="15" hidden="false" customHeight="false" outlineLevel="0" collapsed="false">
      <c r="J1024" s="238" t="n">
        <f aca="false">J832*10</f>
        <v>100000</v>
      </c>
      <c r="K1024" s="1" t="n">
        <f aca="false">K1023+1</f>
        <v>60</v>
      </c>
      <c r="L1024" s="239" t="n">
        <f aca="false">J1024*10^(K1024/192)</f>
        <v>205352.502645715</v>
      </c>
    </row>
    <row r="1025" customFormat="false" ht="15" hidden="false" customHeight="false" outlineLevel="0" collapsed="false">
      <c r="J1025" s="238" t="n">
        <f aca="false">J833*10</f>
        <v>100000</v>
      </c>
      <c r="K1025" s="1" t="n">
        <f aca="false">K1024+1</f>
        <v>61</v>
      </c>
      <c r="L1025" s="239" t="n">
        <f aca="false">J1025*10^(K1025/192)</f>
        <v>207830.045807904</v>
      </c>
    </row>
    <row r="1026" customFormat="false" ht="15" hidden="false" customHeight="false" outlineLevel="0" collapsed="false">
      <c r="J1026" s="238" t="n">
        <f aca="false">J834*10</f>
        <v>100000</v>
      </c>
      <c r="K1026" s="1" t="n">
        <f aca="false">K1025+1</f>
        <v>62</v>
      </c>
      <c r="L1026" s="239" t="n">
        <f aca="false">J1026*10^(K1026/192)</f>
        <v>210337.480108703</v>
      </c>
    </row>
    <row r="1027" customFormat="false" ht="15" hidden="false" customHeight="false" outlineLevel="0" collapsed="false">
      <c r="J1027" s="238" t="n">
        <f aca="false">J835*10</f>
        <v>100000</v>
      </c>
      <c r="K1027" s="1" t="n">
        <f aca="false">K1026+1</f>
        <v>63</v>
      </c>
      <c r="L1027" s="239" t="n">
        <f aca="false">J1027*10^(K1027/192)</f>
        <v>212875.166179637</v>
      </c>
    </row>
    <row r="1028" customFormat="false" ht="15" hidden="false" customHeight="false" outlineLevel="0" collapsed="false">
      <c r="J1028" s="238" t="n">
        <f aca="false">J836*10</f>
        <v>100000</v>
      </c>
      <c r="K1028" s="1" t="n">
        <f aca="false">K1027+1</f>
        <v>64</v>
      </c>
      <c r="L1028" s="239" t="n">
        <f aca="false">J1028*10^(K1028/192)</f>
        <v>215443.469003188</v>
      </c>
    </row>
    <row r="1029" customFormat="false" ht="15" hidden="false" customHeight="false" outlineLevel="0" collapsed="false">
      <c r="J1029" s="238" t="n">
        <f aca="false">J837*10</f>
        <v>100000</v>
      </c>
      <c r="K1029" s="1" t="n">
        <f aca="false">K1028+1</f>
        <v>65</v>
      </c>
      <c r="L1029" s="239" t="n">
        <f aca="false">J1029*10^(K1029/192)</f>
        <v>218042.757965291</v>
      </c>
    </row>
    <row r="1030" customFormat="false" ht="15" hidden="false" customHeight="false" outlineLevel="0" collapsed="false">
      <c r="J1030" s="238" t="n">
        <f aca="false">J838*10</f>
        <v>100000</v>
      </c>
      <c r="K1030" s="1" t="n">
        <f aca="false">K1029+1</f>
        <v>66</v>
      </c>
      <c r="L1030" s="239" t="n">
        <f aca="false">J1030*10^(K1030/192)</f>
        <v>220673.406908459</v>
      </c>
    </row>
    <row r="1031" customFormat="false" ht="15" hidden="false" customHeight="false" outlineLevel="0" collapsed="false">
      <c r="J1031" s="238" t="n">
        <f aca="false">J839*10</f>
        <v>100000</v>
      </c>
      <c r="K1031" s="1" t="n">
        <f aca="false">K1030+1</f>
        <v>67</v>
      </c>
      <c r="L1031" s="239" t="n">
        <f aca="false">J1031*10^(K1031/192)</f>
        <v>223335.794185552</v>
      </c>
    </row>
    <row r="1032" customFormat="false" ht="15" hidden="false" customHeight="false" outlineLevel="0" collapsed="false">
      <c r="J1032" s="238" t="n">
        <f aca="false">J840*10</f>
        <v>100000</v>
      </c>
      <c r="K1032" s="1" t="n">
        <f aca="false">K1031+1</f>
        <v>68</v>
      </c>
      <c r="L1032" s="239" t="n">
        <f aca="false">J1032*10^(K1032/192)</f>
        <v>226030.302714192</v>
      </c>
    </row>
    <row r="1033" customFormat="false" ht="15" hidden="false" customHeight="false" outlineLevel="0" collapsed="false">
      <c r="J1033" s="238" t="n">
        <f aca="false">J841*10</f>
        <v>100000</v>
      </c>
      <c r="K1033" s="1" t="n">
        <f aca="false">K1032+1</f>
        <v>69</v>
      </c>
      <c r="L1033" s="239" t="n">
        <f aca="false">J1033*10^(K1033/192)</f>
        <v>228757.32003184</v>
      </c>
    </row>
    <row r="1034" customFormat="false" ht="15" hidden="false" customHeight="false" outlineLevel="0" collapsed="false">
      <c r="J1034" s="238" t="n">
        <f aca="false">J842*10</f>
        <v>100000</v>
      </c>
      <c r="K1034" s="1" t="n">
        <f aca="false">K1033+1</f>
        <v>70</v>
      </c>
      <c r="L1034" s="239" t="n">
        <f aca="false">J1034*10^(K1034/192)</f>
        <v>231517.238351527</v>
      </c>
    </row>
    <row r="1035" customFormat="false" ht="15" hidden="false" customHeight="false" outlineLevel="0" collapsed="false">
      <c r="J1035" s="238" t="n">
        <f aca="false">J843*10</f>
        <v>100000</v>
      </c>
      <c r="K1035" s="1" t="n">
        <f aca="false">K1034+1</f>
        <v>71</v>
      </c>
      <c r="L1035" s="239" t="n">
        <f aca="false">J1035*10^(K1035/192)</f>
        <v>234310.454618272</v>
      </c>
    </row>
    <row r="1036" customFormat="false" ht="15" hidden="false" customHeight="false" outlineLevel="0" collapsed="false">
      <c r="J1036" s="238" t="n">
        <f aca="false">J844*10</f>
        <v>100000</v>
      </c>
      <c r="K1036" s="1" t="n">
        <f aca="false">K1035+1</f>
        <v>72</v>
      </c>
      <c r="L1036" s="239" t="n">
        <f aca="false">J1036*10^(K1036/192)</f>
        <v>237137.370566166</v>
      </c>
    </row>
    <row r="1037" customFormat="false" ht="15" hidden="false" customHeight="false" outlineLevel="0" collapsed="false">
      <c r="J1037" s="238" t="n">
        <f aca="false">J845*10</f>
        <v>100000</v>
      </c>
      <c r="K1037" s="1" t="n">
        <f aca="false">K1036+1</f>
        <v>73</v>
      </c>
      <c r="L1037" s="239" t="n">
        <f aca="false">J1037*10^(K1037/192)</f>
        <v>239998.392776152</v>
      </c>
    </row>
    <row r="1038" customFormat="false" ht="15" hidden="false" customHeight="false" outlineLevel="0" collapsed="false">
      <c r="J1038" s="238" t="n">
        <f aca="false">J846*10</f>
        <v>100000</v>
      </c>
      <c r="K1038" s="1" t="n">
        <f aca="false">K1037+1</f>
        <v>74</v>
      </c>
      <c r="L1038" s="239" t="n">
        <f aca="false">J1038*10^(K1038/192)</f>
        <v>242893.932734508</v>
      </c>
    </row>
    <row r="1039" customFormat="false" ht="15" hidden="false" customHeight="false" outlineLevel="0" collapsed="false">
      <c r="J1039" s="238" t="n">
        <f aca="false">J847*10</f>
        <v>100000</v>
      </c>
      <c r="K1039" s="1" t="n">
        <f aca="false">K1038+1</f>
        <v>75</v>
      </c>
      <c r="L1039" s="239" t="n">
        <f aca="false">J1039*10^(K1039/192)</f>
        <v>245824.40689202</v>
      </c>
    </row>
    <row r="1040" customFormat="false" ht="15" hidden="false" customHeight="false" outlineLevel="0" collapsed="false">
      <c r="J1040" s="238" t="n">
        <f aca="false">J848*10</f>
        <v>100000</v>
      </c>
      <c r="K1040" s="1" t="n">
        <f aca="false">K1039+1</f>
        <v>76</v>
      </c>
      <c r="L1040" s="239" t="n">
        <f aca="false">J1040*10^(K1040/192)</f>
        <v>248790.236723884</v>
      </c>
    </row>
    <row r="1041" customFormat="false" ht="15" hidden="false" customHeight="false" outlineLevel="0" collapsed="false">
      <c r="J1041" s="238" t="n">
        <f aca="false">J849*10</f>
        <v>100000</v>
      </c>
      <c r="K1041" s="1" t="n">
        <f aca="false">K1040+1</f>
        <v>77</v>
      </c>
      <c r="L1041" s="239" t="n">
        <f aca="false">J1041*10^(K1041/192)</f>
        <v>251791.848790322</v>
      </c>
    </row>
    <row r="1042" customFormat="false" ht="15" hidden="false" customHeight="false" outlineLevel="0" collapsed="false">
      <c r="J1042" s="238" t="n">
        <f aca="false">J850*10</f>
        <v>100000</v>
      </c>
      <c r="K1042" s="1" t="n">
        <f aca="false">K1041+1</f>
        <v>78</v>
      </c>
      <c r="L1042" s="239" t="n">
        <f aca="false">J1042*10^(K1042/192)</f>
        <v>254829.674797935</v>
      </c>
    </row>
    <row r="1043" customFormat="false" ht="15" hidden="false" customHeight="false" outlineLevel="0" collapsed="false">
      <c r="J1043" s="238" t="n">
        <f aca="false">J851*10</f>
        <v>100000</v>
      </c>
      <c r="K1043" s="1" t="n">
        <f aca="false">K1042+1</f>
        <v>79</v>
      </c>
      <c r="L1043" s="239" t="n">
        <f aca="false">J1043*10^(K1043/192)</f>
        <v>257904.151661788</v>
      </c>
    </row>
    <row r="1044" customFormat="false" ht="15" hidden="false" customHeight="false" outlineLevel="0" collapsed="false">
      <c r="J1044" s="238" t="n">
        <f aca="false">J852*10</f>
        <v>100000</v>
      </c>
      <c r="K1044" s="1" t="n">
        <f aca="false">K1043+1</f>
        <v>80</v>
      </c>
      <c r="L1044" s="239" t="n">
        <f aca="false">J1044*10^(K1044/192)</f>
        <v>261015.721568254</v>
      </c>
    </row>
    <row r="1045" customFormat="false" ht="15" hidden="false" customHeight="false" outlineLevel="0" collapsed="false">
      <c r="J1045" s="238" t="n">
        <f aca="false">J853*10</f>
        <v>100000</v>
      </c>
      <c r="K1045" s="1" t="n">
        <f aca="false">K1044+1</f>
        <v>81</v>
      </c>
      <c r="L1045" s="239" t="n">
        <f aca="false">J1045*10^(K1045/192)</f>
        <v>264164.832038609</v>
      </c>
    </row>
    <row r="1046" customFormat="false" ht="15" hidden="false" customHeight="false" outlineLevel="0" collapsed="false">
      <c r="J1046" s="238" t="n">
        <f aca="false">J854*10</f>
        <v>100000</v>
      </c>
      <c r="K1046" s="1" t="n">
        <f aca="false">K1045+1</f>
        <v>82</v>
      </c>
      <c r="L1046" s="239" t="n">
        <f aca="false">J1046*10^(K1046/192)</f>
        <v>267351.935993399</v>
      </c>
    </row>
    <row r="1047" customFormat="false" ht="15" hidden="false" customHeight="false" outlineLevel="0" collapsed="false">
      <c r="J1047" s="238" t="n">
        <f aca="false">J855*10</f>
        <v>100000</v>
      </c>
      <c r="K1047" s="1" t="n">
        <f aca="false">K1046+1</f>
        <v>83</v>
      </c>
      <c r="L1047" s="239" t="n">
        <f aca="false">J1047*10^(K1047/192)</f>
        <v>270577.491817578</v>
      </c>
    </row>
    <row r="1048" customFormat="false" ht="15" hidden="false" customHeight="false" outlineLevel="0" collapsed="false">
      <c r="J1048" s="238" t="n">
        <f aca="false">J856*10</f>
        <v>100000</v>
      </c>
      <c r="K1048" s="1" t="n">
        <f aca="false">K1047+1</f>
        <v>84</v>
      </c>
      <c r="L1048" s="239" t="n">
        <f aca="false">J1048*10^(K1048/192)</f>
        <v>273841.963426436</v>
      </c>
    </row>
    <row r="1049" customFormat="false" ht="15" hidden="false" customHeight="false" outlineLevel="0" collapsed="false">
      <c r="J1049" s="238" t="n">
        <f aca="false">J857*10</f>
        <v>100000</v>
      </c>
      <c r="K1049" s="1" t="n">
        <f aca="false">K1048+1</f>
        <v>85</v>
      </c>
      <c r="L1049" s="239" t="n">
        <f aca="false">J1049*10^(K1049/192)</f>
        <v>277145.820332325</v>
      </c>
    </row>
    <row r="1050" customFormat="false" ht="15" hidden="false" customHeight="false" outlineLevel="0" collapsed="false">
      <c r="J1050" s="238" t="n">
        <f aca="false">J858*10</f>
        <v>100000</v>
      </c>
      <c r="K1050" s="1" t="n">
        <f aca="false">K1049+1</f>
        <v>86</v>
      </c>
      <c r="L1050" s="239" t="n">
        <f aca="false">J1050*10^(K1050/192)</f>
        <v>280489.537712183</v>
      </c>
    </row>
    <row r="1051" customFormat="false" ht="15" hidden="false" customHeight="false" outlineLevel="0" collapsed="false">
      <c r="J1051" s="238" t="n">
        <f aca="false">J859*10</f>
        <v>100000</v>
      </c>
      <c r="K1051" s="1" t="n">
        <f aca="false">K1050+1</f>
        <v>87</v>
      </c>
      <c r="L1051" s="239" t="n">
        <f aca="false">J1051*10^(K1051/192)</f>
        <v>283873.596475875</v>
      </c>
    </row>
    <row r="1052" customFormat="false" ht="15" hidden="false" customHeight="false" outlineLevel="0" collapsed="false">
      <c r="J1052" s="238" t="n">
        <f aca="false">J860*10</f>
        <v>100000</v>
      </c>
      <c r="K1052" s="1" t="n">
        <f aca="false">K1051+1</f>
        <v>88</v>
      </c>
      <c r="L1052" s="239" t="n">
        <f aca="false">J1052*10^(K1052/192)</f>
        <v>287298.483335367</v>
      </c>
    </row>
    <row r="1053" customFormat="false" ht="15" hidden="false" customHeight="false" outlineLevel="0" collapsed="false">
      <c r="J1053" s="238" t="n">
        <f aca="false">J861*10</f>
        <v>100000</v>
      </c>
      <c r="K1053" s="1" t="n">
        <f aca="false">K1052+1</f>
        <v>89</v>
      </c>
      <c r="L1053" s="239" t="n">
        <f aca="false">J1053*10^(K1053/192)</f>
        <v>290764.690874716</v>
      </c>
    </row>
    <row r="1054" customFormat="false" ht="15" hidden="false" customHeight="false" outlineLevel="0" collapsed="false">
      <c r="J1054" s="238" t="n">
        <f aca="false">J862*10</f>
        <v>100000</v>
      </c>
      <c r="K1054" s="1" t="n">
        <f aca="false">K1053+1</f>
        <v>90</v>
      </c>
      <c r="L1054" s="239" t="n">
        <f aca="false">J1054*10^(K1054/192)</f>
        <v>294272.717620928</v>
      </c>
    </row>
    <row r="1055" customFormat="false" ht="15" hidden="false" customHeight="false" outlineLevel="0" collapsed="false">
      <c r="J1055" s="238" t="n">
        <f aca="false">J863*10</f>
        <v>100000</v>
      </c>
      <c r="K1055" s="1" t="n">
        <f aca="false">K1054+1</f>
        <v>91</v>
      </c>
      <c r="L1055" s="239" t="n">
        <f aca="false">J1055*10^(K1055/192)</f>
        <v>297823.06811565</v>
      </c>
    </row>
    <row r="1056" customFormat="false" ht="15" hidden="false" customHeight="false" outlineLevel="0" collapsed="false">
      <c r="J1056" s="238" t="n">
        <f aca="false">J864*10</f>
        <v>100000</v>
      </c>
      <c r="K1056" s="1" t="n">
        <f aca="false">K1055+1</f>
        <v>92</v>
      </c>
      <c r="L1056" s="239" t="n">
        <f aca="false">J1056*10^(K1056/192)</f>
        <v>301416.252987739</v>
      </c>
    </row>
    <row r="1057" customFormat="false" ht="15" hidden="false" customHeight="false" outlineLevel="0" collapsed="false">
      <c r="J1057" s="238" t="n">
        <f aca="false">J865*10</f>
        <v>100000</v>
      </c>
      <c r="K1057" s="1" t="n">
        <f aca="false">K1056+1</f>
        <v>93</v>
      </c>
      <c r="L1057" s="239" t="n">
        <f aca="false">J1057*10^(K1057/192)</f>
        <v>305052.789026703</v>
      </c>
    </row>
    <row r="1058" customFormat="false" ht="15" hidden="false" customHeight="false" outlineLevel="0" collapsed="false">
      <c r="J1058" s="238" t="n">
        <f aca="false">J866*10</f>
        <v>100000</v>
      </c>
      <c r="K1058" s="1" t="n">
        <f aca="false">K1057+1</f>
        <v>94</v>
      </c>
      <c r="L1058" s="239" t="n">
        <f aca="false">J1058*10^(K1058/192)</f>
        <v>308733.199257026</v>
      </c>
    </row>
    <row r="1059" customFormat="false" ht="15" hidden="false" customHeight="false" outlineLevel="0" collapsed="false">
      <c r="J1059" s="238" t="n">
        <f aca="false">J867*10</f>
        <v>100000</v>
      </c>
      <c r="K1059" s="1" t="n">
        <f aca="false">K1058+1</f>
        <v>95</v>
      </c>
      <c r="L1059" s="239" t="n">
        <f aca="false">J1059*10^(K1059/192)</f>
        <v>312458.013013398</v>
      </c>
    </row>
    <row r="1060" customFormat="false" ht="15" hidden="false" customHeight="false" outlineLevel="0" collapsed="false">
      <c r="J1060" s="238" t="n">
        <f aca="false">J868*10</f>
        <v>100000</v>
      </c>
      <c r="K1060" s="1" t="n">
        <f aca="false">K1059+1</f>
        <v>96</v>
      </c>
      <c r="L1060" s="239" t="n">
        <f aca="false">J1060*10^(K1060/192)</f>
        <v>316227.766016838</v>
      </c>
    </row>
    <row r="1061" customFormat="false" ht="15" hidden="false" customHeight="false" outlineLevel="0" collapsed="false">
      <c r="J1061" s="238" t="n">
        <f aca="false">J869*10</f>
        <v>100000</v>
      </c>
      <c r="K1061" s="1" t="n">
        <f aca="false">K1060+1</f>
        <v>97</v>
      </c>
      <c r="L1061" s="239" t="n">
        <f aca="false">J1061*10^(K1061/192)</f>
        <v>320043.000451751</v>
      </c>
    </row>
    <row r="1062" customFormat="false" ht="15" hidden="false" customHeight="false" outlineLevel="0" collapsed="false">
      <c r="J1062" s="238" t="n">
        <f aca="false">J870*10</f>
        <v>100000</v>
      </c>
      <c r="K1062" s="1" t="n">
        <f aca="false">K1061+1</f>
        <v>98</v>
      </c>
      <c r="L1062" s="239" t="n">
        <f aca="false">J1062*10^(K1062/192)</f>
        <v>323904.265043903</v>
      </c>
    </row>
    <row r="1063" customFormat="false" ht="15" hidden="false" customHeight="false" outlineLevel="0" collapsed="false">
      <c r="J1063" s="238" t="n">
        <f aca="false">J871*10</f>
        <v>100000</v>
      </c>
      <c r="K1063" s="1" t="n">
        <f aca="false">K1062+1</f>
        <v>99</v>
      </c>
      <c r="L1063" s="239" t="n">
        <f aca="false">J1063*10^(K1063/192)</f>
        <v>327812.115139346</v>
      </c>
    </row>
    <row r="1064" customFormat="false" ht="15" hidden="false" customHeight="false" outlineLevel="0" collapsed="false">
      <c r="J1064" s="238" t="n">
        <f aca="false">J872*10</f>
        <v>100000</v>
      </c>
      <c r="K1064" s="1" t="n">
        <f aca="false">K1063+1</f>
        <v>100</v>
      </c>
      <c r="L1064" s="239" t="n">
        <f aca="false">J1064*10^(K1064/192)</f>
        <v>331767.112784286</v>
      </c>
    </row>
    <row r="1065" customFormat="false" ht="15" hidden="false" customHeight="false" outlineLevel="0" collapsed="false">
      <c r="J1065" s="238" t="n">
        <f aca="false">J873*10</f>
        <v>100000</v>
      </c>
      <c r="K1065" s="1" t="n">
        <f aca="false">K1064+1</f>
        <v>101</v>
      </c>
      <c r="L1065" s="239" t="n">
        <f aca="false">J1065*10^(K1065/192)</f>
        <v>335769.826805922</v>
      </c>
    </row>
    <row r="1066" customFormat="false" ht="15" hidden="false" customHeight="false" outlineLevel="0" collapsed="false">
      <c r="J1066" s="238" t="n">
        <f aca="false">J874*10</f>
        <v>100000</v>
      </c>
      <c r="K1066" s="1" t="n">
        <f aca="false">K1065+1</f>
        <v>102</v>
      </c>
      <c r="L1066" s="239" t="n">
        <f aca="false">J1066*10^(K1066/192)</f>
        <v>339820.832894256</v>
      </c>
    </row>
    <row r="1067" customFormat="false" ht="15" hidden="false" customHeight="false" outlineLevel="0" collapsed="false">
      <c r="J1067" s="238" t="n">
        <f aca="false">J875*10</f>
        <v>100000</v>
      </c>
      <c r="K1067" s="1" t="n">
        <f aca="false">K1066+1</f>
        <v>103</v>
      </c>
      <c r="L1067" s="239" t="n">
        <f aca="false">J1067*10^(K1067/192)</f>
        <v>343920.713684894</v>
      </c>
    </row>
    <row r="1068" customFormat="false" ht="15" hidden="false" customHeight="false" outlineLevel="0" collapsed="false">
      <c r="J1068" s="238" t="n">
        <f aca="false">J876*10</f>
        <v>100000</v>
      </c>
      <c r="K1068" s="1" t="n">
        <f aca="false">K1067+1</f>
        <v>104</v>
      </c>
      <c r="L1068" s="239" t="n">
        <f aca="false">J1068*10^(K1068/192)</f>
        <v>348070.058842841</v>
      </c>
    </row>
    <row r="1069" customFormat="false" ht="15" hidden="false" customHeight="false" outlineLevel="0" collapsed="false">
      <c r="J1069" s="238" t="n">
        <f aca="false">J877*10</f>
        <v>100000</v>
      </c>
      <c r="K1069" s="1" t="n">
        <f aca="false">K1068+1</f>
        <v>105</v>
      </c>
      <c r="L1069" s="239" t="n">
        <f aca="false">J1069*10^(K1069/192)</f>
        <v>352269.46514731</v>
      </c>
    </row>
    <row r="1070" customFormat="false" ht="15" hidden="false" customHeight="false" outlineLevel="0" collapsed="false">
      <c r="J1070" s="238" t="n">
        <f aca="false">J878*10</f>
        <v>100000</v>
      </c>
      <c r="K1070" s="1" t="n">
        <f aca="false">K1069+1</f>
        <v>106</v>
      </c>
      <c r="L1070" s="239" t="n">
        <f aca="false">J1070*10^(K1070/192)</f>
        <v>356519.536577555</v>
      </c>
    </row>
    <row r="1071" customFormat="false" ht="15" hidden="false" customHeight="false" outlineLevel="0" collapsed="false">
      <c r="J1071" s="238" t="n">
        <f aca="false">J879*10</f>
        <v>100000</v>
      </c>
      <c r="K1071" s="1" t="n">
        <f aca="false">K1070+1</f>
        <v>107</v>
      </c>
      <c r="L1071" s="239" t="n">
        <f aca="false">J1071*10^(K1071/192)</f>
        <v>360820.884399736</v>
      </c>
    </row>
    <row r="1072" customFormat="false" ht="15" hidden="false" customHeight="false" outlineLevel="0" collapsed="false">
      <c r="J1072" s="238" t="n">
        <f aca="false">J880*10</f>
        <v>100000</v>
      </c>
      <c r="K1072" s="1" t="n">
        <f aca="false">K1071+1</f>
        <v>108</v>
      </c>
      <c r="L1072" s="239" t="n">
        <f aca="false">J1072*10^(K1072/192)</f>
        <v>365174.127254838</v>
      </c>
    </row>
    <row r="1073" customFormat="false" ht="15" hidden="false" customHeight="false" outlineLevel="0" collapsed="false">
      <c r="J1073" s="238" t="n">
        <f aca="false">J881*10</f>
        <v>100000</v>
      </c>
      <c r="K1073" s="1" t="n">
        <f aca="false">K1072+1</f>
        <v>109</v>
      </c>
      <c r="L1073" s="239" t="n">
        <f aca="false">J1073*10^(K1073/192)</f>
        <v>369579.891247642</v>
      </c>
    </row>
    <row r="1074" customFormat="false" ht="15" hidden="false" customHeight="false" outlineLevel="0" collapsed="false">
      <c r="J1074" s="238" t="n">
        <f aca="false">J882*10</f>
        <v>100000</v>
      </c>
      <c r="K1074" s="1" t="n">
        <f aca="false">K1073+1</f>
        <v>110</v>
      </c>
      <c r="L1074" s="239" t="n">
        <f aca="false">J1074*10^(K1074/192)</f>
        <v>374038.810036779</v>
      </c>
    </row>
    <row r="1075" customFormat="false" ht="15" hidden="false" customHeight="false" outlineLevel="0" collapsed="false">
      <c r="J1075" s="238" t="n">
        <f aca="false">J883*10</f>
        <v>100000</v>
      </c>
      <c r="K1075" s="1" t="n">
        <f aca="false">K1074+1</f>
        <v>111</v>
      </c>
      <c r="L1075" s="239" t="n">
        <f aca="false">J1075*10^(K1075/192)</f>
        <v>378551.524925863</v>
      </c>
    </row>
    <row r="1076" customFormat="false" ht="15" hidden="false" customHeight="false" outlineLevel="0" collapsed="false">
      <c r="J1076" s="238" t="n">
        <f aca="false">J884*10</f>
        <v>100000</v>
      </c>
      <c r="K1076" s="1" t="n">
        <f aca="false">K1075+1</f>
        <v>112</v>
      </c>
      <c r="L1076" s="239" t="n">
        <f aca="false">J1076*10^(K1076/192)</f>
        <v>383118.684955729</v>
      </c>
    </row>
    <row r="1077" customFormat="false" ht="15" hidden="false" customHeight="false" outlineLevel="0" collapsed="false">
      <c r="J1077" s="238" t="n">
        <f aca="false">J885*10</f>
        <v>100000</v>
      </c>
      <c r="K1077" s="1" t="n">
        <f aca="false">K1076+1</f>
        <v>113</v>
      </c>
      <c r="L1077" s="239" t="n">
        <f aca="false">J1077*10^(K1077/192)</f>
        <v>387740.946997778</v>
      </c>
    </row>
    <row r="1078" customFormat="false" ht="15" hidden="false" customHeight="false" outlineLevel="0" collapsed="false">
      <c r="J1078" s="238" t="n">
        <f aca="false">J886*10</f>
        <v>100000</v>
      </c>
      <c r="K1078" s="1" t="n">
        <f aca="false">K1077+1</f>
        <v>114</v>
      </c>
      <c r="L1078" s="239" t="n">
        <f aca="false">J1078*10^(K1078/192)</f>
        <v>392418.975848454</v>
      </c>
    </row>
    <row r="1079" customFormat="false" ht="15" hidden="false" customHeight="false" outlineLevel="0" collapsed="false">
      <c r="J1079" s="238" t="n">
        <f aca="false">J887*10</f>
        <v>100000</v>
      </c>
      <c r="K1079" s="1" t="n">
        <f aca="false">K1078+1</f>
        <v>115</v>
      </c>
      <c r="L1079" s="239" t="n">
        <f aca="false">J1079*10^(K1079/192)</f>
        <v>397153.444324857</v>
      </c>
    </row>
    <row r="1080" customFormat="false" ht="15" hidden="false" customHeight="false" outlineLevel="0" collapsed="false">
      <c r="J1080" s="238" t="n">
        <f aca="false">J888*10</f>
        <v>100000</v>
      </c>
      <c r="K1080" s="1" t="n">
        <f aca="false">K1079+1</f>
        <v>116</v>
      </c>
      <c r="L1080" s="239" t="n">
        <f aca="false">J1080*10^(K1080/192)</f>
        <v>401945.033361512</v>
      </c>
    </row>
    <row r="1081" customFormat="false" ht="15" hidden="false" customHeight="false" outlineLevel="0" collapsed="false">
      <c r="J1081" s="238" t="n">
        <f aca="false">J889*10</f>
        <v>100000</v>
      </c>
      <c r="K1081" s="1" t="n">
        <f aca="false">K1080+1</f>
        <v>117</v>
      </c>
      <c r="L1081" s="239" t="n">
        <f aca="false">J1081*10^(K1081/192)</f>
        <v>406794.432108305</v>
      </c>
    </row>
    <row r="1082" customFormat="false" ht="15" hidden="false" customHeight="false" outlineLevel="0" collapsed="false">
      <c r="J1082" s="238" t="n">
        <f aca="false">J890*10</f>
        <v>100000</v>
      </c>
      <c r="K1082" s="1" t="n">
        <f aca="false">K1081+1</f>
        <v>118</v>
      </c>
      <c r="L1082" s="239" t="n">
        <f aca="false">J1082*10^(K1082/192)</f>
        <v>411702.338029595</v>
      </c>
    </row>
    <row r="1083" customFormat="false" ht="15" hidden="false" customHeight="false" outlineLevel="0" collapsed="false">
      <c r="J1083" s="238" t="n">
        <f aca="false">J891*10</f>
        <v>100000</v>
      </c>
      <c r="K1083" s="1" t="n">
        <f aca="false">K1082+1</f>
        <v>119</v>
      </c>
      <c r="L1083" s="239" t="n">
        <f aca="false">J1083*10^(K1083/192)</f>
        <v>416669.457004533</v>
      </c>
    </row>
    <row r="1084" customFormat="false" ht="15" hidden="false" customHeight="false" outlineLevel="0" collapsed="false">
      <c r="J1084" s="238" t="n">
        <f aca="false">J892*10</f>
        <v>100000</v>
      </c>
      <c r="K1084" s="1" t="n">
        <f aca="false">K1083+1</f>
        <v>120</v>
      </c>
      <c r="L1084" s="239" t="n">
        <f aca="false">J1084*10^(K1084/192)</f>
        <v>421696.503428582</v>
      </c>
    </row>
    <row r="1085" customFormat="false" ht="15" hidden="false" customHeight="false" outlineLevel="0" collapsed="false">
      <c r="J1085" s="238" t="n">
        <f aca="false">J893*10</f>
        <v>100000</v>
      </c>
      <c r="K1085" s="1" t="n">
        <f aca="false">K1084+1</f>
        <v>121</v>
      </c>
      <c r="L1085" s="239" t="n">
        <f aca="false">J1085*10^(K1085/192)</f>
        <v>426784.200316266</v>
      </c>
    </row>
    <row r="1086" customFormat="false" ht="15" hidden="false" customHeight="false" outlineLevel="0" collapsed="false">
      <c r="J1086" s="238" t="n">
        <f aca="false">J894*10</f>
        <v>100000</v>
      </c>
      <c r="K1086" s="1" t="n">
        <f aca="false">K1085+1</f>
        <v>122</v>
      </c>
      <c r="L1086" s="239" t="n">
        <f aca="false">J1086*10^(K1086/192)</f>
        <v>431933.279405154</v>
      </c>
    </row>
    <row r="1087" customFormat="false" ht="15" hidden="false" customHeight="false" outlineLevel="0" collapsed="false">
      <c r="J1087" s="238" t="n">
        <f aca="false">J895*10</f>
        <v>100000</v>
      </c>
      <c r="K1087" s="1" t="n">
        <f aca="false">K1086+1</f>
        <v>123</v>
      </c>
      <c r="L1087" s="239" t="n">
        <f aca="false">J1087*10^(K1087/192)</f>
        <v>437144.481261109</v>
      </c>
    </row>
    <row r="1088" customFormat="false" ht="15" hidden="false" customHeight="false" outlineLevel="0" collapsed="false">
      <c r="J1088" s="238" t="n">
        <f aca="false">J896*10</f>
        <v>100000</v>
      </c>
      <c r="K1088" s="1" t="n">
        <f aca="false">K1087+1</f>
        <v>124</v>
      </c>
      <c r="L1088" s="239" t="n">
        <f aca="false">J1088*10^(K1088/192)</f>
        <v>442418.555384792</v>
      </c>
    </row>
    <row r="1089" customFormat="false" ht="15" hidden="false" customHeight="false" outlineLevel="0" collapsed="false">
      <c r="J1089" s="238" t="n">
        <f aca="false">J897*10</f>
        <v>100000</v>
      </c>
      <c r="K1089" s="1" t="n">
        <f aca="false">K1088+1</f>
        <v>125</v>
      </c>
      <c r="L1089" s="239" t="n">
        <f aca="false">J1089*10^(K1089/192)</f>
        <v>447756.260319464</v>
      </c>
    </row>
    <row r="1090" customFormat="false" ht="15" hidden="false" customHeight="false" outlineLevel="0" collapsed="false">
      <c r="J1090" s="238" t="n">
        <f aca="false">J898*10</f>
        <v>100000</v>
      </c>
      <c r="K1090" s="1" t="n">
        <f aca="false">K1089+1</f>
        <v>126</v>
      </c>
      <c r="L1090" s="239" t="n">
        <f aca="false">J1090*10^(K1090/192)</f>
        <v>453158.363760082</v>
      </c>
    </row>
    <row r="1091" customFormat="false" ht="15" hidden="false" customHeight="false" outlineLevel="0" collapsed="false">
      <c r="J1091" s="238" t="n">
        <f aca="false">J899*10</f>
        <v>100000</v>
      </c>
      <c r="K1091" s="1" t="n">
        <f aca="false">K1090+1</f>
        <v>127</v>
      </c>
      <c r="L1091" s="239" t="n">
        <f aca="false">J1091*10^(K1091/192)</f>
        <v>458625.642663713</v>
      </c>
    </row>
    <row r="1092" customFormat="false" ht="15" hidden="false" customHeight="false" outlineLevel="0" collapsed="false">
      <c r="J1092" s="238" t="n">
        <f aca="false">J900*10</f>
        <v>100000</v>
      </c>
      <c r="K1092" s="1" t="n">
        <f aca="false">K1091+1</f>
        <v>128</v>
      </c>
      <c r="L1092" s="239" t="n">
        <f aca="false">J1092*10^(K1092/192)</f>
        <v>464158.883361278</v>
      </c>
    </row>
    <row r="1093" customFormat="false" ht="15" hidden="false" customHeight="false" outlineLevel="0" collapsed="false">
      <c r="J1093" s="238" t="n">
        <f aca="false">J901*10</f>
        <v>100000</v>
      </c>
      <c r="K1093" s="1" t="n">
        <f aca="false">K1092+1</f>
        <v>129</v>
      </c>
      <c r="L1093" s="239" t="n">
        <f aca="false">J1093*10^(K1093/192)</f>
        <v>469758.881670649</v>
      </c>
    </row>
    <row r="1094" customFormat="false" ht="15" hidden="false" customHeight="false" outlineLevel="0" collapsed="false">
      <c r="J1094" s="238" t="n">
        <f aca="false">J902*10</f>
        <v>100000</v>
      </c>
      <c r="K1094" s="1" t="n">
        <f aca="false">K1093+1</f>
        <v>130</v>
      </c>
      <c r="L1094" s="239" t="n">
        <f aca="false">J1094*10^(K1094/192)</f>
        <v>475426.443011106</v>
      </c>
    </row>
    <row r="1095" customFormat="false" ht="15" hidden="false" customHeight="false" outlineLevel="0" collapsed="false">
      <c r="J1095" s="238" t="n">
        <f aca="false">J903*10</f>
        <v>100000</v>
      </c>
      <c r="K1095" s="1" t="n">
        <f aca="false">K1094+1</f>
        <v>131</v>
      </c>
      <c r="L1095" s="239" t="n">
        <f aca="false">J1095*10^(K1095/192)</f>
        <v>481162.382519173</v>
      </c>
    </row>
    <row r="1096" customFormat="false" ht="15" hidden="false" customHeight="false" outlineLevel="0" collapsed="false">
      <c r="J1096" s="238" t="n">
        <f aca="false">J904*10</f>
        <v>100000</v>
      </c>
      <c r="K1096" s="1" t="n">
        <f aca="false">K1095+1</f>
        <v>132</v>
      </c>
      <c r="L1096" s="239" t="n">
        <f aca="false">J1096*10^(K1096/192)</f>
        <v>486967.525165863</v>
      </c>
    </row>
    <row r="1097" customFormat="false" ht="15" hidden="false" customHeight="false" outlineLevel="0" collapsed="false">
      <c r="J1097" s="238" t="n">
        <f aca="false">J905*10</f>
        <v>100000</v>
      </c>
      <c r="K1097" s="1" t="n">
        <f aca="false">K1096+1</f>
        <v>133</v>
      </c>
      <c r="L1097" s="239" t="n">
        <f aca="false">J1097*10^(K1097/192)</f>
        <v>492842.705875321</v>
      </c>
    </row>
    <row r="1098" customFormat="false" ht="15" hidden="false" customHeight="false" outlineLevel="0" collapsed="false">
      <c r="J1098" s="238" t="n">
        <f aca="false">J906*10</f>
        <v>100000</v>
      </c>
      <c r="K1098" s="1" t="n">
        <f aca="false">K1097+1</f>
        <v>134</v>
      </c>
      <c r="L1098" s="239" t="n">
        <f aca="false">J1098*10^(K1098/192)</f>
        <v>498788.769644911</v>
      </c>
    </row>
    <row r="1099" customFormat="false" ht="15" hidden="false" customHeight="false" outlineLevel="0" collapsed="false">
      <c r="J1099" s="238" t="n">
        <f aca="false">J907*10</f>
        <v>100000</v>
      </c>
      <c r="K1099" s="1" t="n">
        <f aca="false">K1098+1</f>
        <v>135</v>
      </c>
      <c r="L1099" s="239" t="n">
        <f aca="false">J1099*10^(K1099/192)</f>
        <v>504806.571666747</v>
      </c>
    </row>
    <row r="1100" customFormat="false" ht="15" hidden="false" customHeight="false" outlineLevel="0" collapsed="false">
      <c r="J1100" s="238" t="n">
        <f aca="false">J908*10</f>
        <v>100000</v>
      </c>
      <c r="K1100" s="1" t="n">
        <f aca="false">K1099+1</f>
        <v>136</v>
      </c>
      <c r="L1100" s="239" t="n">
        <f aca="false">J1100*10^(K1100/192)</f>
        <v>510896.977450693</v>
      </c>
    </row>
    <row r="1101" customFormat="false" ht="15" hidden="false" customHeight="false" outlineLevel="0" collapsed="false">
      <c r="J1101" s="238" t="n">
        <f aca="false">J909*10</f>
        <v>100000</v>
      </c>
      <c r="K1101" s="1" t="n">
        <f aca="false">K1100+1</f>
        <v>137</v>
      </c>
      <c r="L1101" s="239" t="n">
        <f aca="false">J1101*10^(K1101/192)</f>
        <v>517060.86294884</v>
      </c>
    </row>
    <row r="1102" customFormat="false" ht="15" hidden="false" customHeight="false" outlineLevel="0" collapsed="false">
      <c r="J1102" s="238" t="n">
        <f aca="false">J910*10</f>
        <v>100000</v>
      </c>
      <c r="K1102" s="1" t="n">
        <f aca="false">K1101+1</f>
        <v>138</v>
      </c>
      <c r="L1102" s="239" t="n">
        <f aca="false">J1102*10^(K1102/192)</f>
        <v>523299.114681495</v>
      </c>
    </row>
    <row r="1103" customFormat="false" ht="15" hidden="false" customHeight="false" outlineLevel="0" collapsed="false">
      <c r="J1103" s="238" t="n">
        <f aca="false">J911*10</f>
        <v>100000</v>
      </c>
      <c r="K1103" s="1" t="n">
        <f aca="false">K1102+1</f>
        <v>139</v>
      </c>
      <c r="L1103" s="239" t="n">
        <f aca="false">J1103*10^(K1103/192)</f>
        <v>529612.62986468</v>
      </c>
    </row>
    <row r="1104" customFormat="false" ht="15" hidden="false" customHeight="false" outlineLevel="0" collapsed="false">
      <c r="J1104" s="238" t="n">
        <f aca="false">J912*10</f>
        <v>100000</v>
      </c>
      <c r="K1104" s="1" t="n">
        <f aca="false">K1103+1</f>
        <v>140</v>
      </c>
      <c r="L1104" s="239" t="n">
        <f aca="false">J1104*10^(K1104/192)</f>
        <v>536002.316539179</v>
      </c>
    </row>
    <row r="1105" customFormat="false" ht="15" hidden="false" customHeight="false" outlineLevel="0" collapsed="false">
      <c r="J1105" s="238" t="n">
        <f aca="false">J913*10</f>
        <v>100000</v>
      </c>
      <c r="K1105" s="1" t="n">
        <f aca="false">K1104+1</f>
        <v>141</v>
      </c>
      <c r="L1105" s="239" t="n">
        <f aca="false">J1105*10^(K1105/192)</f>
        <v>542469.093701133</v>
      </c>
    </row>
    <row r="1106" customFormat="false" ht="15" hidden="false" customHeight="false" outlineLevel="0" collapsed="false">
      <c r="J1106" s="238" t="n">
        <f aca="false">J914*10</f>
        <v>100000</v>
      </c>
      <c r="K1106" s="1" t="n">
        <f aca="false">K1105+1</f>
        <v>142</v>
      </c>
      <c r="L1106" s="239" t="n">
        <f aca="false">J1106*10^(K1106/192)</f>
        <v>549013.891434214</v>
      </c>
    </row>
    <row r="1107" customFormat="false" ht="15" hidden="false" customHeight="false" outlineLevel="0" collapsed="false">
      <c r="J1107" s="238" t="n">
        <f aca="false">J915*10</f>
        <v>100000</v>
      </c>
      <c r="K1107" s="1" t="n">
        <f aca="false">K1106+1</f>
        <v>143</v>
      </c>
      <c r="L1107" s="239" t="n">
        <f aca="false">J1107*10^(K1107/192)</f>
        <v>555637.651043399</v>
      </c>
    </row>
    <row r="1108" customFormat="false" ht="15" hidden="false" customHeight="false" outlineLevel="0" collapsed="false">
      <c r="J1108" s="238" t="n">
        <f aca="false">J916*10</f>
        <v>100000</v>
      </c>
      <c r="K1108" s="1" t="n">
        <f aca="false">K1107+1</f>
        <v>144</v>
      </c>
      <c r="L1108" s="239" t="n">
        <f aca="false">J1108*10^(K1108/192)</f>
        <v>562341.325190349</v>
      </c>
    </row>
    <row r="1109" customFormat="false" ht="15" hidden="false" customHeight="false" outlineLevel="0" collapsed="false">
      <c r="J1109" s="238" t="n">
        <f aca="false">J917*10</f>
        <v>100000</v>
      </c>
      <c r="K1109" s="1" t="n">
        <f aca="false">K1108+1</f>
        <v>145</v>
      </c>
      <c r="L1109" s="239" t="n">
        <f aca="false">J1109*10^(K1109/192)</f>
        <v>569125.878030426</v>
      </c>
    </row>
    <row r="1110" customFormat="false" ht="15" hidden="false" customHeight="false" outlineLevel="0" collapsed="false">
      <c r="J1110" s="238" t="n">
        <f aca="false">J918*10</f>
        <v>100000</v>
      </c>
      <c r="K1110" s="1" t="n">
        <f aca="false">K1109+1</f>
        <v>146</v>
      </c>
      <c r="L1110" s="239" t="n">
        <f aca="false">J1110*10^(K1110/192)</f>
        <v>575992.285351363</v>
      </c>
    </row>
    <row r="1111" customFormat="false" ht="15" hidden="false" customHeight="false" outlineLevel="0" collapsed="false">
      <c r="J1111" s="238" t="n">
        <f aca="false">J919*10</f>
        <v>100000</v>
      </c>
      <c r="K1111" s="1" t="n">
        <f aca="false">K1110+1</f>
        <v>147</v>
      </c>
      <c r="L1111" s="239" t="n">
        <f aca="false">J1111*10^(K1111/192)</f>
        <v>582941.534713607</v>
      </c>
    </row>
    <row r="1112" customFormat="false" ht="15" hidden="false" customHeight="false" outlineLevel="0" collapsed="false">
      <c r="J1112" s="238" t="n">
        <f aca="false">J920*10</f>
        <v>100000</v>
      </c>
      <c r="K1112" s="1" t="n">
        <f aca="false">K1111+1</f>
        <v>148</v>
      </c>
      <c r="L1112" s="239" t="n">
        <f aca="false">J1112*10^(K1112/192)</f>
        <v>589974.625592356</v>
      </c>
    </row>
    <row r="1113" customFormat="false" ht="15" hidden="false" customHeight="false" outlineLevel="0" collapsed="false">
      <c r="J1113" s="238" t="n">
        <f aca="false">J921*10</f>
        <v>100000</v>
      </c>
      <c r="K1113" s="1" t="n">
        <f aca="false">K1112+1</f>
        <v>149</v>
      </c>
      <c r="L1113" s="239" t="n">
        <f aca="false">J1113*10^(K1113/192)</f>
        <v>597092.569521305</v>
      </c>
    </row>
    <row r="1114" customFormat="false" ht="15" hidden="false" customHeight="false" outlineLevel="0" collapsed="false">
      <c r="J1114" s="238" t="n">
        <f aca="false">J922*10</f>
        <v>100000</v>
      </c>
      <c r="K1114" s="1" t="n">
        <f aca="false">K1113+1</f>
        <v>150</v>
      </c>
      <c r="L1114" s="239" t="n">
        <f aca="false">J1114*10^(K1114/192)</f>
        <v>604296.390238133</v>
      </c>
    </row>
    <row r="1115" customFormat="false" ht="15" hidden="false" customHeight="false" outlineLevel="0" collapsed="false">
      <c r="J1115" s="238" t="n">
        <f aca="false">J923*10</f>
        <v>100000</v>
      </c>
      <c r="K1115" s="1" t="n">
        <f aca="false">K1114+1</f>
        <v>151</v>
      </c>
      <c r="L1115" s="239" t="n">
        <f aca="false">J1115*10^(K1115/192)</f>
        <v>611587.123831739</v>
      </c>
    </row>
    <row r="1116" customFormat="false" ht="15" hidden="false" customHeight="false" outlineLevel="0" collapsed="false">
      <c r="J1116" s="238" t="n">
        <f aca="false">J924*10</f>
        <v>100000</v>
      </c>
      <c r="K1116" s="1" t="n">
        <f aca="false">K1115+1</f>
        <v>152</v>
      </c>
      <c r="L1116" s="239" t="n">
        <f aca="false">J1116*10^(K1116/192)</f>
        <v>618965.818891261</v>
      </c>
    </row>
    <row r="1117" customFormat="false" ht="15" hidden="false" customHeight="false" outlineLevel="0" collapsed="false">
      <c r="J1117" s="238" t="n">
        <f aca="false">J925*10</f>
        <v>100000</v>
      </c>
      <c r="K1117" s="1" t="n">
        <f aca="false">K1116+1</f>
        <v>153</v>
      </c>
      <c r="L1117" s="239" t="n">
        <f aca="false">J1117*10^(K1117/192)</f>
        <v>626433.536656886</v>
      </c>
    </row>
    <row r="1118" customFormat="false" ht="15" hidden="false" customHeight="false" outlineLevel="0" collapsed="false">
      <c r="J1118" s="238" t="n">
        <f aca="false">J926*10</f>
        <v>100000</v>
      </c>
      <c r="K1118" s="1" t="n">
        <f aca="false">K1117+1</f>
        <v>154</v>
      </c>
      <c r="L1118" s="239" t="n">
        <f aca="false">J1118*10^(K1118/192)</f>
        <v>633991.351172485</v>
      </c>
    </row>
    <row r="1119" customFormat="false" ht="15" hidden="false" customHeight="false" outlineLevel="0" collapsed="false">
      <c r="J1119" s="238" t="n">
        <f aca="false">J927*10</f>
        <v>100000</v>
      </c>
      <c r="K1119" s="1" t="n">
        <f aca="false">K1118+1</f>
        <v>155</v>
      </c>
      <c r="L1119" s="239" t="n">
        <f aca="false">J1119*10^(K1119/192)</f>
        <v>641640.349440085</v>
      </c>
    </row>
    <row r="1120" customFormat="false" ht="15" hidden="false" customHeight="false" outlineLevel="0" collapsed="false">
      <c r="J1120" s="238" t="n">
        <f aca="false">J928*10</f>
        <v>100000</v>
      </c>
      <c r="K1120" s="1" t="n">
        <f aca="false">K1119+1</f>
        <v>156</v>
      </c>
      <c r="L1120" s="239" t="n">
        <f aca="false">J1120*10^(K1120/192)</f>
        <v>649381.631576211</v>
      </c>
    </row>
    <row r="1121" customFormat="false" ht="15" hidden="false" customHeight="false" outlineLevel="0" collapsed="false">
      <c r="J1121" s="238" t="n">
        <f aca="false">J929*10</f>
        <v>100000</v>
      </c>
      <c r="K1121" s="1" t="n">
        <f aca="false">K1120+1</f>
        <v>157</v>
      </c>
      <c r="L1121" s="239" t="n">
        <f aca="false">J1121*10^(K1121/192)</f>
        <v>657216.310970106</v>
      </c>
    </row>
    <row r="1122" customFormat="false" ht="15" hidden="false" customHeight="false" outlineLevel="0" collapsed="false">
      <c r="J1122" s="238" t="n">
        <f aca="false">J930*10</f>
        <v>100000</v>
      </c>
      <c r="K1122" s="1" t="n">
        <f aca="false">K1121+1</f>
        <v>158</v>
      </c>
      <c r="L1122" s="239" t="n">
        <f aca="false">J1122*10^(K1122/192)</f>
        <v>665145.514443863</v>
      </c>
    </row>
    <row r="1123" customFormat="false" ht="15" hidden="false" customHeight="false" outlineLevel="0" collapsed="false">
      <c r="J1123" s="238" t="n">
        <f aca="false">J931*10</f>
        <v>100000</v>
      </c>
      <c r="K1123" s="1" t="n">
        <f aca="false">K1122+1</f>
        <v>159</v>
      </c>
      <c r="L1123" s="239" t="n">
        <f aca="false">J1123*10^(K1123/192)</f>
        <v>673170.382414498</v>
      </c>
    </row>
    <row r="1124" customFormat="false" ht="15" hidden="false" customHeight="false" outlineLevel="0" collapsed="false">
      <c r="J1124" s="238" t="n">
        <f aca="false">J932*10</f>
        <v>100000</v>
      </c>
      <c r="K1124" s="1" t="n">
        <f aca="false">K1123+1</f>
        <v>160</v>
      </c>
      <c r="L1124" s="239" t="n">
        <f aca="false">J1124*10^(K1124/192)</f>
        <v>681292.069057961</v>
      </c>
    </row>
    <row r="1125" customFormat="false" ht="15" hidden="false" customHeight="false" outlineLevel="0" collapsed="false">
      <c r="J1125" s="238" t="n">
        <f aca="false">J933*10</f>
        <v>100000</v>
      </c>
      <c r="K1125" s="1" t="n">
        <f aca="false">K1124+1</f>
        <v>161</v>
      </c>
      <c r="L1125" s="239" t="n">
        <f aca="false">J1125*10^(K1125/192)</f>
        <v>689511.742475141</v>
      </c>
    </row>
    <row r="1126" customFormat="false" ht="15" hidden="false" customHeight="false" outlineLevel="0" collapsed="false">
      <c r="J1126" s="238" t="n">
        <f aca="false">J934*10</f>
        <v>100000</v>
      </c>
      <c r="K1126" s="1" t="n">
        <f aca="false">K1125+1</f>
        <v>162</v>
      </c>
      <c r="L1126" s="239" t="n">
        <f aca="false">J1126*10^(K1126/192)</f>
        <v>697830.584859866</v>
      </c>
    </row>
    <row r="1127" customFormat="false" ht="15" hidden="false" customHeight="false" outlineLevel="0" collapsed="false">
      <c r="J1127" s="238" t="n">
        <f aca="false">J935*10</f>
        <v>100000</v>
      </c>
      <c r="K1127" s="1" t="n">
        <f aca="false">K1126+1</f>
        <v>163</v>
      </c>
      <c r="L1127" s="239" t="n">
        <f aca="false">J1127*10^(K1127/192)</f>
        <v>706249.792668933</v>
      </c>
    </row>
    <row r="1128" customFormat="false" ht="15" hidden="false" customHeight="false" outlineLevel="0" collapsed="false">
      <c r="J1128" s="238" t="n">
        <f aca="false">J936*10</f>
        <v>100000</v>
      </c>
      <c r="K1128" s="1" t="n">
        <f aca="false">K1127+1</f>
        <v>164</v>
      </c>
      <c r="L1128" s="239" t="n">
        <f aca="false">J1128*10^(K1128/192)</f>
        <v>714770.576794186</v>
      </c>
    </row>
    <row r="1129" customFormat="false" ht="15" hidden="false" customHeight="false" outlineLevel="0" collapsed="false">
      <c r="J1129" s="238" t="n">
        <f aca="false">J937*10</f>
        <v>100000</v>
      </c>
      <c r="K1129" s="1" t="n">
        <f aca="false">K1128+1</f>
        <v>165</v>
      </c>
      <c r="L1129" s="239" t="n">
        <f aca="false">J1129*10^(K1129/192)</f>
        <v>723394.162736675</v>
      </c>
    </row>
    <row r="1130" customFormat="false" ht="15" hidden="false" customHeight="false" outlineLevel="0" collapsed="false">
      <c r="J1130" s="238" t="n">
        <f aca="false">J938*10</f>
        <v>100000</v>
      </c>
      <c r="K1130" s="1" t="n">
        <f aca="false">K1129+1</f>
        <v>166</v>
      </c>
      <c r="L1130" s="239" t="n">
        <f aca="false">J1130*10^(K1130/192)</f>
        <v>732121.790782913</v>
      </c>
    </row>
    <row r="1131" customFormat="false" ht="15" hidden="false" customHeight="false" outlineLevel="0" collapsed="false">
      <c r="J1131" s="238" t="n">
        <f aca="false">J939*10</f>
        <v>100000</v>
      </c>
      <c r="K1131" s="1" t="n">
        <f aca="false">K1130+1</f>
        <v>167</v>
      </c>
      <c r="L1131" s="239" t="n">
        <f aca="false">J1131*10^(K1131/192)</f>
        <v>740954.716183259</v>
      </c>
    </row>
    <row r="1132" customFormat="false" ht="15" hidden="false" customHeight="false" outlineLevel="0" collapsed="false">
      <c r="J1132" s="238" t="n">
        <f aca="false">J940*10</f>
        <v>100000</v>
      </c>
      <c r="K1132" s="1" t="n">
        <f aca="false">K1131+1</f>
        <v>168</v>
      </c>
      <c r="L1132" s="239" t="n">
        <f aca="false">J1132*10^(K1132/192)</f>
        <v>749894.209332456</v>
      </c>
    </row>
    <row r="1133" customFormat="false" ht="15" hidden="false" customHeight="false" outlineLevel="0" collapsed="false">
      <c r="J1133" s="238" t="n">
        <f aca="false">J941*10</f>
        <v>100000</v>
      </c>
      <c r="K1133" s="1" t="n">
        <f aca="false">K1132+1</f>
        <v>169</v>
      </c>
      <c r="L1133" s="239" t="n">
        <f aca="false">J1133*10^(K1133/192)</f>
        <v>758941.555952343</v>
      </c>
    </row>
    <row r="1134" customFormat="false" ht="15" hidden="false" customHeight="false" outlineLevel="0" collapsed="false">
      <c r="J1134" s="238" t="n">
        <f aca="false">J942*10</f>
        <v>100000</v>
      </c>
      <c r="K1134" s="1" t="n">
        <f aca="false">K1133+1</f>
        <v>170</v>
      </c>
      <c r="L1134" s="239" t="n">
        <f aca="false">J1134*10^(K1134/192)</f>
        <v>768098.057276775</v>
      </c>
    </row>
    <row r="1135" customFormat="false" ht="15" hidden="false" customHeight="false" outlineLevel="0" collapsed="false">
      <c r="J1135" s="238" t="n">
        <f aca="false">J943*10</f>
        <v>100000</v>
      </c>
      <c r="K1135" s="1" t="n">
        <f aca="false">K1134+1</f>
        <v>171</v>
      </c>
      <c r="L1135" s="239" t="n">
        <f aca="false">J1135*10^(K1135/192)</f>
        <v>777365.030238776</v>
      </c>
    </row>
    <row r="1136" customFormat="false" ht="15" hidden="false" customHeight="false" outlineLevel="0" collapsed="false">
      <c r="J1136" s="238" t="n">
        <f aca="false">J944*10</f>
        <v>100000</v>
      </c>
      <c r="K1136" s="1" t="n">
        <f aca="false">K1135+1</f>
        <v>172</v>
      </c>
      <c r="L1136" s="239" t="n">
        <f aca="false">J1136*10^(K1136/192)</f>
        <v>786743.80765994</v>
      </c>
    </row>
    <row r="1137" customFormat="false" ht="15" hidden="false" customHeight="false" outlineLevel="0" collapsed="false">
      <c r="J1137" s="238" t="n">
        <f aca="false">J945*10</f>
        <v>100000</v>
      </c>
      <c r="K1137" s="1" t="n">
        <f aca="false">K1136+1</f>
        <v>173</v>
      </c>
      <c r="L1137" s="239" t="n">
        <f aca="false">J1137*10^(K1137/192)</f>
        <v>796235.73844213</v>
      </c>
    </row>
    <row r="1138" customFormat="false" ht="15" hidden="false" customHeight="false" outlineLevel="0" collapsed="false">
      <c r="J1138" s="238" t="n">
        <f aca="false">J946*10</f>
        <v>100000</v>
      </c>
      <c r="K1138" s="1" t="n">
        <f aca="false">K1137+1</f>
        <v>174</v>
      </c>
      <c r="L1138" s="239" t="n">
        <f aca="false">J1138*10^(K1138/192)</f>
        <v>805842.187761482</v>
      </c>
    </row>
    <row r="1139" customFormat="false" ht="15" hidden="false" customHeight="false" outlineLevel="0" collapsed="false">
      <c r="J1139" s="238" t="n">
        <f aca="false">J947*10</f>
        <v>100000</v>
      </c>
      <c r="K1139" s="1" t="n">
        <f aca="false">K1138+1</f>
        <v>175</v>
      </c>
      <c r="L1139" s="239" t="n">
        <f aca="false">J1139*10^(K1139/192)</f>
        <v>815564.537264749</v>
      </c>
    </row>
    <row r="1140" customFormat="false" ht="15" hidden="false" customHeight="false" outlineLevel="0" collapsed="false">
      <c r="J1140" s="238" t="n">
        <f aca="false">J948*10</f>
        <v>100000</v>
      </c>
      <c r="K1140" s="1" t="n">
        <f aca="false">K1139+1</f>
        <v>176</v>
      </c>
      <c r="L1140" s="239" t="n">
        <f aca="false">J1140*10^(K1140/192)</f>
        <v>825404.185268018</v>
      </c>
    </row>
    <row r="1141" customFormat="false" ht="15" hidden="false" customHeight="false" outlineLevel="0" collapsed="false">
      <c r="J1141" s="238" t="n">
        <f aca="false">J949*10</f>
        <v>100000</v>
      </c>
      <c r="K1141" s="1" t="n">
        <f aca="false">K1140+1</f>
        <v>177</v>
      </c>
      <c r="L1141" s="239" t="n">
        <f aca="false">J1141*10^(K1141/192)</f>
        <v>835362.546957826</v>
      </c>
    </row>
    <row r="1142" customFormat="false" ht="15" hidden="false" customHeight="false" outlineLevel="0" collapsed="false">
      <c r="J1142" s="238" t="n">
        <f aca="false">J950*10</f>
        <v>100000</v>
      </c>
      <c r="K1142" s="1" t="n">
        <f aca="false">K1141+1</f>
        <v>178</v>
      </c>
      <c r="L1142" s="239" t="n">
        <f aca="false">J1142*10^(K1142/192)</f>
        <v>845441.054594692</v>
      </c>
    </row>
    <row r="1143" customFormat="false" ht="15" hidden="false" customHeight="false" outlineLevel="0" collapsed="false">
      <c r="J1143" s="238" t="n">
        <f aca="false">J951*10</f>
        <v>100000</v>
      </c>
      <c r="K1143" s="1" t="n">
        <f aca="false">K1142+1</f>
        <v>179</v>
      </c>
      <c r="L1143" s="239" t="n">
        <f aca="false">J1143*10^(K1143/192)</f>
        <v>855641.157719118</v>
      </c>
    </row>
    <row r="1144" customFormat="false" ht="15" hidden="false" customHeight="false" outlineLevel="0" collapsed="false">
      <c r="J1144" s="238" t="n">
        <f aca="false">J952*10</f>
        <v>100000</v>
      </c>
      <c r="K1144" s="1" t="n">
        <f aca="false">K1143+1</f>
        <v>180</v>
      </c>
      <c r="L1144" s="239" t="n">
        <f aca="false">J1144*10^(K1144/192)</f>
        <v>865964.323360066</v>
      </c>
    </row>
    <row r="1145" customFormat="false" ht="15" hidden="false" customHeight="false" outlineLevel="0" collapsed="false">
      <c r="J1145" s="238" t="n">
        <f aca="false">J953*10</f>
        <v>100000</v>
      </c>
      <c r="K1145" s="1" t="n">
        <f aca="false">K1144+1</f>
        <v>181</v>
      </c>
      <c r="L1145" s="239" t="n">
        <f aca="false">J1145*10^(K1145/192)</f>
        <v>876412.036245952</v>
      </c>
    </row>
    <row r="1146" customFormat="false" ht="15" hidden="false" customHeight="false" outlineLevel="0" collapsed="false">
      <c r="J1146" s="238" t="n">
        <f aca="false">J954*10</f>
        <v>100000</v>
      </c>
      <c r="K1146" s="1" t="n">
        <f aca="false">K1145+1</f>
        <v>182</v>
      </c>
      <c r="L1146" s="239" t="n">
        <f aca="false">J1146*10^(K1146/192)</f>
        <v>886985.799018192</v>
      </c>
    </row>
    <row r="1147" customFormat="false" ht="15" hidden="false" customHeight="false" outlineLevel="0" collapsed="false">
      <c r="J1147" s="238" t="n">
        <f aca="false">J955*10</f>
        <v>100000</v>
      </c>
      <c r="K1147" s="1" t="n">
        <f aca="false">K1146+1</f>
        <v>183</v>
      </c>
      <c r="L1147" s="239" t="n">
        <f aca="false">J1147*10^(K1147/192)</f>
        <v>897687.132447314</v>
      </c>
    </row>
    <row r="1148" customFormat="false" ht="15" hidden="false" customHeight="false" outlineLevel="0" collapsed="false">
      <c r="J1148" s="238" t="n">
        <f aca="false">J956*10</f>
        <v>100000</v>
      </c>
      <c r="K1148" s="1" t="n">
        <f aca="false">K1147+1</f>
        <v>184</v>
      </c>
      <c r="L1148" s="239" t="n">
        <f aca="false">J1148*10^(K1148/192)</f>
        <v>908517.575651687</v>
      </c>
    </row>
    <row r="1149" customFormat="false" ht="15" hidden="false" customHeight="false" outlineLevel="0" collapsed="false">
      <c r="J1149" s="238" t="n">
        <f aca="false">J957*10</f>
        <v>100000</v>
      </c>
      <c r="K1149" s="1" t="n">
        <f aca="false">K1148+1</f>
        <v>185</v>
      </c>
      <c r="L1149" s="239" t="n">
        <f aca="false">J1149*10^(K1149/192)</f>
        <v>919478.686318879</v>
      </c>
    </row>
    <row r="1150" customFormat="false" ht="15" hidden="false" customHeight="false" outlineLevel="0" collapsed="false">
      <c r="J1150" s="238" t="n">
        <f aca="false">J958*10</f>
        <v>100000</v>
      </c>
      <c r="K1150" s="1" t="n">
        <f aca="false">K1149+1</f>
        <v>186</v>
      </c>
      <c r="L1150" s="239" t="n">
        <f aca="false">J1150*10^(K1150/192)</f>
        <v>930572.040929699</v>
      </c>
    </row>
    <row r="1151" customFormat="false" ht="15" hidden="false" customHeight="false" outlineLevel="0" collapsed="false">
      <c r="J1151" s="238" t="n">
        <f aca="false">J959*10</f>
        <v>100000</v>
      </c>
      <c r="K1151" s="1" t="n">
        <f aca="false">K1150+1</f>
        <v>187</v>
      </c>
      <c r="L1151" s="239" t="n">
        <f aca="false">J1151*10^(K1151/192)</f>
        <v>941799.234984926</v>
      </c>
    </row>
    <row r="1152" customFormat="false" ht="15" hidden="false" customHeight="false" outlineLevel="0" collapsed="false">
      <c r="J1152" s="238" t="n">
        <f aca="false">J960*10</f>
        <v>100000</v>
      </c>
      <c r="K1152" s="1" t="n">
        <f aca="false">K1151+1</f>
        <v>188</v>
      </c>
      <c r="L1152" s="239" t="n">
        <f aca="false">J1152*10^(K1152/192)</f>
        <v>953161.883234787</v>
      </c>
    </row>
    <row r="1153" customFormat="false" ht="15" hidden="false" customHeight="false" outlineLevel="0" collapsed="false">
      <c r="J1153" s="238" t="n">
        <f aca="false">J961*10</f>
        <v>100000</v>
      </c>
      <c r="K1153" s="1" t="n">
        <f aca="false">K1152+1</f>
        <v>189</v>
      </c>
      <c r="L1153" s="239" t="n">
        <f aca="false">J1153*10^(K1153/192)</f>
        <v>964661.619911199</v>
      </c>
    </row>
    <row r="1154" customFormat="false" ht="15" hidden="false" customHeight="false" outlineLevel="0" collapsed="false">
      <c r="J1154" s="238" t="n">
        <f aca="false">J962*10</f>
        <v>100000</v>
      </c>
      <c r="K1154" s="1" t="n">
        <f aca="false">K1153+1</f>
        <v>190</v>
      </c>
      <c r="L1154" s="239" t="n">
        <f aca="false">J1154*10^(K1154/192)</f>
        <v>976300.098962808</v>
      </c>
    </row>
    <row r="1155" customFormat="false" ht="15" hidden="false" customHeight="false" outlineLevel="0" collapsed="false">
      <c r="J1155" s="238" t="n">
        <f aca="false">J963*10</f>
        <v>100000</v>
      </c>
      <c r="K1155" s="1" t="n">
        <f aca="false">K1154+1</f>
        <v>191</v>
      </c>
      <c r="L1155" s="239" t="n">
        <f aca="false">J1155*10^(K1155/192)</f>
        <v>988078.994292869</v>
      </c>
    </row>
    <row r="1156" customFormat="false" ht="15" hidden="false" customHeight="false" outlineLevel="0" collapsed="false">
      <c r="J1156" s="238" t="n">
        <f aca="false">J964*10</f>
        <v>100000</v>
      </c>
      <c r="K1156" s="1" t="n">
        <f aca="false">K1155+1</f>
        <v>192</v>
      </c>
      <c r="L1156" s="239" t="n">
        <f aca="false">J1156*10^(K1156/192)</f>
        <v>1000000</v>
      </c>
    </row>
    <row r="1157" customFormat="false" ht="15" hidden="false" customHeight="false" outlineLevel="0" collapsed="false">
      <c r="J1157" s="238" t="n">
        <f aca="false">J965*10</f>
        <v>1000000</v>
      </c>
      <c r="K1157" s="1" t="n">
        <v>1</v>
      </c>
      <c r="L1157" s="239" t="n">
        <f aca="false">J1157*10^(K1157/192)</f>
        <v>1012064.83062183</v>
      </c>
    </row>
    <row r="1158" customFormat="false" ht="15" hidden="false" customHeight="false" outlineLevel="0" collapsed="false">
      <c r="J1158" s="238" t="n">
        <f aca="false">J966*10</f>
        <v>1000000</v>
      </c>
      <c r="K1158" s="1" t="n">
        <f aca="false">K1157+1</f>
        <v>2</v>
      </c>
      <c r="L1158" s="239" t="n">
        <f aca="false">J1158*10^(K1158/192)</f>
        <v>1024275.22138159</v>
      </c>
    </row>
    <row r="1159" customFormat="false" ht="15" hidden="false" customHeight="false" outlineLevel="0" collapsed="false">
      <c r="J1159" s="238" t="n">
        <f aca="false">J967*10</f>
        <v>1000000</v>
      </c>
      <c r="K1159" s="1" t="n">
        <f aca="false">K1158+1</f>
        <v>3</v>
      </c>
      <c r="L1159" s="239" t="n">
        <f aca="false">J1159*10^(K1159/192)</f>
        <v>1036632.9284377</v>
      </c>
    </row>
    <row r="1160" customFormat="false" ht="15" hidden="false" customHeight="false" outlineLevel="0" collapsed="false">
      <c r="J1160" s="238" t="n">
        <f aca="false">J968*10</f>
        <v>1000000</v>
      </c>
      <c r="K1160" s="1" t="n">
        <f aca="false">K1159+1</f>
        <v>4</v>
      </c>
      <c r="L1160" s="239" t="n">
        <f aca="false">J1160*10^(K1160/192)</f>
        <v>1049139.72913631</v>
      </c>
    </row>
    <row r="1161" customFormat="false" ht="15" hidden="false" customHeight="false" outlineLevel="0" collapsed="false">
      <c r="J1161" s="238" t="n">
        <f aca="false">J969*10</f>
        <v>1000000</v>
      </c>
      <c r="K1161" s="1" t="n">
        <f aca="false">K1160+1</f>
        <v>5</v>
      </c>
      <c r="L1161" s="239" t="n">
        <f aca="false">J1161*10^(K1161/192)</f>
        <v>1061797.42226697</v>
      </c>
    </row>
    <row r="1162" customFormat="false" ht="15" hidden="false" customHeight="false" outlineLevel="0" collapsed="false">
      <c r="J1162" s="238" t="n">
        <f aca="false">J970*10</f>
        <v>1000000</v>
      </c>
      <c r="K1162" s="1" t="n">
        <f aca="false">K1161+1</f>
        <v>6</v>
      </c>
      <c r="L1162" s="239" t="n">
        <f aca="false">J1162*10^(K1162/192)</f>
        <v>1074607.82832132</v>
      </c>
    </row>
    <row r="1163" customFormat="false" ht="15" hidden="false" customHeight="false" outlineLevel="0" collapsed="false">
      <c r="J1163" s="238" t="n">
        <f aca="false">J971*10</f>
        <v>1000000</v>
      </c>
      <c r="K1163" s="1" t="n">
        <f aca="false">K1162+1</f>
        <v>7</v>
      </c>
      <c r="L1163" s="239" t="n">
        <f aca="false">J1163*10^(K1163/192)</f>
        <v>1087572.78975491</v>
      </c>
    </row>
    <row r="1164" customFormat="false" ht="15" hidden="false" customHeight="false" outlineLevel="0" collapsed="false">
      <c r="J1164" s="238" t="n">
        <f aca="false">J972*10</f>
        <v>1000000</v>
      </c>
      <c r="K1164" s="1" t="n">
        <f aca="false">K1163+1</f>
        <v>8</v>
      </c>
      <c r="L1164" s="239" t="n">
        <f aca="false">J1164*10^(K1164/192)</f>
        <v>1100694.17125221</v>
      </c>
    </row>
    <row r="1165" customFormat="false" ht="15" hidden="false" customHeight="false" outlineLevel="0" collapsed="false">
      <c r="J1165" s="238" t="n">
        <f aca="false">J973*10</f>
        <v>1000000</v>
      </c>
      <c r="K1165" s="1" t="n">
        <f aca="false">K1164+1</f>
        <v>9</v>
      </c>
      <c r="L1165" s="239" t="n">
        <f aca="false">J1165*10^(K1165/192)</f>
        <v>1113973.8599948</v>
      </c>
    </row>
    <row r="1166" customFormat="false" ht="15" hidden="false" customHeight="false" outlineLevel="0" collapsed="false">
      <c r="J1166" s="238" t="n">
        <f aca="false">J974*10</f>
        <v>1000000</v>
      </c>
      <c r="K1166" s="1" t="n">
        <f aca="false">K1165+1</f>
        <v>10</v>
      </c>
      <c r="L1166" s="239" t="n">
        <f aca="false">J1166*10^(K1166/192)</f>
        <v>1127413.76593279</v>
      </c>
    </row>
    <row r="1167" customFormat="false" ht="15" hidden="false" customHeight="false" outlineLevel="0" collapsed="false">
      <c r="J1167" s="238" t="n">
        <f aca="false">J975*10</f>
        <v>1000000</v>
      </c>
      <c r="K1167" s="1" t="n">
        <f aca="false">K1166+1</f>
        <v>11</v>
      </c>
      <c r="L1167" s="239" t="n">
        <f aca="false">J1167*10^(K1167/192)</f>
        <v>1141015.82205948</v>
      </c>
    </row>
    <row r="1168" customFormat="false" ht="15" hidden="false" customHeight="false" outlineLevel="0" collapsed="false">
      <c r="J1168" s="238" t="n">
        <f aca="false">J976*10</f>
        <v>1000000</v>
      </c>
      <c r="K1168" s="1" t="n">
        <f aca="false">K1167+1</f>
        <v>12</v>
      </c>
      <c r="L1168" s="239" t="n">
        <f aca="false">J1168*10^(K1168/192)</f>
        <v>1154781.98468946</v>
      </c>
    </row>
    <row r="1169" customFormat="false" ht="15" hidden="false" customHeight="false" outlineLevel="0" collapsed="false">
      <c r="J1169" s="238" t="n">
        <f aca="false">J977*10</f>
        <v>1000000</v>
      </c>
      <c r="K1169" s="1" t="n">
        <f aca="false">K1168+1</f>
        <v>13</v>
      </c>
      <c r="L1169" s="239" t="n">
        <f aca="false">J1169*10^(K1169/192)</f>
        <v>1168714.23373988</v>
      </c>
    </row>
    <row r="1170" customFormat="false" ht="15" hidden="false" customHeight="false" outlineLevel="0" collapsed="false">
      <c r="J1170" s="238" t="n">
        <f aca="false">J978*10</f>
        <v>1000000</v>
      </c>
      <c r="K1170" s="1" t="n">
        <f aca="false">K1169+1</f>
        <v>14</v>
      </c>
      <c r="L1170" s="239" t="n">
        <f aca="false">J1170*10^(K1170/192)</f>
        <v>1182814.57301527</v>
      </c>
    </row>
    <row r="1171" customFormat="false" ht="15" hidden="false" customHeight="false" outlineLevel="0" collapsed="false">
      <c r="J1171" s="238" t="n">
        <f aca="false">J979*10</f>
        <v>1000000</v>
      </c>
      <c r="K1171" s="1" t="n">
        <f aca="false">K1170+1</f>
        <v>15</v>
      </c>
      <c r="L1171" s="239" t="n">
        <f aca="false">J1171*10^(K1171/192)</f>
        <v>1197085.03049573</v>
      </c>
    </row>
    <row r="1172" customFormat="false" ht="15" hidden="false" customHeight="false" outlineLevel="0" collapsed="false">
      <c r="J1172" s="238" t="n">
        <f aca="false">J980*10</f>
        <v>1000000</v>
      </c>
      <c r="K1172" s="1" t="n">
        <f aca="false">K1171+1</f>
        <v>16</v>
      </c>
      <c r="L1172" s="239" t="n">
        <f aca="false">J1172*10^(K1172/192)</f>
        <v>1211527.65862859</v>
      </c>
    </row>
    <row r="1173" customFormat="false" ht="15" hidden="false" customHeight="false" outlineLevel="0" collapsed="false">
      <c r="J1173" s="238" t="n">
        <f aca="false">J981*10</f>
        <v>1000000</v>
      </c>
      <c r="K1173" s="1" t="n">
        <f aca="false">K1172+1</f>
        <v>17</v>
      </c>
      <c r="L1173" s="239" t="n">
        <f aca="false">J1173*10^(K1173/192)</f>
        <v>1226144.5346236</v>
      </c>
    </row>
    <row r="1174" customFormat="false" ht="15" hidden="false" customHeight="false" outlineLevel="0" collapsed="false">
      <c r="J1174" s="238" t="n">
        <f aca="false">J982*10</f>
        <v>1000000</v>
      </c>
      <c r="K1174" s="1" t="n">
        <f aca="false">K1173+1</f>
        <v>18</v>
      </c>
      <c r="L1174" s="239" t="n">
        <f aca="false">J1174*10^(K1174/192)</f>
        <v>1240937.76075172</v>
      </c>
    </row>
    <row r="1175" customFormat="false" ht="15" hidden="false" customHeight="false" outlineLevel="0" collapsed="false">
      <c r="J1175" s="238" t="n">
        <f aca="false">J983*10</f>
        <v>1000000</v>
      </c>
      <c r="K1175" s="1" t="n">
        <f aca="false">K1174+1</f>
        <v>19</v>
      </c>
      <c r="L1175" s="239" t="n">
        <f aca="false">J1175*10^(K1175/192)</f>
        <v>1255909.46464742</v>
      </c>
    </row>
    <row r="1176" customFormat="false" ht="15" hidden="false" customHeight="false" outlineLevel="0" collapsed="false">
      <c r="J1176" s="238" t="n">
        <f aca="false">J984*10</f>
        <v>1000000</v>
      </c>
      <c r="K1176" s="1" t="n">
        <f aca="false">K1175+1</f>
        <v>20</v>
      </c>
      <c r="L1176" s="239" t="n">
        <f aca="false">J1176*10^(K1176/192)</f>
        <v>1271061.79961475</v>
      </c>
    </row>
    <row r="1177" customFormat="false" ht="15" hidden="false" customHeight="false" outlineLevel="0" collapsed="false">
      <c r="J1177" s="238" t="n">
        <f aca="false">J985*10</f>
        <v>1000000</v>
      </c>
      <c r="K1177" s="1" t="n">
        <f aca="false">K1176+1</f>
        <v>21</v>
      </c>
      <c r="L1177" s="239" t="n">
        <f aca="false">J1177*10^(K1177/192)</f>
        <v>1286396.94493697</v>
      </c>
    </row>
    <row r="1178" customFormat="false" ht="15" hidden="false" customHeight="false" outlineLevel="0" collapsed="false">
      <c r="J1178" s="238" t="n">
        <f aca="false">J986*10</f>
        <v>1000000</v>
      </c>
      <c r="K1178" s="1" t="n">
        <f aca="false">K1177+1</f>
        <v>22</v>
      </c>
      <c r="L1178" s="239" t="n">
        <f aca="false">J1178*10^(K1178/192)</f>
        <v>1301917.10619008</v>
      </c>
    </row>
    <row r="1179" customFormat="false" ht="15" hidden="false" customHeight="false" outlineLevel="0" collapsed="false">
      <c r="J1179" s="238" t="n">
        <f aca="false">J987*10</f>
        <v>1000000</v>
      </c>
      <c r="K1179" s="1" t="n">
        <f aca="false">K1178+1</f>
        <v>23</v>
      </c>
      <c r="L1179" s="239" t="n">
        <f aca="false">J1179*10^(K1179/192)</f>
        <v>1317624.51555992</v>
      </c>
    </row>
    <row r="1180" customFormat="false" ht="15" hidden="false" customHeight="false" outlineLevel="0" collapsed="false">
      <c r="J1180" s="238" t="n">
        <f aca="false">J988*10</f>
        <v>1000000</v>
      </c>
      <c r="K1180" s="1" t="n">
        <f aca="false">K1179+1</f>
        <v>24</v>
      </c>
      <c r="L1180" s="239" t="n">
        <f aca="false">J1180*10^(K1180/192)</f>
        <v>1333521.43216332</v>
      </c>
    </row>
    <row r="1181" customFormat="false" ht="15" hidden="false" customHeight="false" outlineLevel="0" collapsed="false">
      <c r="J1181" s="238" t="n">
        <f aca="false">J989*10</f>
        <v>1000000</v>
      </c>
      <c r="K1181" s="1" t="n">
        <f aca="false">K1180+1</f>
        <v>25</v>
      </c>
      <c r="L1181" s="239" t="n">
        <f aca="false">J1181*10^(K1181/192)</f>
        <v>1349610.14237295</v>
      </c>
    </row>
    <row r="1182" customFormat="false" ht="15" hidden="false" customHeight="false" outlineLevel="0" collapsed="false">
      <c r="J1182" s="238" t="n">
        <f aca="false">J990*10</f>
        <v>1000000</v>
      </c>
      <c r="K1182" s="1" t="n">
        <f aca="false">K1181+1</f>
        <v>26</v>
      </c>
      <c r="L1182" s="239" t="n">
        <f aca="false">J1182*10^(K1182/192)</f>
        <v>1365892.96014619</v>
      </c>
    </row>
    <row r="1183" customFormat="false" ht="15" hidden="false" customHeight="false" outlineLevel="0" collapsed="false">
      <c r="J1183" s="238" t="n">
        <f aca="false">J991*10</f>
        <v>1000000</v>
      </c>
      <c r="K1183" s="1" t="n">
        <f aca="false">K1182+1</f>
        <v>27</v>
      </c>
      <c r="L1183" s="239" t="n">
        <f aca="false">J1183*10^(K1183/192)</f>
        <v>1382372.2273579</v>
      </c>
    </row>
    <row r="1184" customFormat="false" ht="15" hidden="false" customHeight="false" outlineLevel="0" collapsed="false">
      <c r="J1184" s="238" t="n">
        <f aca="false">J992*10</f>
        <v>1000000</v>
      </c>
      <c r="K1184" s="1" t="n">
        <f aca="false">K1183+1</f>
        <v>28</v>
      </c>
      <c r="L1184" s="239" t="n">
        <f aca="false">J1184*10^(K1184/192)</f>
        <v>1399050.31413729</v>
      </c>
    </row>
    <row r="1185" customFormat="false" ht="15" hidden="false" customHeight="false" outlineLevel="0" collapsed="false">
      <c r="J1185" s="238" t="n">
        <f aca="false">J993*10</f>
        <v>1000000</v>
      </c>
      <c r="K1185" s="1" t="n">
        <f aca="false">K1184+1</f>
        <v>29</v>
      </c>
      <c r="L1185" s="239" t="n">
        <f aca="false">J1185*10^(K1185/192)</f>
        <v>1415929.61920878</v>
      </c>
    </row>
    <row r="1186" customFormat="false" ht="15" hidden="false" customHeight="false" outlineLevel="0" collapsed="false">
      <c r="J1186" s="238" t="n">
        <f aca="false">J994*10</f>
        <v>1000000</v>
      </c>
      <c r="K1186" s="1" t="n">
        <f aca="false">K1185+1</f>
        <v>30</v>
      </c>
      <c r="L1186" s="239" t="n">
        <f aca="false">J1186*10^(K1186/192)</f>
        <v>1433012.57023696</v>
      </c>
    </row>
    <row r="1187" customFormat="false" ht="15" hidden="false" customHeight="false" outlineLevel="0" collapsed="false">
      <c r="J1187" s="238" t="n">
        <f aca="false">J995*10</f>
        <v>1000000</v>
      </c>
      <c r="K1187" s="1" t="n">
        <f aca="false">K1186+1</f>
        <v>31</v>
      </c>
      <c r="L1187" s="239" t="n">
        <f aca="false">J1187*10^(K1187/192)</f>
        <v>1450301.62417582</v>
      </c>
    </row>
    <row r="1188" customFormat="false" ht="15" hidden="false" customHeight="false" outlineLevel="0" collapsed="false">
      <c r="J1188" s="238" t="n">
        <f aca="false">J996*10</f>
        <v>1000000</v>
      </c>
      <c r="K1188" s="1" t="n">
        <f aca="false">K1187+1</f>
        <v>32</v>
      </c>
      <c r="L1188" s="239" t="n">
        <f aca="false">J1188*10^(K1188/192)</f>
        <v>1467799.26762207</v>
      </c>
    </row>
    <row r="1189" customFormat="false" ht="15" hidden="false" customHeight="false" outlineLevel="0" collapsed="false">
      <c r="J1189" s="238" t="n">
        <f aca="false">J997*10</f>
        <v>1000000</v>
      </c>
      <c r="K1189" s="1" t="n">
        <f aca="false">K1188+1</f>
        <v>33</v>
      </c>
      <c r="L1189" s="239" t="n">
        <f aca="false">J1189*10^(K1189/192)</f>
        <v>1485508.01717278</v>
      </c>
    </row>
    <row r="1190" customFormat="false" ht="15" hidden="false" customHeight="false" outlineLevel="0" collapsed="false">
      <c r="J1190" s="238" t="n">
        <f aca="false">J998*10</f>
        <v>1000000</v>
      </c>
      <c r="K1190" s="1" t="n">
        <f aca="false">K1189+1</f>
        <v>34</v>
      </c>
      <c r="L1190" s="239" t="n">
        <f aca="false">J1190*10^(K1190/192)</f>
        <v>1503430.41978733</v>
      </c>
    </row>
    <row r="1191" customFormat="false" ht="15" hidden="false" customHeight="false" outlineLevel="0" collapsed="false">
      <c r="J1191" s="238" t="n">
        <f aca="false">J999*10</f>
        <v>1000000</v>
      </c>
      <c r="K1191" s="1" t="n">
        <f aca="false">K1190+1</f>
        <v>35</v>
      </c>
      <c r="L1191" s="239" t="n">
        <f aca="false">J1191*10^(K1191/192)</f>
        <v>1521569.05315377</v>
      </c>
    </row>
    <row r="1192" customFormat="false" ht="15" hidden="false" customHeight="false" outlineLevel="0" collapsed="false">
      <c r="J1192" s="238" t="n">
        <f aca="false">J1000*10</f>
        <v>1000000</v>
      </c>
      <c r="K1192" s="1" t="n">
        <f aca="false">K1191+1</f>
        <v>36</v>
      </c>
      <c r="L1192" s="239" t="n">
        <f aca="false">J1192*10^(K1192/192)</f>
        <v>1539926.52605949</v>
      </c>
    </row>
    <row r="1193" customFormat="false" ht="15" hidden="false" customHeight="false" outlineLevel="0" collapsed="false">
      <c r="J1193" s="238" t="n">
        <f aca="false">J1001*10</f>
        <v>1000000</v>
      </c>
      <c r="K1193" s="1" t="n">
        <f aca="false">K1192+1</f>
        <v>37</v>
      </c>
      <c r="L1193" s="239" t="n">
        <f aca="false">J1193*10^(K1193/192)</f>
        <v>1558505.47876646</v>
      </c>
    </row>
    <row r="1194" customFormat="false" ht="15" hidden="false" customHeight="false" outlineLevel="0" collapsed="false">
      <c r="J1194" s="238" t="n">
        <f aca="false">J1002*10</f>
        <v>1000000</v>
      </c>
      <c r="K1194" s="1" t="n">
        <f aca="false">K1193+1</f>
        <v>38</v>
      </c>
      <c r="L1194" s="239" t="n">
        <f aca="false">J1194*10^(K1194/192)</f>
        <v>1577308.58339097</v>
      </c>
    </row>
    <row r="1195" customFormat="false" ht="15" hidden="false" customHeight="false" outlineLevel="0" collapsed="false">
      <c r="J1195" s="238" t="n">
        <f aca="false">J1003*10</f>
        <v>1000000</v>
      </c>
      <c r="K1195" s="1" t="n">
        <f aca="false">K1194+1</f>
        <v>39</v>
      </c>
      <c r="L1195" s="239" t="n">
        <f aca="false">J1195*10^(K1195/192)</f>
        <v>1596338.54428794</v>
      </c>
    </row>
    <row r="1196" customFormat="false" ht="15" hidden="false" customHeight="false" outlineLevel="0" collapsed="false">
      <c r="J1196" s="238" t="n">
        <f aca="false">J1004*10</f>
        <v>1000000</v>
      </c>
      <c r="K1196" s="1" t="n">
        <f aca="false">K1195+1</f>
        <v>40</v>
      </c>
      <c r="L1196" s="239" t="n">
        <f aca="false">J1196*10^(K1196/192)</f>
        <v>1615598.09843987</v>
      </c>
    </row>
    <row r="1197" customFormat="false" ht="15" hidden="false" customHeight="false" outlineLevel="0" collapsed="false">
      <c r="J1197" s="238" t="n">
        <f aca="false">J1005*10</f>
        <v>1000000</v>
      </c>
      <c r="K1197" s="1" t="n">
        <f aca="false">K1196+1</f>
        <v>41</v>
      </c>
      <c r="L1197" s="239" t="n">
        <f aca="false">J1197*10^(K1197/192)</f>
        <v>1635090.0158505</v>
      </c>
    </row>
    <row r="1198" customFormat="false" ht="15" hidden="false" customHeight="false" outlineLevel="0" collapsed="false">
      <c r="J1198" s="238" t="n">
        <f aca="false">J1006*10</f>
        <v>1000000</v>
      </c>
      <c r="K1198" s="1" t="n">
        <f aca="false">K1197+1</f>
        <v>42</v>
      </c>
      <c r="L1198" s="239" t="n">
        <f aca="false">J1198*10^(K1198/192)</f>
        <v>1654817.09994318</v>
      </c>
    </row>
    <row r="1199" customFormat="false" ht="15" hidden="false" customHeight="false" outlineLevel="0" collapsed="false">
      <c r="J1199" s="238" t="n">
        <f aca="false">J1007*10</f>
        <v>1000000</v>
      </c>
      <c r="K1199" s="1" t="n">
        <f aca="false">K1198+1</f>
        <v>43</v>
      </c>
      <c r="L1199" s="239" t="n">
        <f aca="false">J1199*10^(K1199/192)</f>
        <v>1674782.1879641</v>
      </c>
    </row>
    <row r="1200" customFormat="false" ht="15" hidden="false" customHeight="false" outlineLevel="0" collapsed="false">
      <c r="J1200" s="238" t="n">
        <f aca="false">J1008*10</f>
        <v>1000000</v>
      </c>
      <c r="K1200" s="1" t="n">
        <f aca="false">K1199+1</f>
        <v>44</v>
      </c>
      <c r="L1200" s="239" t="n">
        <f aca="false">J1200*10^(K1200/192)</f>
        <v>1694988.15139035</v>
      </c>
    </row>
    <row r="1201" customFormat="false" ht="15" hidden="false" customHeight="false" outlineLevel="0" collapsed="false">
      <c r="J1201" s="238" t="n">
        <f aca="false">J1009*10</f>
        <v>1000000</v>
      </c>
      <c r="K1201" s="1" t="n">
        <f aca="false">K1200+1</f>
        <v>45</v>
      </c>
      <c r="L1201" s="239" t="n">
        <f aca="false">J1201*10^(K1201/192)</f>
        <v>1715437.89634288</v>
      </c>
    </row>
    <row r="1202" customFormat="false" ht="15" hidden="false" customHeight="false" outlineLevel="0" collapsed="false">
      <c r="J1202" s="238" t="n">
        <f aca="false">J1010*10</f>
        <v>1000000</v>
      </c>
      <c r="K1202" s="1" t="n">
        <f aca="false">K1201+1</f>
        <v>46</v>
      </c>
      <c r="L1202" s="239" t="n">
        <f aca="false">J1202*10^(K1202/192)</f>
        <v>1736134.36400452</v>
      </c>
    </row>
    <row r="1203" customFormat="false" ht="15" hidden="false" customHeight="false" outlineLevel="0" collapsed="false">
      <c r="J1203" s="238" t="n">
        <f aca="false">J1011*10</f>
        <v>1000000</v>
      </c>
      <c r="K1203" s="1" t="n">
        <f aca="false">K1202+1</f>
        <v>47</v>
      </c>
      <c r="L1203" s="239" t="n">
        <f aca="false">J1203*10^(K1203/192)</f>
        <v>1757080.53104298</v>
      </c>
    </row>
    <row r="1204" customFormat="false" ht="15" hidden="false" customHeight="false" outlineLevel="0" collapsed="false">
      <c r="J1204" s="238" t="n">
        <f aca="false">J1012*10</f>
        <v>1000000</v>
      </c>
      <c r="K1204" s="1" t="n">
        <f aca="false">K1203+1</f>
        <v>48</v>
      </c>
      <c r="L1204" s="239" t="n">
        <f aca="false">J1204*10^(K1204/192)</f>
        <v>1778279.41003892</v>
      </c>
    </row>
    <row r="1205" customFormat="false" ht="15" hidden="false" customHeight="false" outlineLevel="0" collapsed="false">
      <c r="J1205" s="238" t="n">
        <f aca="false">J1013*10</f>
        <v>1000000</v>
      </c>
      <c r="K1205" s="1" t="n">
        <f aca="false">K1204+1</f>
        <v>49</v>
      </c>
      <c r="L1205" s="239" t="n">
        <f aca="false">J1205*10^(K1205/192)</f>
        <v>1799734.04991933</v>
      </c>
    </row>
    <row r="1206" customFormat="false" ht="15" hidden="false" customHeight="false" outlineLevel="0" collapsed="false">
      <c r="J1206" s="238" t="n">
        <f aca="false">J1014*10</f>
        <v>1000000</v>
      </c>
      <c r="K1206" s="1" t="n">
        <f aca="false">K1205+1</f>
        <v>50</v>
      </c>
      <c r="L1206" s="239" t="n">
        <f aca="false">J1206*10^(K1206/192)</f>
        <v>1821447.53639595</v>
      </c>
    </row>
    <row r="1207" customFormat="false" ht="15" hidden="false" customHeight="false" outlineLevel="0" collapsed="false">
      <c r="J1207" s="238" t="n">
        <f aca="false">J1015*10</f>
        <v>1000000</v>
      </c>
      <c r="K1207" s="1" t="n">
        <f aca="false">K1206+1</f>
        <v>51</v>
      </c>
      <c r="L1207" s="239" t="n">
        <f aca="false">J1207*10^(K1207/192)</f>
        <v>1843422.99240911</v>
      </c>
    </row>
    <row r="1208" customFormat="false" ht="15" hidden="false" customHeight="false" outlineLevel="0" collapsed="false">
      <c r="J1208" s="238" t="n">
        <f aca="false">J1016*10</f>
        <v>1000000</v>
      </c>
      <c r="K1208" s="1" t="n">
        <f aca="false">K1207+1</f>
        <v>52</v>
      </c>
      <c r="L1208" s="239" t="n">
        <f aca="false">J1208*10^(K1208/192)</f>
        <v>1865663.57857691</v>
      </c>
    </row>
    <row r="1209" customFormat="false" ht="15" hidden="false" customHeight="false" outlineLevel="0" collapsed="false">
      <c r="J1209" s="238" t="n">
        <f aca="false">J1017*10</f>
        <v>1000000</v>
      </c>
      <c r="K1209" s="1" t="n">
        <f aca="false">K1208+1</f>
        <v>53</v>
      </c>
      <c r="L1209" s="239" t="n">
        <f aca="false">J1209*10^(K1209/192)</f>
        <v>1888172.49364976</v>
      </c>
    </row>
    <row r="1210" customFormat="false" ht="15" hidden="false" customHeight="false" outlineLevel="0" collapsed="false">
      <c r="J1210" s="238" t="n">
        <f aca="false">J1018*10</f>
        <v>1000000</v>
      </c>
      <c r="K1210" s="1" t="n">
        <f aca="false">K1209+1</f>
        <v>54</v>
      </c>
      <c r="L1210" s="239" t="n">
        <f aca="false">J1210*10^(K1210/192)</f>
        <v>1910952.97497044</v>
      </c>
    </row>
    <row r="1211" customFormat="false" ht="15" hidden="false" customHeight="false" outlineLevel="0" collapsed="false">
      <c r="J1211" s="238" t="n">
        <f aca="false">J1019*10</f>
        <v>1000000</v>
      </c>
      <c r="K1211" s="1" t="n">
        <f aca="false">K1210+1</f>
        <v>55</v>
      </c>
      <c r="L1211" s="239" t="n">
        <f aca="false">J1211*10^(K1211/192)</f>
        <v>1934008.29893974</v>
      </c>
    </row>
    <row r="1212" customFormat="false" ht="15" hidden="false" customHeight="false" outlineLevel="0" collapsed="false">
      <c r="J1212" s="238" t="n">
        <f aca="false">J1020*10</f>
        <v>1000000</v>
      </c>
      <c r="K1212" s="1" t="n">
        <f aca="false">K1211+1</f>
        <v>56</v>
      </c>
      <c r="L1212" s="239" t="n">
        <f aca="false">J1212*10^(K1212/192)</f>
        <v>1957341.78148766</v>
      </c>
    </row>
    <row r="1213" customFormat="false" ht="15" hidden="false" customHeight="false" outlineLevel="0" collapsed="false">
      <c r="J1213" s="238" t="n">
        <f aca="false">J1021*10</f>
        <v>1000000</v>
      </c>
      <c r="K1213" s="1" t="n">
        <f aca="false">K1212+1</f>
        <v>57</v>
      </c>
      <c r="L1213" s="239" t="n">
        <f aca="false">J1213*10^(K1213/192)</f>
        <v>1980956.77855034</v>
      </c>
    </row>
    <row r="1214" customFormat="false" ht="15" hidden="false" customHeight="false" outlineLevel="0" collapsed="false">
      <c r="J1214" s="238" t="n">
        <f aca="false">J1022*10</f>
        <v>1000000</v>
      </c>
      <c r="K1214" s="1" t="n">
        <f aca="false">K1213+1</f>
        <v>58</v>
      </c>
      <c r="L1214" s="239" t="n">
        <f aca="false">J1214*10^(K1214/192)</f>
        <v>2004856.68655271</v>
      </c>
    </row>
    <row r="1215" customFormat="false" ht="15" hidden="false" customHeight="false" outlineLevel="0" collapsed="false">
      <c r="J1215" s="238" t="n">
        <f aca="false">J1023*10</f>
        <v>1000000</v>
      </c>
      <c r="K1215" s="1" t="n">
        <f aca="false">K1214+1</f>
        <v>59</v>
      </c>
      <c r="L1215" s="239" t="n">
        <f aca="false">J1215*10^(K1215/192)</f>
        <v>2029044.94289701</v>
      </c>
    </row>
    <row r="1216" customFormat="false" ht="15" hidden="false" customHeight="false" outlineLevel="0" collapsed="false">
      <c r="J1216" s="238" t="n">
        <f aca="false">J1024*10</f>
        <v>1000000</v>
      </c>
      <c r="K1216" s="1" t="n">
        <f aca="false">K1215+1</f>
        <v>60</v>
      </c>
      <c r="L1216" s="239" t="n">
        <f aca="false">J1216*10^(K1216/192)</f>
        <v>2053525.02645715</v>
      </c>
    </row>
    <row r="1217" customFormat="false" ht="15" hidden="false" customHeight="false" outlineLevel="0" collapsed="false">
      <c r="J1217" s="238" t="n">
        <f aca="false">J1025*10</f>
        <v>1000000</v>
      </c>
      <c r="K1217" s="1" t="n">
        <f aca="false">K1216+1</f>
        <v>61</v>
      </c>
      <c r="L1217" s="239" t="n">
        <f aca="false">J1217*10^(K1217/192)</f>
        <v>2078300.45807904</v>
      </c>
    </row>
    <row r="1218" customFormat="false" ht="15" hidden="false" customHeight="false" outlineLevel="0" collapsed="false">
      <c r="J1218" s="238" t="n">
        <f aca="false">J1026*10</f>
        <v>1000000</v>
      </c>
      <c r="K1218" s="1" t="n">
        <f aca="false">K1217+1</f>
        <v>62</v>
      </c>
      <c r="L1218" s="239" t="n">
        <f aca="false">J1218*10^(K1218/192)</f>
        <v>2103374.80108703</v>
      </c>
    </row>
    <row r="1219" customFormat="false" ht="15" hidden="false" customHeight="false" outlineLevel="0" collapsed="false">
      <c r="J1219" s="238" t="n">
        <f aca="false">J1027*10</f>
        <v>1000000</v>
      </c>
      <c r="K1219" s="1" t="n">
        <f aca="false">K1218+1</f>
        <v>63</v>
      </c>
      <c r="L1219" s="239" t="n">
        <f aca="false">J1219*10^(K1219/192)</f>
        <v>2128751.66179637</v>
      </c>
    </row>
    <row r="1220" customFormat="false" ht="15" hidden="false" customHeight="false" outlineLevel="0" collapsed="false">
      <c r="J1220" s="238" t="n">
        <f aca="false">J1028*10</f>
        <v>1000000</v>
      </c>
      <c r="K1220" s="1" t="n">
        <f aca="false">K1219+1</f>
        <v>64</v>
      </c>
      <c r="L1220" s="239" t="n">
        <f aca="false">J1220*10^(K1220/192)</f>
        <v>2154434.69003188</v>
      </c>
    </row>
    <row r="1221" customFormat="false" ht="15" hidden="false" customHeight="false" outlineLevel="0" collapsed="false">
      <c r="J1221" s="238" t="n">
        <f aca="false">J1029*10</f>
        <v>1000000</v>
      </c>
      <c r="K1221" s="1" t="n">
        <f aca="false">K1220+1</f>
        <v>65</v>
      </c>
      <c r="L1221" s="239" t="n">
        <f aca="false">J1221*10^(K1221/192)</f>
        <v>2180427.57965291</v>
      </c>
    </row>
    <row r="1222" customFormat="false" ht="15" hidden="false" customHeight="false" outlineLevel="0" collapsed="false">
      <c r="J1222" s="238" t="n">
        <f aca="false">J1030*10</f>
        <v>1000000</v>
      </c>
      <c r="K1222" s="1" t="n">
        <f aca="false">K1221+1</f>
        <v>66</v>
      </c>
      <c r="L1222" s="239" t="n">
        <f aca="false">J1222*10^(K1222/192)</f>
        <v>2206734.06908459</v>
      </c>
    </row>
    <row r="1223" customFormat="false" ht="15" hidden="false" customHeight="false" outlineLevel="0" collapsed="false">
      <c r="J1223" s="238" t="n">
        <f aca="false">J1031*10</f>
        <v>1000000</v>
      </c>
      <c r="K1223" s="1" t="n">
        <f aca="false">K1222+1</f>
        <v>67</v>
      </c>
      <c r="L1223" s="239" t="n">
        <f aca="false">J1223*10^(K1223/192)</f>
        <v>2233357.94185552</v>
      </c>
    </row>
    <row r="1224" customFormat="false" ht="15" hidden="false" customHeight="false" outlineLevel="0" collapsed="false">
      <c r="J1224" s="238" t="n">
        <f aca="false">J1032*10</f>
        <v>1000000</v>
      </c>
      <c r="K1224" s="1" t="n">
        <f aca="false">K1223+1</f>
        <v>68</v>
      </c>
      <c r="L1224" s="239" t="n">
        <f aca="false">J1224*10^(K1224/192)</f>
        <v>2260303.02714192</v>
      </c>
    </row>
    <row r="1225" customFormat="false" ht="15" hidden="false" customHeight="false" outlineLevel="0" collapsed="false">
      <c r="J1225" s="238" t="n">
        <f aca="false">J1033*10</f>
        <v>1000000</v>
      </c>
      <c r="K1225" s="1" t="n">
        <f aca="false">K1224+1</f>
        <v>69</v>
      </c>
      <c r="L1225" s="239" t="n">
        <f aca="false">J1225*10^(K1225/192)</f>
        <v>2287573.2003184</v>
      </c>
    </row>
    <row r="1226" customFormat="false" ht="15" hidden="false" customHeight="false" outlineLevel="0" collapsed="false">
      <c r="J1226" s="238" t="n">
        <f aca="false">J1034*10</f>
        <v>1000000</v>
      </c>
      <c r="K1226" s="1" t="n">
        <f aca="false">K1225+1</f>
        <v>70</v>
      </c>
      <c r="L1226" s="239" t="n">
        <f aca="false">J1226*10^(K1226/192)</f>
        <v>2315172.38351527</v>
      </c>
    </row>
    <row r="1227" customFormat="false" ht="15" hidden="false" customHeight="false" outlineLevel="0" collapsed="false">
      <c r="J1227" s="238" t="n">
        <f aca="false">J1035*10</f>
        <v>1000000</v>
      </c>
      <c r="K1227" s="1" t="n">
        <f aca="false">K1226+1</f>
        <v>71</v>
      </c>
      <c r="L1227" s="239" t="n">
        <f aca="false">J1227*10^(K1227/192)</f>
        <v>2343104.54618272</v>
      </c>
    </row>
    <row r="1228" customFormat="false" ht="15" hidden="false" customHeight="false" outlineLevel="0" collapsed="false">
      <c r="J1228" s="238" t="n">
        <f aca="false">J1036*10</f>
        <v>1000000</v>
      </c>
      <c r="K1228" s="1" t="n">
        <f aca="false">K1227+1</f>
        <v>72</v>
      </c>
      <c r="L1228" s="239" t="n">
        <f aca="false">J1228*10^(K1228/192)</f>
        <v>2371373.70566166</v>
      </c>
    </row>
    <row r="1229" customFormat="false" ht="15" hidden="false" customHeight="false" outlineLevel="0" collapsed="false">
      <c r="J1229" s="238" t="n">
        <f aca="false">J1037*10</f>
        <v>1000000</v>
      </c>
      <c r="K1229" s="1" t="n">
        <f aca="false">K1228+1</f>
        <v>73</v>
      </c>
      <c r="L1229" s="239" t="n">
        <f aca="false">J1229*10^(K1229/192)</f>
        <v>2399983.92776152</v>
      </c>
    </row>
    <row r="1230" customFormat="false" ht="15" hidden="false" customHeight="false" outlineLevel="0" collapsed="false">
      <c r="J1230" s="238" t="n">
        <f aca="false">J1038*10</f>
        <v>1000000</v>
      </c>
      <c r="K1230" s="1" t="n">
        <f aca="false">K1229+1</f>
        <v>74</v>
      </c>
      <c r="L1230" s="239" t="n">
        <f aca="false">J1230*10^(K1230/192)</f>
        <v>2428939.32734508</v>
      </c>
    </row>
    <row r="1231" customFormat="false" ht="15" hidden="false" customHeight="false" outlineLevel="0" collapsed="false">
      <c r="J1231" s="238" t="n">
        <f aca="false">J1039*10</f>
        <v>1000000</v>
      </c>
      <c r="K1231" s="1" t="n">
        <f aca="false">K1230+1</f>
        <v>75</v>
      </c>
      <c r="L1231" s="239" t="n">
        <f aca="false">J1231*10^(K1231/192)</f>
        <v>2458244.0689202</v>
      </c>
    </row>
    <row r="1232" customFormat="false" ht="15" hidden="false" customHeight="false" outlineLevel="0" collapsed="false">
      <c r="J1232" s="238" t="n">
        <f aca="false">J1040*10</f>
        <v>1000000</v>
      </c>
      <c r="K1232" s="1" t="n">
        <f aca="false">K1231+1</f>
        <v>76</v>
      </c>
      <c r="L1232" s="239" t="n">
        <f aca="false">J1232*10^(K1232/192)</f>
        <v>2487902.36723884</v>
      </c>
    </row>
    <row r="1233" customFormat="false" ht="15" hidden="false" customHeight="false" outlineLevel="0" collapsed="false">
      <c r="J1233" s="238" t="n">
        <f aca="false">J1041*10</f>
        <v>1000000</v>
      </c>
      <c r="K1233" s="1" t="n">
        <f aca="false">K1232+1</f>
        <v>77</v>
      </c>
      <c r="L1233" s="239" t="n">
        <f aca="false">J1233*10^(K1233/192)</f>
        <v>2517918.48790322</v>
      </c>
    </row>
    <row r="1234" customFormat="false" ht="15" hidden="false" customHeight="false" outlineLevel="0" collapsed="false">
      <c r="J1234" s="238" t="n">
        <f aca="false">J1042*10</f>
        <v>1000000</v>
      </c>
      <c r="K1234" s="1" t="n">
        <f aca="false">K1233+1</f>
        <v>78</v>
      </c>
      <c r="L1234" s="239" t="n">
        <f aca="false">J1234*10^(K1234/192)</f>
        <v>2548296.74797935</v>
      </c>
    </row>
    <row r="1235" customFormat="false" ht="15" hidden="false" customHeight="false" outlineLevel="0" collapsed="false">
      <c r="J1235" s="238" t="n">
        <f aca="false">J1043*10</f>
        <v>1000000</v>
      </c>
      <c r="K1235" s="1" t="n">
        <f aca="false">K1234+1</f>
        <v>79</v>
      </c>
      <c r="L1235" s="239" t="n">
        <f aca="false">J1235*10^(K1235/192)</f>
        <v>2579041.51661788</v>
      </c>
    </row>
    <row r="1236" customFormat="false" ht="15" hidden="false" customHeight="false" outlineLevel="0" collapsed="false">
      <c r="J1236" s="238" t="n">
        <f aca="false">J1044*10</f>
        <v>1000000</v>
      </c>
      <c r="K1236" s="1" t="n">
        <f aca="false">K1235+1</f>
        <v>80</v>
      </c>
      <c r="L1236" s="239" t="n">
        <f aca="false">J1236*10^(K1236/192)</f>
        <v>2610157.21568254</v>
      </c>
    </row>
    <row r="1237" customFormat="false" ht="15" hidden="false" customHeight="false" outlineLevel="0" collapsed="false">
      <c r="J1237" s="238" t="n">
        <f aca="false">J1045*10</f>
        <v>1000000</v>
      </c>
      <c r="K1237" s="1" t="n">
        <f aca="false">K1236+1</f>
        <v>81</v>
      </c>
      <c r="L1237" s="239" t="n">
        <f aca="false">J1237*10^(K1237/192)</f>
        <v>2641648.32038609</v>
      </c>
    </row>
    <row r="1238" customFormat="false" ht="15" hidden="false" customHeight="false" outlineLevel="0" collapsed="false">
      <c r="J1238" s="238" t="n">
        <f aca="false">J1046*10</f>
        <v>1000000</v>
      </c>
      <c r="K1238" s="1" t="n">
        <f aca="false">K1237+1</f>
        <v>82</v>
      </c>
      <c r="L1238" s="239" t="n">
        <f aca="false">J1238*10^(K1238/192)</f>
        <v>2673519.35993399</v>
      </c>
    </row>
    <row r="1239" customFormat="false" ht="15" hidden="false" customHeight="false" outlineLevel="0" collapsed="false">
      <c r="J1239" s="238" t="n">
        <f aca="false">J1047*10</f>
        <v>1000000</v>
      </c>
      <c r="K1239" s="1" t="n">
        <f aca="false">K1238+1</f>
        <v>83</v>
      </c>
      <c r="L1239" s="239" t="n">
        <f aca="false">J1239*10^(K1239/192)</f>
        <v>2705774.91817578</v>
      </c>
    </row>
    <row r="1240" customFormat="false" ht="15" hidden="false" customHeight="false" outlineLevel="0" collapsed="false">
      <c r="J1240" s="238" t="n">
        <f aca="false">J1048*10</f>
        <v>1000000</v>
      </c>
      <c r="K1240" s="1" t="n">
        <f aca="false">K1239+1</f>
        <v>84</v>
      </c>
      <c r="L1240" s="239" t="n">
        <f aca="false">J1240*10^(K1240/192)</f>
        <v>2738419.63426436</v>
      </c>
    </row>
    <row r="1241" customFormat="false" ht="15" hidden="false" customHeight="false" outlineLevel="0" collapsed="false">
      <c r="J1241" s="238" t="n">
        <f aca="false">J1049*10</f>
        <v>1000000</v>
      </c>
      <c r="K1241" s="1" t="n">
        <f aca="false">K1240+1</f>
        <v>85</v>
      </c>
      <c r="L1241" s="239" t="n">
        <f aca="false">J1241*10^(K1241/192)</f>
        <v>2771458.20332325</v>
      </c>
    </row>
    <row r="1242" customFormat="false" ht="15" hidden="false" customHeight="false" outlineLevel="0" collapsed="false">
      <c r="J1242" s="238" t="n">
        <f aca="false">J1050*10</f>
        <v>1000000</v>
      </c>
      <c r="K1242" s="1" t="n">
        <f aca="false">K1241+1</f>
        <v>86</v>
      </c>
      <c r="L1242" s="239" t="n">
        <f aca="false">J1242*10^(K1242/192)</f>
        <v>2804895.37712183</v>
      </c>
    </row>
    <row r="1243" customFormat="false" ht="15" hidden="false" customHeight="false" outlineLevel="0" collapsed="false">
      <c r="J1243" s="238" t="n">
        <f aca="false">J1051*10</f>
        <v>1000000</v>
      </c>
      <c r="K1243" s="1" t="n">
        <f aca="false">K1242+1</f>
        <v>87</v>
      </c>
      <c r="L1243" s="239" t="n">
        <f aca="false">J1243*10^(K1243/192)</f>
        <v>2838735.96475875</v>
      </c>
    </row>
    <row r="1244" customFormat="false" ht="15" hidden="false" customHeight="false" outlineLevel="0" collapsed="false">
      <c r="J1244" s="238" t="n">
        <f aca="false">J1052*10</f>
        <v>1000000</v>
      </c>
      <c r="K1244" s="1" t="n">
        <f aca="false">K1243+1</f>
        <v>88</v>
      </c>
      <c r="L1244" s="239" t="n">
        <f aca="false">J1244*10^(K1244/192)</f>
        <v>2872984.83335366</v>
      </c>
    </row>
    <row r="1245" customFormat="false" ht="15" hidden="false" customHeight="false" outlineLevel="0" collapsed="false">
      <c r="J1245" s="238" t="n">
        <f aca="false">J1053*10</f>
        <v>1000000</v>
      </c>
      <c r="K1245" s="1" t="n">
        <f aca="false">K1244+1</f>
        <v>89</v>
      </c>
      <c r="L1245" s="239" t="n">
        <f aca="false">J1245*10^(K1245/192)</f>
        <v>2907646.90874716</v>
      </c>
    </row>
    <row r="1246" customFormat="false" ht="15" hidden="false" customHeight="false" outlineLevel="0" collapsed="false">
      <c r="J1246" s="238" t="n">
        <f aca="false">J1054*10</f>
        <v>1000000</v>
      </c>
      <c r="K1246" s="1" t="n">
        <f aca="false">K1245+1</f>
        <v>90</v>
      </c>
      <c r="L1246" s="239" t="n">
        <f aca="false">J1246*10^(K1246/192)</f>
        <v>2942727.17620928</v>
      </c>
    </row>
    <row r="1247" customFormat="false" ht="15" hidden="false" customHeight="false" outlineLevel="0" collapsed="false">
      <c r="J1247" s="238" t="n">
        <f aca="false">J1055*10</f>
        <v>1000000</v>
      </c>
      <c r="K1247" s="1" t="n">
        <f aca="false">K1246+1</f>
        <v>91</v>
      </c>
      <c r="L1247" s="239" t="n">
        <f aca="false">J1247*10^(K1247/192)</f>
        <v>2978230.6811565</v>
      </c>
    </row>
    <row r="1248" customFormat="false" ht="15" hidden="false" customHeight="false" outlineLevel="0" collapsed="false">
      <c r="J1248" s="238" t="n">
        <f aca="false">J1056*10</f>
        <v>1000000</v>
      </c>
      <c r="K1248" s="1" t="n">
        <f aca="false">K1247+1</f>
        <v>92</v>
      </c>
      <c r="L1248" s="239" t="n">
        <f aca="false">J1248*10^(K1248/192)</f>
        <v>3014162.52987739</v>
      </c>
    </row>
    <row r="1249" customFormat="false" ht="15" hidden="false" customHeight="false" outlineLevel="0" collapsed="false">
      <c r="J1249" s="238" t="n">
        <f aca="false">J1057*10</f>
        <v>1000000</v>
      </c>
      <c r="K1249" s="1" t="n">
        <f aca="false">K1248+1</f>
        <v>93</v>
      </c>
      <c r="L1249" s="239" t="n">
        <f aca="false">J1249*10^(K1249/192)</f>
        <v>3050527.89026703</v>
      </c>
    </row>
    <row r="1250" customFormat="false" ht="15" hidden="false" customHeight="false" outlineLevel="0" collapsed="false">
      <c r="J1250" s="238" t="n">
        <f aca="false">J1058*10</f>
        <v>1000000</v>
      </c>
      <c r="K1250" s="1" t="n">
        <f aca="false">K1249+1</f>
        <v>94</v>
      </c>
      <c r="L1250" s="239" t="n">
        <f aca="false">J1250*10^(K1250/192)</f>
        <v>3087331.99257026</v>
      </c>
    </row>
    <row r="1251" customFormat="false" ht="15" hidden="false" customHeight="false" outlineLevel="0" collapsed="false">
      <c r="J1251" s="238" t="n">
        <f aca="false">J1059*10</f>
        <v>1000000</v>
      </c>
      <c r="K1251" s="1" t="n">
        <f aca="false">K1250+1</f>
        <v>95</v>
      </c>
      <c r="L1251" s="239" t="n">
        <f aca="false">J1251*10^(K1251/192)</f>
        <v>3124580.13013398</v>
      </c>
    </row>
    <row r="1252" customFormat="false" ht="15" hidden="false" customHeight="false" outlineLevel="0" collapsed="false">
      <c r="J1252" s="238" t="n">
        <f aca="false">J1060*10</f>
        <v>1000000</v>
      </c>
      <c r="K1252" s="1" t="n">
        <f aca="false">K1251+1</f>
        <v>96</v>
      </c>
      <c r="L1252" s="239" t="n">
        <f aca="false">J1252*10^(K1252/192)</f>
        <v>3162277.66016838</v>
      </c>
    </row>
    <row r="1253" customFormat="false" ht="15" hidden="false" customHeight="false" outlineLevel="0" collapsed="false">
      <c r="J1253" s="238" t="n">
        <f aca="false">J1061*10</f>
        <v>1000000</v>
      </c>
      <c r="K1253" s="1" t="n">
        <f aca="false">K1252+1</f>
        <v>97</v>
      </c>
      <c r="L1253" s="239" t="n">
        <f aca="false">J1253*10^(K1253/192)</f>
        <v>3200430.00451751</v>
      </c>
    </row>
    <row r="1254" customFormat="false" ht="15" hidden="false" customHeight="false" outlineLevel="0" collapsed="false">
      <c r="J1254" s="238" t="n">
        <f aca="false">J1062*10</f>
        <v>1000000</v>
      </c>
      <c r="K1254" s="1" t="n">
        <f aca="false">K1253+1</f>
        <v>98</v>
      </c>
      <c r="L1254" s="239" t="n">
        <f aca="false">J1254*10^(K1254/192)</f>
        <v>3239042.65043903</v>
      </c>
    </row>
    <row r="1255" customFormat="false" ht="15" hidden="false" customHeight="false" outlineLevel="0" collapsed="false">
      <c r="J1255" s="238" t="n">
        <f aca="false">J1063*10</f>
        <v>1000000</v>
      </c>
      <c r="K1255" s="1" t="n">
        <f aca="false">K1254+1</f>
        <v>99</v>
      </c>
      <c r="L1255" s="239" t="n">
        <f aca="false">J1255*10^(K1255/192)</f>
        <v>3278121.15139346</v>
      </c>
    </row>
    <row r="1256" customFormat="false" ht="15" hidden="false" customHeight="false" outlineLevel="0" collapsed="false">
      <c r="J1256" s="238" t="n">
        <f aca="false">J1064*10</f>
        <v>1000000</v>
      </c>
      <c r="K1256" s="1" t="n">
        <f aca="false">K1255+1</f>
        <v>100</v>
      </c>
      <c r="L1256" s="239" t="n">
        <f aca="false">J1256*10^(K1256/192)</f>
        <v>3317671.12784286</v>
      </c>
    </row>
    <row r="1257" customFormat="false" ht="15" hidden="false" customHeight="false" outlineLevel="0" collapsed="false">
      <c r="J1257" s="238" t="n">
        <f aca="false">J1065*10</f>
        <v>1000000</v>
      </c>
      <c r="K1257" s="1" t="n">
        <f aca="false">K1256+1</f>
        <v>101</v>
      </c>
      <c r="L1257" s="239" t="n">
        <f aca="false">J1257*10^(K1257/192)</f>
        <v>3357698.26805922</v>
      </c>
    </row>
    <row r="1258" customFormat="false" ht="15" hidden="false" customHeight="false" outlineLevel="0" collapsed="false">
      <c r="J1258" s="238" t="n">
        <f aca="false">J1066*10</f>
        <v>1000000</v>
      </c>
      <c r="K1258" s="1" t="n">
        <f aca="false">K1257+1</f>
        <v>102</v>
      </c>
      <c r="L1258" s="239" t="n">
        <f aca="false">J1258*10^(K1258/192)</f>
        <v>3398208.32894256</v>
      </c>
    </row>
    <row r="1259" customFormat="false" ht="15" hidden="false" customHeight="false" outlineLevel="0" collapsed="false">
      <c r="J1259" s="238" t="n">
        <f aca="false">J1067*10</f>
        <v>1000000</v>
      </c>
      <c r="K1259" s="1" t="n">
        <f aca="false">K1258+1</f>
        <v>103</v>
      </c>
      <c r="L1259" s="239" t="n">
        <f aca="false">J1259*10^(K1259/192)</f>
        <v>3439207.13684894</v>
      </c>
    </row>
    <row r="1260" customFormat="false" ht="15" hidden="false" customHeight="false" outlineLevel="0" collapsed="false">
      <c r="J1260" s="238" t="n">
        <f aca="false">J1068*10</f>
        <v>1000000</v>
      </c>
      <c r="K1260" s="1" t="n">
        <f aca="false">K1259+1</f>
        <v>104</v>
      </c>
      <c r="L1260" s="239" t="n">
        <f aca="false">J1260*10^(K1260/192)</f>
        <v>3480700.58842841</v>
      </c>
    </row>
    <row r="1261" customFormat="false" ht="15" hidden="false" customHeight="false" outlineLevel="0" collapsed="false">
      <c r="J1261" s="238" t="n">
        <f aca="false">J1069*10</f>
        <v>1000000</v>
      </c>
      <c r="K1261" s="1" t="n">
        <f aca="false">K1260+1</f>
        <v>105</v>
      </c>
      <c r="L1261" s="239" t="n">
        <f aca="false">J1261*10^(K1261/192)</f>
        <v>3522694.6514731</v>
      </c>
    </row>
    <row r="1262" customFormat="false" ht="15" hidden="false" customHeight="false" outlineLevel="0" collapsed="false">
      <c r="J1262" s="238" t="n">
        <f aca="false">J1070*10</f>
        <v>1000000</v>
      </c>
      <c r="K1262" s="1" t="n">
        <f aca="false">K1261+1</f>
        <v>106</v>
      </c>
      <c r="L1262" s="239" t="n">
        <f aca="false">J1262*10^(K1262/192)</f>
        <v>3565195.36577555</v>
      </c>
    </row>
    <row r="1263" customFormat="false" ht="15" hidden="false" customHeight="false" outlineLevel="0" collapsed="false">
      <c r="J1263" s="238" t="n">
        <f aca="false">J1071*10</f>
        <v>1000000</v>
      </c>
      <c r="K1263" s="1" t="n">
        <f aca="false">K1262+1</f>
        <v>107</v>
      </c>
      <c r="L1263" s="239" t="n">
        <f aca="false">J1263*10^(K1263/192)</f>
        <v>3608208.84399736</v>
      </c>
    </row>
    <row r="1264" customFormat="false" ht="15" hidden="false" customHeight="false" outlineLevel="0" collapsed="false">
      <c r="J1264" s="238" t="n">
        <f aca="false">J1072*10</f>
        <v>1000000</v>
      </c>
      <c r="K1264" s="1" t="n">
        <f aca="false">K1263+1</f>
        <v>108</v>
      </c>
      <c r="L1264" s="239" t="n">
        <f aca="false">J1264*10^(K1264/192)</f>
        <v>3651741.27254838</v>
      </c>
    </row>
    <row r="1265" customFormat="false" ht="15" hidden="false" customHeight="false" outlineLevel="0" collapsed="false">
      <c r="J1265" s="238" t="n">
        <f aca="false">J1073*10</f>
        <v>1000000</v>
      </c>
      <c r="K1265" s="1" t="n">
        <f aca="false">K1264+1</f>
        <v>109</v>
      </c>
      <c r="L1265" s="239" t="n">
        <f aca="false">J1265*10^(K1265/192)</f>
        <v>3695798.91247642</v>
      </c>
    </row>
    <row r="1266" customFormat="false" ht="15" hidden="false" customHeight="false" outlineLevel="0" collapsed="false">
      <c r="J1266" s="238" t="n">
        <f aca="false">J1074*10</f>
        <v>1000000</v>
      </c>
      <c r="K1266" s="1" t="n">
        <f aca="false">K1265+1</f>
        <v>110</v>
      </c>
      <c r="L1266" s="239" t="n">
        <f aca="false">J1266*10^(K1266/192)</f>
        <v>3740388.10036779</v>
      </c>
    </row>
    <row r="1267" customFormat="false" ht="15" hidden="false" customHeight="false" outlineLevel="0" collapsed="false">
      <c r="J1267" s="238" t="n">
        <f aca="false">J1075*10</f>
        <v>1000000</v>
      </c>
      <c r="K1267" s="1" t="n">
        <f aca="false">K1266+1</f>
        <v>111</v>
      </c>
      <c r="L1267" s="239" t="n">
        <f aca="false">J1267*10^(K1267/192)</f>
        <v>3785515.24925863</v>
      </c>
    </row>
    <row r="1268" customFormat="false" ht="15" hidden="false" customHeight="false" outlineLevel="0" collapsed="false">
      <c r="J1268" s="238" t="n">
        <f aca="false">J1076*10</f>
        <v>1000000</v>
      </c>
      <c r="K1268" s="1" t="n">
        <f aca="false">K1267+1</f>
        <v>112</v>
      </c>
      <c r="L1268" s="239" t="n">
        <f aca="false">J1268*10^(K1268/192)</f>
        <v>3831186.84955729</v>
      </c>
    </row>
    <row r="1269" customFormat="false" ht="15" hidden="false" customHeight="false" outlineLevel="0" collapsed="false">
      <c r="J1269" s="238" t="n">
        <f aca="false">J1077*10</f>
        <v>1000000</v>
      </c>
      <c r="K1269" s="1" t="n">
        <f aca="false">K1268+1</f>
        <v>113</v>
      </c>
      <c r="L1269" s="239" t="n">
        <f aca="false">J1269*10^(K1269/192)</f>
        <v>3877409.46997778</v>
      </c>
    </row>
    <row r="1270" customFormat="false" ht="15" hidden="false" customHeight="false" outlineLevel="0" collapsed="false">
      <c r="J1270" s="238" t="n">
        <f aca="false">J1078*10</f>
        <v>1000000</v>
      </c>
      <c r="K1270" s="1" t="n">
        <f aca="false">K1269+1</f>
        <v>114</v>
      </c>
      <c r="L1270" s="239" t="n">
        <f aca="false">J1270*10^(K1270/192)</f>
        <v>3924189.75848454</v>
      </c>
    </row>
    <row r="1271" customFormat="false" ht="15" hidden="false" customHeight="false" outlineLevel="0" collapsed="false">
      <c r="J1271" s="238" t="n">
        <f aca="false">J1079*10</f>
        <v>1000000</v>
      </c>
      <c r="K1271" s="1" t="n">
        <f aca="false">K1270+1</f>
        <v>115</v>
      </c>
      <c r="L1271" s="239" t="n">
        <f aca="false">J1271*10^(K1271/192)</f>
        <v>3971534.44324857</v>
      </c>
    </row>
    <row r="1272" customFormat="false" ht="15" hidden="false" customHeight="false" outlineLevel="0" collapsed="false">
      <c r="J1272" s="238" t="n">
        <f aca="false">J1080*10</f>
        <v>1000000</v>
      </c>
      <c r="K1272" s="1" t="n">
        <f aca="false">K1271+1</f>
        <v>116</v>
      </c>
      <c r="L1272" s="239" t="n">
        <f aca="false">J1272*10^(K1272/192)</f>
        <v>4019450.33361512</v>
      </c>
    </row>
    <row r="1273" customFormat="false" ht="15" hidden="false" customHeight="false" outlineLevel="0" collapsed="false">
      <c r="J1273" s="238" t="n">
        <f aca="false">J1081*10</f>
        <v>1000000</v>
      </c>
      <c r="K1273" s="1" t="n">
        <f aca="false">K1272+1</f>
        <v>117</v>
      </c>
      <c r="L1273" s="239" t="n">
        <f aca="false">J1273*10^(K1273/192)</f>
        <v>4067944.32108305</v>
      </c>
    </row>
    <row r="1274" customFormat="false" ht="15" hidden="false" customHeight="false" outlineLevel="0" collapsed="false">
      <c r="J1274" s="238" t="n">
        <f aca="false">J1082*10</f>
        <v>1000000</v>
      </c>
      <c r="K1274" s="1" t="n">
        <f aca="false">K1273+1</f>
        <v>118</v>
      </c>
      <c r="L1274" s="239" t="n">
        <f aca="false">J1274*10^(K1274/192)</f>
        <v>4117023.38029595</v>
      </c>
    </row>
    <row r="1275" customFormat="false" ht="15" hidden="false" customHeight="false" outlineLevel="0" collapsed="false">
      <c r="J1275" s="238" t="n">
        <f aca="false">J1083*10</f>
        <v>1000000</v>
      </c>
      <c r="K1275" s="1" t="n">
        <f aca="false">K1274+1</f>
        <v>119</v>
      </c>
      <c r="L1275" s="239" t="n">
        <f aca="false">J1275*10^(K1275/192)</f>
        <v>4166694.57004533</v>
      </c>
    </row>
    <row r="1276" customFormat="false" ht="15" hidden="false" customHeight="false" outlineLevel="0" collapsed="false">
      <c r="J1276" s="238" t="n">
        <f aca="false">J1084*10</f>
        <v>1000000</v>
      </c>
      <c r="K1276" s="1" t="n">
        <f aca="false">K1275+1</f>
        <v>120</v>
      </c>
      <c r="L1276" s="239" t="n">
        <f aca="false">J1276*10^(K1276/192)</f>
        <v>4216965.03428582</v>
      </c>
    </row>
    <row r="1277" customFormat="false" ht="15" hidden="false" customHeight="false" outlineLevel="0" collapsed="false">
      <c r="J1277" s="238" t="n">
        <f aca="false">J1085*10</f>
        <v>1000000</v>
      </c>
      <c r="K1277" s="1" t="n">
        <f aca="false">K1276+1</f>
        <v>121</v>
      </c>
      <c r="L1277" s="239" t="n">
        <f aca="false">J1277*10^(K1277/192)</f>
        <v>4267842.00316266</v>
      </c>
    </row>
    <row r="1278" customFormat="false" ht="15" hidden="false" customHeight="false" outlineLevel="0" collapsed="false">
      <c r="J1278" s="238" t="n">
        <f aca="false">J1086*10</f>
        <v>1000000</v>
      </c>
      <c r="K1278" s="1" t="n">
        <f aca="false">K1277+1</f>
        <v>122</v>
      </c>
      <c r="L1278" s="239" t="n">
        <f aca="false">J1278*10^(K1278/192)</f>
        <v>4319332.79405155</v>
      </c>
    </row>
    <row r="1279" customFormat="false" ht="15" hidden="false" customHeight="false" outlineLevel="0" collapsed="false">
      <c r="J1279" s="238" t="n">
        <f aca="false">J1087*10</f>
        <v>1000000</v>
      </c>
      <c r="K1279" s="1" t="n">
        <f aca="false">K1278+1</f>
        <v>123</v>
      </c>
      <c r="L1279" s="239" t="n">
        <f aca="false">J1279*10^(K1279/192)</f>
        <v>4371444.81261109</v>
      </c>
    </row>
    <row r="1280" customFormat="false" ht="15" hidden="false" customHeight="false" outlineLevel="0" collapsed="false">
      <c r="J1280" s="238" t="n">
        <f aca="false">J1088*10</f>
        <v>1000000</v>
      </c>
      <c r="K1280" s="1" t="n">
        <f aca="false">K1279+1</f>
        <v>124</v>
      </c>
      <c r="L1280" s="239" t="n">
        <f aca="false">J1280*10^(K1280/192)</f>
        <v>4424185.55384792</v>
      </c>
    </row>
    <row r="1281" customFormat="false" ht="15" hidden="false" customHeight="false" outlineLevel="0" collapsed="false">
      <c r="J1281" s="238" t="n">
        <f aca="false">J1089*10</f>
        <v>1000000</v>
      </c>
      <c r="K1281" s="1" t="n">
        <f aca="false">K1280+1</f>
        <v>125</v>
      </c>
      <c r="L1281" s="239" t="n">
        <f aca="false">J1281*10^(K1281/192)</f>
        <v>4477562.60319464</v>
      </c>
    </row>
    <row r="1282" customFormat="false" ht="15" hidden="false" customHeight="false" outlineLevel="0" collapsed="false">
      <c r="J1282" s="238" t="n">
        <f aca="false">J1090*10</f>
        <v>1000000</v>
      </c>
      <c r="K1282" s="1" t="n">
        <f aca="false">K1281+1</f>
        <v>126</v>
      </c>
      <c r="L1282" s="239" t="n">
        <f aca="false">J1282*10^(K1282/192)</f>
        <v>4531583.63760082</v>
      </c>
    </row>
    <row r="1283" customFormat="false" ht="15" hidden="false" customHeight="false" outlineLevel="0" collapsed="false">
      <c r="J1283" s="238" t="n">
        <f aca="false">J1091*10</f>
        <v>1000000</v>
      </c>
      <c r="K1283" s="1" t="n">
        <f aca="false">K1282+1</f>
        <v>127</v>
      </c>
      <c r="L1283" s="239" t="n">
        <f aca="false">J1283*10^(K1283/192)</f>
        <v>4586256.42663713</v>
      </c>
    </row>
    <row r="1284" customFormat="false" ht="15" hidden="false" customHeight="false" outlineLevel="0" collapsed="false">
      <c r="J1284" s="238" t="n">
        <f aca="false">J1092*10</f>
        <v>1000000</v>
      </c>
      <c r="K1284" s="1" t="n">
        <f aca="false">K1283+1</f>
        <v>128</v>
      </c>
      <c r="L1284" s="239" t="n">
        <f aca="false">J1284*10^(K1284/192)</f>
        <v>4641588.83361278</v>
      </c>
    </row>
    <row r="1285" customFormat="false" ht="15" hidden="false" customHeight="false" outlineLevel="0" collapsed="false">
      <c r="J1285" s="238" t="n">
        <f aca="false">J1093*10</f>
        <v>1000000</v>
      </c>
      <c r="K1285" s="1" t="n">
        <f aca="false">K1284+1</f>
        <v>129</v>
      </c>
      <c r="L1285" s="239" t="n">
        <f aca="false">J1285*10^(K1285/192)</f>
        <v>4697588.81670649</v>
      </c>
    </row>
    <row r="1286" customFormat="false" ht="15" hidden="false" customHeight="false" outlineLevel="0" collapsed="false">
      <c r="J1286" s="238" t="n">
        <f aca="false">J1094*10</f>
        <v>1000000</v>
      </c>
      <c r="K1286" s="1" t="n">
        <f aca="false">K1285+1</f>
        <v>130</v>
      </c>
      <c r="L1286" s="239" t="n">
        <f aca="false">J1286*10^(K1286/192)</f>
        <v>4754264.43011106</v>
      </c>
    </row>
    <row r="1287" customFormat="false" ht="15" hidden="false" customHeight="false" outlineLevel="0" collapsed="false">
      <c r="J1287" s="238" t="n">
        <f aca="false">J1095*10</f>
        <v>1000000</v>
      </c>
      <c r="K1287" s="1" t="n">
        <f aca="false">K1286+1</f>
        <v>131</v>
      </c>
      <c r="L1287" s="239" t="n">
        <f aca="false">J1287*10^(K1287/192)</f>
        <v>4811623.82519173</v>
      </c>
    </row>
    <row r="1288" customFormat="false" ht="15" hidden="false" customHeight="false" outlineLevel="0" collapsed="false">
      <c r="J1288" s="238" t="n">
        <f aca="false">J1096*10</f>
        <v>1000000</v>
      </c>
      <c r="K1288" s="1" t="n">
        <f aca="false">K1287+1</f>
        <v>132</v>
      </c>
      <c r="L1288" s="239" t="n">
        <f aca="false">J1288*10^(K1288/192)</f>
        <v>4869675.25165863</v>
      </c>
    </row>
    <row r="1289" customFormat="false" ht="15" hidden="false" customHeight="false" outlineLevel="0" collapsed="false">
      <c r="J1289" s="238" t="n">
        <f aca="false">J1097*10</f>
        <v>1000000</v>
      </c>
      <c r="K1289" s="1" t="n">
        <f aca="false">K1288+1</f>
        <v>133</v>
      </c>
      <c r="L1289" s="239" t="n">
        <f aca="false">J1289*10^(K1289/192)</f>
        <v>4928427.05875321</v>
      </c>
    </row>
    <row r="1290" customFormat="false" ht="15" hidden="false" customHeight="false" outlineLevel="0" collapsed="false">
      <c r="J1290" s="238" t="n">
        <f aca="false">J1098*10</f>
        <v>1000000</v>
      </c>
      <c r="K1290" s="1" t="n">
        <f aca="false">K1289+1</f>
        <v>134</v>
      </c>
      <c r="L1290" s="239" t="n">
        <f aca="false">J1290*10^(K1290/192)</f>
        <v>4987887.69644911</v>
      </c>
    </row>
    <row r="1291" customFormat="false" ht="15" hidden="false" customHeight="false" outlineLevel="0" collapsed="false">
      <c r="J1291" s="238" t="n">
        <f aca="false">J1099*10</f>
        <v>1000000</v>
      </c>
      <c r="K1291" s="1" t="n">
        <f aca="false">K1290+1</f>
        <v>135</v>
      </c>
      <c r="L1291" s="239" t="n">
        <f aca="false">J1291*10^(K1291/192)</f>
        <v>5048065.71666747</v>
      </c>
    </row>
    <row r="1292" customFormat="false" ht="15" hidden="false" customHeight="false" outlineLevel="0" collapsed="false">
      <c r="J1292" s="238" t="n">
        <f aca="false">J1100*10</f>
        <v>1000000</v>
      </c>
      <c r="K1292" s="1" t="n">
        <f aca="false">K1291+1</f>
        <v>136</v>
      </c>
      <c r="L1292" s="239" t="n">
        <f aca="false">J1292*10^(K1292/192)</f>
        <v>5108969.77450693</v>
      </c>
    </row>
    <row r="1293" customFormat="false" ht="15" hidden="false" customHeight="false" outlineLevel="0" collapsed="false">
      <c r="J1293" s="238" t="n">
        <f aca="false">J1101*10</f>
        <v>1000000</v>
      </c>
      <c r="K1293" s="1" t="n">
        <f aca="false">K1292+1</f>
        <v>137</v>
      </c>
      <c r="L1293" s="239" t="n">
        <f aca="false">J1293*10^(K1293/192)</f>
        <v>5170608.6294884</v>
      </c>
    </row>
    <row r="1294" customFormat="false" ht="15" hidden="false" customHeight="false" outlineLevel="0" collapsed="false">
      <c r="J1294" s="238" t="n">
        <f aca="false">J1102*10</f>
        <v>1000000</v>
      </c>
      <c r="K1294" s="1" t="n">
        <f aca="false">K1293+1</f>
        <v>138</v>
      </c>
      <c r="L1294" s="239" t="n">
        <f aca="false">J1294*10^(K1294/192)</f>
        <v>5232991.14681495</v>
      </c>
    </row>
    <row r="1295" customFormat="false" ht="15" hidden="false" customHeight="false" outlineLevel="0" collapsed="false">
      <c r="J1295" s="238" t="n">
        <f aca="false">J1103*10</f>
        <v>1000000</v>
      </c>
      <c r="K1295" s="1" t="n">
        <f aca="false">K1294+1</f>
        <v>139</v>
      </c>
      <c r="L1295" s="239" t="n">
        <f aca="false">J1295*10^(K1295/192)</f>
        <v>5296126.2986468</v>
      </c>
    </row>
    <row r="1296" customFormat="false" ht="15" hidden="false" customHeight="false" outlineLevel="0" collapsed="false">
      <c r="J1296" s="238" t="n">
        <f aca="false">J1104*10</f>
        <v>1000000</v>
      </c>
      <c r="K1296" s="1" t="n">
        <f aca="false">K1295+1</f>
        <v>140</v>
      </c>
      <c r="L1296" s="239" t="n">
        <f aca="false">J1296*10^(K1296/192)</f>
        <v>5360023.16539179</v>
      </c>
    </row>
    <row r="1297" customFormat="false" ht="15" hidden="false" customHeight="false" outlineLevel="0" collapsed="false">
      <c r="J1297" s="238" t="n">
        <f aca="false">J1105*10</f>
        <v>1000000</v>
      </c>
      <c r="K1297" s="1" t="n">
        <f aca="false">K1296+1</f>
        <v>141</v>
      </c>
      <c r="L1297" s="239" t="n">
        <f aca="false">J1297*10^(K1297/192)</f>
        <v>5424690.93701133</v>
      </c>
    </row>
    <row r="1298" customFormat="false" ht="15" hidden="false" customHeight="false" outlineLevel="0" collapsed="false">
      <c r="J1298" s="238" t="n">
        <f aca="false">J1106*10</f>
        <v>1000000</v>
      </c>
      <c r="K1298" s="1" t="n">
        <f aca="false">K1297+1</f>
        <v>142</v>
      </c>
      <c r="L1298" s="239" t="n">
        <f aca="false">J1298*10^(K1298/192)</f>
        <v>5490138.91434214</v>
      </c>
    </row>
    <row r="1299" customFormat="false" ht="15" hidden="false" customHeight="false" outlineLevel="0" collapsed="false">
      <c r="J1299" s="238" t="n">
        <f aca="false">J1107*10</f>
        <v>1000000</v>
      </c>
      <c r="K1299" s="1" t="n">
        <f aca="false">K1298+1</f>
        <v>143</v>
      </c>
      <c r="L1299" s="239" t="n">
        <f aca="false">J1299*10^(K1299/192)</f>
        <v>5556376.51043399</v>
      </c>
    </row>
    <row r="1300" customFormat="false" ht="15" hidden="false" customHeight="false" outlineLevel="0" collapsed="false">
      <c r="J1300" s="238" t="n">
        <f aca="false">J1108*10</f>
        <v>1000000</v>
      </c>
      <c r="K1300" s="1" t="n">
        <f aca="false">K1299+1</f>
        <v>144</v>
      </c>
      <c r="L1300" s="239" t="n">
        <f aca="false">J1300*10^(K1300/192)</f>
        <v>5623413.25190349</v>
      </c>
    </row>
    <row r="1301" customFormat="false" ht="15" hidden="false" customHeight="false" outlineLevel="0" collapsed="false">
      <c r="J1301" s="238" t="n">
        <f aca="false">J1109*10</f>
        <v>1000000</v>
      </c>
      <c r="K1301" s="1" t="n">
        <f aca="false">K1300+1</f>
        <v>145</v>
      </c>
      <c r="L1301" s="239" t="n">
        <f aca="false">J1301*10^(K1301/192)</f>
        <v>5691258.78030426</v>
      </c>
    </row>
    <row r="1302" customFormat="false" ht="15" hidden="false" customHeight="false" outlineLevel="0" collapsed="false">
      <c r="J1302" s="238" t="n">
        <f aca="false">J1110*10</f>
        <v>1000000</v>
      </c>
      <c r="K1302" s="1" t="n">
        <f aca="false">K1301+1</f>
        <v>146</v>
      </c>
      <c r="L1302" s="239" t="n">
        <f aca="false">J1302*10^(K1302/192)</f>
        <v>5759922.85351363</v>
      </c>
    </row>
    <row r="1303" customFormat="false" ht="15" hidden="false" customHeight="false" outlineLevel="0" collapsed="false">
      <c r="J1303" s="238" t="n">
        <f aca="false">J1111*10</f>
        <v>1000000</v>
      </c>
      <c r="K1303" s="1" t="n">
        <f aca="false">K1302+1</f>
        <v>147</v>
      </c>
      <c r="L1303" s="239" t="n">
        <f aca="false">J1303*10^(K1303/192)</f>
        <v>5829415.34713607</v>
      </c>
    </row>
    <row r="1304" customFormat="false" ht="15" hidden="false" customHeight="false" outlineLevel="0" collapsed="false">
      <c r="J1304" s="238" t="n">
        <f aca="false">J1112*10</f>
        <v>1000000</v>
      </c>
      <c r="K1304" s="1" t="n">
        <f aca="false">K1303+1</f>
        <v>148</v>
      </c>
      <c r="L1304" s="239" t="n">
        <f aca="false">J1304*10^(K1304/192)</f>
        <v>5899746.25592357</v>
      </c>
    </row>
    <row r="1305" customFormat="false" ht="15" hidden="false" customHeight="false" outlineLevel="0" collapsed="false">
      <c r="J1305" s="238" t="n">
        <f aca="false">J1113*10</f>
        <v>1000000</v>
      </c>
      <c r="K1305" s="1" t="n">
        <f aca="false">K1304+1</f>
        <v>149</v>
      </c>
      <c r="L1305" s="239" t="n">
        <f aca="false">J1305*10^(K1305/192)</f>
        <v>5970925.69521305</v>
      </c>
    </row>
    <row r="1306" customFormat="false" ht="15" hidden="false" customHeight="false" outlineLevel="0" collapsed="false">
      <c r="J1306" s="238" t="n">
        <f aca="false">J1114*10</f>
        <v>1000000</v>
      </c>
      <c r="K1306" s="1" t="n">
        <f aca="false">K1305+1</f>
        <v>150</v>
      </c>
      <c r="L1306" s="239" t="n">
        <f aca="false">J1306*10^(K1306/192)</f>
        <v>6042963.90238133</v>
      </c>
    </row>
    <row r="1307" customFormat="false" ht="15" hidden="false" customHeight="false" outlineLevel="0" collapsed="false">
      <c r="J1307" s="238" t="n">
        <f aca="false">J1115*10</f>
        <v>1000000</v>
      </c>
      <c r="K1307" s="1" t="n">
        <f aca="false">K1306+1</f>
        <v>151</v>
      </c>
      <c r="L1307" s="239" t="n">
        <f aca="false">J1307*10^(K1307/192)</f>
        <v>6115871.23831739</v>
      </c>
    </row>
    <row r="1308" customFormat="false" ht="15" hidden="false" customHeight="false" outlineLevel="0" collapsed="false">
      <c r="J1308" s="238" t="n">
        <f aca="false">J1116*10</f>
        <v>1000000</v>
      </c>
      <c r="K1308" s="1" t="n">
        <f aca="false">K1307+1</f>
        <v>152</v>
      </c>
      <c r="L1308" s="239" t="n">
        <f aca="false">J1308*10^(K1308/192)</f>
        <v>6189658.18891261</v>
      </c>
    </row>
    <row r="1309" customFormat="false" ht="15" hidden="false" customHeight="false" outlineLevel="0" collapsed="false">
      <c r="J1309" s="238" t="n">
        <f aca="false">J1117*10</f>
        <v>1000000</v>
      </c>
      <c r="K1309" s="1" t="n">
        <f aca="false">K1308+1</f>
        <v>153</v>
      </c>
      <c r="L1309" s="239" t="n">
        <f aca="false">J1309*10^(K1309/192)</f>
        <v>6264335.36656886</v>
      </c>
    </row>
    <row r="1310" customFormat="false" ht="15" hidden="false" customHeight="false" outlineLevel="0" collapsed="false">
      <c r="J1310" s="238" t="n">
        <f aca="false">J1118*10</f>
        <v>1000000</v>
      </c>
      <c r="K1310" s="1" t="n">
        <f aca="false">K1309+1</f>
        <v>154</v>
      </c>
      <c r="L1310" s="239" t="n">
        <f aca="false">J1310*10^(K1310/192)</f>
        <v>6339913.51172485</v>
      </c>
    </row>
    <row r="1311" customFormat="false" ht="15" hidden="false" customHeight="false" outlineLevel="0" collapsed="false">
      <c r="J1311" s="238" t="n">
        <f aca="false">J1119*10</f>
        <v>1000000</v>
      </c>
      <c r="K1311" s="1" t="n">
        <f aca="false">K1310+1</f>
        <v>155</v>
      </c>
      <c r="L1311" s="239" t="n">
        <f aca="false">J1311*10^(K1311/192)</f>
        <v>6416403.49440085</v>
      </c>
    </row>
    <row r="1312" customFormat="false" ht="15" hidden="false" customHeight="false" outlineLevel="0" collapsed="false">
      <c r="J1312" s="238" t="n">
        <f aca="false">J1120*10</f>
        <v>1000000</v>
      </c>
      <c r="K1312" s="1" t="n">
        <f aca="false">K1311+1</f>
        <v>156</v>
      </c>
      <c r="L1312" s="239" t="n">
        <f aca="false">J1312*10^(K1312/192)</f>
        <v>6493816.31576211</v>
      </c>
    </row>
    <row r="1313" customFormat="false" ht="15" hidden="false" customHeight="false" outlineLevel="0" collapsed="false">
      <c r="J1313" s="238" t="n">
        <f aca="false">J1121*10</f>
        <v>1000000</v>
      </c>
      <c r="K1313" s="1" t="n">
        <f aca="false">K1312+1</f>
        <v>157</v>
      </c>
      <c r="L1313" s="239" t="n">
        <f aca="false">J1313*10^(K1313/192)</f>
        <v>6572163.10970106</v>
      </c>
    </row>
    <row r="1314" customFormat="false" ht="15" hidden="false" customHeight="false" outlineLevel="0" collapsed="false">
      <c r="J1314" s="238" t="n">
        <f aca="false">J1122*10</f>
        <v>1000000</v>
      </c>
      <c r="K1314" s="1" t="n">
        <f aca="false">K1313+1</f>
        <v>158</v>
      </c>
      <c r="L1314" s="239" t="n">
        <f aca="false">J1314*10^(K1314/192)</f>
        <v>6651455.14443863</v>
      </c>
    </row>
    <row r="1315" customFormat="false" ht="15" hidden="false" customHeight="false" outlineLevel="0" collapsed="false">
      <c r="J1315" s="238" t="n">
        <f aca="false">J1123*10</f>
        <v>1000000</v>
      </c>
      <c r="K1315" s="1" t="n">
        <f aca="false">K1314+1</f>
        <v>159</v>
      </c>
      <c r="L1315" s="239" t="n">
        <f aca="false">J1315*10^(K1315/192)</f>
        <v>6731703.82414498</v>
      </c>
    </row>
    <row r="1316" customFormat="false" ht="15" hidden="false" customHeight="false" outlineLevel="0" collapsed="false">
      <c r="J1316" s="238" t="n">
        <f aca="false">J1124*10</f>
        <v>1000000</v>
      </c>
      <c r="K1316" s="1" t="n">
        <f aca="false">K1315+1</f>
        <v>160</v>
      </c>
      <c r="L1316" s="239" t="n">
        <f aca="false">J1316*10^(K1316/192)</f>
        <v>6812920.69057961</v>
      </c>
    </row>
    <row r="1317" customFormat="false" ht="15" hidden="false" customHeight="false" outlineLevel="0" collapsed="false">
      <c r="J1317" s="238" t="n">
        <f aca="false">J1125*10</f>
        <v>1000000</v>
      </c>
      <c r="K1317" s="1" t="n">
        <f aca="false">K1316+1</f>
        <v>161</v>
      </c>
      <c r="L1317" s="239" t="n">
        <f aca="false">J1317*10^(K1317/192)</f>
        <v>6895117.42475141</v>
      </c>
    </row>
    <row r="1318" customFormat="false" ht="15" hidden="false" customHeight="false" outlineLevel="0" collapsed="false">
      <c r="J1318" s="238" t="n">
        <f aca="false">J1126*10</f>
        <v>1000000</v>
      </c>
      <c r="K1318" s="1" t="n">
        <f aca="false">K1317+1</f>
        <v>162</v>
      </c>
      <c r="L1318" s="239" t="n">
        <f aca="false">J1318*10^(K1318/192)</f>
        <v>6978305.84859866</v>
      </c>
    </row>
    <row r="1319" customFormat="false" ht="15" hidden="false" customHeight="false" outlineLevel="0" collapsed="false">
      <c r="J1319" s="238" t="n">
        <f aca="false">J1127*10</f>
        <v>1000000</v>
      </c>
      <c r="K1319" s="1" t="n">
        <f aca="false">K1318+1</f>
        <v>163</v>
      </c>
      <c r="L1319" s="239" t="n">
        <f aca="false">J1319*10^(K1319/192)</f>
        <v>7062497.92668933</v>
      </c>
    </row>
    <row r="1320" customFormat="false" ht="15" hidden="false" customHeight="false" outlineLevel="0" collapsed="false">
      <c r="J1320" s="238" t="n">
        <f aca="false">J1128*10</f>
        <v>1000000</v>
      </c>
      <c r="K1320" s="1" t="n">
        <f aca="false">K1319+1</f>
        <v>164</v>
      </c>
      <c r="L1320" s="239" t="n">
        <f aca="false">J1320*10^(K1320/192)</f>
        <v>7147705.76794186</v>
      </c>
    </row>
    <row r="1321" customFormat="false" ht="15" hidden="false" customHeight="false" outlineLevel="0" collapsed="false">
      <c r="J1321" s="238" t="n">
        <f aca="false">J1129*10</f>
        <v>1000000</v>
      </c>
      <c r="K1321" s="1" t="n">
        <f aca="false">K1320+1</f>
        <v>165</v>
      </c>
      <c r="L1321" s="239" t="n">
        <f aca="false">J1321*10^(K1321/192)</f>
        <v>7233941.62736675</v>
      </c>
    </row>
    <row r="1322" customFormat="false" ht="15" hidden="false" customHeight="false" outlineLevel="0" collapsed="false">
      <c r="J1322" s="238" t="n">
        <f aca="false">J1130*10</f>
        <v>1000000</v>
      </c>
      <c r="K1322" s="1" t="n">
        <f aca="false">K1321+1</f>
        <v>166</v>
      </c>
      <c r="L1322" s="239" t="n">
        <f aca="false">J1322*10^(K1322/192)</f>
        <v>7321217.90782913</v>
      </c>
    </row>
    <row r="1323" customFormat="false" ht="15" hidden="false" customHeight="false" outlineLevel="0" collapsed="false">
      <c r="J1323" s="238" t="n">
        <f aca="false">J1131*10</f>
        <v>1000000</v>
      </c>
      <c r="K1323" s="1" t="n">
        <f aca="false">K1322+1</f>
        <v>167</v>
      </c>
      <c r="L1323" s="239" t="n">
        <f aca="false">J1323*10^(K1323/192)</f>
        <v>7409547.16183259</v>
      </c>
    </row>
    <row r="1324" customFormat="false" ht="15" hidden="false" customHeight="false" outlineLevel="0" collapsed="false">
      <c r="J1324" s="238" t="n">
        <f aca="false">J1132*10</f>
        <v>1000000</v>
      </c>
      <c r="K1324" s="1" t="n">
        <f aca="false">K1323+1</f>
        <v>168</v>
      </c>
      <c r="L1324" s="239" t="n">
        <f aca="false">J1324*10^(K1324/192)</f>
        <v>7498942.09332456</v>
      </c>
    </row>
    <row r="1325" customFormat="false" ht="15" hidden="false" customHeight="false" outlineLevel="0" collapsed="false">
      <c r="J1325" s="238" t="n">
        <f aca="false">J1133*10</f>
        <v>1000000</v>
      </c>
      <c r="K1325" s="1" t="n">
        <f aca="false">K1324+1</f>
        <v>169</v>
      </c>
      <c r="L1325" s="239" t="n">
        <f aca="false">J1325*10^(K1325/192)</f>
        <v>7589415.55952343</v>
      </c>
    </row>
    <row r="1326" customFormat="false" ht="15" hidden="false" customHeight="false" outlineLevel="0" collapsed="false">
      <c r="J1326" s="238" t="n">
        <f aca="false">J1134*10</f>
        <v>1000000</v>
      </c>
      <c r="K1326" s="1" t="n">
        <f aca="false">K1325+1</f>
        <v>170</v>
      </c>
      <c r="L1326" s="239" t="n">
        <f aca="false">J1326*10^(K1326/192)</f>
        <v>7680980.57276775</v>
      </c>
    </row>
    <row r="1327" customFormat="false" ht="15" hidden="false" customHeight="false" outlineLevel="0" collapsed="false">
      <c r="J1327" s="238" t="n">
        <f aca="false">J1135*10</f>
        <v>1000000</v>
      </c>
      <c r="K1327" s="1" t="n">
        <f aca="false">K1326+1</f>
        <v>171</v>
      </c>
      <c r="L1327" s="239" t="n">
        <f aca="false">J1327*10^(K1327/192)</f>
        <v>7773650.30238776</v>
      </c>
    </row>
    <row r="1328" customFormat="false" ht="15" hidden="false" customHeight="false" outlineLevel="0" collapsed="false">
      <c r="J1328" s="238" t="n">
        <f aca="false">J1136*10</f>
        <v>1000000</v>
      </c>
      <c r="K1328" s="1" t="n">
        <f aca="false">K1327+1</f>
        <v>172</v>
      </c>
      <c r="L1328" s="239" t="n">
        <f aca="false">J1328*10^(K1328/192)</f>
        <v>7867438.0765994</v>
      </c>
    </row>
    <row r="1329" customFormat="false" ht="15" hidden="false" customHeight="false" outlineLevel="0" collapsed="false">
      <c r="J1329" s="238" t="n">
        <f aca="false">J1137*10</f>
        <v>1000000</v>
      </c>
      <c r="K1329" s="1" t="n">
        <f aca="false">K1328+1</f>
        <v>173</v>
      </c>
      <c r="L1329" s="239" t="n">
        <f aca="false">J1329*10^(K1329/192)</f>
        <v>7962357.3844213</v>
      </c>
    </row>
    <row r="1330" customFormat="false" ht="15" hidden="false" customHeight="false" outlineLevel="0" collapsed="false">
      <c r="J1330" s="238" t="n">
        <f aca="false">J1138*10</f>
        <v>1000000</v>
      </c>
      <c r="K1330" s="1" t="n">
        <f aca="false">K1329+1</f>
        <v>174</v>
      </c>
      <c r="L1330" s="239" t="n">
        <f aca="false">J1330*10^(K1330/192)</f>
        <v>8058421.87761482</v>
      </c>
    </row>
    <row r="1331" customFormat="false" ht="15" hidden="false" customHeight="false" outlineLevel="0" collapsed="false">
      <c r="J1331" s="238" t="n">
        <f aca="false">J1139*10</f>
        <v>1000000</v>
      </c>
      <c r="K1331" s="1" t="n">
        <f aca="false">K1330+1</f>
        <v>175</v>
      </c>
      <c r="L1331" s="239" t="n">
        <f aca="false">J1331*10^(K1331/192)</f>
        <v>8155645.37264749</v>
      </c>
    </row>
    <row r="1332" customFormat="false" ht="15" hidden="false" customHeight="false" outlineLevel="0" collapsed="false">
      <c r="J1332" s="238" t="n">
        <f aca="false">J1140*10</f>
        <v>1000000</v>
      </c>
      <c r="K1332" s="1" t="n">
        <f aca="false">K1331+1</f>
        <v>176</v>
      </c>
      <c r="L1332" s="239" t="n">
        <f aca="false">J1332*10^(K1332/192)</f>
        <v>8254041.85268018</v>
      </c>
    </row>
    <row r="1333" customFormat="false" ht="15" hidden="false" customHeight="false" outlineLevel="0" collapsed="false">
      <c r="J1333" s="238" t="n">
        <f aca="false">J1141*10</f>
        <v>1000000</v>
      </c>
      <c r="K1333" s="1" t="n">
        <f aca="false">K1332+1</f>
        <v>177</v>
      </c>
      <c r="L1333" s="239" t="n">
        <f aca="false">J1333*10^(K1333/192)</f>
        <v>8353625.46957826</v>
      </c>
    </row>
    <row r="1334" customFormat="false" ht="15" hidden="false" customHeight="false" outlineLevel="0" collapsed="false">
      <c r="J1334" s="238" t="n">
        <f aca="false">J1142*10</f>
        <v>1000000</v>
      </c>
      <c r="K1334" s="1" t="n">
        <f aca="false">K1333+1</f>
        <v>178</v>
      </c>
      <c r="L1334" s="239" t="n">
        <f aca="false">J1334*10^(K1334/192)</f>
        <v>8454410.54594692</v>
      </c>
    </row>
    <row r="1335" customFormat="false" ht="15" hidden="false" customHeight="false" outlineLevel="0" collapsed="false">
      <c r="J1335" s="238" t="n">
        <f aca="false">J1143*10</f>
        <v>1000000</v>
      </c>
      <c r="K1335" s="1" t="n">
        <f aca="false">K1334+1</f>
        <v>179</v>
      </c>
      <c r="L1335" s="239" t="n">
        <f aca="false">J1335*10^(K1335/192)</f>
        <v>8556411.57719118</v>
      </c>
    </row>
    <row r="1336" customFormat="false" ht="15" hidden="false" customHeight="false" outlineLevel="0" collapsed="false">
      <c r="J1336" s="238" t="n">
        <f aca="false">J1144*10</f>
        <v>1000000</v>
      </c>
      <c r="K1336" s="1" t="n">
        <f aca="false">K1335+1</f>
        <v>180</v>
      </c>
      <c r="L1336" s="239" t="n">
        <f aca="false">J1336*10^(K1336/192)</f>
        <v>8659643.23360065</v>
      </c>
    </row>
    <row r="1337" customFormat="false" ht="15" hidden="false" customHeight="false" outlineLevel="0" collapsed="false">
      <c r="J1337" s="238" t="n">
        <f aca="false">J1145*10</f>
        <v>1000000</v>
      </c>
      <c r="K1337" s="1" t="n">
        <f aca="false">K1336+1</f>
        <v>181</v>
      </c>
      <c r="L1337" s="239" t="n">
        <f aca="false">J1337*10^(K1337/192)</f>
        <v>8764120.36245952</v>
      </c>
    </row>
    <row r="1338" customFormat="false" ht="15" hidden="false" customHeight="false" outlineLevel="0" collapsed="false">
      <c r="J1338" s="238" t="n">
        <f aca="false">J1146*10</f>
        <v>1000000</v>
      </c>
      <c r="K1338" s="1" t="n">
        <f aca="false">K1337+1</f>
        <v>182</v>
      </c>
      <c r="L1338" s="239" t="n">
        <f aca="false">J1338*10^(K1338/192)</f>
        <v>8869857.99018192</v>
      </c>
    </row>
    <row r="1339" customFormat="false" ht="15" hidden="false" customHeight="false" outlineLevel="0" collapsed="false">
      <c r="J1339" s="238" t="n">
        <f aca="false">J1147*10</f>
        <v>1000000</v>
      </c>
      <c r="K1339" s="1" t="n">
        <f aca="false">K1338+1</f>
        <v>183</v>
      </c>
      <c r="L1339" s="239" t="n">
        <f aca="false">J1339*10^(K1339/192)</f>
        <v>8976871.32447314</v>
      </c>
    </row>
    <row r="1340" customFormat="false" ht="15" hidden="false" customHeight="false" outlineLevel="0" collapsed="false">
      <c r="J1340" s="238" t="n">
        <f aca="false">J1148*10</f>
        <v>1000000</v>
      </c>
      <c r="K1340" s="1" t="n">
        <f aca="false">K1339+1</f>
        <v>184</v>
      </c>
      <c r="L1340" s="239" t="n">
        <f aca="false">J1340*10^(K1340/192)</f>
        <v>9085175.75651687</v>
      </c>
    </row>
    <row r="1341" customFormat="false" ht="15" hidden="false" customHeight="false" outlineLevel="0" collapsed="false">
      <c r="J1341" s="238" t="n">
        <f aca="false">J1149*10</f>
        <v>1000000</v>
      </c>
      <c r="K1341" s="1" t="n">
        <f aca="false">K1340+1</f>
        <v>185</v>
      </c>
      <c r="L1341" s="239" t="n">
        <f aca="false">J1341*10^(K1341/192)</f>
        <v>9194786.86318879</v>
      </c>
    </row>
    <row r="1342" customFormat="false" ht="15" hidden="false" customHeight="false" outlineLevel="0" collapsed="false">
      <c r="J1342" s="238" t="n">
        <f aca="false">J1150*10</f>
        <v>1000000</v>
      </c>
      <c r="K1342" s="1" t="n">
        <f aca="false">K1341+1</f>
        <v>186</v>
      </c>
      <c r="L1342" s="239" t="n">
        <f aca="false">J1342*10^(K1342/192)</f>
        <v>9305720.40929699</v>
      </c>
    </row>
    <row r="1343" customFormat="false" ht="15" hidden="false" customHeight="false" outlineLevel="0" collapsed="false">
      <c r="J1343" s="238" t="n">
        <f aca="false">J1151*10</f>
        <v>1000000</v>
      </c>
      <c r="K1343" s="1" t="n">
        <f aca="false">K1342+1</f>
        <v>187</v>
      </c>
      <c r="L1343" s="239" t="n">
        <f aca="false">J1343*10^(K1343/192)</f>
        <v>9417992.34984926</v>
      </c>
    </row>
    <row r="1344" customFormat="false" ht="15" hidden="false" customHeight="false" outlineLevel="0" collapsed="false">
      <c r="J1344" s="238" t="n">
        <f aca="false">J1152*10</f>
        <v>1000000</v>
      </c>
      <c r="K1344" s="1" t="n">
        <f aca="false">K1343+1</f>
        <v>188</v>
      </c>
      <c r="L1344" s="239" t="n">
        <f aca="false">J1344*10^(K1344/192)</f>
        <v>9531618.83234787</v>
      </c>
    </row>
    <row r="1345" customFormat="false" ht="15" hidden="false" customHeight="false" outlineLevel="0" collapsed="false">
      <c r="J1345" s="238" t="n">
        <f aca="false">J1153*10</f>
        <v>1000000</v>
      </c>
      <c r="K1345" s="1" t="n">
        <f aca="false">K1344+1</f>
        <v>189</v>
      </c>
      <c r="L1345" s="239" t="n">
        <f aca="false">J1345*10^(K1345/192)</f>
        <v>9646616.19911199</v>
      </c>
    </row>
    <row r="1346" customFormat="false" ht="15" hidden="false" customHeight="false" outlineLevel="0" collapsed="false">
      <c r="J1346" s="238" t="n">
        <f aca="false">J1154*10</f>
        <v>1000000</v>
      </c>
      <c r="K1346" s="1" t="n">
        <f aca="false">K1345+1</f>
        <v>190</v>
      </c>
      <c r="L1346" s="239" t="n">
        <f aca="false">J1346*10^(K1346/192)</f>
        <v>9763000.98962808</v>
      </c>
    </row>
    <row r="1347" customFormat="false" ht="15" hidden="false" customHeight="false" outlineLevel="0" collapsed="false">
      <c r="J1347" s="238" t="n">
        <f aca="false">J1155*10</f>
        <v>1000000</v>
      </c>
      <c r="K1347" s="1" t="n">
        <f aca="false">K1346+1</f>
        <v>191</v>
      </c>
      <c r="L1347" s="239" t="n">
        <f aca="false">J1347*10^(K1347/192)</f>
        <v>9880789.94292869</v>
      </c>
    </row>
    <row r="1348" customFormat="false" ht="15" hidden="false" customHeight="false" outlineLevel="0" collapsed="false">
      <c r="J1348" s="238" t="n">
        <f aca="false">J1156*10</f>
        <v>1000000</v>
      </c>
      <c r="K1348" s="1" t="n">
        <f aca="false">K1347+1</f>
        <v>192</v>
      </c>
      <c r="L1348" s="243" t="n">
        <f aca="false">J1348*10^(K1348/192)</f>
        <v>10000000</v>
      </c>
    </row>
  </sheetData>
  <mergeCells count="3">
    <mergeCell ref="B2:D2"/>
    <mergeCell ref="F2:H2"/>
    <mergeCell ref="J2:L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 r:id="rId5"/>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_Revision xmlns="http://schemas.microsoft.com/sharepoint/v3/fields"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4BDB0366CFF449BFF6BB5BED1ACE66" ma:contentTypeVersion="" ma:contentTypeDescription="Create a new document." ma:contentTypeScope="" ma:versionID="d6deed8e886971231d8a52858db1230f">
  <xsd:schema xmlns:xsd="http://www.w3.org/2001/XMLSchema" xmlns:xs="http://www.w3.org/2001/XMLSchema" xmlns:p="http://schemas.microsoft.com/office/2006/metadata/properties" xmlns:ns2="http://schemas.microsoft.com/sharepoint/v3/fields" xmlns:ns3="81cbb912-a41f-478e-bff8-56a8cfd8785b" targetNamespace="http://schemas.microsoft.com/office/2006/metadata/properties" ma:root="true" ma:fieldsID="35711bc7b8ec5538d72420f9697b25d9" ns2:_="" ns3:_="">
    <xsd:import namespace="http://schemas.microsoft.com/sharepoint/v3/fields"/>
    <xsd:import namespace="81cbb912-a41f-478e-bff8-56a8cfd8785b"/>
    <xsd:element name="properties">
      <xsd:complexType>
        <xsd:sequence>
          <xsd:element name="documentManagement">
            <xsd:complexType>
              <xsd:all>
                <xsd:element ref="ns2:_Version" minOccurs="0"/>
                <xsd:element ref="ns2:_Revision" minOccurs="0"/>
                <xsd:element ref="ns2:_DCDateModifie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 nillable="true" ma:displayName="Version" ma:internalName="_Version">
      <xsd:simpleType>
        <xsd:restriction base="dms:Text"/>
      </xsd:simpleType>
    </xsd:element>
    <xsd:element name="_Revision" ma:index="3" nillable="true" ma:displayName="Revision" ma:internalName="_Revision">
      <xsd:simpleType>
        <xsd:restriction base="dms:Text"/>
      </xsd:simpleType>
    </xsd:element>
    <xsd:element name="_DCDateModified" ma:index="4" nillable="true" ma:displayName="Date Modified" ma:description="The date on which this resource was last modified" ma:format="DateTime" ma:internalName="_DC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1cbb912-a41f-478e-bff8-56a8cfd8785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CC7B43-647D-4A74-9DF7-FAFE925EC295}">
  <ds:schemaRefs>
    <ds:schemaRef ds:uri="http://schemas.microsoft.com/office/2006/metadata/properties"/>
    <ds:schemaRef ds:uri="http://schemas.microsoft.com/office/infopath/2007/PartnerControls"/>
    <ds:schemaRef ds:uri="http://schemas.microsoft.com/sharepoint/v3/fields"/>
  </ds:schemaRefs>
</ds:datastoreItem>
</file>

<file path=customXml/itemProps2.xml><?xml version="1.0" encoding="utf-8"?>
<ds:datastoreItem xmlns:ds="http://schemas.openxmlformats.org/officeDocument/2006/customXml" ds:itemID="{53A97B69-E84A-425E-BFBB-CF0AE5890264}">
  <ds:schemaRefs>
    <ds:schemaRef ds:uri="http://schemas.microsoft.com/sharepoint/v3/contenttype/forms"/>
  </ds:schemaRefs>
</ds:datastoreItem>
</file>

<file path=customXml/itemProps3.xml><?xml version="1.0" encoding="utf-8"?>
<ds:datastoreItem xmlns:ds="http://schemas.openxmlformats.org/officeDocument/2006/customXml" ds:itemID="{68FB7965-ECC4-40BA-A9B4-25C37263A7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1cbb912-a41f-478e-bff8-56a8cfd878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4</TotalTime>
  <Application>LibreOffice/24.2.7.2$Linux_X86_64 LibreOffice_project/420$Build-2</Application>
  <AppVersion>15.0000</AppVersion>
  <Company>Texas Instruments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2023-06-07T12:11:18Z</dcterms:created>
  <dc:creator>Rook, Jacob</dc:creator>
  <dc:description/>
  <dc:language>de-DE</dc:language>
  <cp:lastModifiedBy/>
  <dcterms:modified xsi:type="dcterms:W3CDTF">2025-03-23T01:17:03Z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0x010100694BDB0366CFF449BFF6BB5BED1ACE66</vt:lpwstr>
  </property>
</Properties>
</file>