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o\Downloads\"/>
    </mc:Choice>
  </mc:AlternateContent>
  <xr:revisionPtr revIDLastSave="0" documentId="13_ncr:1_{0AD17A0B-1526-4554-8BC6-2F716257B568}" xr6:coauthVersionLast="47" xr6:coauthVersionMax="47" xr10:uidLastSave="{00000000-0000-0000-0000-000000000000}"/>
  <bookViews>
    <workbookView xWindow="-120" yWindow="-120" windowWidth="29040" windowHeight="15720" tabRatio="500" activeTab="4" xr2:uid="{00000000-000D-0000-FFFF-FFFF00000000}"/>
  </bookViews>
  <sheets>
    <sheet name="QA_Mix design" sheetId="1" r:id="rId1"/>
    <sheet name="Sales" sheetId="2" r:id="rId2"/>
    <sheet name="Dispatch" sheetId="3" r:id="rId3"/>
    <sheet name="Production" sheetId="4" r:id="rId4"/>
    <sheet name="Consumption" sheetId="5" r:id="rId5"/>
    <sheet name="Summary1" sheetId="6" state="hidden" r:id="rId6"/>
    <sheet name="Shipment Schedule" sheetId="7" state="hidden" r:id="rId7"/>
    <sheet name="Sheet1" sheetId="8" state="hidden" r:id="rId8"/>
    <sheet name="Sheet2" sheetId="9" state="hidden" r:id="rId9"/>
    <sheet name="Sheet3" sheetId="10" state="hidden" r:id="rId10"/>
    <sheet name="Sep-19 Clinker" sheetId="11" state="hidden" r:id="rId11"/>
  </sheets>
  <externalReferences>
    <externalReference r:id="rId12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74" i="11" l="1"/>
  <c r="Y74" i="11"/>
  <c r="AG73" i="11"/>
  <c r="Z73" i="11"/>
  <c r="Y73" i="11"/>
  <c r="AO72" i="11"/>
  <c r="AH72" i="11"/>
  <c r="AG72" i="11"/>
  <c r="Z72" i="11"/>
  <c r="Z75" i="11" s="1"/>
  <c r="Z38" i="11" s="1"/>
  <c r="Z37" i="11" s="1"/>
  <c r="Y72" i="11"/>
  <c r="Y75" i="11" s="1"/>
  <c r="Y38" i="11" s="1"/>
  <c r="Y37" i="11" s="1"/>
  <c r="R72" i="11"/>
  <c r="Q72" i="11"/>
  <c r="AP71" i="11"/>
  <c r="AO74" i="11" s="1"/>
  <c r="AP70" i="11"/>
  <c r="AH73" i="11" s="1"/>
  <c r="AP69" i="11"/>
  <c r="AN72" i="11" s="1"/>
  <c r="AI64" i="11"/>
  <c r="AA64" i="11"/>
  <c r="Z64" i="11"/>
  <c r="T64" i="11"/>
  <c r="L64" i="11"/>
  <c r="AJ63" i="11"/>
  <c r="AI63" i="11"/>
  <c r="AI65" i="11" s="1"/>
  <c r="AI31" i="11" s="1"/>
  <c r="AI30" i="11" s="1"/>
  <c r="AH63" i="11"/>
  <c r="AB63" i="11"/>
  <c r="AA63" i="11"/>
  <c r="Z63" i="11"/>
  <c r="T63" i="11"/>
  <c r="S63" i="11"/>
  <c r="R63" i="11"/>
  <c r="L63" i="11"/>
  <c r="L65" i="11" s="1"/>
  <c r="L31" i="11" s="1"/>
  <c r="L30" i="11" s="1"/>
  <c r="K63" i="11"/>
  <c r="AJ62" i="11"/>
  <c r="AI62" i="11"/>
  <c r="AH62" i="11"/>
  <c r="AB62" i="11"/>
  <c r="AA62" i="11"/>
  <c r="AA65" i="11" s="1"/>
  <c r="AA31" i="11" s="1"/>
  <c r="AA30" i="11" s="1"/>
  <c r="Z62" i="11"/>
  <c r="Z65" i="11" s="1"/>
  <c r="Z31" i="11" s="1"/>
  <c r="Z30" i="11" s="1"/>
  <c r="T62" i="11"/>
  <c r="T65" i="11" s="1"/>
  <c r="T31" i="11" s="1"/>
  <c r="T30" i="11" s="1"/>
  <c r="S62" i="11"/>
  <c r="R62" i="11"/>
  <c r="L62" i="11"/>
  <c r="K62" i="11"/>
  <c r="AP61" i="11"/>
  <c r="AP60" i="11"/>
  <c r="AO63" i="11" s="1"/>
  <c r="AP59" i="11"/>
  <c r="AO62" i="11" s="1"/>
  <c r="AL53" i="11"/>
  <c r="AK53" i="11"/>
  <c r="AJ53" i="11"/>
  <c r="AI53" i="11"/>
  <c r="AH53" i="11"/>
  <c r="AD53" i="11"/>
  <c r="AC53" i="11"/>
  <c r="AB53" i="11"/>
  <c r="AA53" i="11"/>
  <c r="Z53" i="11"/>
  <c r="V53" i="11"/>
  <c r="U53" i="11"/>
  <c r="T53" i="11"/>
  <c r="S53" i="11"/>
  <c r="R53" i="11"/>
  <c r="N53" i="11"/>
  <c r="M53" i="11"/>
  <c r="L53" i="11"/>
  <c r="K53" i="11"/>
  <c r="AL52" i="11"/>
  <c r="AK52" i="11"/>
  <c r="AJ52" i="11"/>
  <c r="AI52" i="11"/>
  <c r="AH52" i="11"/>
  <c r="AD52" i="11"/>
  <c r="AC52" i="11"/>
  <c r="AB52" i="11"/>
  <c r="AA52" i="11"/>
  <c r="Z52" i="11"/>
  <c r="V52" i="11"/>
  <c r="U52" i="11"/>
  <c r="T52" i="11"/>
  <c r="S52" i="11"/>
  <c r="R52" i="11"/>
  <c r="N52" i="11"/>
  <c r="M52" i="11"/>
  <c r="L52" i="11"/>
  <c r="K52" i="11"/>
  <c r="AP51" i="11"/>
  <c r="AP50" i="11"/>
  <c r="AO53" i="11" s="1"/>
  <c r="AP49" i="11"/>
  <c r="AO52" i="11" s="1"/>
  <c r="J38" i="11"/>
  <c r="I38" i="11"/>
  <c r="I37" i="11" s="1"/>
  <c r="H38" i="11"/>
  <c r="G38" i="11"/>
  <c r="G37" i="11" s="1"/>
  <c r="F38" i="11"/>
  <c r="E38" i="11"/>
  <c r="E37" i="11" s="1"/>
  <c r="D38" i="11"/>
  <c r="D37" i="11" s="1"/>
  <c r="C38" i="11"/>
  <c r="J37" i="11"/>
  <c r="H37" i="11"/>
  <c r="F37" i="11"/>
  <c r="C37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I36" i="11"/>
  <c r="H36" i="11"/>
  <c r="G36" i="11"/>
  <c r="F36" i="11"/>
  <c r="E36" i="11"/>
  <c r="D36" i="11"/>
  <c r="C36" i="11"/>
  <c r="J31" i="11"/>
  <c r="J30" i="11" s="1"/>
  <c r="I31" i="11"/>
  <c r="I30" i="11" s="1"/>
  <c r="H31" i="11"/>
  <c r="G31" i="11"/>
  <c r="F31" i="11"/>
  <c r="F30" i="11" s="1"/>
  <c r="E31" i="11"/>
  <c r="E30" i="11" s="1"/>
  <c r="D31" i="11"/>
  <c r="C31" i="11"/>
  <c r="H30" i="11"/>
  <c r="G30" i="11"/>
  <c r="D30" i="11"/>
  <c r="C30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C28" i="11"/>
  <c r="C32" i="11" s="1"/>
  <c r="D28" i="11" s="1"/>
  <c r="D32" i="11" s="1"/>
  <c r="E28" i="11" s="1"/>
  <c r="J24" i="11"/>
  <c r="J23" i="11" s="1"/>
  <c r="I24" i="11"/>
  <c r="I23" i="11" s="1"/>
  <c r="H24" i="11"/>
  <c r="G24" i="11"/>
  <c r="F24" i="11"/>
  <c r="E24" i="11"/>
  <c r="E23" i="11" s="1"/>
  <c r="D24" i="11"/>
  <c r="C24" i="11"/>
  <c r="H23" i="11"/>
  <c r="G23" i="11"/>
  <c r="F23" i="11"/>
  <c r="D23" i="11"/>
  <c r="C23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C21" i="11"/>
  <c r="C25" i="11" s="1"/>
  <c r="T17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C14" i="11"/>
  <c r="AP10" i="11"/>
  <c r="D10" i="11"/>
  <c r="C10" i="11"/>
  <c r="AP9" i="11"/>
  <c r="AP8" i="11"/>
  <c r="AP7" i="11" s="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E7" i="11"/>
  <c r="C7" i="11"/>
  <c r="AP6" i="11"/>
  <c r="AP5" i="11"/>
  <c r="AP4" i="11"/>
  <c r="AP3" i="11"/>
  <c r="AO3" i="11"/>
  <c r="AO17" i="11" s="1"/>
  <c r="AN3" i="11"/>
  <c r="AN17" i="11" s="1"/>
  <c r="AM3" i="11"/>
  <c r="AM17" i="11" s="1"/>
  <c r="AL3" i="11"/>
  <c r="AL17" i="11" s="1"/>
  <c r="AK3" i="11"/>
  <c r="AK17" i="11" s="1"/>
  <c r="AJ3" i="11"/>
  <c r="AJ17" i="11" s="1"/>
  <c r="AI3" i="11"/>
  <c r="AI17" i="11" s="1"/>
  <c r="AH3" i="11"/>
  <c r="AH17" i="11" s="1"/>
  <c r="AG3" i="11"/>
  <c r="AG17" i="11" s="1"/>
  <c r="AF3" i="11"/>
  <c r="AF17" i="11" s="1"/>
  <c r="AE3" i="11"/>
  <c r="AE17" i="11" s="1"/>
  <c r="AD3" i="11"/>
  <c r="AD17" i="11" s="1"/>
  <c r="AC3" i="11"/>
  <c r="AC17" i="11" s="1"/>
  <c r="AB3" i="11"/>
  <c r="AB17" i="11" s="1"/>
  <c r="AA3" i="11"/>
  <c r="AA17" i="11" s="1"/>
  <c r="Z3" i="11"/>
  <c r="Z17" i="11" s="1"/>
  <c r="Y3" i="11"/>
  <c r="Y17" i="11" s="1"/>
  <c r="X3" i="11"/>
  <c r="X17" i="11" s="1"/>
  <c r="W3" i="11"/>
  <c r="W17" i="11" s="1"/>
  <c r="V3" i="11"/>
  <c r="V17" i="11" s="1"/>
  <c r="U3" i="11"/>
  <c r="U17" i="11" s="1"/>
  <c r="T3" i="11"/>
  <c r="S3" i="11"/>
  <c r="S17" i="11" s="1"/>
  <c r="R3" i="11"/>
  <c r="R17" i="11" s="1"/>
  <c r="Q3" i="11"/>
  <c r="Q17" i="11" s="1"/>
  <c r="P3" i="11"/>
  <c r="P17" i="11" s="1"/>
  <c r="O3" i="11"/>
  <c r="O17" i="11" s="1"/>
  <c r="N3" i="11"/>
  <c r="N17" i="11" s="1"/>
  <c r="M3" i="11"/>
  <c r="M17" i="11" s="1"/>
  <c r="L3" i="11"/>
  <c r="L17" i="11" s="1"/>
  <c r="K3" i="11"/>
  <c r="K17" i="11" s="1"/>
  <c r="C27" i="10"/>
  <c r="C26" i="10"/>
  <c r="C25" i="10"/>
  <c r="C24" i="10"/>
  <c r="D12" i="10"/>
  <c r="E12" i="10" s="1"/>
  <c r="F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W12" i="10" s="1"/>
  <c r="X12" i="10" s="1"/>
  <c r="Y12" i="10" s="1"/>
  <c r="Z12" i="10" s="1"/>
  <c r="AA12" i="10" s="1"/>
  <c r="AB12" i="10" s="1"/>
  <c r="AC12" i="10" s="1"/>
  <c r="AD12" i="10" s="1"/>
  <c r="AE12" i="10" s="1"/>
  <c r="AF12" i="10" s="1"/>
  <c r="AG12" i="10" s="1"/>
  <c r="AH12" i="10" s="1"/>
  <c r="AI12" i="10" s="1"/>
  <c r="AJ12" i="10" s="1"/>
  <c r="AK12" i="10" s="1"/>
  <c r="AL12" i="10" s="1"/>
  <c r="AM12" i="10" s="1"/>
  <c r="AN12" i="10" s="1"/>
  <c r="AO12" i="10" s="1"/>
  <c r="AP12" i="10" s="1"/>
  <c r="AQ12" i="10" s="1"/>
  <c r="AR12" i="10" s="1"/>
  <c r="AS12" i="10" s="1"/>
  <c r="AT12" i="10" s="1"/>
  <c r="AU12" i="10" s="1"/>
  <c r="AV12" i="10" s="1"/>
  <c r="AW12" i="10" s="1"/>
  <c r="AX12" i="10" s="1"/>
  <c r="AY12" i="10" s="1"/>
  <c r="AZ12" i="10" s="1"/>
  <c r="BA12" i="10" s="1"/>
  <c r="BB12" i="10" s="1"/>
  <c r="BC12" i="10" s="1"/>
  <c r="BD12" i="10" s="1"/>
  <c r="BE12" i="10" s="1"/>
  <c r="BF12" i="10" s="1"/>
  <c r="BG12" i="10" s="1"/>
  <c r="BH12" i="10" s="1"/>
  <c r="BI12" i="10" s="1"/>
  <c r="BJ12" i="10" s="1"/>
  <c r="BK12" i="10" s="1"/>
  <c r="BL12" i="10" s="1"/>
  <c r="BM12" i="10" s="1"/>
  <c r="BN12" i="10" s="1"/>
  <c r="BO12" i="10" s="1"/>
  <c r="BP12" i="10" s="1"/>
  <c r="BQ12" i="10" s="1"/>
  <c r="BR12" i="10" s="1"/>
  <c r="BS12" i="10" s="1"/>
  <c r="BT12" i="10" s="1"/>
  <c r="BU12" i="10" s="1"/>
  <c r="BV12" i="10" s="1"/>
  <c r="BW12" i="10" s="1"/>
  <c r="BX12" i="10" s="1"/>
  <c r="E1" i="10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D1" i="10"/>
  <c r="G15" i="9"/>
  <c r="L15" i="9" s="1"/>
  <c r="H13" i="9"/>
  <c r="F13" i="9"/>
  <c r="E13" i="9"/>
  <c r="D13" i="9"/>
  <c r="I12" i="9"/>
  <c r="G12" i="9"/>
  <c r="G11" i="9"/>
  <c r="I11" i="9" s="1"/>
  <c r="G10" i="9"/>
  <c r="I10" i="9" s="1"/>
  <c r="C10" i="9"/>
  <c r="C13" i="9" s="1"/>
  <c r="I9" i="9"/>
  <c r="G9" i="9"/>
  <c r="I8" i="9"/>
  <c r="G8" i="9"/>
  <c r="I7" i="9"/>
  <c r="G7" i="9"/>
  <c r="G6" i="9"/>
  <c r="I6" i="9" s="1"/>
  <c r="G5" i="9"/>
  <c r="G13" i="9" s="1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2" i="8"/>
  <c r="D21" i="8"/>
  <c r="D20" i="8"/>
  <c r="D19" i="8"/>
  <c r="D18" i="8"/>
  <c r="D17" i="8"/>
  <c r="D23" i="8" s="1"/>
  <c r="M12" i="8"/>
  <c r="L12" i="8"/>
  <c r="K12" i="8"/>
  <c r="J12" i="8"/>
  <c r="I12" i="8"/>
  <c r="H12" i="8"/>
  <c r="G12" i="8"/>
  <c r="F12" i="8"/>
  <c r="E12" i="8"/>
  <c r="D11" i="8"/>
  <c r="D10" i="8"/>
  <c r="D9" i="8"/>
  <c r="D8" i="8"/>
  <c r="D7" i="8"/>
  <c r="D6" i="8"/>
  <c r="D5" i="8"/>
  <c r="D4" i="8"/>
  <c r="D12" i="8" s="1"/>
  <c r="CS14" i="7"/>
  <c r="CO14" i="7"/>
  <c r="CK14" i="7"/>
  <c r="CG14" i="7"/>
  <c r="CC14" i="7"/>
  <c r="BY14" i="7"/>
  <c r="BU14" i="7"/>
  <c r="BQ14" i="7"/>
  <c r="BM14" i="7"/>
  <c r="BI14" i="7"/>
  <c r="BE14" i="7"/>
  <c r="BA14" i="7"/>
  <c r="AW14" i="7"/>
  <c r="AS14" i="7"/>
  <c r="AO14" i="7"/>
  <c r="CW12" i="7"/>
  <c r="CX11" i="7" s="1"/>
  <c r="CW11" i="7"/>
  <c r="CW10" i="7"/>
  <c r="CW9" i="7"/>
  <c r="CX9" i="7" s="1"/>
  <c r="CX7" i="7"/>
  <c r="CW7" i="7"/>
  <c r="O7" i="7"/>
  <c r="N28" i="6"/>
  <c r="M28" i="6"/>
  <c r="H24" i="6"/>
  <c r="G24" i="6"/>
  <c r="F24" i="6"/>
  <c r="E24" i="6"/>
  <c r="D24" i="6"/>
  <c r="C24" i="6"/>
  <c r="H23" i="6"/>
  <c r="G23" i="6"/>
  <c r="F23" i="6"/>
  <c r="E23" i="6"/>
  <c r="D23" i="6"/>
  <c r="C23" i="6"/>
  <c r="H22" i="6"/>
  <c r="G22" i="6"/>
  <c r="F22" i="6"/>
  <c r="E22" i="6"/>
  <c r="D22" i="6"/>
  <c r="C22" i="6"/>
  <c r="H21" i="6"/>
  <c r="H25" i="6" s="1"/>
  <c r="H28" i="6" s="1"/>
  <c r="C21" i="6"/>
  <c r="C25" i="6" s="1"/>
  <c r="C28" i="6" s="1"/>
  <c r="H18" i="6"/>
  <c r="G18" i="6"/>
  <c r="F18" i="6"/>
  <c r="E18" i="6"/>
  <c r="D18" i="6"/>
  <c r="C18" i="6"/>
  <c r="H17" i="6"/>
  <c r="G17" i="6"/>
  <c r="F17" i="6"/>
  <c r="E17" i="6"/>
  <c r="D17" i="6"/>
  <c r="C17" i="6"/>
  <c r="H15" i="6"/>
  <c r="G15" i="6"/>
  <c r="F15" i="6"/>
  <c r="E15" i="6"/>
  <c r="D15" i="6"/>
  <c r="C15" i="6"/>
  <c r="H13" i="6"/>
  <c r="G13" i="6"/>
  <c r="F13" i="6"/>
  <c r="E13" i="6"/>
  <c r="D13" i="6"/>
  <c r="C13" i="6"/>
  <c r="H12" i="6"/>
  <c r="G12" i="6"/>
  <c r="F12" i="6"/>
  <c r="E12" i="6"/>
  <c r="D12" i="6"/>
  <c r="C12" i="6"/>
  <c r="H10" i="6"/>
  <c r="G10" i="6"/>
  <c r="G21" i="6" s="1"/>
  <c r="G25" i="6" s="1"/>
  <c r="G28" i="6" s="1"/>
  <c r="F10" i="6"/>
  <c r="F21" i="6" s="1"/>
  <c r="F25" i="6" s="1"/>
  <c r="F28" i="6" s="1"/>
  <c r="E10" i="6"/>
  <c r="D10" i="6"/>
  <c r="D21" i="6" s="1"/>
  <c r="D25" i="6" s="1"/>
  <c r="D28" i="6" s="1"/>
  <c r="C10" i="6"/>
  <c r="N5" i="6"/>
  <c r="D5" i="6"/>
  <c r="D6" i="6" s="1"/>
  <c r="C5" i="6"/>
  <c r="C6" i="6" s="1"/>
  <c r="N4" i="6"/>
  <c r="N3" i="6"/>
  <c r="Q279" i="5"/>
  <c r="E277" i="5"/>
  <c r="E276" i="5"/>
  <c r="E264" i="5"/>
  <c r="E262" i="5"/>
  <c r="E255" i="5"/>
  <c r="Q251" i="5"/>
  <c r="E251" i="5"/>
  <c r="Q250" i="5"/>
  <c r="E250" i="5"/>
  <c r="E249" i="5"/>
  <c r="Q249" i="5" s="1"/>
  <c r="E248" i="5"/>
  <c r="Q248" i="5" s="1"/>
  <c r="Q247" i="5"/>
  <c r="E247" i="5"/>
  <c r="E278" i="5" s="1"/>
  <c r="Q246" i="5"/>
  <c r="E246" i="5"/>
  <c r="E245" i="5"/>
  <c r="Q245" i="5" s="1"/>
  <c r="E244" i="5"/>
  <c r="Q244" i="5" s="1"/>
  <c r="Q243" i="5"/>
  <c r="E243" i="5"/>
  <c r="Q242" i="5"/>
  <c r="E242" i="5"/>
  <c r="E241" i="5"/>
  <c r="Q241" i="5" s="1"/>
  <c r="E240" i="5"/>
  <c r="Q239" i="5"/>
  <c r="E239" i="5"/>
  <c r="Q237" i="5"/>
  <c r="E237" i="5"/>
  <c r="E236" i="5"/>
  <c r="Q236" i="5" s="1"/>
  <c r="E235" i="5"/>
  <c r="Q235" i="5" s="1"/>
  <c r="Q234" i="5"/>
  <c r="E234" i="5"/>
  <c r="Q233" i="5"/>
  <c r="E233" i="5"/>
  <c r="E232" i="5"/>
  <c r="Q232" i="5" s="1"/>
  <c r="E231" i="5"/>
  <c r="Q231" i="5" s="1"/>
  <c r="Q230" i="5"/>
  <c r="E230" i="5"/>
  <c r="Q229" i="5"/>
  <c r="E229" i="5"/>
  <c r="E228" i="5"/>
  <c r="Q228" i="5" s="1"/>
  <c r="E227" i="5"/>
  <c r="Q226" i="5"/>
  <c r="E226" i="5"/>
  <c r="Q225" i="5"/>
  <c r="E225" i="5"/>
  <c r="E224" i="5"/>
  <c r="Q224" i="5" s="1"/>
  <c r="E223" i="5"/>
  <c r="Q223" i="5" s="1"/>
  <c r="Q222" i="5"/>
  <c r="E222" i="5"/>
  <c r="E270" i="5" s="1"/>
  <c r="Q221" i="5"/>
  <c r="E221" i="5"/>
  <c r="E269" i="5" s="1"/>
  <c r="E220" i="5"/>
  <c r="Q220" i="5" s="1"/>
  <c r="E219" i="5"/>
  <c r="Q217" i="5"/>
  <c r="E217" i="5"/>
  <c r="Q216" i="5"/>
  <c r="E216" i="5"/>
  <c r="E215" i="5"/>
  <c r="Q215" i="5" s="1"/>
  <c r="E214" i="5"/>
  <c r="Q214" i="5" s="1"/>
  <c r="Q213" i="5"/>
  <c r="E213" i="5"/>
  <c r="Q212" i="5"/>
  <c r="E212" i="5"/>
  <c r="E211" i="5"/>
  <c r="Q211" i="5" s="1"/>
  <c r="E210" i="5"/>
  <c r="Q210" i="5" s="1"/>
  <c r="Q209" i="5"/>
  <c r="E209" i="5"/>
  <c r="Q208" i="5"/>
  <c r="E208" i="5"/>
  <c r="E207" i="5"/>
  <c r="Q207" i="5" s="1"/>
  <c r="E206" i="5"/>
  <c r="Q206" i="5" s="1"/>
  <c r="Q205" i="5"/>
  <c r="E205" i="5"/>
  <c r="Q204" i="5"/>
  <c r="E204" i="5"/>
  <c r="E203" i="5"/>
  <c r="Q203" i="5" s="1"/>
  <c r="E202" i="5"/>
  <c r="Q201" i="5"/>
  <c r="E201" i="5"/>
  <c r="Q200" i="5"/>
  <c r="E200" i="5"/>
  <c r="E261" i="5" s="1"/>
  <c r="E199" i="5"/>
  <c r="E260" i="5" s="1"/>
  <c r="E198" i="5"/>
  <c r="Q197" i="5"/>
  <c r="E197" i="5"/>
  <c r="E256" i="5" s="1"/>
  <c r="Q196" i="5"/>
  <c r="E196" i="5"/>
  <c r="B194" i="5"/>
  <c r="Q187" i="5"/>
  <c r="E186" i="5"/>
  <c r="E177" i="5"/>
  <c r="E172" i="5"/>
  <c r="E165" i="5"/>
  <c r="E164" i="5"/>
  <c r="Q159" i="5"/>
  <c r="E159" i="5"/>
  <c r="E158" i="5"/>
  <c r="Q158" i="5" s="1"/>
  <c r="E157" i="5"/>
  <c r="Q157" i="5" s="1"/>
  <c r="Q156" i="5"/>
  <c r="E156" i="5"/>
  <c r="Q155" i="5"/>
  <c r="E155" i="5"/>
  <c r="E154" i="5"/>
  <c r="Q154" i="5" s="1"/>
  <c r="E153" i="5"/>
  <c r="Q153" i="5" s="1"/>
  <c r="Q152" i="5"/>
  <c r="E152" i="5"/>
  <c r="Q151" i="5"/>
  <c r="E151" i="5"/>
  <c r="E150" i="5"/>
  <c r="Q150" i="5" s="1"/>
  <c r="E149" i="5"/>
  <c r="Q149" i="5" s="1"/>
  <c r="Q148" i="5"/>
  <c r="E148" i="5"/>
  <c r="Q147" i="5"/>
  <c r="E147" i="5"/>
  <c r="E182" i="5" s="1"/>
  <c r="E145" i="5"/>
  <c r="Q145" i="5" s="1"/>
  <c r="E144" i="5"/>
  <c r="Q144" i="5" s="1"/>
  <c r="Q143" i="5"/>
  <c r="E143" i="5"/>
  <c r="Q142" i="5"/>
  <c r="E142" i="5"/>
  <c r="E141" i="5"/>
  <c r="Q141" i="5" s="1"/>
  <c r="E140" i="5"/>
  <c r="Q140" i="5" s="1"/>
  <c r="Q139" i="5"/>
  <c r="E139" i="5"/>
  <c r="Q138" i="5"/>
  <c r="E138" i="5"/>
  <c r="E137" i="5"/>
  <c r="Q137" i="5" s="1"/>
  <c r="E136" i="5"/>
  <c r="Q136" i="5" s="1"/>
  <c r="Q135" i="5"/>
  <c r="E135" i="5"/>
  <c r="E179" i="5" s="1"/>
  <c r="Q134" i="5"/>
  <c r="E134" i="5"/>
  <c r="E133" i="5"/>
  <c r="Q133" i="5" s="1"/>
  <c r="E132" i="5"/>
  <c r="Q132" i="5" s="1"/>
  <c r="Q131" i="5"/>
  <c r="E131" i="5"/>
  <c r="Q130" i="5"/>
  <c r="E130" i="5"/>
  <c r="E178" i="5" s="1"/>
  <c r="E129" i="5"/>
  <c r="Q129" i="5" s="1"/>
  <c r="E128" i="5"/>
  <c r="Q127" i="5"/>
  <c r="E127" i="5"/>
  <c r="Q125" i="5"/>
  <c r="E125" i="5"/>
  <c r="E124" i="5"/>
  <c r="Q124" i="5" s="1"/>
  <c r="E123" i="5"/>
  <c r="Q123" i="5" s="1"/>
  <c r="Q122" i="5"/>
  <c r="E122" i="5"/>
  <c r="Q121" i="5"/>
  <c r="E121" i="5"/>
  <c r="E120" i="5"/>
  <c r="Q120" i="5" s="1"/>
  <c r="E119" i="5"/>
  <c r="Q119" i="5" s="1"/>
  <c r="Q118" i="5"/>
  <c r="E118" i="5"/>
  <c r="Q117" i="5"/>
  <c r="E117" i="5"/>
  <c r="E116" i="5"/>
  <c r="Q116" i="5" s="1"/>
  <c r="E115" i="5"/>
  <c r="Q115" i="5" s="1"/>
  <c r="Q114" i="5"/>
  <c r="E114" i="5"/>
  <c r="Q113" i="5"/>
  <c r="E113" i="5"/>
  <c r="E112" i="5"/>
  <c r="Q112" i="5" s="1"/>
  <c r="E111" i="5"/>
  <c r="Q111" i="5" s="1"/>
  <c r="Q110" i="5"/>
  <c r="E110" i="5"/>
  <c r="Q109" i="5"/>
  <c r="E109" i="5"/>
  <c r="E170" i="5" s="1"/>
  <c r="E108" i="5"/>
  <c r="Q108" i="5" s="1"/>
  <c r="E107" i="5"/>
  <c r="Q106" i="5"/>
  <c r="E106" i="5"/>
  <c r="Q105" i="5"/>
  <c r="E105" i="5"/>
  <c r="E104" i="5"/>
  <c r="Q104" i="5" s="1"/>
  <c r="D102" i="5"/>
  <c r="Q97" i="5"/>
  <c r="D89" i="5"/>
  <c r="D96" i="5" s="1"/>
  <c r="H68" i="5"/>
  <c r="C66" i="5"/>
  <c r="I65" i="5"/>
  <c r="I96" i="5" s="1"/>
  <c r="C61" i="5"/>
  <c r="O60" i="5"/>
  <c r="O59" i="5"/>
  <c r="C57" i="5"/>
  <c r="F54" i="5"/>
  <c r="E52" i="5"/>
  <c r="G46" i="5"/>
  <c r="P45" i="5"/>
  <c r="E45" i="5"/>
  <c r="H39" i="5"/>
  <c r="F39" i="5"/>
  <c r="O37" i="5"/>
  <c r="F37" i="5"/>
  <c r="G36" i="5"/>
  <c r="O35" i="5"/>
  <c r="E35" i="5"/>
  <c r="M34" i="5"/>
  <c r="L34" i="5"/>
  <c r="O32" i="5"/>
  <c r="M30" i="5"/>
  <c r="F30" i="5"/>
  <c r="K29" i="5"/>
  <c r="E29" i="5"/>
  <c r="C27" i="5"/>
  <c r="O22" i="5"/>
  <c r="N22" i="5"/>
  <c r="L21" i="5"/>
  <c r="K20" i="5"/>
  <c r="L18" i="5"/>
  <c r="E18" i="5"/>
  <c r="P15" i="5"/>
  <c r="O15" i="5"/>
  <c r="O82" i="5" s="1"/>
  <c r="N14" i="5"/>
  <c r="M14" i="5"/>
  <c r="D14" i="5"/>
  <c r="D18" i="5" s="1"/>
  <c r="D23" i="5" s="1"/>
  <c r="D30" i="5" s="1"/>
  <c r="D35" i="5" s="1"/>
  <c r="D39" i="5" s="1"/>
  <c r="P12" i="5"/>
  <c r="J12" i="5"/>
  <c r="E10" i="5"/>
  <c r="D9" i="5"/>
  <c r="D13" i="5" s="1"/>
  <c r="D17" i="5" s="1"/>
  <c r="D22" i="5" s="1"/>
  <c r="P8" i="5"/>
  <c r="G8" i="5"/>
  <c r="D8" i="5"/>
  <c r="D12" i="5" s="1"/>
  <c r="D16" i="5" s="1"/>
  <c r="D21" i="5" s="1"/>
  <c r="O7" i="5"/>
  <c r="G7" i="5"/>
  <c r="E7" i="5"/>
  <c r="D7" i="5"/>
  <c r="D11" i="5" s="1"/>
  <c r="D15" i="5" s="1"/>
  <c r="D20" i="5" s="1"/>
  <c r="D24" i="5" s="1"/>
  <c r="E5" i="5"/>
  <c r="P4" i="5"/>
  <c r="P73" i="5" s="1"/>
  <c r="O4" i="5"/>
  <c r="O73" i="5" s="1"/>
  <c r="D59" i="4"/>
  <c r="D57" i="4"/>
  <c r="D53" i="4"/>
  <c r="D51" i="4"/>
  <c r="D47" i="4"/>
  <c r="D45" i="4"/>
  <c r="D41" i="4"/>
  <c r="D39" i="4"/>
  <c r="D35" i="4"/>
  <c r="D34" i="4"/>
  <c r="D36" i="4" s="1"/>
  <c r="D33" i="4"/>
  <c r="O29" i="4"/>
  <c r="M29" i="4"/>
  <c r="E29" i="4"/>
  <c r="D29" i="4"/>
  <c r="J28" i="4"/>
  <c r="I28" i="4"/>
  <c r="O27" i="4"/>
  <c r="G27" i="4"/>
  <c r="N26" i="4"/>
  <c r="L26" i="4"/>
  <c r="D26" i="4"/>
  <c r="K22" i="4"/>
  <c r="O21" i="4"/>
  <c r="N21" i="4"/>
  <c r="M21" i="4"/>
  <c r="L21" i="4"/>
  <c r="K21" i="4"/>
  <c r="J21" i="4"/>
  <c r="G21" i="4"/>
  <c r="F21" i="4"/>
  <c r="G66" i="5" s="1"/>
  <c r="D21" i="4"/>
  <c r="O20" i="4"/>
  <c r="N20" i="4"/>
  <c r="M20" i="4"/>
  <c r="L20" i="4"/>
  <c r="K20" i="4"/>
  <c r="L61" i="5" s="1"/>
  <c r="J20" i="4"/>
  <c r="I20" i="4"/>
  <c r="H20" i="4"/>
  <c r="G20" i="4"/>
  <c r="F20" i="4"/>
  <c r="E20" i="4"/>
  <c r="D20" i="4"/>
  <c r="O19" i="4"/>
  <c r="N19" i="4"/>
  <c r="N22" i="4" s="1"/>
  <c r="M19" i="4"/>
  <c r="L19" i="4"/>
  <c r="K19" i="4"/>
  <c r="J19" i="4"/>
  <c r="I19" i="4"/>
  <c r="G19" i="4"/>
  <c r="G22" i="4" s="1"/>
  <c r="F19" i="4"/>
  <c r="F22" i="4" s="1"/>
  <c r="D19" i="4"/>
  <c r="I18" i="4"/>
  <c r="F18" i="4"/>
  <c r="O17" i="4"/>
  <c r="N17" i="4"/>
  <c r="M17" i="4"/>
  <c r="L17" i="4"/>
  <c r="K17" i="4"/>
  <c r="J17" i="4"/>
  <c r="I17" i="4"/>
  <c r="H17" i="4"/>
  <c r="G17" i="4"/>
  <c r="H52" i="5" s="1"/>
  <c r="F17" i="4"/>
  <c r="G52" i="5" s="1"/>
  <c r="E17" i="4"/>
  <c r="D17" i="4"/>
  <c r="O16" i="4"/>
  <c r="N16" i="4"/>
  <c r="M16" i="4"/>
  <c r="L16" i="4"/>
  <c r="K16" i="4"/>
  <c r="J16" i="4"/>
  <c r="I16" i="4"/>
  <c r="H16" i="4"/>
  <c r="P16" i="4" s="1"/>
  <c r="G16" i="4"/>
  <c r="F16" i="4"/>
  <c r="E16" i="4"/>
  <c r="D16" i="4"/>
  <c r="O15" i="4"/>
  <c r="N15" i="4"/>
  <c r="N18" i="4" s="1"/>
  <c r="M15" i="4"/>
  <c r="L15" i="4"/>
  <c r="K15" i="4"/>
  <c r="J15" i="4"/>
  <c r="I15" i="4"/>
  <c r="H15" i="4"/>
  <c r="G15" i="4"/>
  <c r="F15" i="4"/>
  <c r="F27" i="4" s="1"/>
  <c r="E15" i="4"/>
  <c r="D15" i="4"/>
  <c r="E47" i="5" s="1"/>
  <c r="O14" i="4"/>
  <c r="N14" i="4"/>
  <c r="O42" i="5" s="1"/>
  <c r="M14" i="4"/>
  <c r="L14" i="4"/>
  <c r="K14" i="4"/>
  <c r="L43" i="5" s="1"/>
  <c r="J14" i="4"/>
  <c r="I14" i="4"/>
  <c r="H14" i="4"/>
  <c r="G14" i="4"/>
  <c r="F14" i="4"/>
  <c r="E14" i="4"/>
  <c r="D14" i="4"/>
  <c r="O13" i="4"/>
  <c r="N13" i="4"/>
  <c r="M13" i="4"/>
  <c r="L13" i="4"/>
  <c r="K13" i="4"/>
  <c r="J13" i="4"/>
  <c r="G13" i="4"/>
  <c r="F13" i="4"/>
  <c r="G37" i="5" s="1"/>
  <c r="E13" i="4"/>
  <c r="F36" i="5" s="1"/>
  <c r="D13" i="4"/>
  <c r="N12" i="4"/>
  <c r="M12" i="4"/>
  <c r="N35" i="5" s="1"/>
  <c r="L12" i="4"/>
  <c r="K12" i="4"/>
  <c r="L33" i="5" s="1"/>
  <c r="F12" i="4"/>
  <c r="E12" i="4"/>
  <c r="D12" i="4"/>
  <c r="J11" i="4"/>
  <c r="O10" i="4"/>
  <c r="N10" i="4"/>
  <c r="M10" i="4"/>
  <c r="N27" i="5" s="1"/>
  <c r="L10" i="4"/>
  <c r="M27" i="5" s="1"/>
  <c r="K10" i="4"/>
  <c r="L30" i="5" s="1"/>
  <c r="J10" i="4"/>
  <c r="K30" i="5" s="1"/>
  <c r="I10" i="4"/>
  <c r="J27" i="5" s="1"/>
  <c r="H10" i="4"/>
  <c r="G10" i="4"/>
  <c r="F10" i="4"/>
  <c r="E10" i="4"/>
  <c r="F27" i="5" s="1"/>
  <c r="D10" i="4"/>
  <c r="E30" i="5" s="1"/>
  <c r="C10" i="4"/>
  <c r="O9" i="4"/>
  <c r="N9" i="4"/>
  <c r="N28" i="4" s="1"/>
  <c r="M9" i="4"/>
  <c r="M28" i="4" s="1"/>
  <c r="L9" i="4"/>
  <c r="L28" i="4" s="1"/>
  <c r="K9" i="4"/>
  <c r="K28" i="4" s="1"/>
  <c r="J9" i="4"/>
  <c r="I9" i="4"/>
  <c r="H9" i="4"/>
  <c r="H28" i="4" s="1"/>
  <c r="G9" i="4"/>
  <c r="G28" i="4" s="1"/>
  <c r="F9" i="4"/>
  <c r="F28" i="4" s="1"/>
  <c r="E9" i="4"/>
  <c r="E28" i="4" s="1"/>
  <c r="D9" i="4"/>
  <c r="O8" i="4"/>
  <c r="P22" i="5" s="1"/>
  <c r="N8" i="4"/>
  <c r="M8" i="4"/>
  <c r="N20" i="5" s="1"/>
  <c r="L8" i="4"/>
  <c r="L11" i="4" s="1"/>
  <c r="K8" i="4"/>
  <c r="L22" i="5" s="1"/>
  <c r="J8" i="4"/>
  <c r="I8" i="4"/>
  <c r="I27" i="4" s="1"/>
  <c r="H8" i="4"/>
  <c r="H27" i="4" s="1"/>
  <c r="G8" i="4"/>
  <c r="F8" i="4"/>
  <c r="E8" i="4"/>
  <c r="F20" i="5" s="1"/>
  <c r="D8" i="4"/>
  <c r="O7" i="4"/>
  <c r="N7" i="4"/>
  <c r="O19" i="5" s="1"/>
  <c r="M7" i="4"/>
  <c r="L7" i="4"/>
  <c r="K7" i="4"/>
  <c r="F7" i="4"/>
  <c r="D7" i="4"/>
  <c r="E17" i="5" s="1"/>
  <c r="O6" i="4"/>
  <c r="N6" i="4"/>
  <c r="M6" i="4"/>
  <c r="L6" i="4"/>
  <c r="K6" i="4"/>
  <c r="F6" i="4"/>
  <c r="D6" i="4"/>
  <c r="N5" i="4"/>
  <c r="O9" i="5" s="1"/>
  <c r="M5" i="4"/>
  <c r="M11" i="4" s="1"/>
  <c r="L5" i="4"/>
  <c r="K5" i="4"/>
  <c r="F5" i="4"/>
  <c r="G9" i="5" s="1"/>
  <c r="D5" i="4"/>
  <c r="O4" i="4"/>
  <c r="N4" i="4"/>
  <c r="M4" i="4"/>
  <c r="L4" i="4"/>
  <c r="L24" i="4" s="1"/>
  <c r="K4" i="4"/>
  <c r="J4" i="4"/>
  <c r="J24" i="4" s="1"/>
  <c r="I4" i="4"/>
  <c r="H4" i="4"/>
  <c r="E4" i="4"/>
  <c r="D4" i="4"/>
  <c r="E6" i="5" s="1"/>
  <c r="G63" i="3"/>
  <c r="J61" i="3"/>
  <c r="O57" i="3"/>
  <c r="L57" i="3"/>
  <c r="K57" i="3"/>
  <c r="M56" i="3"/>
  <c r="D56" i="3"/>
  <c r="F55" i="3"/>
  <c r="O54" i="3"/>
  <c r="K53" i="3"/>
  <c r="J53" i="3"/>
  <c r="O50" i="3"/>
  <c r="N50" i="3"/>
  <c r="N53" i="3" s="1"/>
  <c r="M50" i="3"/>
  <c r="M53" i="3" s="1"/>
  <c r="L50" i="3"/>
  <c r="L53" i="3" s="1"/>
  <c r="K50" i="3"/>
  <c r="J50" i="3"/>
  <c r="I50" i="3"/>
  <c r="H50" i="3"/>
  <c r="H53" i="3" s="1"/>
  <c r="G50" i="3"/>
  <c r="F50" i="3"/>
  <c r="F53" i="3" s="1"/>
  <c r="E50" i="3"/>
  <c r="E53" i="3" s="1"/>
  <c r="D50" i="3"/>
  <c r="O49" i="3"/>
  <c r="N49" i="3"/>
  <c r="M49" i="3"/>
  <c r="L49" i="3"/>
  <c r="K49" i="3"/>
  <c r="K63" i="3" s="1"/>
  <c r="J49" i="3"/>
  <c r="G49" i="3"/>
  <c r="F49" i="3"/>
  <c r="D49" i="3"/>
  <c r="O48" i="3"/>
  <c r="N48" i="3"/>
  <c r="M48" i="3"/>
  <c r="L48" i="3"/>
  <c r="K48" i="3"/>
  <c r="J48" i="3"/>
  <c r="G48" i="3"/>
  <c r="F48" i="3"/>
  <c r="E48" i="3"/>
  <c r="D48" i="3"/>
  <c r="O47" i="3"/>
  <c r="O46" i="3" s="1"/>
  <c r="N47" i="3"/>
  <c r="M47" i="3"/>
  <c r="M55" i="3" s="1"/>
  <c r="L47" i="3"/>
  <c r="L46" i="3" s="1"/>
  <c r="K47" i="3"/>
  <c r="K46" i="3" s="1"/>
  <c r="F47" i="3"/>
  <c r="E47" i="3"/>
  <c r="D47" i="3"/>
  <c r="D46" i="3" s="1"/>
  <c r="N46" i="3"/>
  <c r="F46" i="3"/>
  <c r="E45" i="3"/>
  <c r="P44" i="3"/>
  <c r="O41" i="3"/>
  <c r="O53" i="3" s="1"/>
  <c r="N41" i="3"/>
  <c r="M41" i="3"/>
  <c r="L41" i="3"/>
  <c r="K41" i="3"/>
  <c r="J41" i="3"/>
  <c r="I41" i="3"/>
  <c r="H41" i="3"/>
  <c r="G41" i="3"/>
  <c r="G53" i="3" s="1"/>
  <c r="F41" i="3"/>
  <c r="E41" i="3"/>
  <c r="D41" i="3"/>
  <c r="D53" i="3" s="1"/>
  <c r="O40" i="3"/>
  <c r="O63" i="3" s="1"/>
  <c r="N40" i="3"/>
  <c r="N63" i="3" s="1"/>
  <c r="M40" i="3"/>
  <c r="L40" i="3"/>
  <c r="L63" i="3" s="1"/>
  <c r="K40" i="3"/>
  <c r="J40" i="3"/>
  <c r="I40" i="3"/>
  <c r="G40" i="3"/>
  <c r="G57" i="3" s="1"/>
  <c r="F40" i="3"/>
  <c r="F63" i="3" s="1"/>
  <c r="D40" i="3"/>
  <c r="D63" i="3" s="1"/>
  <c r="O39" i="3"/>
  <c r="N39" i="3"/>
  <c r="N56" i="3" s="1"/>
  <c r="M39" i="3"/>
  <c r="L39" i="3"/>
  <c r="L56" i="3" s="1"/>
  <c r="K39" i="3"/>
  <c r="K56" i="3" s="1"/>
  <c r="I39" i="3"/>
  <c r="G39" i="3"/>
  <c r="F39" i="3"/>
  <c r="F56" i="3" s="1"/>
  <c r="D39" i="3"/>
  <c r="N38" i="3"/>
  <c r="M38" i="3"/>
  <c r="M62" i="3" s="1"/>
  <c r="L38" i="3"/>
  <c r="L62" i="3" s="1"/>
  <c r="K38" i="3"/>
  <c r="K62" i="3" s="1"/>
  <c r="F38" i="3"/>
  <c r="D38" i="3"/>
  <c r="O37" i="3"/>
  <c r="O61" i="3" s="1"/>
  <c r="N37" i="3"/>
  <c r="N61" i="3" s="1"/>
  <c r="M37" i="3"/>
  <c r="M61" i="3" s="1"/>
  <c r="L37" i="3"/>
  <c r="L54" i="3" s="1"/>
  <c r="K37" i="3"/>
  <c r="K61" i="3" s="1"/>
  <c r="J37" i="3"/>
  <c r="J54" i="3" s="1"/>
  <c r="I37" i="3"/>
  <c r="I54" i="3" s="1"/>
  <c r="H37" i="3"/>
  <c r="H61" i="3" s="1"/>
  <c r="E37" i="3"/>
  <c r="E61" i="3" s="1"/>
  <c r="D37" i="3"/>
  <c r="D54" i="3" s="1"/>
  <c r="N36" i="3"/>
  <c r="M36" i="3"/>
  <c r="K36" i="3"/>
  <c r="G35" i="3"/>
  <c r="P34" i="3"/>
  <c r="N32" i="3"/>
  <c r="O31" i="3"/>
  <c r="N31" i="3"/>
  <c r="M31" i="3"/>
  <c r="L31" i="3"/>
  <c r="K31" i="3"/>
  <c r="J31" i="3"/>
  <c r="I31" i="3"/>
  <c r="H31" i="3"/>
  <c r="G31" i="3"/>
  <c r="F31" i="3"/>
  <c r="E31" i="3"/>
  <c r="D31" i="3"/>
  <c r="P31" i="3" s="1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O29" i="3"/>
  <c r="N29" i="3"/>
  <c r="M29" i="3"/>
  <c r="L29" i="3"/>
  <c r="K29" i="3"/>
  <c r="J29" i="3"/>
  <c r="I29" i="3"/>
  <c r="H29" i="3"/>
  <c r="G29" i="3"/>
  <c r="F29" i="3"/>
  <c r="E29" i="3"/>
  <c r="P29" i="3" s="1"/>
  <c r="D29" i="3"/>
  <c r="O28" i="3"/>
  <c r="N28" i="3"/>
  <c r="M28" i="3"/>
  <c r="L28" i="3"/>
  <c r="K28" i="3"/>
  <c r="J28" i="3"/>
  <c r="H28" i="3"/>
  <c r="F28" i="3"/>
  <c r="D28" i="3"/>
  <c r="O27" i="3"/>
  <c r="O32" i="3" s="1"/>
  <c r="N27" i="3"/>
  <c r="M27" i="3"/>
  <c r="L27" i="3"/>
  <c r="K27" i="3"/>
  <c r="K32" i="3" s="1"/>
  <c r="F27" i="3"/>
  <c r="E27" i="3"/>
  <c r="D27" i="3"/>
  <c r="O26" i="3"/>
  <c r="O36" i="3" s="1"/>
  <c r="N26" i="3"/>
  <c r="M26" i="3"/>
  <c r="M32" i="3" s="1"/>
  <c r="L26" i="3"/>
  <c r="L36" i="3" s="1"/>
  <c r="K26" i="3"/>
  <c r="D26" i="3"/>
  <c r="D36" i="3" s="1"/>
  <c r="L24" i="3"/>
  <c r="D24" i="3"/>
  <c r="O22" i="3"/>
  <c r="N22" i="3"/>
  <c r="M22" i="3"/>
  <c r="L22" i="3"/>
  <c r="K22" i="3"/>
  <c r="G22" i="3"/>
  <c r="F22" i="3"/>
  <c r="D22" i="3"/>
  <c r="J21" i="3"/>
  <c r="J22" i="3" s="1"/>
  <c r="I21" i="3"/>
  <c r="I21" i="4" s="1"/>
  <c r="H21" i="3"/>
  <c r="H21" i="4" s="1"/>
  <c r="E21" i="3"/>
  <c r="E21" i="4" s="1"/>
  <c r="P21" i="4" s="1"/>
  <c r="P20" i="3"/>
  <c r="I19" i="3"/>
  <c r="H19" i="3"/>
  <c r="H19" i="4" s="1"/>
  <c r="E19" i="3"/>
  <c r="E19" i="4" s="1"/>
  <c r="N18" i="3"/>
  <c r="N24" i="3" s="1"/>
  <c r="M18" i="3"/>
  <c r="L18" i="3"/>
  <c r="K18" i="3"/>
  <c r="F18" i="3"/>
  <c r="F24" i="3" s="1"/>
  <c r="E18" i="3"/>
  <c r="D18" i="3"/>
  <c r="P17" i="3"/>
  <c r="P15" i="3"/>
  <c r="P14" i="3"/>
  <c r="I13" i="3"/>
  <c r="I13" i="4" s="1"/>
  <c r="H13" i="3"/>
  <c r="H13" i="4" s="1"/>
  <c r="P12" i="3"/>
  <c r="O12" i="3"/>
  <c r="O12" i="4" s="1"/>
  <c r="J12" i="3"/>
  <c r="J12" i="4" s="1"/>
  <c r="I12" i="3"/>
  <c r="I12" i="4" s="1"/>
  <c r="J33" i="5" s="1"/>
  <c r="H12" i="3"/>
  <c r="H12" i="4" s="1"/>
  <c r="I32" i="5" s="1"/>
  <c r="G12" i="3"/>
  <c r="G12" i="4" s="1"/>
  <c r="E12" i="3"/>
  <c r="E39" i="3" s="1"/>
  <c r="E56" i="3" s="1"/>
  <c r="O11" i="3"/>
  <c r="N11" i="3"/>
  <c r="M11" i="3"/>
  <c r="M24" i="3" s="1"/>
  <c r="L11" i="3"/>
  <c r="K11" i="3"/>
  <c r="K24" i="3" s="1"/>
  <c r="F11" i="3"/>
  <c r="D11" i="3"/>
  <c r="P10" i="3"/>
  <c r="P8" i="3"/>
  <c r="J7" i="3"/>
  <c r="J7" i="4" s="1"/>
  <c r="I7" i="3"/>
  <c r="I28" i="3" s="1"/>
  <c r="H7" i="3"/>
  <c r="H7" i="4" s="1"/>
  <c r="I19" i="5" s="1"/>
  <c r="G7" i="3"/>
  <c r="G28" i="3" s="1"/>
  <c r="E7" i="3"/>
  <c r="E7" i="4" s="1"/>
  <c r="F18" i="5" s="1"/>
  <c r="J6" i="3"/>
  <c r="J6" i="4" s="1"/>
  <c r="I6" i="3"/>
  <c r="I6" i="4" s="1"/>
  <c r="H6" i="3"/>
  <c r="H6" i="4" s="1"/>
  <c r="I12" i="5" s="1"/>
  <c r="G6" i="3"/>
  <c r="G6" i="4" s="1"/>
  <c r="E6" i="3"/>
  <c r="E6" i="4" s="1"/>
  <c r="F15" i="5" s="1"/>
  <c r="F82" i="5" s="1"/>
  <c r="O5" i="3"/>
  <c r="O5" i="4" s="1"/>
  <c r="J5" i="3"/>
  <c r="J5" i="4" s="1"/>
  <c r="I5" i="3"/>
  <c r="I38" i="3" s="1"/>
  <c r="H5" i="3"/>
  <c r="H38" i="3" s="1"/>
  <c r="G5" i="3"/>
  <c r="G5" i="4" s="1"/>
  <c r="E5" i="3"/>
  <c r="E5" i="4" s="1"/>
  <c r="F10" i="5" s="1"/>
  <c r="G4" i="3"/>
  <c r="G4" i="4" s="1"/>
  <c r="F4" i="3"/>
  <c r="P4" i="3" s="1"/>
  <c r="O1" i="3"/>
  <c r="N1" i="3"/>
  <c r="N10" i="2"/>
  <c r="M10" i="2"/>
  <c r="L10" i="2"/>
  <c r="K10" i="2"/>
  <c r="J10" i="2"/>
  <c r="I10" i="2"/>
  <c r="H10" i="2"/>
  <c r="G10" i="2"/>
  <c r="F10" i="2"/>
  <c r="H5" i="6" s="1"/>
  <c r="E10" i="2"/>
  <c r="G5" i="6" s="1"/>
  <c r="D10" i="2"/>
  <c r="F5" i="6" s="1"/>
  <c r="C10" i="2"/>
  <c r="E5" i="6" s="1"/>
  <c r="O9" i="2"/>
  <c r="O7" i="2"/>
  <c r="O6" i="2"/>
  <c r="P50" i="3" s="1"/>
  <c r="O5" i="2"/>
  <c r="O4" i="2"/>
  <c r="O10" i="2" s="1"/>
  <c r="B41" i="1"/>
  <c r="B35" i="1"/>
  <c r="B29" i="1"/>
  <c r="L26" i="1"/>
  <c r="L21" i="1" s="1"/>
  <c r="I26" i="1"/>
  <c r="J26" i="1" s="1"/>
  <c r="H26" i="1"/>
  <c r="L25" i="1"/>
  <c r="M25" i="1" s="1"/>
  <c r="H25" i="1"/>
  <c r="I25" i="1" s="1"/>
  <c r="J25" i="1" s="1"/>
  <c r="N24" i="1"/>
  <c r="O24" i="1" s="1"/>
  <c r="M24" i="1"/>
  <c r="L24" i="1"/>
  <c r="M42" i="5" s="1"/>
  <c r="H24" i="1"/>
  <c r="I24" i="1" s="1"/>
  <c r="O23" i="1"/>
  <c r="O21" i="1" s="1"/>
  <c r="L23" i="1"/>
  <c r="M23" i="1" s="1"/>
  <c r="H23" i="1"/>
  <c r="H21" i="1" s="1"/>
  <c r="K21" i="1"/>
  <c r="G21" i="1"/>
  <c r="O20" i="1"/>
  <c r="I20" i="1"/>
  <c r="J20" i="1" s="1"/>
  <c r="H20" i="1"/>
  <c r="O19" i="1"/>
  <c r="M19" i="1"/>
  <c r="L19" i="1"/>
  <c r="J19" i="1"/>
  <c r="I19" i="1"/>
  <c r="H19" i="1"/>
  <c r="O18" i="1"/>
  <c r="M18" i="1"/>
  <c r="I18" i="1"/>
  <c r="J18" i="1" s="1"/>
  <c r="H18" i="1"/>
  <c r="O17" i="1"/>
  <c r="O15" i="1" s="1"/>
  <c r="M17" i="1"/>
  <c r="M15" i="1" s="1"/>
  <c r="L17" i="1"/>
  <c r="H17" i="1"/>
  <c r="H15" i="1" s="1"/>
  <c r="D16" i="1"/>
  <c r="D22" i="1" s="1"/>
  <c r="D28" i="1" s="1"/>
  <c r="D34" i="1" s="1"/>
  <c r="D40" i="1" s="1"/>
  <c r="N15" i="1"/>
  <c r="L15" i="1"/>
  <c r="K15" i="1"/>
  <c r="G15" i="1"/>
  <c r="M12" i="1"/>
  <c r="L12" i="1"/>
  <c r="O10" i="1"/>
  <c r="M10" i="1"/>
  <c r="M8" i="1" s="1"/>
  <c r="L10" i="1"/>
  <c r="J10" i="1"/>
  <c r="J8" i="1" s="1"/>
  <c r="E9" i="1"/>
  <c r="E16" i="1" s="1"/>
  <c r="E22" i="1" s="1"/>
  <c r="E28" i="1" s="1"/>
  <c r="E34" i="1" s="1"/>
  <c r="E40" i="1" s="1"/>
  <c r="D9" i="1"/>
  <c r="O8" i="1"/>
  <c r="N8" i="1"/>
  <c r="L8" i="1"/>
  <c r="K8" i="1"/>
  <c r="I8" i="1"/>
  <c r="H8" i="1"/>
  <c r="G8" i="1"/>
  <c r="F8" i="1"/>
  <c r="E8" i="1"/>
  <c r="D8" i="1"/>
  <c r="J7" i="1"/>
  <c r="I7" i="1"/>
  <c r="F7" i="1"/>
  <c r="E7" i="1"/>
  <c r="I6" i="1"/>
  <c r="J6" i="1" s="1"/>
  <c r="H6" i="1"/>
  <c r="E6" i="1"/>
  <c r="F6" i="1" s="1"/>
  <c r="I5" i="1"/>
  <c r="J5" i="5" s="1"/>
  <c r="J74" i="5" s="1"/>
  <c r="F5" i="1"/>
  <c r="E5" i="1"/>
  <c r="L4" i="1"/>
  <c r="H4" i="1"/>
  <c r="H2" i="1" s="1"/>
  <c r="E4" i="1"/>
  <c r="E2" i="1" s="1"/>
  <c r="E3" i="1"/>
  <c r="F3" i="1" s="1"/>
  <c r="G2" i="1"/>
  <c r="D2" i="1"/>
  <c r="I69" i="5" l="1"/>
  <c r="I66" i="5"/>
  <c r="I68" i="5"/>
  <c r="I67" i="5"/>
  <c r="J30" i="4"/>
  <c r="H33" i="5"/>
  <c r="H34" i="5"/>
  <c r="H35" i="5"/>
  <c r="G18" i="4"/>
  <c r="H32" i="5"/>
  <c r="I37" i="5"/>
  <c r="I39" i="5"/>
  <c r="I38" i="5"/>
  <c r="I36" i="5"/>
  <c r="I40" i="5"/>
  <c r="I89" i="5" s="1"/>
  <c r="K64" i="3"/>
  <c r="D26" i="5"/>
  <c r="D29" i="5"/>
  <c r="D34" i="5" s="1"/>
  <c r="D38" i="5" s="1"/>
  <c r="O24" i="3"/>
  <c r="K33" i="5"/>
  <c r="F9" i="1"/>
  <c r="F16" i="1" s="1"/>
  <c r="F22" i="1" s="1"/>
  <c r="F28" i="1" s="1"/>
  <c r="F34" i="1" s="1"/>
  <c r="F40" i="1" s="1"/>
  <c r="G3" i="1"/>
  <c r="K6" i="5"/>
  <c r="K75" i="5" s="1"/>
  <c r="K6" i="1"/>
  <c r="L6" i="1" s="1"/>
  <c r="M6" i="1" s="1"/>
  <c r="N6" i="1" s="1"/>
  <c r="O6" i="1" s="1"/>
  <c r="M21" i="1"/>
  <c r="F102" i="5"/>
  <c r="P33" i="5"/>
  <c r="P34" i="5"/>
  <c r="P32" i="5"/>
  <c r="P35" i="5"/>
  <c r="O18" i="4"/>
  <c r="D42" i="3"/>
  <c r="E35" i="3" s="1"/>
  <c r="J42" i="5"/>
  <c r="J24" i="1"/>
  <c r="M64" i="3"/>
  <c r="H13" i="5"/>
  <c r="H14" i="5"/>
  <c r="H12" i="5"/>
  <c r="G25" i="4"/>
  <c r="H15" i="5"/>
  <c r="H82" i="5" s="1"/>
  <c r="N42" i="5"/>
  <c r="N43" i="5"/>
  <c r="N41" i="5"/>
  <c r="N44" i="5"/>
  <c r="M63" i="5"/>
  <c r="M64" i="5"/>
  <c r="M62" i="5"/>
  <c r="M65" i="5"/>
  <c r="M96" i="5" s="1"/>
  <c r="M61" i="5"/>
  <c r="K67" i="5"/>
  <c r="K69" i="5"/>
  <c r="K18" i="5"/>
  <c r="K19" i="5"/>
  <c r="J26" i="4"/>
  <c r="K17" i="5"/>
  <c r="D55" i="3"/>
  <c r="J57" i="3"/>
  <c r="H48" i="3"/>
  <c r="H54" i="3"/>
  <c r="E20" i="5"/>
  <c r="P8" i="4"/>
  <c r="D27" i="4"/>
  <c r="E21" i="5"/>
  <c r="J58" i="5"/>
  <c r="J93" i="5" s="1"/>
  <c r="J60" i="5"/>
  <c r="J95" i="5" s="1"/>
  <c r="J59" i="5"/>
  <c r="I22" i="4"/>
  <c r="F61" i="5"/>
  <c r="F62" i="5"/>
  <c r="F63" i="5"/>
  <c r="F64" i="5"/>
  <c r="N61" i="5"/>
  <c r="N63" i="5"/>
  <c r="N64" i="5"/>
  <c r="N65" i="5"/>
  <c r="N96" i="5" s="1"/>
  <c r="B96" i="5" s="1"/>
  <c r="H25" i="4"/>
  <c r="N11" i="5"/>
  <c r="D27" i="5"/>
  <c r="D32" i="5" s="1"/>
  <c r="D36" i="5" s="1"/>
  <c r="F4" i="1"/>
  <c r="F2" i="1" s="1"/>
  <c r="J5" i="1"/>
  <c r="I17" i="1"/>
  <c r="J14" i="5"/>
  <c r="J15" i="5"/>
  <c r="J82" i="5" s="1"/>
  <c r="J102" i="5" s="1"/>
  <c r="J11" i="5"/>
  <c r="J13" i="5"/>
  <c r="P7" i="3"/>
  <c r="I11" i="3"/>
  <c r="J40" i="5"/>
  <c r="J89" i="5" s="1"/>
  <c r="J38" i="5"/>
  <c r="J37" i="5"/>
  <c r="J86" i="5" s="1"/>
  <c r="J39" i="5"/>
  <c r="J36" i="5"/>
  <c r="G18" i="3"/>
  <c r="O18" i="3"/>
  <c r="H22" i="3"/>
  <c r="F26" i="3"/>
  <c r="I27" i="3"/>
  <c r="E38" i="3"/>
  <c r="H39" i="3"/>
  <c r="H56" i="3" s="1"/>
  <c r="I48" i="3"/>
  <c r="I56" i="3" s="1"/>
  <c r="N57" i="3"/>
  <c r="I61" i="3"/>
  <c r="J63" i="3"/>
  <c r="K24" i="4"/>
  <c r="H5" i="4"/>
  <c r="G12" i="5"/>
  <c r="G79" i="5" s="1"/>
  <c r="G13" i="5"/>
  <c r="G80" i="5" s="1"/>
  <c r="G14" i="5"/>
  <c r="F25" i="4"/>
  <c r="G15" i="5"/>
  <c r="G82" i="5" s="1"/>
  <c r="G7" i="4"/>
  <c r="E32" i="5"/>
  <c r="E33" i="5"/>
  <c r="D18" i="4"/>
  <c r="E34" i="5"/>
  <c r="P12" i="4"/>
  <c r="K59" i="5"/>
  <c r="K60" i="5"/>
  <c r="K58" i="5"/>
  <c r="M22" i="4"/>
  <c r="I25" i="4"/>
  <c r="E74" i="5"/>
  <c r="G11" i="3"/>
  <c r="G24" i="3" s="1"/>
  <c r="H9" i="5"/>
  <c r="H10" i="5"/>
  <c r="G11" i="4"/>
  <c r="H8" i="5"/>
  <c r="H7" i="5"/>
  <c r="E26" i="3"/>
  <c r="E15" i="5"/>
  <c r="E11" i="5"/>
  <c r="E12" i="5"/>
  <c r="E13" i="5"/>
  <c r="Q13" i="5" s="1"/>
  <c r="P6" i="4"/>
  <c r="E14" i="5"/>
  <c r="D25" i="4"/>
  <c r="J67" i="5"/>
  <c r="J66" i="5"/>
  <c r="J69" i="5"/>
  <c r="J68" i="5"/>
  <c r="F62" i="3"/>
  <c r="K54" i="3"/>
  <c r="D57" i="3"/>
  <c r="L15" i="5"/>
  <c r="L82" i="5" s="1"/>
  <c r="L11" i="5"/>
  <c r="L12" i="5"/>
  <c r="L14" i="5"/>
  <c r="F32" i="5"/>
  <c r="F33" i="5"/>
  <c r="E18" i="4"/>
  <c r="F34" i="5"/>
  <c r="F35" i="5"/>
  <c r="P65" i="5"/>
  <c r="P96" i="5" s="1"/>
  <c r="P62" i="5"/>
  <c r="P64" i="5"/>
  <c r="P63" i="5"/>
  <c r="K25" i="4"/>
  <c r="I4" i="1"/>
  <c r="I23" i="1"/>
  <c r="K10" i="5"/>
  <c r="K8" i="5"/>
  <c r="K9" i="5"/>
  <c r="P6" i="3"/>
  <c r="P47" i="3" s="1"/>
  <c r="I34" i="5"/>
  <c r="I35" i="5"/>
  <c r="I33" i="5"/>
  <c r="H18" i="4"/>
  <c r="I18" i="3"/>
  <c r="F59" i="5"/>
  <c r="F60" i="5"/>
  <c r="F58" i="5"/>
  <c r="H26" i="3"/>
  <c r="P26" i="3"/>
  <c r="G38" i="3"/>
  <c r="O38" i="3"/>
  <c r="J39" i="3"/>
  <c r="J56" i="3" s="1"/>
  <c r="E40" i="3"/>
  <c r="M63" i="3"/>
  <c r="M57" i="3"/>
  <c r="P41" i="3"/>
  <c r="M46" i="3"/>
  <c r="M51" i="3" s="1"/>
  <c r="N45" i="3" s="1"/>
  <c r="N51" i="3" s="1"/>
  <c r="O45" i="3" s="1"/>
  <c r="O51" i="3" s="1"/>
  <c r="H47" i="3"/>
  <c r="I53" i="3"/>
  <c r="P53" i="3" s="1"/>
  <c r="M54" i="3"/>
  <c r="M58" i="3" s="1"/>
  <c r="F57" i="3"/>
  <c r="L61" i="3"/>
  <c r="L64" i="3" s="1"/>
  <c r="E75" i="5"/>
  <c r="N4" i="5"/>
  <c r="N73" i="5" s="1"/>
  <c r="N6" i="5"/>
  <c r="N75" i="5" s="1"/>
  <c r="L7" i="5"/>
  <c r="L8" i="5"/>
  <c r="L9" i="5"/>
  <c r="K11" i="4"/>
  <c r="M15" i="5"/>
  <c r="M82" i="5" s="1"/>
  <c r="M11" i="5"/>
  <c r="M12" i="5"/>
  <c r="L25" i="4"/>
  <c r="L30" i="4" s="1"/>
  <c r="M13" i="5"/>
  <c r="G27" i="5"/>
  <c r="G29" i="5"/>
  <c r="F29" i="4"/>
  <c r="P29" i="4" s="1"/>
  <c r="O27" i="5"/>
  <c r="O29" i="5"/>
  <c r="O30" i="5"/>
  <c r="N29" i="4"/>
  <c r="F46" i="5"/>
  <c r="F47" i="5"/>
  <c r="F45" i="5"/>
  <c r="N46" i="5"/>
  <c r="N47" i="5"/>
  <c r="N45" i="5"/>
  <c r="L52" i="5"/>
  <c r="L54" i="5"/>
  <c r="L55" i="5"/>
  <c r="M60" i="5"/>
  <c r="M57" i="5"/>
  <c r="M58" i="5"/>
  <c r="L22" i="4"/>
  <c r="P82" i="5"/>
  <c r="P102" i="5" s="1"/>
  <c r="E22" i="5"/>
  <c r="N62" i="5"/>
  <c r="K68" i="5"/>
  <c r="P5" i="4"/>
  <c r="K37" i="5"/>
  <c r="K38" i="5"/>
  <c r="K39" i="5"/>
  <c r="K36" i="5"/>
  <c r="K40" i="5"/>
  <c r="K89" i="5" s="1"/>
  <c r="M26" i="1"/>
  <c r="I13" i="5"/>
  <c r="I14" i="5"/>
  <c r="I15" i="5"/>
  <c r="I82" i="5" s="1"/>
  <c r="I11" i="5"/>
  <c r="H27" i="3"/>
  <c r="G56" i="3"/>
  <c r="M20" i="5"/>
  <c r="M22" i="5"/>
  <c r="L27" i="4"/>
  <c r="K14" i="5"/>
  <c r="K15" i="5"/>
  <c r="K82" i="5" s="1"/>
  <c r="K11" i="5"/>
  <c r="K12" i="5"/>
  <c r="J25" i="4"/>
  <c r="P13" i="3"/>
  <c r="P48" i="3" s="1"/>
  <c r="D58" i="4"/>
  <c r="D60" i="4" s="1"/>
  <c r="O88" i="5"/>
  <c r="N21" i="1"/>
  <c r="P9" i="5"/>
  <c r="P10" i="5"/>
  <c r="O11" i="4"/>
  <c r="F19" i="5"/>
  <c r="F16" i="5"/>
  <c r="F17" i="5"/>
  <c r="E26" i="4"/>
  <c r="J34" i="5"/>
  <c r="J35" i="5"/>
  <c r="J32" i="5"/>
  <c r="J18" i="3"/>
  <c r="I58" i="5"/>
  <c r="I93" i="5" s="1"/>
  <c r="I59" i="5"/>
  <c r="I60" i="5"/>
  <c r="I95" i="5" s="1"/>
  <c r="H22" i="4"/>
  <c r="I57" i="5"/>
  <c r="P21" i="3"/>
  <c r="P49" i="3" s="1"/>
  <c r="I26" i="3"/>
  <c r="I47" i="3"/>
  <c r="I46" i="3" s="1"/>
  <c r="N54" i="3"/>
  <c r="K55" i="3"/>
  <c r="D58" i="3"/>
  <c r="F4" i="5"/>
  <c r="F73" i="5" s="1"/>
  <c r="F5" i="5"/>
  <c r="F74" i="5" s="1"/>
  <c r="O6" i="5"/>
  <c r="O75" i="5" s="1"/>
  <c r="M18" i="5"/>
  <c r="P9" i="4"/>
  <c r="H27" i="5"/>
  <c r="H29" i="5"/>
  <c r="H30" i="5"/>
  <c r="P27" i="5"/>
  <c r="P29" i="5"/>
  <c r="P30" i="5"/>
  <c r="P40" i="5"/>
  <c r="P89" i="5" s="1"/>
  <c r="P37" i="5"/>
  <c r="P38" i="5"/>
  <c r="P39" i="5"/>
  <c r="P36" i="5"/>
  <c r="K42" i="5"/>
  <c r="K43" i="5"/>
  <c r="K44" i="5"/>
  <c r="G45" i="5"/>
  <c r="G47" i="5"/>
  <c r="Q47" i="5" s="1"/>
  <c r="O45" i="5"/>
  <c r="O46" i="5"/>
  <c r="O47" i="5"/>
  <c r="E54" i="5"/>
  <c r="E55" i="5"/>
  <c r="P17" i="4"/>
  <c r="M54" i="5"/>
  <c r="M52" i="5"/>
  <c r="M55" i="5"/>
  <c r="P66" i="5"/>
  <c r="P67" i="5"/>
  <c r="P68" i="5"/>
  <c r="P69" i="5"/>
  <c r="N27" i="4"/>
  <c r="G29" i="4"/>
  <c r="D46" i="4"/>
  <c r="D48" i="4" s="1"/>
  <c r="P7" i="5"/>
  <c r="K13" i="5"/>
  <c r="F57" i="5"/>
  <c r="F92" i="5" s="1"/>
  <c r="G6" i="6"/>
  <c r="G8" i="6" s="1"/>
  <c r="G7" i="6"/>
  <c r="H11" i="3"/>
  <c r="H24" i="3" s="1"/>
  <c r="L55" i="3"/>
  <c r="L58" i="3" s="1"/>
  <c r="G16" i="5"/>
  <c r="G17" i="5"/>
  <c r="G19" i="5"/>
  <c r="G18" i="5"/>
  <c r="I22" i="3"/>
  <c r="G26" i="3"/>
  <c r="E28" i="3"/>
  <c r="P28" i="3" s="1"/>
  <c r="N62" i="3"/>
  <c r="N64" i="3" s="1"/>
  <c r="I5" i="4"/>
  <c r="I24" i="4" s="1"/>
  <c r="H65" i="5"/>
  <c r="H96" i="5" s="1"/>
  <c r="H62" i="5"/>
  <c r="H61" i="5"/>
  <c r="H63" i="5"/>
  <c r="H64" i="5"/>
  <c r="M21" i="5"/>
  <c r="E7" i="6"/>
  <c r="E6" i="6"/>
  <c r="E8" i="6" s="1"/>
  <c r="H5" i="5"/>
  <c r="H74" i="5" s="1"/>
  <c r="G24" i="4"/>
  <c r="P5" i="3"/>
  <c r="P11" i="3" s="1"/>
  <c r="E11" i="3"/>
  <c r="K35" i="5"/>
  <c r="K34" i="5"/>
  <c r="J18" i="4"/>
  <c r="J26" i="3"/>
  <c r="D32" i="3"/>
  <c r="L32" i="3"/>
  <c r="F37" i="3"/>
  <c r="J47" i="3"/>
  <c r="J46" i="3" s="1"/>
  <c r="H49" i="3"/>
  <c r="E54" i="3"/>
  <c r="D61" i="3"/>
  <c r="F4" i="4"/>
  <c r="P6" i="5"/>
  <c r="P75" i="5" s="1"/>
  <c r="O12" i="5"/>
  <c r="O13" i="5"/>
  <c r="N25" i="4"/>
  <c r="O11" i="5"/>
  <c r="O78" i="5" s="1"/>
  <c r="O14" i="5"/>
  <c r="N18" i="5"/>
  <c r="J21" i="5"/>
  <c r="J22" i="5"/>
  <c r="D11" i="4"/>
  <c r="L86" i="5"/>
  <c r="H40" i="5"/>
  <c r="H89" i="5" s="1"/>
  <c r="H37" i="5"/>
  <c r="H38" i="5"/>
  <c r="H36" i="5"/>
  <c r="P13" i="4"/>
  <c r="L41" i="5"/>
  <c r="L42" i="5"/>
  <c r="L44" i="5"/>
  <c r="E60" i="5"/>
  <c r="E57" i="5"/>
  <c r="E58" i="5"/>
  <c r="E59" i="5"/>
  <c r="P19" i="4"/>
  <c r="D22" i="4"/>
  <c r="H66" i="5"/>
  <c r="H69" i="5"/>
  <c r="H67" i="5"/>
  <c r="M24" i="4"/>
  <c r="F26" i="4"/>
  <c r="L29" i="4"/>
  <c r="H4" i="5"/>
  <c r="H73" i="5" s="1"/>
  <c r="F6" i="5"/>
  <c r="F75" i="5" s="1"/>
  <c r="D28" i="5"/>
  <c r="D33" i="5" s="1"/>
  <c r="D37" i="5" s="1"/>
  <c r="D25" i="5"/>
  <c r="L10" i="5"/>
  <c r="L13" i="5"/>
  <c r="Q45" i="5"/>
  <c r="F65" i="5"/>
  <c r="F96" i="5" s="1"/>
  <c r="F8" i="5"/>
  <c r="F9" i="5"/>
  <c r="E11" i="4"/>
  <c r="F7" i="5"/>
  <c r="G27" i="3"/>
  <c r="P27" i="3" s="1"/>
  <c r="P17" i="5"/>
  <c r="P79" i="5" s="1"/>
  <c r="P18" i="5"/>
  <c r="P16" i="5"/>
  <c r="P19" i="5"/>
  <c r="O26" i="4"/>
  <c r="P26" i="5"/>
  <c r="Q26" i="5" s="1"/>
  <c r="P23" i="5"/>
  <c r="Q23" i="5" s="1"/>
  <c r="P25" i="5"/>
  <c r="Q25" i="5" s="1"/>
  <c r="O28" i="4"/>
  <c r="P24" i="5"/>
  <c r="Q24" i="5" s="1"/>
  <c r="N32" i="5"/>
  <c r="N33" i="5"/>
  <c r="M18" i="4"/>
  <c r="N34" i="5"/>
  <c r="N87" i="5" s="1"/>
  <c r="B87" i="5" s="1"/>
  <c r="F42" i="5"/>
  <c r="F43" i="5"/>
  <c r="F41" i="5"/>
  <c r="F44" i="5"/>
  <c r="P14" i="4"/>
  <c r="E63" i="5"/>
  <c r="E64" i="5"/>
  <c r="E62" i="5"/>
  <c r="E61" i="5"/>
  <c r="E65" i="5"/>
  <c r="P20" i="4"/>
  <c r="J22" i="4"/>
  <c r="H11" i="5"/>
  <c r="H6" i="6"/>
  <c r="H8" i="6" s="1"/>
  <c r="H7" i="6"/>
  <c r="F69" i="5"/>
  <c r="F68" i="5"/>
  <c r="F67" i="5"/>
  <c r="F66" i="5"/>
  <c r="O56" i="3"/>
  <c r="J11" i="3"/>
  <c r="J24" i="3" s="1"/>
  <c r="H18" i="3"/>
  <c r="J27" i="3"/>
  <c r="G47" i="3"/>
  <c r="G46" i="3" s="1"/>
  <c r="E49" i="3"/>
  <c r="E46" i="3" s="1"/>
  <c r="E51" i="3" s="1"/>
  <c r="F45" i="3" s="1"/>
  <c r="F51" i="3" s="1"/>
  <c r="G45" i="3" s="1"/>
  <c r="G51" i="3" s="1"/>
  <c r="H45" i="3" s="1"/>
  <c r="I7" i="4"/>
  <c r="E24" i="4"/>
  <c r="P61" i="5"/>
  <c r="F6" i="6"/>
  <c r="F8" i="6" s="1"/>
  <c r="F7" i="6"/>
  <c r="F12" i="5"/>
  <c r="F13" i="5"/>
  <c r="F11" i="5"/>
  <c r="F14" i="5"/>
  <c r="F81" i="5" s="1"/>
  <c r="E25" i="4"/>
  <c r="I17" i="5"/>
  <c r="I18" i="5"/>
  <c r="H26" i="4"/>
  <c r="I16" i="5"/>
  <c r="P19" i="3"/>
  <c r="P22" i="3" s="1"/>
  <c r="E22" i="3"/>
  <c r="G37" i="3"/>
  <c r="J38" i="3"/>
  <c r="H40" i="3"/>
  <c r="P40" i="3"/>
  <c r="I49" i="3"/>
  <c r="I63" i="3" s="1"/>
  <c r="N55" i="3"/>
  <c r="I57" i="3"/>
  <c r="D62" i="3"/>
  <c r="I6" i="5"/>
  <c r="I75" i="5" s="1"/>
  <c r="I5" i="5"/>
  <c r="I74" i="5" s="1"/>
  <c r="I4" i="5"/>
  <c r="I73" i="5" s="1"/>
  <c r="P4" i="4"/>
  <c r="O16" i="5"/>
  <c r="O17" i="5"/>
  <c r="O18" i="5"/>
  <c r="O80" i="5" s="1"/>
  <c r="K22" i="5"/>
  <c r="K21" i="5"/>
  <c r="J27" i="4"/>
  <c r="J29" i="5"/>
  <c r="J30" i="5"/>
  <c r="I29" i="4"/>
  <c r="M32" i="5"/>
  <c r="M85" i="5" s="1"/>
  <c r="M33" i="5"/>
  <c r="M86" i="5" s="1"/>
  <c r="M35" i="5"/>
  <c r="L18" i="4"/>
  <c r="I45" i="5"/>
  <c r="I46" i="5"/>
  <c r="I47" i="5"/>
  <c r="P15" i="4"/>
  <c r="G54" i="5"/>
  <c r="G55" i="5"/>
  <c r="O54" i="5"/>
  <c r="O55" i="5"/>
  <c r="O52" i="5"/>
  <c r="O22" i="4"/>
  <c r="E22" i="4"/>
  <c r="N24" i="4"/>
  <c r="K26" i="4"/>
  <c r="D28" i="4"/>
  <c r="P28" i="4" s="1"/>
  <c r="H6" i="5"/>
  <c r="H75" i="5" s="1"/>
  <c r="G11" i="5"/>
  <c r="G78" i="5" s="1"/>
  <c r="D51" i="5"/>
  <c r="D55" i="5" s="1"/>
  <c r="D60" i="5" s="1"/>
  <c r="D64" i="5" s="1"/>
  <c r="D69" i="5" s="1"/>
  <c r="D81" i="5" s="1"/>
  <c r="D88" i="5" s="1"/>
  <c r="D95" i="5" s="1"/>
  <c r="D101" i="5" s="1"/>
  <c r="D44" i="5"/>
  <c r="J20" i="5"/>
  <c r="G30" i="5"/>
  <c r="Q30" i="5" s="1"/>
  <c r="L87" i="5"/>
  <c r="M59" i="5"/>
  <c r="N12" i="5"/>
  <c r="N13" i="5"/>
  <c r="I27" i="5"/>
  <c r="I29" i="5"/>
  <c r="I30" i="5"/>
  <c r="P10" i="4"/>
  <c r="G33" i="5"/>
  <c r="G34" i="5"/>
  <c r="O33" i="5"/>
  <c r="O86" i="5" s="1"/>
  <c r="O34" i="5"/>
  <c r="E43" i="5"/>
  <c r="E41" i="5"/>
  <c r="E42" i="5"/>
  <c r="Q42" i="5" s="1"/>
  <c r="E44" i="5"/>
  <c r="E88" i="5" s="1"/>
  <c r="M43" i="5"/>
  <c r="M44" i="5"/>
  <c r="H47" i="5"/>
  <c r="H46" i="5"/>
  <c r="H45" i="5"/>
  <c r="P47" i="5"/>
  <c r="P46" i="5"/>
  <c r="F52" i="5"/>
  <c r="Q52" i="5" s="1"/>
  <c r="F55" i="5"/>
  <c r="N52" i="5"/>
  <c r="N55" i="5"/>
  <c r="N54" i="5"/>
  <c r="L58" i="5"/>
  <c r="L59" i="5"/>
  <c r="L57" i="5"/>
  <c r="L92" i="5" s="1"/>
  <c r="G64" i="5"/>
  <c r="G61" i="5"/>
  <c r="G65" i="5"/>
  <c r="G96" i="5" s="1"/>
  <c r="G63" i="5"/>
  <c r="G62" i="5"/>
  <c r="O64" i="5"/>
  <c r="O95" i="5" s="1"/>
  <c r="O61" i="5"/>
  <c r="O65" i="5"/>
  <c r="O96" i="5" s="1"/>
  <c r="O63" i="5"/>
  <c r="O94" i="5" s="1"/>
  <c r="O24" i="4"/>
  <c r="M26" i="4"/>
  <c r="J6" i="5"/>
  <c r="J75" i="5" s="1"/>
  <c r="G10" i="5"/>
  <c r="L20" i="5"/>
  <c r="N21" i="5"/>
  <c r="E27" i="5"/>
  <c r="F29" i="5"/>
  <c r="Q29" i="5" s="1"/>
  <c r="F40" i="5"/>
  <c r="F89" i="5" s="1"/>
  <c r="E46" i="5"/>
  <c r="L60" i="5"/>
  <c r="O62" i="5"/>
  <c r="E8" i="5"/>
  <c r="E9" i="5"/>
  <c r="M8" i="5"/>
  <c r="M79" i="5" s="1"/>
  <c r="M9" i="5"/>
  <c r="P13" i="5"/>
  <c r="P14" i="5"/>
  <c r="L39" i="5"/>
  <c r="L40" i="5"/>
  <c r="L89" i="5" s="1"/>
  <c r="L37" i="5"/>
  <c r="L38" i="5"/>
  <c r="L36" i="5"/>
  <c r="G44" i="5"/>
  <c r="G41" i="5"/>
  <c r="G42" i="5"/>
  <c r="G43" i="5"/>
  <c r="O44" i="5"/>
  <c r="O41" i="5"/>
  <c r="J45" i="5"/>
  <c r="J47" i="5"/>
  <c r="J46" i="5"/>
  <c r="P52" i="5"/>
  <c r="P54" i="5"/>
  <c r="P55" i="5"/>
  <c r="N59" i="5"/>
  <c r="N60" i="5"/>
  <c r="N58" i="5"/>
  <c r="N93" i="5" s="1"/>
  <c r="B93" i="5" s="1"/>
  <c r="N57" i="5"/>
  <c r="N92" i="5" s="1"/>
  <c r="B92" i="5" s="1"/>
  <c r="I61" i="5"/>
  <c r="I62" i="5"/>
  <c r="I64" i="5"/>
  <c r="I63" i="5"/>
  <c r="L68" i="5"/>
  <c r="L66" i="5"/>
  <c r="L67" i="5"/>
  <c r="H29" i="4"/>
  <c r="L6" i="5"/>
  <c r="L75" i="5" s="1"/>
  <c r="M10" i="5"/>
  <c r="M81" i="5" s="1"/>
  <c r="F22" i="5"/>
  <c r="K27" i="5"/>
  <c r="L29" i="5"/>
  <c r="N30" i="5"/>
  <c r="O43" i="5"/>
  <c r="H54" i="5"/>
  <c r="H58" i="5"/>
  <c r="H93" i="5" s="1"/>
  <c r="N8" i="5"/>
  <c r="N9" i="5"/>
  <c r="N80" i="5" s="1"/>
  <c r="B80" i="5" s="1"/>
  <c r="L19" i="5"/>
  <c r="L16" i="5"/>
  <c r="G20" i="5"/>
  <c r="G21" i="5"/>
  <c r="O20" i="5"/>
  <c r="O21" i="5"/>
  <c r="F11" i="4"/>
  <c r="N11" i="4"/>
  <c r="E38" i="5"/>
  <c r="E39" i="5"/>
  <c r="E37" i="5"/>
  <c r="E40" i="5"/>
  <c r="E36" i="5"/>
  <c r="M38" i="5"/>
  <c r="M87" i="5" s="1"/>
  <c r="M39" i="5"/>
  <c r="M37" i="5"/>
  <c r="M36" i="5"/>
  <c r="M40" i="5"/>
  <c r="M89" i="5" s="1"/>
  <c r="H43" i="5"/>
  <c r="H44" i="5"/>
  <c r="H42" i="5"/>
  <c r="P43" i="5"/>
  <c r="P44" i="5"/>
  <c r="P42" i="5"/>
  <c r="P41" i="5"/>
  <c r="K46" i="5"/>
  <c r="K45" i="5"/>
  <c r="K47" i="5"/>
  <c r="I55" i="5"/>
  <c r="I54" i="5"/>
  <c r="I52" i="5"/>
  <c r="K18" i="4"/>
  <c r="G57" i="5"/>
  <c r="G92" i="5" s="1"/>
  <c r="G58" i="5"/>
  <c r="G59" i="5"/>
  <c r="G60" i="5"/>
  <c r="O57" i="5"/>
  <c r="O58" i="5"/>
  <c r="J65" i="5"/>
  <c r="J96" i="5" s="1"/>
  <c r="J63" i="5"/>
  <c r="J61" i="5"/>
  <c r="J62" i="5"/>
  <c r="J64" i="5"/>
  <c r="E67" i="5"/>
  <c r="Q67" i="5" s="1"/>
  <c r="E68" i="5"/>
  <c r="E66" i="5"/>
  <c r="E69" i="5"/>
  <c r="M67" i="5"/>
  <c r="M68" i="5"/>
  <c r="M66" i="5"/>
  <c r="M25" i="4"/>
  <c r="K27" i="4"/>
  <c r="L4" i="5"/>
  <c r="L73" i="5" s="1"/>
  <c r="M6" i="5"/>
  <c r="M75" i="5" s="1"/>
  <c r="N10" i="5"/>
  <c r="P11" i="5"/>
  <c r="L17" i="5"/>
  <c r="G22" i="5"/>
  <c r="L27" i="5"/>
  <c r="M29" i="5"/>
  <c r="G35" i="5"/>
  <c r="F38" i="5"/>
  <c r="H41" i="5"/>
  <c r="L69" i="5"/>
  <c r="E19" i="5"/>
  <c r="E81" i="5" s="1"/>
  <c r="E16" i="5"/>
  <c r="M19" i="5"/>
  <c r="M16" i="5"/>
  <c r="H20" i="5"/>
  <c r="H21" i="5"/>
  <c r="P20" i="5"/>
  <c r="P21" i="5"/>
  <c r="N37" i="5"/>
  <c r="N36" i="5"/>
  <c r="N38" i="5"/>
  <c r="N39" i="5"/>
  <c r="N88" i="5" s="1"/>
  <c r="B88" i="5" s="1"/>
  <c r="N40" i="5"/>
  <c r="N89" i="5" s="1"/>
  <c r="B89" i="5" s="1"/>
  <c r="I41" i="5"/>
  <c r="I85" i="5" s="1"/>
  <c r="I42" i="5"/>
  <c r="I43" i="5"/>
  <c r="I44" i="5"/>
  <c r="L45" i="5"/>
  <c r="L46" i="5"/>
  <c r="L47" i="5"/>
  <c r="J52" i="5"/>
  <c r="J54" i="5"/>
  <c r="H60" i="5"/>
  <c r="H57" i="5"/>
  <c r="H92" i="5" s="1"/>
  <c r="H59" i="5"/>
  <c r="H94" i="5" s="1"/>
  <c r="P60" i="5"/>
  <c r="P95" i="5" s="1"/>
  <c r="P57" i="5"/>
  <c r="P92" i="5" s="1"/>
  <c r="P59" i="5"/>
  <c r="P58" i="5"/>
  <c r="K62" i="5"/>
  <c r="K63" i="5"/>
  <c r="K61" i="5"/>
  <c r="K64" i="5"/>
  <c r="K65" i="5"/>
  <c r="K96" i="5" s="1"/>
  <c r="N69" i="5"/>
  <c r="N66" i="5"/>
  <c r="N67" i="5"/>
  <c r="N68" i="5"/>
  <c r="J29" i="4"/>
  <c r="E4" i="5"/>
  <c r="M4" i="5"/>
  <c r="M73" i="5" s="1"/>
  <c r="M7" i="5"/>
  <c r="O10" i="5"/>
  <c r="M17" i="5"/>
  <c r="F21" i="5"/>
  <c r="H22" i="5"/>
  <c r="N29" i="5"/>
  <c r="H55" i="5"/>
  <c r="M69" i="5"/>
  <c r="E168" i="5"/>
  <c r="Q107" i="5"/>
  <c r="N19" i="5"/>
  <c r="N16" i="5"/>
  <c r="N17" i="5"/>
  <c r="I21" i="5"/>
  <c r="I22" i="5"/>
  <c r="L35" i="5"/>
  <c r="L88" i="5" s="1"/>
  <c r="L32" i="5"/>
  <c r="G39" i="5"/>
  <c r="G40" i="5"/>
  <c r="G89" i="5" s="1"/>
  <c r="G38" i="5"/>
  <c r="O39" i="5"/>
  <c r="O36" i="5"/>
  <c r="O85" i="5" s="1"/>
  <c r="O40" i="5"/>
  <c r="O89" i="5" s="1"/>
  <c r="O102" i="5" s="1"/>
  <c r="O38" i="5"/>
  <c r="J44" i="5"/>
  <c r="J41" i="5"/>
  <c r="J43" i="5"/>
  <c r="M47" i="5"/>
  <c r="M45" i="5"/>
  <c r="M46" i="5"/>
  <c r="K52" i="5"/>
  <c r="K55" i="5"/>
  <c r="K54" i="5"/>
  <c r="L64" i="5"/>
  <c r="L65" i="5"/>
  <c r="L96" i="5" s="1"/>
  <c r="L62" i="5"/>
  <c r="L63" i="5"/>
  <c r="G68" i="5"/>
  <c r="G69" i="5"/>
  <c r="G67" i="5"/>
  <c r="O68" i="5"/>
  <c r="O69" i="5"/>
  <c r="O67" i="5"/>
  <c r="O66" i="5"/>
  <c r="D24" i="4"/>
  <c r="O25" i="4"/>
  <c r="E27" i="4"/>
  <c r="M27" i="4"/>
  <c r="K29" i="4"/>
  <c r="D40" i="4"/>
  <c r="D42" i="4" s="1"/>
  <c r="D52" i="4"/>
  <c r="D54" i="4" s="1"/>
  <c r="N7" i="5"/>
  <c r="N78" i="5" s="1"/>
  <c r="B78" i="5" s="1"/>
  <c r="O8" i="5"/>
  <c r="N15" i="5"/>
  <c r="N82" i="5" s="1"/>
  <c r="I20" i="5"/>
  <c r="G32" i="5"/>
  <c r="M41" i="5"/>
  <c r="J55" i="5"/>
  <c r="E190" i="5"/>
  <c r="Q190" i="5" s="1"/>
  <c r="E183" i="5"/>
  <c r="E271" i="5"/>
  <c r="E284" i="5" s="1"/>
  <c r="Q284" i="5" s="1"/>
  <c r="Q227" i="5"/>
  <c r="Q240" i="5"/>
  <c r="E275" i="5"/>
  <c r="Q128" i="5"/>
  <c r="E176" i="5"/>
  <c r="E192" i="5"/>
  <c r="Q192" i="5" s="1"/>
  <c r="Q202" i="5"/>
  <c r="E263" i="5"/>
  <c r="E283" i="5" s="1"/>
  <c r="Q283" i="5" s="1"/>
  <c r="Q219" i="5"/>
  <c r="E267" i="5"/>
  <c r="E280" i="5" s="1"/>
  <c r="Q280" i="5" s="1"/>
  <c r="E184" i="5"/>
  <c r="E21" i="6"/>
  <c r="E25" i="6" s="1"/>
  <c r="E28" i="6" s="1"/>
  <c r="E171" i="5"/>
  <c r="E175" i="5"/>
  <c r="E257" i="5"/>
  <c r="E282" i="5" s="1"/>
  <c r="Q282" i="5" s="1"/>
  <c r="Q198" i="5"/>
  <c r="E274" i="5"/>
  <c r="E163" i="5"/>
  <c r="E185" i="5"/>
  <c r="C35" i="11"/>
  <c r="C39" i="11" s="1"/>
  <c r="D35" i="11" s="1"/>
  <c r="D39" i="11" s="1"/>
  <c r="E35" i="11" s="1"/>
  <c r="E39" i="11" s="1"/>
  <c r="F35" i="11" s="1"/>
  <c r="F39" i="11" s="1"/>
  <c r="G35" i="11" s="1"/>
  <c r="G39" i="11" s="1"/>
  <c r="H35" i="11" s="1"/>
  <c r="H39" i="11" s="1"/>
  <c r="I35" i="11" s="1"/>
  <c r="I39" i="11" s="1"/>
  <c r="J35" i="11" s="1"/>
  <c r="J39" i="11" s="1"/>
  <c r="K35" i="11" s="1"/>
  <c r="E10" i="11"/>
  <c r="K65" i="11"/>
  <c r="K31" i="11" s="1"/>
  <c r="I5" i="9"/>
  <c r="I15" i="9"/>
  <c r="M55" i="11"/>
  <c r="M24" i="11" s="1"/>
  <c r="M23" i="11" s="1"/>
  <c r="C41" i="11"/>
  <c r="D21" i="11"/>
  <c r="D25" i="11" s="1"/>
  <c r="AB55" i="11"/>
  <c r="AB24" i="11" s="1"/>
  <c r="AB23" i="11" s="1"/>
  <c r="R65" i="11"/>
  <c r="R31" i="11" s="1"/>
  <c r="R30" i="11" s="1"/>
  <c r="E268" i="5"/>
  <c r="E281" i="5" s="1"/>
  <c r="Q281" i="5" s="1"/>
  <c r="E32" i="11"/>
  <c r="F28" i="11" s="1"/>
  <c r="F32" i="11" s="1"/>
  <c r="G28" i="11" s="1"/>
  <c r="G32" i="11" s="1"/>
  <c r="H28" i="11" s="1"/>
  <c r="H32" i="11" s="1"/>
  <c r="I28" i="11" s="1"/>
  <c r="I32" i="11" s="1"/>
  <c r="J28" i="11" s="1"/>
  <c r="J32" i="11" s="1"/>
  <c r="K28" i="11" s="1"/>
  <c r="E169" i="5"/>
  <c r="E189" i="5" s="1"/>
  <c r="Q189" i="5" s="1"/>
  <c r="K55" i="11"/>
  <c r="K24" i="11" s="1"/>
  <c r="S55" i="11"/>
  <c r="S24" i="11" s="1"/>
  <c r="S23" i="11" s="1"/>
  <c r="AB65" i="11"/>
  <c r="AB31" i="11" s="1"/>
  <c r="AB30" i="11" s="1"/>
  <c r="Q199" i="5"/>
  <c r="C18" i="11"/>
  <c r="D14" i="11" s="1"/>
  <c r="D18" i="11" s="1"/>
  <c r="E14" i="11" s="1"/>
  <c r="E18" i="11" s="1"/>
  <c r="F14" i="11" s="1"/>
  <c r="F18" i="11" s="1"/>
  <c r="G14" i="11" s="1"/>
  <c r="G18" i="11" s="1"/>
  <c r="H14" i="11" s="1"/>
  <c r="H18" i="11" s="1"/>
  <c r="I14" i="11" s="1"/>
  <c r="I18" i="11" s="1"/>
  <c r="J14" i="11" s="1"/>
  <c r="J18" i="11" s="1"/>
  <c r="K14" i="11" s="1"/>
  <c r="K18" i="11" s="1"/>
  <c r="L14" i="11" s="1"/>
  <c r="L18" i="11" s="1"/>
  <c r="M14" i="11" s="1"/>
  <c r="M18" i="11" s="1"/>
  <c r="N14" i="11" s="1"/>
  <c r="N18" i="11" s="1"/>
  <c r="O14" i="11" s="1"/>
  <c r="O18" i="11" s="1"/>
  <c r="P14" i="11" s="1"/>
  <c r="P18" i="11" s="1"/>
  <c r="Q14" i="11" s="1"/>
  <c r="Q18" i="11" s="1"/>
  <c r="R14" i="11" s="1"/>
  <c r="R18" i="11" s="1"/>
  <c r="S14" i="11" s="1"/>
  <c r="S18" i="11" s="1"/>
  <c r="T14" i="11" s="1"/>
  <c r="T18" i="11" s="1"/>
  <c r="U14" i="11" s="1"/>
  <c r="U18" i="11" s="1"/>
  <c r="V14" i="11" s="1"/>
  <c r="V18" i="11" s="1"/>
  <c r="W14" i="11" s="1"/>
  <c r="W18" i="11" s="1"/>
  <c r="X14" i="11" s="1"/>
  <c r="X18" i="11" s="1"/>
  <c r="Y14" i="11" s="1"/>
  <c r="Y18" i="11" s="1"/>
  <c r="Z14" i="11" s="1"/>
  <c r="Z18" i="11" s="1"/>
  <c r="AA14" i="11" s="1"/>
  <c r="AA18" i="11" s="1"/>
  <c r="AB14" i="11" s="1"/>
  <c r="AB18" i="11" s="1"/>
  <c r="AC14" i="11" s="1"/>
  <c r="AC18" i="11" s="1"/>
  <c r="AD14" i="11" s="1"/>
  <c r="AD18" i="11" s="1"/>
  <c r="AE14" i="11" s="1"/>
  <c r="AE18" i="11" s="1"/>
  <c r="AF14" i="11" s="1"/>
  <c r="AF18" i="11" s="1"/>
  <c r="AG14" i="11" s="1"/>
  <c r="AG18" i="11" s="1"/>
  <c r="AH14" i="11" s="1"/>
  <c r="AH18" i="11" s="1"/>
  <c r="AI14" i="11" s="1"/>
  <c r="AI18" i="11" s="1"/>
  <c r="AJ14" i="11" s="1"/>
  <c r="AJ18" i="11" s="1"/>
  <c r="AK14" i="11" s="1"/>
  <c r="AK18" i="11" s="1"/>
  <c r="AL14" i="11" s="1"/>
  <c r="AL18" i="11" s="1"/>
  <c r="AM14" i="11" s="1"/>
  <c r="AM18" i="11" s="1"/>
  <c r="AN14" i="11" s="1"/>
  <c r="AN18" i="11" s="1"/>
  <c r="AO14" i="11" s="1"/>
  <c r="AO18" i="11" s="1"/>
  <c r="AO54" i="11"/>
  <c r="AG54" i="11"/>
  <c r="Y54" i="11"/>
  <c r="Q54" i="11"/>
  <c r="AN54" i="11"/>
  <c r="AF54" i="11"/>
  <c r="X54" i="11"/>
  <c r="P54" i="11"/>
  <c r="AM54" i="11"/>
  <c r="AE54" i="11"/>
  <c r="W54" i="11"/>
  <c r="O54" i="11"/>
  <c r="U54" i="11"/>
  <c r="U55" i="11" s="1"/>
  <c r="U24" i="11" s="1"/>
  <c r="U23" i="11" s="1"/>
  <c r="AI54" i="11"/>
  <c r="AI55" i="11" s="1"/>
  <c r="AI24" i="11" s="1"/>
  <c r="AI23" i="11" s="1"/>
  <c r="K54" i="11"/>
  <c r="V54" i="11"/>
  <c r="V55" i="11" s="1"/>
  <c r="V24" i="11" s="1"/>
  <c r="V23" i="11" s="1"/>
  <c r="AJ54" i="11"/>
  <c r="AJ55" i="11" s="1"/>
  <c r="AJ24" i="11" s="1"/>
  <c r="AJ23" i="11" s="1"/>
  <c r="AG75" i="11"/>
  <c r="AG38" i="11" s="1"/>
  <c r="AG37" i="11" s="1"/>
  <c r="AG74" i="11"/>
  <c r="L54" i="11"/>
  <c r="L55" i="11" s="1"/>
  <c r="L24" i="11" s="1"/>
  <c r="L23" i="11" s="1"/>
  <c r="Z54" i="11"/>
  <c r="Z55" i="11" s="1"/>
  <c r="Z24" i="11" s="1"/>
  <c r="Z23" i="11" s="1"/>
  <c r="AK54" i="11"/>
  <c r="AK55" i="11" s="1"/>
  <c r="AK24" i="11" s="1"/>
  <c r="AK23" i="11" s="1"/>
  <c r="AO64" i="11"/>
  <c r="AO65" i="11" s="1"/>
  <c r="AO31" i="11" s="1"/>
  <c r="AO30" i="11" s="1"/>
  <c r="AG64" i="11"/>
  <c r="Y64" i="11"/>
  <c r="Q64" i="11"/>
  <c r="AN64" i="11"/>
  <c r="AF64" i="11"/>
  <c r="X64" i="11"/>
  <c r="P64" i="11"/>
  <c r="AM64" i="11"/>
  <c r="AE64" i="11"/>
  <c r="W64" i="11"/>
  <c r="O64" i="11"/>
  <c r="AL64" i="11"/>
  <c r="AD64" i="11"/>
  <c r="V64" i="11"/>
  <c r="N64" i="11"/>
  <c r="AK64" i="11"/>
  <c r="AC64" i="11"/>
  <c r="U64" i="11"/>
  <c r="M64" i="11"/>
  <c r="AB64" i="11"/>
  <c r="AH74" i="11"/>
  <c r="AH75" i="11" s="1"/>
  <c r="AH38" i="11" s="1"/>
  <c r="AH37" i="11" s="1"/>
  <c r="M54" i="11"/>
  <c r="AA54" i="11"/>
  <c r="AA55" i="11" s="1"/>
  <c r="AA24" i="11" s="1"/>
  <c r="AA23" i="11" s="1"/>
  <c r="AL54" i="11"/>
  <c r="AL55" i="11" s="1"/>
  <c r="AL24" i="11" s="1"/>
  <c r="AL23" i="11" s="1"/>
  <c r="K64" i="11"/>
  <c r="AH64" i="11"/>
  <c r="AH65" i="11" s="1"/>
  <c r="AH31" i="11" s="1"/>
  <c r="AH30" i="11" s="1"/>
  <c r="AN73" i="11"/>
  <c r="AF73" i="11"/>
  <c r="X73" i="11"/>
  <c r="P73" i="11"/>
  <c r="AM73" i="11"/>
  <c r="AE73" i="11"/>
  <c r="W73" i="11"/>
  <c r="O73" i="11"/>
  <c r="AL73" i="11"/>
  <c r="AD73" i="11"/>
  <c r="V73" i="11"/>
  <c r="N73" i="11"/>
  <c r="AK73" i="11"/>
  <c r="AC73" i="11"/>
  <c r="U73" i="11"/>
  <c r="M73" i="11"/>
  <c r="AJ73" i="11"/>
  <c r="AB73" i="11"/>
  <c r="T73" i="11"/>
  <c r="L73" i="11"/>
  <c r="AI73" i="11"/>
  <c r="AA73" i="11"/>
  <c r="S73" i="11"/>
  <c r="K73" i="11"/>
  <c r="AO75" i="11"/>
  <c r="AO38" i="11" s="1"/>
  <c r="AO37" i="11" s="1"/>
  <c r="AO73" i="11"/>
  <c r="N54" i="11"/>
  <c r="N55" i="11" s="1"/>
  <c r="N24" i="11" s="1"/>
  <c r="N23" i="11" s="1"/>
  <c r="AB54" i="11"/>
  <c r="AN74" i="11"/>
  <c r="AN75" i="11" s="1"/>
  <c r="AN38" i="11" s="1"/>
  <c r="AN37" i="11" s="1"/>
  <c r="AF74" i="11"/>
  <c r="X74" i="11"/>
  <c r="P74" i="11"/>
  <c r="AM74" i="11"/>
  <c r="AE74" i="11"/>
  <c r="W74" i="11"/>
  <c r="O74" i="11"/>
  <c r="AL74" i="11"/>
  <c r="AD74" i="11"/>
  <c r="V74" i="11"/>
  <c r="N74" i="11"/>
  <c r="AK74" i="11"/>
  <c r="AC74" i="11"/>
  <c r="U74" i="11"/>
  <c r="M74" i="11"/>
  <c r="AJ74" i="11"/>
  <c r="AB74" i="11"/>
  <c r="T74" i="11"/>
  <c r="L74" i="11"/>
  <c r="AI74" i="11"/>
  <c r="AA74" i="11"/>
  <c r="S74" i="11"/>
  <c r="K74" i="11"/>
  <c r="R54" i="11"/>
  <c r="R55" i="11" s="1"/>
  <c r="R24" i="11" s="1"/>
  <c r="R23" i="11" s="1"/>
  <c r="AC54" i="11"/>
  <c r="AC55" i="11" s="1"/>
  <c r="AC24" i="11" s="1"/>
  <c r="AC23" i="11" s="1"/>
  <c r="R64" i="11"/>
  <c r="AJ64" i="11"/>
  <c r="AJ65" i="11" s="1"/>
  <c r="AJ31" i="11" s="1"/>
  <c r="AJ30" i="11" s="1"/>
  <c r="Q73" i="11"/>
  <c r="Q75" i="11" s="1"/>
  <c r="Q38" i="11" s="1"/>
  <c r="Q37" i="11" s="1"/>
  <c r="Q74" i="11"/>
  <c r="AO55" i="11"/>
  <c r="AO24" i="11" s="1"/>
  <c r="AO23" i="11" s="1"/>
  <c r="S54" i="11"/>
  <c r="AD54" i="11"/>
  <c r="AD55" i="11" s="1"/>
  <c r="AD24" i="11" s="1"/>
  <c r="AD23" i="11" s="1"/>
  <c r="S64" i="11"/>
  <c r="S65" i="11" s="1"/>
  <c r="S31" i="11" s="1"/>
  <c r="S30" i="11" s="1"/>
  <c r="R73" i="11"/>
  <c r="R74" i="11"/>
  <c r="R75" i="11" s="1"/>
  <c r="R38" i="11" s="1"/>
  <c r="R37" i="11" s="1"/>
  <c r="T54" i="11"/>
  <c r="T55" i="11" s="1"/>
  <c r="T24" i="11" s="1"/>
  <c r="T23" i="11" s="1"/>
  <c r="AH54" i="11"/>
  <c r="AH55" i="11" s="1"/>
  <c r="AH24" i="11" s="1"/>
  <c r="AH23" i="11" s="1"/>
  <c r="O52" i="11"/>
  <c r="W52" i="11"/>
  <c r="AE52" i="11"/>
  <c r="AE55" i="11" s="1"/>
  <c r="AE24" i="11" s="1"/>
  <c r="AE23" i="11" s="1"/>
  <c r="AM52" i="11"/>
  <c r="AM55" i="11" s="1"/>
  <c r="AM24" i="11" s="1"/>
  <c r="AM23" i="11" s="1"/>
  <c r="O53" i="11"/>
  <c r="AP53" i="11" s="1"/>
  <c r="W53" i="11"/>
  <c r="AE53" i="11"/>
  <c r="AM53" i="11"/>
  <c r="M62" i="11"/>
  <c r="U62" i="11"/>
  <c r="AC62" i="11"/>
  <c r="AC65" i="11" s="1"/>
  <c r="AC31" i="11" s="1"/>
  <c r="AC30" i="11" s="1"/>
  <c r="AK62" i="11"/>
  <c r="AK65" i="11" s="1"/>
  <c r="AK31" i="11" s="1"/>
  <c r="AK30" i="11" s="1"/>
  <c r="M63" i="11"/>
  <c r="AP63" i="11" s="1"/>
  <c r="U63" i="11"/>
  <c r="AC63" i="11"/>
  <c r="AK63" i="11"/>
  <c r="K72" i="11"/>
  <c r="S72" i="11"/>
  <c r="AA72" i="11"/>
  <c r="AI72" i="11"/>
  <c r="AI75" i="11" s="1"/>
  <c r="AI38" i="11" s="1"/>
  <c r="AI37" i="11" s="1"/>
  <c r="P52" i="11"/>
  <c r="X52" i="11"/>
  <c r="AF52" i="11"/>
  <c r="AN52" i="11"/>
  <c r="P53" i="11"/>
  <c r="X53" i="11"/>
  <c r="AF53" i="11"/>
  <c r="AN53" i="11"/>
  <c r="N62" i="11"/>
  <c r="V62" i="11"/>
  <c r="AD62" i="11"/>
  <c r="AL62" i="11"/>
  <c r="N63" i="11"/>
  <c r="V63" i="11"/>
  <c r="AD63" i="11"/>
  <c r="AL63" i="11"/>
  <c r="L72" i="11"/>
  <c r="T72" i="11"/>
  <c r="AB72" i="11"/>
  <c r="AJ72" i="11"/>
  <c r="Q52" i="11"/>
  <c r="Y52" i="11"/>
  <c r="AG52" i="11"/>
  <c r="AG55" i="11" s="1"/>
  <c r="AG24" i="11" s="1"/>
  <c r="AG23" i="11" s="1"/>
  <c r="Q53" i="11"/>
  <c r="Y53" i="11"/>
  <c r="AG53" i="11"/>
  <c r="O62" i="11"/>
  <c r="W62" i="11"/>
  <c r="AE62" i="11"/>
  <c r="AE65" i="11" s="1"/>
  <c r="AE31" i="11" s="1"/>
  <c r="AE30" i="11" s="1"/>
  <c r="AM62" i="11"/>
  <c r="O63" i="11"/>
  <c r="W63" i="11"/>
  <c r="AE63" i="11"/>
  <c r="AM63" i="11"/>
  <c r="M72" i="11"/>
  <c r="M75" i="11" s="1"/>
  <c r="M38" i="11" s="1"/>
  <c r="M37" i="11" s="1"/>
  <c r="U72" i="11"/>
  <c r="AC72" i="11"/>
  <c r="AK72" i="11"/>
  <c r="P62" i="11"/>
  <c r="P65" i="11" s="1"/>
  <c r="P31" i="11" s="1"/>
  <c r="P30" i="11" s="1"/>
  <c r="X62" i="11"/>
  <c r="X65" i="11" s="1"/>
  <c r="X31" i="11" s="1"/>
  <c r="X30" i="11" s="1"/>
  <c r="AF62" i="11"/>
  <c r="AN62" i="11"/>
  <c r="AN65" i="11" s="1"/>
  <c r="AN31" i="11" s="1"/>
  <c r="AN30" i="11" s="1"/>
  <c r="P63" i="11"/>
  <c r="X63" i="11"/>
  <c r="AF63" i="11"/>
  <c r="AN63" i="11"/>
  <c r="N72" i="11"/>
  <c r="N75" i="11" s="1"/>
  <c r="N38" i="11" s="1"/>
  <c r="N37" i="11" s="1"/>
  <c r="V72" i="11"/>
  <c r="V75" i="11" s="1"/>
  <c r="V38" i="11" s="1"/>
  <c r="V37" i="11" s="1"/>
  <c r="AD72" i="11"/>
  <c r="AL72" i="11"/>
  <c r="Q62" i="11"/>
  <c r="Y62" i="11"/>
  <c r="AG62" i="11"/>
  <c r="Q63" i="11"/>
  <c r="Y63" i="11"/>
  <c r="AG63" i="11"/>
  <c r="O72" i="11"/>
  <c r="W72" i="11"/>
  <c r="AE72" i="11"/>
  <c r="AM72" i="11"/>
  <c r="P72" i="11"/>
  <c r="P75" i="11" s="1"/>
  <c r="P38" i="11" s="1"/>
  <c r="P37" i="11" s="1"/>
  <c r="X72" i="11"/>
  <c r="AF72" i="11"/>
  <c r="E101" i="5" l="1"/>
  <c r="P56" i="3"/>
  <c r="D41" i="11"/>
  <c r="E21" i="11"/>
  <c r="E25" i="11" s="1"/>
  <c r="J18" i="5"/>
  <c r="I26" i="4"/>
  <c r="I30" i="4" s="1"/>
  <c r="J16" i="5"/>
  <c r="J19" i="5"/>
  <c r="J17" i="5"/>
  <c r="K87" i="5"/>
  <c r="AF75" i="11"/>
  <c r="AF38" i="11" s="1"/>
  <c r="AF37" i="11" s="1"/>
  <c r="E92" i="5"/>
  <c r="P11" i="4"/>
  <c r="O55" i="3"/>
  <c r="O58" i="3" s="1"/>
  <c r="O62" i="3"/>
  <c r="O64" i="3" s="1"/>
  <c r="K81" i="5"/>
  <c r="F85" i="5"/>
  <c r="Q12" i="5"/>
  <c r="H81" i="5"/>
  <c r="E86" i="5"/>
  <c r="E99" i="5" s="1"/>
  <c r="Q33" i="5"/>
  <c r="E55" i="3"/>
  <c r="E62" i="3"/>
  <c r="D41" i="5"/>
  <c r="D45" i="5" s="1"/>
  <c r="D48" i="5"/>
  <c r="D52" i="5" s="1"/>
  <c r="D57" i="5" s="1"/>
  <c r="D61" i="5" s="1"/>
  <c r="D66" i="5" s="1"/>
  <c r="G9" i="1"/>
  <c r="G16" i="1" s="1"/>
  <c r="G22" i="1" s="1"/>
  <c r="G28" i="1" s="1"/>
  <c r="G34" i="1" s="1"/>
  <c r="G40" i="1" s="1"/>
  <c r="H3" i="1"/>
  <c r="H85" i="5"/>
  <c r="X75" i="11"/>
  <c r="X38" i="11" s="1"/>
  <c r="X37" i="11" s="1"/>
  <c r="AK75" i="11"/>
  <c r="AK38" i="11" s="1"/>
  <c r="AK37" i="11" s="1"/>
  <c r="AM65" i="11"/>
  <c r="AM31" i="11" s="1"/>
  <c r="AM30" i="11" s="1"/>
  <c r="Y55" i="11"/>
  <c r="Y24" i="11" s="1"/>
  <c r="Y23" i="11" s="1"/>
  <c r="S75" i="11"/>
  <c r="S38" i="11" s="1"/>
  <c r="S37" i="11" s="1"/>
  <c r="U65" i="11"/>
  <c r="U31" i="11" s="1"/>
  <c r="U30" i="11" s="1"/>
  <c r="W55" i="11"/>
  <c r="W24" i="11" s="1"/>
  <c r="W23" i="11" s="1"/>
  <c r="AP74" i="11"/>
  <c r="O79" i="5"/>
  <c r="D30" i="4"/>
  <c r="H95" i="5"/>
  <c r="G93" i="5"/>
  <c r="Q39" i="5"/>
  <c r="N95" i="5"/>
  <c r="B95" i="5" s="1"/>
  <c r="E79" i="5"/>
  <c r="L94" i="5"/>
  <c r="N30" i="4"/>
  <c r="Q61" i="5"/>
  <c r="F78" i="5"/>
  <c r="L81" i="5"/>
  <c r="L101" i="5" s="1"/>
  <c r="E95" i="5"/>
  <c r="Q60" i="5"/>
  <c r="K88" i="5"/>
  <c r="G32" i="3"/>
  <c r="G36" i="3"/>
  <c r="G42" i="3" s="1"/>
  <c r="H35" i="3" s="1"/>
  <c r="H42" i="3" s="1"/>
  <c r="I35" i="3" s="1"/>
  <c r="I42" i="3" s="1"/>
  <c r="J35" i="3" s="1"/>
  <c r="J42" i="3" s="1"/>
  <c r="K35" i="3" s="1"/>
  <c r="K42" i="3" s="1"/>
  <c r="L35" i="3" s="1"/>
  <c r="L42" i="3" s="1"/>
  <c r="M35" i="3" s="1"/>
  <c r="M42" i="3" s="1"/>
  <c r="N35" i="3" s="1"/>
  <c r="N42" i="3" s="1"/>
  <c r="O35" i="3" s="1"/>
  <c r="O42" i="3" s="1"/>
  <c r="N58" i="3"/>
  <c r="I94" i="5"/>
  <c r="N98" i="5"/>
  <c r="H46" i="3"/>
  <c r="H51" i="3" s="1"/>
  <c r="I45" i="3" s="1"/>
  <c r="I51" i="3" s="1"/>
  <c r="J45" i="3" s="1"/>
  <c r="J51" i="3" s="1"/>
  <c r="K45" i="3" s="1"/>
  <c r="K51" i="3" s="1"/>
  <c r="L45" i="3" s="1"/>
  <c r="L51" i="3" s="1"/>
  <c r="G55" i="3"/>
  <c r="G62" i="3"/>
  <c r="I86" i="5"/>
  <c r="I21" i="1"/>
  <c r="J23" i="1"/>
  <c r="Q11" i="5"/>
  <c r="H80" i="5"/>
  <c r="E85" i="5"/>
  <c r="I10" i="5"/>
  <c r="I81" i="5" s="1"/>
  <c r="I7" i="5"/>
  <c r="I78" i="5" s="1"/>
  <c r="H11" i="4"/>
  <c r="I8" i="5"/>
  <c r="I79" i="5" s="1"/>
  <c r="I9" i="5"/>
  <c r="I80" i="5" s="1"/>
  <c r="I100" i="5" s="1"/>
  <c r="I15" i="1"/>
  <c r="J17" i="1"/>
  <c r="J57" i="5"/>
  <c r="J92" i="5" s="1"/>
  <c r="H24" i="4"/>
  <c r="H30" i="4" s="1"/>
  <c r="D43" i="5"/>
  <c r="D47" i="5" s="1"/>
  <c r="D50" i="5"/>
  <c r="D54" i="5" s="1"/>
  <c r="D59" i="5" s="1"/>
  <c r="D63" i="5" s="1"/>
  <c r="D68" i="5" s="1"/>
  <c r="P39" i="3"/>
  <c r="K23" i="11"/>
  <c r="G95" i="5"/>
  <c r="Q58" i="5"/>
  <c r="E93" i="5"/>
  <c r="E80" i="5"/>
  <c r="M30" i="4"/>
  <c r="Q55" i="11"/>
  <c r="Q24" i="11" s="1"/>
  <c r="Q23" i="11" s="1"/>
  <c r="M65" i="11"/>
  <c r="M31" i="11" s="1"/>
  <c r="M30" i="11" s="1"/>
  <c r="L93" i="5"/>
  <c r="F54" i="3"/>
  <c r="F58" i="3" s="1"/>
  <c r="P37" i="3"/>
  <c r="F61" i="3"/>
  <c r="F64" i="3" s="1"/>
  <c r="K30" i="4"/>
  <c r="K5" i="1"/>
  <c r="K5" i="5"/>
  <c r="K74" i="5" s="1"/>
  <c r="U75" i="11"/>
  <c r="U38" i="11" s="1"/>
  <c r="U37" i="11" s="1"/>
  <c r="AN55" i="11"/>
  <c r="AN24" i="11" s="1"/>
  <c r="AN23" i="11" s="1"/>
  <c r="AP62" i="11"/>
  <c r="E188" i="5"/>
  <c r="Q188" i="5" s="1"/>
  <c r="E191" i="5"/>
  <c r="Q191" i="5" s="1"/>
  <c r="P93" i="5"/>
  <c r="N81" i="5"/>
  <c r="L95" i="5"/>
  <c r="O87" i="5"/>
  <c r="P7" i="4"/>
  <c r="I98" i="5"/>
  <c r="I103" i="5" s="1"/>
  <c r="H57" i="3"/>
  <c r="H63" i="3"/>
  <c r="Q64" i="5"/>
  <c r="F80" i="5"/>
  <c r="D42" i="5"/>
  <c r="D46" i="5" s="1"/>
  <c r="D49" i="5"/>
  <c r="D53" i="5" s="1"/>
  <c r="D58" i="5" s="1"/>
  <c r="D62" i="5" s="1"/>
  <c r="D67" i="5" s="1"/>
  <c r="Q55" i="5"/>
  <c r="P38" i="3"/>
  <c r="M102" i="5"/>
  <c r="Q6" i="5"/>
  <c r="H36" i="3"/>
  <c r="H32" i="3"/>
  <c r="I87" i="5"/>
  <c r="K95" i="5"/>
  <c r="H17" i="5"/>
  <c r="Q17" i="5" s="1"/>
  <c r="H18" i="5"/>
  <c r="Q18" i="5" s="1"/>
  <c r="G26" i="4"/>
  <c r="P26" i="4" s="1"/>
  <c r="H16" i="5"/>
  <c r="H78" i="5" s="1"/>
  <c r="H98" i="5" s="1"/>
  <c r="H103" i="5" s="1"/>
  <c r="H19" i="5"/>
  <c r="I24" i="3"/>
  <c r="P27" i="4"/>
  <c r="P88" i="5"/>
  <c r="I62" i="3"/>
  <c r="I64" i="3" s="1"/>
  <c r="H87" i="5"/>
  <c r="Q19" i="5"/>
  <c r="AA75" i="11"/>
  <c r="AA38" i="11" s="1"/>
  <c r="AA37" i="11" s="1"/>
  <c r="Q37" i="5"/>
  <c r="O55" i="11"/>
  <c r="O24" i="11" s="1"/>
  <c r="O23" i="11" s="1"/>
  <c r="AP54" i="11"/>
  <c r="G81" i="5"/>
  <c r="Q81" i="5" s="1"/>
  <c r="E24" i="3"/>
  <c r="I88" i="5"/>
  <c r="K93" i="5"/>
  <c r="H88" i="5"/>
  <c r="AM75" i="11"/>
  <c r="AM38" i="11" s="1"/>
  <c r="AM37" i="11" s="1"/>
  <c r="W65" i="11"/>
  <c r="W31" i="11" s="1"/>
  <c r="W30" i="11" s="1"/>
  <c r="AL65" i="11"/>
  <c r="AL31" i="11" s="1"/>
  <c r="AL30" i="11" s="1"/>
  <c r="AF55" i="11"/>
  <c r="AF24" i="11" s="1"/>
  <c r="AF23" i="11" s="1"/>
  <c r="AP52" i="11"/>
  <c r="P94" i="5"/>
  <c r="Q69" i="5"/>
  <c r="N79" i="5"/>
  <c r="B79" i="5" s="1"/>
  <c r="Q46" i="5"/>
  <c r="I99" i="5"/>
  <c r="J62" i="3"/>
  <c r="J64" i="3" s="1"/>
  <c r="J55" i="3"/>
  <c r="J58" i="3" s="1"/>
  <c r="Q63" i="5"/>
  <c r="N86" i="5"/>
  <c r="B86" i="5" s="1"/>
  <c r="F79" i="5"/>
  <c r="G30" i="4"/>
  <c r="Q54" i="5"/>
  <c r="O100" i="5"/>
  <c r="I32" i="3"/>
  <c r="I36" i="3"/>
  <c r="J85" i="5"/>
  <c r="P81" i="5"/>
  <c r="P101" i="5" s="1"/>
  <c r="M93" i="5"/>
  <c r="F93" i="5"/>
  <c r="P46" i="3"/>
  <c r="F88" i="5"/>
  <c r="F101" i="5" s="1"/>
  <c r="L102" i="5"/>
  <c r="P25" i="4"/>
  <c r="E32" i="3"/>
  <c r="P32" i="3" s="1"/>
  <c r="E36" i="3"/>
  <c r="P36" i="3" s="1"/>
  <c r="K94" i="5"/>
  <c r="G102" i="5"/>
  <c r="H102" i="5"/>
  <c r="P18" i="3"/>
  <c r="P24" i="3" s="1"/>
  <c r="P85" i="5"/>
  <c r="I55" i="3"/>
  <c r="I58" i="3" s="1"/>
  <c r="H86" i="5"/>
  <c r="K32" i="11"/>
  <c r="L28" i="11" s="1"/>
  <c r="L32" i="11" s="1"/>
  <c r="M28" i="11" s="1"/>
  <c r="M32" i="11" s="1"/>
  <c r="N28" i="11" s="1"/>
  <c r="N32" i="11" s="1"/>
  <c r="O28" i="11" s="1"/>
  <c r="O32" i="11" s="1"/>
  <c r="P28" i="11" s="1"/>
  <c r="P32" i="11" s="1"/>
  <c r="Q28" i="11" s="1"/>
  <c r="Q32" i="11" s="1"/>
  <c r="R28" i="11" s="1"/>
  <c r="R32" i="11" s="1"/>
  <c r="S28" i="11" s="1"/>
  <c r="S32" i="11" s="1"/>
  <c r="T28" i="11" s="1"/>
  <c r="T32" i="11" s="1"/>
  <c r="U28" i="11" s="1"/>
  <c r="U32" i="11" s="1"/>
  <c r="V28" i="11" s="1"/>
  <c r="V32" i="11" s="1"/>
  <c r="W28" i="11" s="1"/>
  <c r="W32" i="11" s="1"/>
  <c r="X28" i="11" s="1"/>
  <c r="X32" i="11" s="1"/>
  <c r="Y28" i="11" s="1"/>
  <c r="Y32" i="11" s="1"/>
  <c r="Z28" i="11" s="1"/>
  <c r="Z32" i="11" s="1"/>
  <c r="AA28" i="11" s="1"/>
  <c r="AA32" i="11" s="1"/>
  <c r="AB28" i="11" s="1"/>
  <c r="AB32" i="11" s="1"/>
  <c r="AC28" i="11" s="1"/>
  <c r="AC32" i="11" s="1"/>
  <c r="AD28" i="11" s="1"/>
  <c r="AD32" i="11" s="1"/>
  <c r="AE28" i="11" s="1"/>
  <c r="AE32" i="11" s="1"/>
  <c r="AF28" i="11" s="1"/>
  <c r="AF32" i="11" s="1"/>
  <c r="AG28" i="11" s="1"/>
  <c r="AG32" i="11" s="1"/>
  <c r="AH28" i="11" s="1"/>
  <c r="AH32" i="11" s="1"/>
  <c r="AI28" i="11" s="1"/>
  <c r="AI32" i="11" s="1"/>
  <c r="AJ28" i="11" s="1"/>
  <c r="AJ32" i="11" s="1"/>
  <c r="AK28" i="11" s="1"/>
  <c r="AK32" i="11" s="1"/>
  <c r="AL28" i="11" s="1"/>
  <c r="AL32" i="11" s="1"/>
  <c r="AM28" i="11" s="1"/>
  <c r="AM32" i="11" s="1"/>
  <c r="AN28" i="11" s="1"/>
  <c r="AN32" i="11" s="1"/>
  <c r="AO28" i="11" s="1"/>
  <c r="AO32" i="11" s="1"/>
  <c r="Q27" i="5"/>
  <c r="L78" i="5"/>
  <c r="G94" i="5"/>
  <c r="E96" i="5"/>
  <c r="Q65" i="5"/>
  <c r="AC75" i="11"/>
  <c r="AC38" i="11" s="1"/>
  <c r="AC37" i="11" s="1"/>
  <c r="K75" i="11"/>
  <c r="K38" i="11" s="1"/>
  <c r="AP72" i="11"/>
  <c r="Q38" i="5"/>
  <c r="N94" i="5"/>
  <c r="B94" i="5" s="1"/>
  <c r="Q43" i="5"/>
  <c r="Q62" i="5"/>
  <c r="J4" i="5"/>
  <c r="J73" i="5" s="1"/>
  <c r="I2" i="1"/>
  <c r="J4" i="1"/>
  <c r="E82" i="5"/>
  <c r="Q15" i="5"/>
  <c r="F36" i="3"/>
  <c r="F32" i="3"/>
  <c r="Q21" i="5"/>
  <c r="Y65" i="11"/>
  <c r="Y31" i="11" s="1"/>
  <c r="Y30" i="11" s="1"/>
  <c r="AJ75" i="11"/>
  <c r="AJ38" i="11" s="1"/>
  <c r="AJ37" i="11" s="1"/>
  <c r="Q65" i="11"/>
  <c r="Q31" i="11" s="1"/>
  <c r="Q30" i="11" s="1"/>
  <c r="AB75" i="11"/>
  <c r="AB38" i="11" s="1"/>
  <c r="AB37" i="11" s="1"/>
  <c r="AD65" i="11"/>
  <c r="AD31" i="11" s="1"/>
  <c r="AD30" i="11" s="1"/>
  <c r="W75" i="11"/>
  <c r="W38" i="11" s="1"/>
  <c r="W37" i="11" s="1"/>
  <c r="AL75" i="11"/>
  <c r="AL38" i="11" s="1"/>
  <c r="AL37" i="11" s="1"/>
  <c r="V65" i="11"/>
  <c r="V31" i="11" s="1"/>
  <c r="V30" i="11" s="1"/>
  <c r="J5" i="9"/>
  <c r="J6" i="9" s="1"/>
  <c r="J7" i="9" s="1"/>
  <c r="J8" i="9" s="1"/>
  <c r="J9" i="9" s="1"/>
  <c r="J10" i="9" s="1"/>
  <c r="J11" i="9" s="1"/>
  <c r="J12" i="9" s="1"/>
  <c r="J15" i="9" s="1"/>
  <c r="I13" i="9"/>
  <c r="O81" i="5"/>
  <c r="O101" i="5" s="1"/>
  <c r="G88" i="5"/>
  <c r="O93" i="5"/>
  <c r="L100" i="5"/>
  <c r="G87" i="5"/>
  <c r="N85" i="5"/>
  <c r="B85" i="5" s="1"/>
  <c r="P22" i="4"/>
  <c r="G6" i="5"/>
  <c r="G75" i="5" s="1"/>
  <c r="G5" i="5"/>
  <c r="G74" i="5" s="1"/>
  <c r="G99" i="5" s="1"/>
  <c r="G4" i="5"/>
  <c r="G73" i="5" s="1"/>
  <c r="G98" i="5" s="1"/>
  <c r="G103" i="5" s="1"/>
  <c r="F24" i="4"/>
  <c r="F30" i="4" s="1"/>
  <c r="J36" i="3"/>
  <c r="J32" i="3"/>
  <c r="F99" i="5"/>
  <c r="J88" i="5"/>
  <c r="P80" i="5"/>
  <c r="P100" i="5" s="1"/>
  <c r="M92" i="5"/>
  <c r="M98" i="5" s="1"/>
  <c r="M103" i="5" s="1"/>
  <c r="L80" i="5"/>
  <c r="F95" i="5"/>
  <c r="K80" i="5"/>
  <c r="K100" i="5" s="1"/>
  <c r="F87" i="5"/>
  <c r="F100" i="5" s="1"/>
  <c r="P57" i="3"/>
  <c r="Q14" i="5"/>
  <c r="E78" i="5"/>
  <c r="P18" i="4"/>
  <c r="Q20" i="5"/>
  <c r="P87" i="5"/>
  <c r="H55" i="3"/>
  <c r="P55" i="3" s="1"/>
  <c r="K30" i="11"/>
  <c r="E89" i="5"/>
  <c r="Q89" i="5" s="1"/>
  <c r="Q40" i="5"/>
  <c r="Q44" i="5"/>
  <c r="F86" i="5"/>
  <c r="N102" i="5"/>
  <c r="B102" i="5" s="1"/>
  <c r="B82" i="5"/>
  <c r="E73" i="5"/>
  <c r="AG65" i="11"/>
  <c r="AG31" i="11" s="1"/>
  <c r="AG30" i="11" s="1"/>
  <c r="AE75" i="11"/>
  <c r="AE38" i="11" s="1"/>
  <c r="AE37" i="11" s="1"/>
  <c r="O65" i="11"/>
  <c r="O31" i="11" s="1"/>
  <c r="O30" i="11" s="1"/>
  <c r="T75" i="11"/>
  <c r="T38" i="11" s="1"/>
  <c r="T37" i="11" s="1"/>
  <c r="X55" i="11"/>
  <c r="X24" i="11" s="1"/>
  <c r="X23" i="11" s="1"/>
  <c r="AP73" i="11"/>
  <c r="O75" i="11"/>
  <c r="O38" i="11" s="1"/>
  <c r="O37" i="11" s="1"/>
  <c r="AD75" i="11"/>
  <c r="AD38" i="11" s="1"/>
  <c r="AD37" i="11" s="1"/>
  <c r="AF65" i="11"/>
  <c r="AF31" i="11" s="1"/>
  <c r="AF30" i="11" s="1"/>
  <c r="L75" i="11"/>
  <c r="L38" i="11" s="1"/>
  <c r="L37" i="11" s="1"/>
  <c r="N65" i="11"/>
  <c r="N31" i="11" s="1"/>
  <c r="N30" i="11" s="1"/>
  <c r="P55" i="11"/>
  <c r="P24" i="11" s="1"/>
  <c r="P23" i="11" s="1"/>
  <c r="AP64" i="11"/>
  <c r="G85" i="5"/>
  <c r="L85" i="5"/>
  <c r="M78" i="5"/>
  <c r="L98" i="5"/>
  <c r="L103" i="5" s="1"/>
  <c r="Q68" i="5"/>
  <c r="O92" i="5"/>
  <c r="O98" i="5" s="1"/>
  <c r="O103" i="5" s="1"/>
  <c r="Q36" i="5"/>
  <c r="M80" i="5"/>
  <c r="O30" i="4"/>
  <c r="G86" i="5"/>
  <c r="M94" i="5"/>
  <c r="M100" i="5" s="1"/>
  <c r="H100" i="5"/>
  <c r="M88" i="5"/>
  <c r="M101" i="5" s="1"/>
  <c r="G54" i="3"/>
  <c r="G58" i="3" s="1"/>
  <c r="G61" i="3"/>
  <c r="G64" i="3" s="1"/>
  <c r="E30" i="4"/>
  <c r="Q59" i="5"/>
  <c r="E94" i="5"/>
  <c r="Q94" i="5" s="1"/>
  <c r="P61" i="3"/>
  <c r="D64" i="3"/>
  <c r="J10" i="5"/>
  <c r="J81" i="5" s="1"/>
  <c r="J101" i="5" s="1"/>
  <c r="J8" i="5"/>
  <c r="J79" i="5" s="1"/>
  <c r="J99" i="5" s="1"/>
  <c r="J7" i="5"/>
  <c r="J78" i="5" s="1"/>
  <c r="J9" i="5"/>
  <c r="J80" i="5" s="1"/>
  <c r="J100" i="5" s="1"/>
  <c r="I11" i="4"/>
  <c r="P78" i="5"/>
  <c r="P98" i="5" s="1"/>
  <c r="P103" i="5" s="1"/>
  <c r="F98" i="5"/>
  <c r="F103" i="5" s="1"/>
  <c r="I92" i="5"/>
  <c r="J87" i="5"/>
  <c r="K102" i="5"/>
  <c r="I102" i="5"/>
  <c r="Q22" i="5"/>
  <c r="M95" i="5"/>
  <c r="L79" i="5"/>
  <c r="E63" i="3"/>
  <c r="P63" i="3" s="1"/>
  <c r="E57" i="3"/>
  <c r="E58" i="3" s="1"/>
  <c r="F94" i="5"/>
  <c r="K79" i="5"/>
  <c r="K58" i="3"/>
  <c r="H79" i="5"/>
  <c r="H99" i="5" s="1"/>
  <c r="E87" i="5"/>
  <c r="Q87" i="5" s="1"/>
  <c r="Q34" i="5"/>
  <c r="Q35" i="5"/>
  <c r="J94" i="5"/>
  <c r="H58" i="3"/>
  <c r="P86" i="5"/>
  <c r="K86" i="5"/>
  <c r="H62" i="3"/>
  <c r="Q80" i="5" l="1"/>
  <c r="D75" i="5"/>
  <c r="D80" i="5"/>
  <c r="D87" i="5" s="1"/>
  <c r="D94" i="5" s="1"/>
  <c r="D100" i="5" s="1"/>
  <c r="H9" i="1"/>
  <c r="H16" i="1" s="1"/>
  <c r="H22" i="1" s="1"/>
  <c r="H28" i="1" s="1"/>
  <c r="H34" i="1" s="1"/>
  <c r="H40" i="1" s="1"/>
  <c r="I3" i="1"/>
  <c r="H101" i="5"/>
  <c r="Q101" i="5" s="1"/>
  <c r="H64" i="3"/>
  <c r="Q4" i="5"/>
  <c r="AP31" i="11"/>
  <c r="G100" i="5"/>
  <c r="P54" i="3"/>
  <c r="P58" i="3" s="1"/>
  <c r="Q7" i="5"/>
  <c r="Q75" i="5"/>
  <c r="Q9" i="5"/>
  <c r="J21" i="1"/>
  <c r="K16" i="5"/>
  <c r="K41" i="5"/>
  <c r="Q41" i="5" s="1"/>
  <c r="K66" i="5"/>
  <c r="Q66" i="5" s="1"/>
  <c r="E41" i="11"/>
  <c r="F21" i="11"/>
  <c r="F25" i="11" s="1"/>
  <c r="E100" i="5"/>
  <c r="E42" i="3"/>
  <c r="F35" i="3" s="1"/>
  <c r="E102" i="5"/>
  <c r="Q102" i="5" s="1"/>
  <c r="Q82" i="5"/>
  <c r="G101" i="5"/>
  <c r="P24" i="4"/>
  <c r="K101" i="5"/>
  <c r="Q88" i="5"/>
  <c r="N101" i="5"/>
  <c r="B101" i="5" s="1"/>
  <c r="B81" i="5"/>
  <c r="Q86" i="5"/>
  <c r="Q16" i="5"/>
  <c r="E98" i="5"/>
  <c r="Q73" i="5"/>
  <c r="J2" i="1"/>
  <c r="K4" i="5"/>
  <c r="K73" i="5" s="1"/>
  <c r="K37" i="11"/>
  <c r="K39" i="11" s="1"/>
  <c r="L35" i="11" s="1"/>
  <c r="L39" i="11" s="1"/>
  <c r="M35" i="11" s="1"/>
  <c r="M39" i="11" s="1"/>
  <c r="N35" i="11" s="1"/>
  <c r="N39" i="11" s="1"/>
  <c r="O35" i="11" s="1"/>
  <c r="O39" i="11" s="1"/>
  <c r="P35" i="11" s="1"/>
  <c r="P39" i="11" s="1"/>
  <c r="Q35" i="11" s="1"/>
  <c r="Q39" i="11" s="1"/>
  <c r="R35" i="11" s="1"/>
  <c r="R39" i="11" s="1"/>
  <c r="S35" i="11" s="1"/>
  <c r="S39" i="11" s="1"/>
  <c r="T35" i="11" s="1"/>
  <c r="T39" i="11" s="1"/>
  <c r="U35" i="11" s="1"/>
  <c r="U39" i="11" s="1"/>
  <c r="V35" i="11" s="1"/>
  <c r="V39" i="11" s="1"/>
  <c r="W35" i="11" s="1"/>
  <c r="W39" i="11" s="1"/>
  <c r="X35" i="11" s="1"/>
  <c r="X39" i="11" s="1"/>
  <c r="Y35" i="11" s="1"/>
  <c r="Y39" i="11" s="1"/>
  <c r="Z35" i="11" s="1"/>
  <c r="Z39" i="11" s="1"/>
  <c r="AA35" i="11" s="1"/>
  <c r="AA39" i="11" s="1"/>
  <c r="AB35" i="11" s="1"/>
  <c r="AB39" i="11" s="1"/>
  <c r="AC35" i="11" s="1"/>
  <c r="AC39" i="11" s="1"/>
  <c r="AD35" i="11" s="1"/>
  <c r="AD39" i="11" s="1"/>
  <c r="AE35" i="11" s="1"/>
  <c r="AE39" i="11" s="1"/>
  <c r="AF35" i="11" s="1"/>
  <c r="AF39" i="11" s="1"/>
  <c r="AG35" i="11" s="1"/>
  <c r="AG39" i="11" s="1"/>
  <c r="AH35" i="11" s="1"/>
  <c r="AH39" i="11" s="1"/>
  <c r="AI35" i="11" s="1"/>
  <c r="AI39" i="11" s="1"/>
  <c r="AJ35" i="11" s="1"/>
  <c r="AJ39" i="11" s="1"/>
  <c r="AK35" i="11" s="1"/>
  <c r="AK39" i="11" s="1"/>
  <c r="AL35" i="11" s="1"/>
  <c r="AL39" i="11" s="1"/>
  <c r="AM35" i="11" s="1"/>
  <c r="AM39" i="11" s="1"/>
  <c r="AN35" i="11" s="1"/>
  <c r="AN39" i="11" s="1"/>
  <c r="AO35" i="11" s="1"/>
  <c r="AO39" i="11" s="1"/>
  <c r="AP38" i="11"/>
  <c r="D74" i="5"/>
  <c r="D79" i="5"/>
  <c r="D86" i="5" s="1"/>
  <c r="D93" i="5" s="1"/>
  <c r="D99" i="5" s="1"/>
  <c r="I101" i="5"/>
  <c r="P30" i="4"/>
  <c r="E64" i="3"/>
  <c r="L5" i="1"/>
  <c r="K2" i="1"/>
  <c r="L5" i="5"/>
  <c r="L74" i="5" s="1"/>
  <c r="L99" i="5" s="1"/>
  <c r="B98" i="5"/>
  <c r="N103" i="5"/>
  <c r="Q93" i="5"/>
  <c r="P62" i="3"/>
  <c r="P64" i="3" s="1"/>
  <c r="AP24" i="11"/>
  <c r="Q8" i="5"/>
  <c r="Q10" i="5"/>
  <c r="Q78" i="5"/>
  <c r="D73" i="5"/>
  <c r="D78" i="5"/>
  <c r="D85" i="5" s="1"/>
  <c r="D92" i="5" s="1"/>
  <c r="D98" i="5" s="1"/>
  <c r="J98" i="5"/>
  <c r="J103" i="5" s="1"/>
  <c r="K99" i="5"/>
  <c r="J15" i="1"/>
  <c r="K57" i="5"/>
  <c r="K7" i="5"/>
  <c r="K78" i="5" s="1"/>
  <c r="K32" i="5"/>
  <c r="Q95" i="5"/>
  <c r="Q79" i="5"/>
  <c r="N100" i="5"/>
  <c r="B100" i="5" s="1"/>
  <c r="I9" i="1" l="1"/>
  <c r="I16" i="1" s="1"/>
  <c r="I22" i="1" s="1"/>
  <c r="I28" i="1" s="1"/>
  <c r="I34" i="1" s="1"/>
  <c r="I40" i="1" s="1"/>
  <c r="J3" i="1"/>
  <c r="E103" i="5"/>
  <c r="F41" i="11"/>
  <c r="G21" i="11"/>
  <c r="G25" i="11" s="1"/>
  <c r="K85" i="5"/>
  <c r="Q85" i="5" s="1"/>
  <c r="Q32" i="5"/>
  <c r="K92" i="5"/>
  <c r="Q92" i="5" s="1"/>
  <c r="Q57" i="5"/>
  <c r="M5" i="5"/>
  <c r="M74" i="5" s="1"/>
  <c r="M5" i="1"/>
  <c r="L2" i="1"/>
  <c r="Q100" i="5"/>
  <c r="N5" i="1" l="1"/>
  <c r="M2" i="1"/>
  <c r="N5" i="5"/>
  <c r="K98" i="5"/>
  <c r="M99" i="5"/>
  <c r="H21" i="11"/>
  <c r="H25" i="11" s="1"/>
  <c r="G41" i="11"/>
  <c r="K3" i="1"/>
  <c r="J9" i="1"/>
  <c r="J16" i="1" s="1"/>
  <c r="J22" i="1" s="1"/>
  <c r="J28" i="1" s="1"/>
  <c r="J34" i="1" s="1"/>
  <c r="J40" i="1" s="1"/>
  <c r="I21" i="11" l="1"/>
  <c r="I25" i="11" s="1"/>
  <c r="H41" i="11"/>
  <c r="K103" i="5"/>
  <c r="Q98" i="5"/>
  <c r="Q103" i="5" s="1"/>
  <c r="N74" i="5"/>
  <c r="L3" i="1"/>
  <c r="K9" i="1"/>
  <c r="K16" i="1" s="1"/>
  <c r="K22" i="1" s="1"/>
  <c r="K28" i="1" s="1"/>
  <c r="K34" i="1" s="1"/>
  <c r="K40" i="1" s="1"/>
  <c r="O5" i="1"/>
  <c r="N2" i="1"/>
  <c r="O5" i="5"/>
  <c r="O74" i="5" s="1"/>
  <c r="O99" i="5" s="1"/>
  <c r="N99" i="5" l="1"/>
  <c r="B99" i="5" s="1"/>
  <c r="M3" i="1"/>
  <c r="L9" i="1"/>
  <c r="L16" i="1" s="1"/>
  <c r="L22" i="1" s="1"/>
  <c r="L28" i="1" s="1"/>
  <c r="L34" i="1" s="1"/>
  <c r="L40" i="1" s="1"/>
  <c r="O2" i="1"/>
  <c r="P5" i="5"/>
  <c r="I41" i="11"/>
  <c r="J21" i="11"/>
  <c r="J25" i="11" s="1"/>
  <c r="J41" i="11" l="1"/>
  <c r="K21" i="11"/>
  <c r="K25" i="11" s="1"/>
  <c r="P74" i="5"/>
  <c r="Q5" i="5"/>
  <c r="N3" i="1"/>
  <c r="M9" i="1"/>
  <c r="M16" i="1" s="1"/>
  <c r="M22" i="1" s="1"/>
  <c r="M28" i="1" s="1"/>
  <c r="M34" i="1" s="1"/>
  <c r="M40" i="1" s="1"/>
  <c r="N9" i="1" l="1"/>
  <c r="N16" i="1" s="1"/>
  <c r="N22" i="1" s="1"/>
  <c r="N28" i="1" s="1"/>
  <c r="N34" i="1" s="1"/>
  <c r="N40" i="1" s="1"/>
  <c r="O3" i="1"/>
  <c r="O9" i="1" s="1"/>
  <c r="O16" i="1" s="1"/>
  <c r="O22" i="1" s="1"/>
  <c r="O28" i="1" s="1"/>
  <c r="O34" i="1" s="1"/>
  <c r="O40" i="1" s="1"/>
  <c r="P99" i="5"/>
  <c r="Q99" i="5" s="1"/>
  <c r="Q74" i="5"/>
  <c r="K41" i="11"/>
  <c r="L21" i="11"/>
  <c r="L25" i="11" s="1"/>
  <c r="L41" i="11" l="1"/>
  <c r="M21" i="11"/>
  <c r="M25" i="11" s="1"/>
  <c r="M41" i="11" l="1"/>
  <c r="N21" i="11"/>
  <c r="N25" i="11" s="1"/>
  <c r="N41" i="11" l="1"/>
  <c r="O21" i="11"/>
  <c r="O25" i="11" s="1"/>
  <c r="O41" i="11" l="1"/>
  <c r="P21" i="11"/>
  <c r="P25" i="11" s="1"/>
  <c r="Q21" i="11" l="1"/>
  <c r="Q25" i="11" s="1"/>
  <c r="P41" i="11"/>
  <c r="Q41" i="11" l="1"/>
  <c r="R21" i="11"/>
  <c r="R25" i="11" s="1"/>
  <c r="R41" i="11" l="1"/>
  <c r="S21" i="11"/>
  <c r="S25" i="11" s="1"/>
  <c r="S41" i="11" l="1"/>
  <c r="T21" i="11"/>
  <c r="T25" i="11" s="1"/>
  <c r="T41" i="11" l="1"/>
  <c r="U21" i="11"/>
  <c r="U25" i="11" s="1"/>
  <c r="U41" i="11" l="1"/>
  <c r="V21" i="11"/>
  <c r="V25" i="11" s="1"/>
  <c r="V41" i="11" l="1"/>
  <c r="W21" i="11"/>
  <c r="W25" i="11" s="1"/>
  <c r="W41" i="11" l="1"/>
  <c r="X21" i="11"/>
  <c r="X25" i="11" s="1"/>
  <c r="X41" i="11" l="1"/>
  <c r="Y21" i="11"/>
  <c r="Y25" i="11" s="1"/>
  <c r="Y41" i="11" l="1"/>
  <c r="Z21" i="11"/>
  <c r="Z25" i="11" s="1"/>
  <c r="AA21" i="11" l="1"/>
  <c r="AA25" i="11" s="1"/>
  <c r="Z41" i="11"/>
  <c r="AB21" i="11" l="1"/>
  <c r="AB25" i="11" s="1"/>
  <c r="AA41" i="11"/>
  <c r="AC21" i="11" l="1"/>
  <c r="AC25" i="11" s="1"/>
  <c r="AB41" i="11"/>
  <c r="AC41" i="11" l="1"/>
  <c r="AD21" i="11"/>
  <c r="AD25" i="11" s="1"/>
  <c r="AE21" i="11" l="1"/>
  <c r="AE25" i="11" s="1"/>
  <c r="AD41" i="11"/>
  <c r="AF21" i="11" l="1"/>
  <c r="AF25" i="11" s="1"/>
  <c r="AE41" i="11"/>
  <c r="AG21" i="11" l="1"/>
  <c r="AG25" i="11" s="1"/>
  <c r="AF41" i="11"/>
  <c r="AG41" i="11" l="1"/>
  <c r="AH21" i="11"/>
  <c r="AH25" i="11" s="1"/>
  <c r="AH41" i="11" l="1"/>
  <c r="AI21" i="11"/>
  <c r="AI25" i="11" s="1"/>
  <c r="AJ21" i="11" l="1"/>
  <c r="AJ25" i="11" s="1"/>
  <c r="AI41" i="11"/>
  <c r="AK21" i="11" l="1"/>
  <c r="AK25" i="11" s="1"/>
  <c r="AJ41" i="11"/>
  <c r="AL21" i="11" l="1"/>
  <c r="AL25" i="11" s="1"/>
  <c r="AK41" i="11"/>
  <c r="AM21" i="11" l="1"/>
  <c r="AM25" i="11" s="1"/>
  <c r="AL41" i="11"/>
  <c r="AN21" i="11" l="1"/>
  <c r="AN25" i="11" s="1"/>
  <c r="AM41" i="11"/>
  <c r="AO21" i="11" l="1"/>
  <c r="AO25" i="11" s="1"/>
  <c r="AO41" i="11" s="1"/>
  <c r="AN41" i="11"/>
</calcChain>
</file>

<file path=xl/sharedStrings.xml><?xml version="1.0" encoding="utf-8"?>
<sst xmlns="http://schemas.openxmlformats.org/spreadsheetml/2006/main" count="771" uniqueCount="177">
  <si>
    <t>Location</t>
  </si>
  <si>
    <t>Product A</t>
  </si>
  <si>
    <t>Plant X</t>
  </si>
  <si>
    <t>CLINKER</t>
  </si>
  <si>
    <t>SLAG</t>
  </si>
  <si>
    <t>GYPSUM</t>
  </si>
  <si>
    <t>LIMESTONE</t>
  </si>
  <si>
    <t>Product B</t>
  </si>
  <si>
    <t>Plant Y</t>
  </si>
  <si>
    <t>PFA</t>
  </si>
  <si>
    <t>Product C</t>
  </si>
  <si>
    <t>Product D</t>
  </si>
  <si>
    <t>Product E</t>
  </si>
  <si>
    <t>Product F</t>
  </si>
  <si>
    <t>100% Sales Plan</t>
  </si>
  <si>
    <t>Product</t>
  </si>
  <si>
    <t>Total 2020</t>
  </si>
  <si>
    <t>Actual/projection</t>
  </si>
  <si>
    <t>TOTAL 2020</t>
  </si>
  <si>
    <t>Plant Total</t>
  </si>
  <si>
    <t>Total</t>
  </si>
  <si>
    <t>Plant Z</t>
  </si>
  <si>
    <t>Plant R</t>
  </si>
  <si>
    <t>Overall</t>
  </si>
  <si>
    <t>Depot Stock</t>
  </si>
  <si>
    <t>Opening Stock</t>
  </si>
  <si>
    <t>Dispatch</t>
  </si>
  <si>
    <t>Sales</t>
  </si>
  <si>
    <t>Closing Stock</t>
  </si>
  <si>
    <t>Plant-wise Dispatch</t>
  </si>
  <si>
    <t>Month</t>
  </si>
  <si>
    <t>Mongla</t>
  </si>
  <si>
    <t>Silo Stock</t>
  </si>
  <si>
    <t>Chhatak</t>
  </si>
  <si>
    <t>PLC</t>
  </si>
  <si>
    <t>OS</t>
  </si>
  <si>
    <t>Production</t>
  </si>
  <si>
    <t>Disaptch</t>
  </si>
  <si>
    <t>CS</t>
  </si>
  <si>
    <t>MH MA</t>
  </si>
  <si>
    <t>PCC</t>
  </si>
  <si>
    <t>OPC</t>
  </si>
  <si>
    <t>CEM IIIA</t>
  </si>
  <si>
    <t>RM 1</t>
  </si>
  <si>
    <t>RM 2</t>
  </si>
  <si>
    <t>RM 3</t>
  </si>
  <si>
    <t>RM 4</t>
  </si>
  <si>
    <t>RM 5</t>
  </si>
  <si>
    <t>RM Consumption</t>
  </si>
  <si>
    <t>CHHATAK</t>
  </si>
  <si>
    <t>Clinker</t>
  </si>
  <si>
    <t>Slag</t>
  </si>
  <si>
    <t>Gypsum</t>
  </si>
  <si>
    <t>Meghna 1</t>
  </si>
  <si>
    <t>Limestone</t>
  </si>
  <si>
    <t>Fly Ash</t>
  </si>
  <si>
    <t>Plastercrete</t>
  </si>
  <si>
    <t>Meghna 2</t>
  </si>
  <si>
    <t>MH-1</t>
  </si>
  <si>
    <t>MH-2</t>
  </si>
  <si>
    <t>MA</t>
  </si>
  <si>
    <t>TOTAL 2019</t>
  </si>
  <si>
    <t>Nov</t>
  </si>
  <si>
    <t>Dec</t>
  </si>
  <si>
    <t>Jan</t>
  </si>
  <si>
    <t>Feb</t>
  </si>
  <si>
    <t>Mar</t>
  </si>
  <si>
    <t>Apr</t>
  </si>
  <si>
    <t>Sales 2018</t>
  </si>
  <si>
    <t>Sales plan 2019</t>
  </si>
  <si>
    <t>Growth</t>
  </si>
  <si>
    <t>Transfer from Surma</t>
  </si>
  <si>
    <t>Closing Stock at Surma</t>
  </si>
  <si>
    <t>Imports</t>
  </si>
  <si>
    <t>Closing Stock at HBL</t>
  </si>
  <si>
    <t>Region</t>
  </si>
  <si>
    <t>Supercrete</t>
  </si>
  <si>
    <t>Holcim</t>
  </si>
  <si>
    <t>Total Unloading at HBL</t>
  </si>
  <si>
    <t>Dhaka</t>
  </si>
  <si>
    <t>Chittagong</t>
  </si>
  <si>
    <t>Sylhet</t>
  </si>
  <si>
    <t>Rajshahi</t>
  </si>
  <si>
    <t>Khulna</t>
  </si>
  <si>
    <t>Non Trade</t>
  </si>
  <si>
    <t>Export</t>
  </si>
  <si>
    <t>Plant-wise Unloading (estimated)</t>
  </si>
  <si>
    <t>LIP</t>
  </si>
  <si>
    <t>Meghna</t>
  </si>
  <si>
    <t>Shipment Plan -ETA at CTG Basis</t>
  </si>
  <si>
    <t>Shipment Schedule ETA at CTG PORT basis</t>
  </si>
  <si>
    <t>Firm Volume</t>
  </si>
  <si>
    <t>Total 
2019</t>
  </si>
  <si>
    <t>Sub Total</t>
  </si>
  <si>
    <t>Grand Total</t>
  </si>
  <si>
    <t>W1</t>
  </si>
  <si>
    <t>W2</t>
  </si>
  <si>
    <t>W3</t>
  </si>
  <si>
    <t>W4</t>
  </si>
  <si>
    <t>HBL(MH)</t>
  </si>
  <si>
    <t>LHB</t>
  </si>
  <si>
    <t>HBL</t>
  </si>
  <si>
    <t>Confirmed</t>
  </si>
  <si>
    <t xml:space="preserve">Clinker </t>
  </si>
  <si>
    <t>Jan'19</t>
  </si>
  <si>
    <t xml:space="preserve">ETA 21st </t>
  </si>
  <si>
    <t xml:space="preserve">Feb'19 </t>
  </si>
  <si>
    <t>ETA 5-10</t>
  </si>
  <si>
    <t>Next ETA required 20-25</t>
  </si>
  <si>
    <t>Mar'19</t>
  </si>
  <si>
    <t>ETA 4-9</t>
  </si>
  <si>
    <t>Source-Destination Mix: Holcim</t>
  </si>
  <si>
    <t>Region&gt; Source</t>
  </si>
  <si>
    <t>Total Volume</t>
  </si>
  <si>
    <t xml:space="preserve">MH1 </t>
  </si>
  <si>
    <t>MH2 Truck</t>
  </si>
  <si>
    <t>MH2 Barge</t>
  </si>
  <si>
    <t>MA Truck</t>
  </si>
  <si>
    <t>MA Barge</t>
  </si>
  <si>
    <t>Nagarbari</t>
  </si>
  <si>
    <t>Kapasia</t>
  </si>
  <si>
    <t>Nowapara</t>
  </si>
  <si>
    <t>CTG</t>
  </si>
  <si>
    <t>B2B</t>
  </si>
  <si>
    <t xml:space="preserve">LIP </t>
  </si>
  <si>
    <t>Source-Destination Mix: Supercrete</t>
  </si>
  <si>
    <t>Chhatak Barge</t>
  </si>
  <si>
    <t>Chhatak Truck</t>
  </si>
  <si>
    <t>Kutubpur Boat</t>
  </si>
  <si>
    <t>Kutubpur Truck</t>
  </si>
  <si>
    <t>Kanchpur Boat</t>
  </si>
  <si>
    <t>Kanchpur Truck</t>
  </si>
  <si>
    <t>Dipnagar</t>
  </si>
  <si>
    <t>Rajanagar</t>
  </si>
  <si>
    <t>MH</t>
  </si>
  <si>
    <t xml:space="preserve"> </t>
  </si>
  <si>
    <t xml:space="preserve">HBL RM Jetty &amp; Transit status </t>
  </si>
  <si>
    <t xml:space="preserve">As on </t>
  </si>
  <si>
    <t>Details</t>
  </si>
  <si>
    <t>LS</t>
  </si>
  <si>
    <t>PD unload</t>
  </si>
  <si>
    <t>Days</t>
  </si>
  <si>
    <t>Completed date</t>
  </si>
  <si>
    <t>Jetty floating</t>
  </si>
  <si>
    <t>CTG+Transit</t>
  </si>
  <si>
    <t>Slag ETA 24th April</t>
  </si>
  <si>
    <t>Gypsum 27th April</t>
  </si>
  <si>
    <t>In April</t>
  </si>
  <si>
    <t>CLC from Surma May</t>
  </si>
  <si>
    <t>Import LHT-ETA 8th May</t>
  </si>
  <si>
    <t>May Others RM</t>
  </si>
  <si>
    <t>LHT</t>
  </si>
  <si>
    <t>New Shipment</t>
  </si>
  <si>
    <t>Chhatak+Transit</t>
  </si>
  <si>
    <t>Jetty Floating</t>
  </si>
  <si>
    <t>Unloading</t>
  </si>
  <si>
    <t>Number of Lighter</t>
  </si>
  <si>
    <t>Number of Bolgate</t>
  </si>
  <si>
    <t>Closing Stock as of 22-Sep-19</t>
  </si>
  <si>
    <t>MH1</t>
  </si>
  <si>
    <t>MH2</t>
  </si>
  <si>
    <t>Dead</t>
  </si>
  <si>
    <t>Surma Dispatch</t>
  </si>
  <si>
    <t>Shade</t>
  </si>
  <si>
    <t>Jetty</t>
  </si>
  <si>
    <t>Floating</t>
  </si>
  <si>
    <t>Transit</t>
  </si>
  <si>
    <t>Import</t>
  </si>
  <si>
    <t xml:space="preserve">To be dispatched </t>
  </si>
  <si>
    <t>Consumption</t>
  </si>
  <si>
    <t>Mehgna 1</t>
  </si>
  <si>
    <t>Receive</t>
  </si>
  <si>
    <t>Mehgna 2</t>
  </si>
  <si>
    <t>Note: Clinker consumption is considered based on PCC and PLC cement only as OPC is minimum.</t>
  </si>
  <si>
    <t>Daily Dispatch History (supercrete+Holcim)</t>
  </si>
  <si>
    <t>Date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</si>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</sst>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[$-409]mmm/yy;@"/>
    <numFmt numFmtId="166" formatCode="_-* #,##0.00_-;\-* #,##0.00_-;_-* \-??_-;_-@_-"/>
    <numFmt numFmtId="167" formatCode="_-* #,##0_-;\-* #,##0_-;_-* \-??_-;_-@_-"/>
    <numFmt numFmtId="168" formatCode="0.0"/>
    <numFmt numFmtId="169" formatCode="_(* #,##0_);_(* \(#,##0\);_(* \-??_);_(@_)"/>
    <numFmt numFmtId="170" formatCode="_-* #,##0.0_-;\-* #,##0.0_-;_-* \-??_-;_-@_-"/>
    <numFmt numFmtId="171" formatCode="_(* #,##0.00_);_(* \(#,##0.00\);_(* \-??_);_(@_)"/>
    <numFmt numFmtId="172" formatCode="_-* #,##0.000_-;\-* #,##0.000_-;_-* \-??_-;_-@_-"/>
    <numFmt numFmtId="173" formatCode="_(* #,##0.0_);_(* \(#,##0.0\);_(* \-??_);_(@_)"/>
    <numFmt numFmtId="174" formatCode="[$-409]d\-mmm\-yy;@"/>
    <numFmt numFmtId="175" formatCode="\$#,##0_);[Red]&quot;($&quot;#,##0\)"/>
    <numFmt numFmtId="176" formatCode="[$-409]d\-mmm;@"/>
  </numFmts>
  <fonts count="24" x14ac:knownFonts="1">
    <font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i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206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i/>
      <sz val="11"/>
      <color rgb="FF0000FF"/>
      <name val="Calibri"/>
      <family val="2"/>
      <charset val="1"/>
    </font>
    <font>
      <b/>
      <sz val="13"/>
      <color rgb="FF00206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color rgb="FFC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0"/>
      <name val="Arial"/>
      <family val="2"/>
      <charset val="1"/>
    </font>
    <font>
      <b/>
      <sz val="11"/>
      <color rgb="FF00B05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DCE6F2"/>
        <bgColor rgb="FFDAEEF3"/>
      </patternFill>
    </fill>
    <fill>
      <patternFill patternType="solid">
        <fgColor rgb="FF00B050"/>
        <bgColor rgb="FF008080"/>
      </patternFill>
    </fill>
    <fill>
      <patternFill patternType="solid">
        <fgColor rgb="FFFCD5B5"/>
        <bgColor rgb="FFFFC7CE"/>
      </patternFill>
    </fill>
    <fill>
      <patternFill patternType="solid">
        <fgColor rgb="FFFFFF00"/>
        <bgColor rgb="FFFFC000"/>
      </patternFill>
    </fill>
    <fill>
      <patternFill patternType="solid">
        <fgColor rgb="FFC00000"/>
        <bgColor rgb="FF9C0006"/>
      </patternFill>
    </fill>
    <fill>
      <patternFill patternType="solid">
        <fgColor rgb="FFB9CDE5"/>
        <bgColor rgb="FFB7DEE8"/>
      </patternFill>
    </fill>
    <fill>
      <patternFill patternType="solid">
        <fgColor rgb="FFFF0000"/>
        <bgColor rgb="FFFF0066"/>
      </patternFill>
    </fill>
    <fill>
      <patternFill patternType="solid">
        <fgColor rgb="FF808080"/>
        <bgColor rgb="FF4F81BD"/>
      </patternFill>
    </fill>
    <fill>
      <patternFill patternType="solid">
        <fgColor rgb="FFF79646"/>
        <bgColor rgb="FFD99694"/>
      </patternFill>
    </fill>
    <fill>
      <patternFill patternType="solid">
        <fgColor rgb="FFFF0066"/>
        <bgColor rgb="FFFF0000"/>
      </patternFill>
    </fill>
    <fill>
      <patternFill patternType="solid">
        <fgColor rgb="FFB7DEE8"/>
        <bgColor rgb="FFB9CDE5"/>
      </patternFill>
    </fill>
    <fill>
      <patternFill patternType="solid">
        <fgColor rgb="FFDDD9C3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DDD9C3"/>
      </patternFill>
    </fill>
    <fill>
      <patternFill patternType="solid">
        <fgColor rgb="FFE6E0EC"/>
        <bgColor rgb="FFDCE6F2"/>
      </patternFill>
    </fill>
    <fill>
      <patternFill patternType="solid">
        <fgColor rgb="FF4F81BD"/>
        <bgColor rgb="FF808080"/>
      </patternFill>
    </fill>
    <fill>
      <patternFill patternType="solid">
        <fgColor rgb="FF92D050"/>
        <bgColor rgb="FF9BBB59"/>
      </patternFill>
    </fill>
    <fill>
      <patternFill patternType="solid">
        <fgColor rgb="FFEBF1DE"/>
        <bgColor rgb="FFF2F2F2"/>
      </patternFill>
    </fill>
    <fill>
      <patternFill patternType="solid">
        <fgColor rgb="FF4A452A"/>
        <bgColor rgb="FF333300"/>
      </patternFill>
    </fill>
    <fill>
      <patternFill patternType="solid">
        <fgColor rgb="FFD99694"/>
        <bgColor rgb="FFE6B9B8"/>
      </patternFill>
    </fill>
    <fill>
      <patternFill patternType="solid">
        <fgColor rgb="FFBFBFBF"/>
        <bgColor rgb="FFB9CDE5"/>
      </patternFill>
    </fill>
    <fill>
      <patternFill patternType="solid">
        <fgColor rgb="FF9BBB59"/>
        <bgColor rgb="FF92D050"/>
      </patternFill>
    </fill>
    <fill>
      <patternFill patternType="solid">
        <fgColor rgb="FFD7E4BD"/>
        <bgColor rgb="FFDDD9C3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F79646"/>
      </patternFill>
    </fill>
    <fill>
      <patternFill patternType="solid">
        <fgColor rgb="FFC3D69B"/>
        <bgColor rgb="FFD7E4BD"/>
      </patternFill>
    </fill>
    <fill>
      <patternFill patternType="solid">
        <fgColor rgb="FF8EB4E3"/>
        <bgColor rgb="FF95B3D7"/>
      </patternFill>
    </fill>
    <fill>
      <patternFill patternType="solid">
        <fgColor rgb="FF0000FF"/>
        <bgColor rgb="FF0000FF"/>
      </patternFill>
    </fill>
    <fill>
      <patternFill patternType="solid">
        <fgColor rgb="FFFAC090"/>
        <bgColor rgb="FFE6B9B8"/>
      </patternFill>
    </fill>
    <fill>
      <patternFill patternType="solid">
        <fgColor rgb="FFF4FAA0"/>
        <bgColor rgb="FFFFEB9C"/>
      </patternFill>
    </fill>
    <fill>
      <patternFill patternType="solid">
        <fgColor rgb="FFDAEEF3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C000"/>
        <bgColor rgb="FFF79646"/>
      </patternFill>
    </fill>
  </fills>
  <borders count="6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rgb="FF95B3D7"/>
      </top>
      <bottom/>
      <diagonal/>
    </border>
  </borders>
  <cellStyleXfs count="3">
    <xf numFmtId="0" fontId="0" fillId="0" borderId="0"/>
    <xf numFmtId="166" fontId="23" fillId="0" borderId="0" applyBorder="0" applyProtection="0"/>
    <xf numFmtId="9" fontId="23" fillId="0" borderId="0" applyBorder="0" applyProtection="0"/>
  </cellStyleXfs>
  <cellXfs count="352">
    <xf numFmtId="0" fontId="0" fillId="0" borderId="0" xfId="0"/>
    <xf numFmtId="0" fontId="3" fillId="5" borderId="13" xfId="0" applyFont="1" applyFill="1" applyBorder="1" applyAlignment="1">
      <alignment horizontal="left"/>
    </xf>
    <xf numFmtId="0" fontId="3" fillId="23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19" borderId="6" xfId="0" applyFont="1" applyFill="1" applyBorder="1" applyAlignment="1">
      <alignment horizontal="left" vertical="center" wrapText="1"/>
    </xf>
    <xf numFmtId="0" fontId="3" fillId="11" borderId="5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164" fontId="0" fillId="0" borderId="0" xfId="0" applyNumberFormat="1"/>
    <xf numFmtId="0" fontId="3" fillId="2" borderId="1" xfId="0" applyFont="1" applyFill="1" applyBorder="1"/>
    <xf numFmtId="0" fontId="4" fillId="3" borderId="1" xfId="0" applyFont="1" applyFill="1" applyBorder="1"/>
    <xf numFmtId="165" fontId="3" fillId="4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/>
    <xf numFmtId="164" fontId="0" fillId="0" borderId="1" xfId="0" applyNumberFormat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3" fillId="0" borderId="2" xfId="0" applyFont="1" applyBorder="1"/>
    <xf numFmtId="0" fontId="4" fillId="6" borderId="1" xfId="0" applyFont="1" applyFill="1" applyBorder="1"/>
    <xf numFmtId="0" fontId="3" fillId="0" borderId="3" xfId="0" applyFont="1" applyBorder="1"/>
    <xf numFmtId="164" fontId="0" fillId="7" borderId="1" xfId="0" applyNumberFormat="1" applyFill="1" applyBorder="1" applyAlignment="1">
      <alignment horizontal="center" vertical="center"/>
    </xf>
    <xf numFmtId="0" fontId="4" fillId="8" borderId="1" xfId="0" applyFont="1" applyFill="1" applyBorder="1"/>
    <xf numFmtId="0" fontId="4" fillId="9" borderId="1" xfId="0" applyFont="1" applyFill="1" applyBorder="1"/>
    <xf numFmtId="0" fontId="4" fillId="10" borderId="1" xfId="0" applyFont="1" applyFill="1" applyBorder="1"/>
    <xf numFmtId="9" fontId="23" fillId="0" borderId="0" xfId="2" applyBorder="1" applyAlignment="1" applyProtection="1">
      <alignment horizontal="center" vertical="center"/>
    </xf>
    <xf numFmtId="9" fontId="3" fillId="0" borderId="0" xfId="2" applyFont="1" applyBorder="1" applyAlignment="1" applyProtection="1">
      <alignment horizontal="center" vertical="center"/>
    </xf>
    <xf numFmtId="1" fontId="0" fillId="0" borderId="0" xfId="0" applyNumberFormat="1" applyAlignment="1">
      <alignment horizontal="center" vertical="center"/>
    </xf>
    <xf numFmtId="9" fontId="4" fillId="11" borderId="0" xfId="0" applyNumberFormat="1" applyFont="1" applyFill="1" applyAlignment="1">
      <alignment vertical="center"/>
    </xf>
    <xf numFmtId="166" fontId="3" fillId="0" borderId="0" xfId="1" applyFont="1" applyBorder="1" applyAlignment="1" applyProtection="1">
      <alignment horizontal="center" vertical="center"/>
    </xf>
    <xf numFmtId="165" fontId="3" fillId="2" borderId="1" xfId="0" applyNumberFormat="1" applyFont="1" applyFill="1" applyBorder="1" applyAlignment="1">
      <alignment horizontal="left" vertical="center"/>
    </xf>
    <xf numFmtId="165" fontId="3" fillId="10" borderId="1" xfId="0" applyNumberFormat="1" applyFont="1" applyFill="1" applyBorder="1" applyAlignment="1">
      <alignment horizontal="center" vertical="center"/>
    </xf>
    <xf numFmtId="165" fontId="3" fillId="12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167" fontId="23" fillId="0" borderId="1" xfId="1" applyNumberFormat="1" applyBorder="1" applyAlignment="1" applyProtection="1">
      <alignment horizontal="center" vertical="center"/>
    </xf>
    <xf numFmtId="167" fontId="23" fillId="14" borderId="1" xfId="1" applyNumberFormat="1" applyFill="1" applyBorder="1" applyAlignment="1" applyProtection="1">
      <alignment horizontal="center" vertical="center"/>
    </xf>
    <xf numFmtId="166" fontId="23" fillId="14" borderId="1" xfId="1" applyFill="1" applyBorder="1" applyAlignment="1" applyProtection="1">
      <alignment horizontal="center" vertical="center"/>
    </xf>
    <xf numFmtId="166" fontId="23" fillId="0" borderId="1" xfId="1" applyBorder="1" applyAlignment="1" applyProtection="1">
      <alignment horizontal="center" vertical="center"/>
    </xf>
    <xf numFmtId="167" fontId="3" fillId="0" borderId="1" xfId="1" applyNumberFormat="1" applyFont="1" applyBorder="1" applyAlignment="1" applyProtection="1">
      <alignment horizontal="center" vertical="center"/>
    </xf>
    <xf numFmtId="9" fontId="3" fillId="0" borderId="4" xfId="2" applyFont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8" fontId="0" fillId="0" borderId="0" xfId="0" applyNumberFormat="1"/>
    <xf numFmtId="167" fontId="23" fillId="0" borderId="0" xfId="1" applyNumberFormat="1" applyBorder="1" applyProtection="1"/>
    <xf numFmtId="1" fontId="0" fillId="0" borderId="0" xfId="0" applyNumberFormat="1"/>
    <xf numFmtId="165" fontId="4" fillId="9" borderId="1" xfId="0" applyNumberFormat="1" applyFont="1" applyFill="1" applyBorder="1" applyAlignment="1">
      <alignment horizontal="left" vertical="center"/>
    </xf>
    <xf numFmtId="165" fontId="4" fillId="9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15" borderId="1" xfId="0" applyNumberFormat="1" applyFill="1" applyBorder="1" applyAlignment="1">
      <alignment horizontal="center" vertical="center"/>
    </xf>
    <xf numFmtId="166" fontId="23" fillId="0" borderId="0" xfId="1" applyBorder="1" applyProtection="1"/>
    <xf numFmtId="168" fontId="0" fillId="0" borderId="1" xfId="0" applyNumberFormat="1" applyBorder="1" applyAlignment="1">
      <alignment horizontal="center" vertical="center"/>
    </xf>
    <xf numFmtId="168" fontId="0" fillId="15" borderId="1" xfId="0" applyNumberFormat="1" applyFill="1" applyBorder="1" applyAlignment="1">
      <alignment horizontal="center" vertical="center"/>
    </xf>
    <xf numFmtId="0" fontId="3" fillId="0" borderId="0" xfId="0" applyFont="1"/>
    <xf numFmtId="0" fontId="3" fillId="16" borderId="1" xfId="0" applyFont="1" applyFill="1" applyBorder="1" applyAlignment="1">
      <alignment horizontal="left" vertical="center"/>
    </xf>
    <xf numFmtId="0" fontId="3" fillId="16" borderId="1" xfId="0" applyFont="1" applyFill="1" applyBorder="1"/>
    <xf numFmtId="168" fontId="6" fillId="16" borderId="1" xfId="0" applyNumberFormat="1" applyFont="1" applyFill="1" applyBorder="1" applyAlignment="1">
      <alignment horizontal="center" vertical="center"/>
    </xf>
    <xf numFmtId="168" fontId="6" fillId="15" borderId="1" xfId="0" applyNumberFormat="1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left" vertical="center"/>
    </xf>
    <xf numFmtId="0" fontId="6" fillId="16" borderId="1" xfId="0" applyFont="1" applyFill="1" applyBorder="1"/>
    <xf numFmtId="1" fontId="0" fillId="15" borderId="0" xfId="0" applyNumberFormat="1" applyFill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9" fontId="0" fillId="0" borderId="0" xfId="0" applyNumberFormat="1"/>
    <xf numFmtId="9" fontId="0" fillId="0" borderId="1" xfId="0" applyNumberFormat="1" applyBorder="1"/>
    <xf numFmtId="165" fontId="4" fillId="17" borderId="1" xfId="0" applyNumberFormat="1" applyFont="1" applyFill="1" applyBorder="1" applyAlignment="1">
      <alignment horizontal="center" vertical="center"/>
    </xf>
    <xf numFmtId="167" fontId="23" fillId="0" borderId="1" xfId="1" applyNumberFormat="1" applyBorder="1" applyAlignment="1" applyProtection="1">
      <alignment vertical="center"/>
    </xf>
    <xf numFmtId="167" fontId="23" fillId="0" borderId="3" xfId="1" applyNumberFormat="1" applyBorder="1" applyAlignment="1" applyProtection="1">
      <alignment vertical="center"/>
    </xf>
    <xf numFmtId="167" fontId="23" fillId="15" borderId="1" xfId="1" applyNumberFormat="1" applyFill="1" applyBorder="1" applyAlignment="1" applyProtection="1">
      <alignment vertical="center"/>
    </xf>
    <xf numFmtId="167" fontId="0" fillId="0" borderId="1" xfId="0" applyNumberFormat="1" applyBorder="1" applyAlignment="1">
      <alignment vertical="center"/>
    </xf>
    <xf numFmtId="0" fontId="2" fillId="0" borderId="1" xfId="0" applyFont="1" applyBorder="1" applyAlignment="1">
      <alignment horizontal="right"/>
    </xf>
    <xf numFmtId="167" fontId="2" fillId="0" borderId="1" xfId="0" applyNumberFormat="1" applyFont="1" applyBorder="1" applyAlignment="1">
      <alignment vertical="center"/>
    </xf>
    <xf numFmtId="167" fontId="2" fillId="15" borderId="1" xfId="0" applyNumberFormat="1" applyFont="1" applyFill="1" applyBorder="1" applyAlignment="1">
      <alignment vertical="center"/>
    </xf>
    <xf numFmtId="167" fontId="3" fillId="0" borderId="1" xfId="1" applyNumberFormat="1" applyFont="1" applyBorder="1" applyAlignment="1" applyProtection="1">
      <alignment vertical="center"/>
    </xf>
    <xf numFmtId="167" fontId="3" fillId="15" borderId="1" xfId="1" applyNumberFormat="1" applyFont="1" applyFill="1" applyBorder="1" applyAlignment="1" applyProtection="1">
      <alignment vertical="center"/>
    </xf>
    <xf numFmtId="167" fontId="3" fillId="0" borderId="1" xfId="0" applyNumberFormat="1" applyFont="1" applyBorder="1" applyAlignment="1">
      <alignment vertical="center"/>
    </xf>
    <xf numFmtId="170" fontId="23" fillId="0" borderId="1" xfId="1" applyNumberFormat="1" applyBorder="1" applyAlignment="1" applyProtection="1">
      <alignment vertical="center"/>
    </xf>
    <xf numFmtId="167" fontId="2" fillId="0" borderId="1" xfId="1" applyNumberFormat="1" applyFont="1" applyBorder="1" applyAlignment="1" applyProtection="1">
      <alignment horizontal="center" vertical="center"/>
    </xf>
    <xf numFmtId="171" fontId="0" fillId="0" borderId="0" xfId="0" applyNumberFormat="1"/>
    <xf numFmtId="170" fontId="3" fillId="0" borderId="1" xfId="1" applyNumberFormat="1" applyFont="1" applyBorder="1" applyAlignment="1" applyProtection="1">
      <alignment vertical="center"/>
    </xf>
    <xf numFmtId="167" fontId="23" fillId="7" borderId="6" xfId="1" applyNumberFormat="1" applyFill="1" applyBorder="1" applyProtection="1"/>
    <xf numFmtId="167" fontId="23" fillId="19" borderId="6" xfId="1" applyNumberFormat="1" applyFill="1" applyBorder="1" applyProtection="1"/>
    <xf numFmtId="167" fontId="23" fillId="19" borderId="7" xfId="1" applyNumberFormat="1" applyFill="1" applyBorder="1" applyProtection="1"/>
    <xf numFmtId="0" fontId="2" fillId="19" borderId="6" xfId="0" applyFont="1" applyFill="1" applyBorder="1" applyAlignment="1">
      <alignment horizontal="right"/>
    </xf>
    <xf numFmtId="165" fontId="4" fillId="9" borderId="6" xfId="0" applyNumberFormat="1" applyFont="1" applyFill="1" applyBorder="1" applyAlignment="1">
      <alignment horizontal="center" vertical="center"/>
    </xf>
    <xf numFmtId="167" fontId="23" fillId="0" borderId="6" xfId="1" applyNumberFormat="1" applyBorder="1" applyProtection="1"/>
    <xf numFmtId="0" fontId="7" fillId="0" borderId="6" xfId="0" applyFont="1" applyBorder="1" applyAlignment="1">
      <alignment horizontal="right"/>
    </xf>
    <xf numFmtId="167" fontId="3" fillId="0" borderId="6" xfId="0" applyNumberFormat="1" applyFont="1" applyBorder="1"/>
    <xf numFmtId="0" fontId="8" fillId="0" borderId="0" xfId="0" applyFont="1"/>
    <xf numFmtId="1" fontId="6" fillId="16" borderId="1" xfId="0" applyNumberFormat="1" applyFont="1" applyFill="1" applyBorder="1" applyAlignment="1">
      <alignment horizontal="center" vertical="center"/>
    </xf>
    <xf numFmtId="0" fontId="4" fillId="20" borderId="8" xfId="0" applyFont="1" applyFill="1" applyBorder="1"/>
    <xf numFmtId="0" fontId="3" fillId="0" borderId="9" xfId="0" applyFont="1" applyBorder="1"/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0" fontId="23" fillId="0" borderId="1" xfId="1" applyNumberFormat="1" applyBorder="1" applyAlignment="1" applyProtection="1">
      <alignment horizontal="center" vertical="center"/>
    </xf>
    <xf numFmtId="0" fontId="0" fillId="15" borderId="0" xfId="0" applyFill="1"/>
    <xf numFmtId="172" fontId="23" fillId="0" borderId="0" xfId="1" applyNumberFormat="1" applyBorder="1" applyProtection="1"/>
    <xf numFmtId="0" fontId="9" fillId="0" borderId="4" xfId="0" applyFont="1" applyBorder="1"/>
    <xf numFmtId="1" fontId="10" fillId="0" borderId="0" xfId="0" applyNumberFormat="1" applyFont="1" applyAlignment="1">
      <alignment horizontal="center"/>
    </xf>
    <xf numFmtId="1" fontId="10" fillId="15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 vertical="center"/>
    </xf>
    <xf numFmtId="168" fontId="6" fillId="16" borderId="0" xfId="0" applyNumberFormat="1" applyFont="1" applyFill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9" fontId="4" fillId="11" borderId="0" xfId="0" applyNumberFormat="1" applyFont="1" applyFill="1"/>
    <xf numFmtId="16" fontId="0" fillId="0" borderId="0" xfId="0" applyNumberFormat="1"/>
    <xf numFmtId="9" fontId="0" fillId="0" borderId="0" xfId="0" applyNumberFormat="1"/>
    <xf numFmtId="9" fontId="23" fillId="0" borderId="0" xfId="2" applyBorder="1" applyProtection="1"/>
    <xf numFmtId="0" fontId="3" fillId="2" borderId="6" xfId="0" applyFont="1" applyFill="1" applyBorder="1" applyAlignment="1">
      <alignment horizontal="center"/>
    </xf>
    <xf numFmtId="0" fontId="0" fillId="0" borderId="6" xfId="0" applyBorder="1"/>
    <xf numFmtId="168" fontId="0" fillId="0" borderId="6" xfId="0" applyNumberFormat="1" applyBorder="1" applyAlignment="1">
      <alignment horizontal="center"/>
    </xf>
    <xf numFmtId="3" fontId="0" fillId="0" borderId="0" xfId="0" applyNumberFormat="1"/>
    <xf numFmtId="1" fontId="3" fillId="0" borderId="0" xfId="0" applyNumberFormat="1" applyFont="1"/>
    <xf numFmtId="0" fontId="3" fillId="0" borderId="6" xfId="0" applyFont="1" applyBorder="1"/>
    <xf numFmtId="168" fontId="3" fillId="0" borderId="6" xfId="0" applyNumberFormat="1" applyFont="1" applyBorder="1" applyAlignment="1">
      <alignment horizontal="center"/>
    </xf>
    <xf numFmtId="0" fontId="11" fillId="5" borderId="10" xfId="0" applyFont="1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0" xfId="0" applyFill="1"/>
    <xf numFmtId="0" fontId="12" fillId="0" borderId="14" xfId="0" applyFont="1" applyBorder="1"/>
    <xf numFmtId="0" fontId="12" fillId="0" borderId="15" xfId="0" applyFont="1" applyBorder="1"/>
    <xf numFmtId="0" fontId="13" fillId="24" borderId="10" xfId="0" applyFont="1" applyFill="1" applyBorder="1"/>
    <xf numFmtId="0" fontId="13" fillId="24" borderId="11" xfId="0" applyFont="1" applyFill="1" applyBorder="1"/>
    <xf numFmtId="0" fontId="12" fillId="24" borderId="1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2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0" fontId="0" fillId="0" borderId="24" xfId="0" applyBorder="1"/>
    <xf numFmtId="0" fontId="0" fillId="0" borderId="17" xfId="0" applyBorder="1"/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/>
    <xf numFmtId="0" fontId="12" fillId="14" borderId="25" xfId="0" applyFont="1" applyFill="1" applyBorder="1"/>
    <xf numFmtId="0" fontId="12" fillId="14" borderId="6" xfId="0" applyFont="1" applyFill="1" applyBorder="1"/>
    <xf numFmtId="173" fontId="12" fillId="26" borderId="26" xfId="1" applyNumberFormat="1" applyFont="1" applyFill="1" applyBorder="1" applyProtection="1"/>
    <xf numFmtId="0" fontId="12" fillId="26" borderId="6" xfId="0" applyFont="1" applyFill="1" applyBorder="1"/>
    <xf numFmtId="0" fontId="12" fillId="27" borderId="26" xfId="0" applyFont="1" applyFill="1" applyBorder="1"/>
    <xf numFmtId="0" fontId="12" fillId="14" borderId="6" xfId="0" applyFont="1" applyFill="1" applyBorder="1" applyAlignment="1">
      <alignment horizontal="center"/>
    </xf>
    <xf numFmtId="0" fontId="13" fillId="28" borderId="6" xfId="0" applyFont="1" applyFill="1" applyBorder="1"/>
    <xf numFmtId="0" fontId="12" fillId="27" borderId="6" xfId="0" applyFont="1" applyFill="1" applyBorder="1"/>
    <xf numFmtId="0" fontId="12" fillId="14" borderId="26" xfId="0" applyFont="1" applyFill="1" applyBorder="1"/>
    <xf numFmtId="0" fontId="12" fillId="27" borderId="25" xfId="0" applyFont="1" applyFill="1" applyBorder="1"/>
    <xf numFmtId="0" fontId="12" fillId="14" borderId="27" xfId="0" applyFont="1" applyFill="1" applyBorder="1"/>
    <xf numFmtId="0" fontId="12" fillId="14" borderId="28" xfId="0" applyFont="1" applyFill="1" applyBorder="1"/>
    <xf numFmtId="0" fontId="14" fillId="0" borderId="29" xfId="0" applyFont="1" applyBorder="1"/>
    <xf numFmtId="0" fontId="12" fillId="0" borderId="30" xfId="0" applyFont="1" applyBorder="1"/>
    <xf numFmtId="0" fontId="12" fillId="0" borderId="6" xfId="0" applyFont="1" applyBorder="1"/>
    <xf numFmtId="0" fontId="12" fillId="0" borderId="26" xfId="0" applyFont="1" applyBorder="1"/>
    <xf numFmtId="0" fontId="14" fillId="0" borderId="25" xfId="0" applyFont="1" applyBorder="1"/>
    <xf numFmtId="0" fontId="14" fillId="0" borderId="31" xfId="0" applyFont="1" applyBorder="1"/>
    <xf numFmtId="0" fontId="12" fillId="0" borderId="27" xfId="0" applyFont="1" applyBorder="1"/>
    <xf numFmtId="0" fontId="12" fillId="28" borderId="6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14" borderId="2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5" fillId="0" borderId="27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5" fillId="0" borderId="33" xfId="0" applyFont="1" applyBorder="1" applyAlignment="1">
      <alignment horizontal="center" vertical="center"/>
    </xf>
    <xf numFmtId="0" fontId="12" fillId="28" borderId="6" xfId="0" applyFont="1" applyFill="1" applyBorder="1"/>
    <xf numFmtId="0" fontId="15" fillId="0" borderId="27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27" borderId="26" xfId="0" applyFont="1" applyFill="1" applyBorder="1" applyAlignment="1">
      <alignment horizontal="center" vertical="center"/>
    </xf>
    <xf numFmtId="0" fontId="0" fillId="0" borderId="34" xfId="0" applyBorder="1"/>
    <xf numFmtId="0" fontId="15" fillId="27" borderId="25" xfId="0" applyFont="1" applyFill="1" applyBorder="1" applyAlignment="1">
      <alignment horizontal="center" vertical="center"/>
    </xf>
    <xf numFmtId="0" fontId="15" fillId="27" borderId="6" xfId="0" applyFont="1" applyFill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5" fillId="27" borderId="25" xfId="0" applyFont="1" applyFill="1" applyBorder="1"/>
    <xf numFmtId="0" fontId="15" fillId="0" borderId="25" xfId="0" applyFont="1" applyBorder="1"/>
    <xf numFmtId="0" fontId="15" fillId="27" borderId="6" xfId="0" applyFont="1" applyFill="1" applyBorder="1"/>
    <xf numFmtId="0" fontId="15" fillId="0" borderId="6" xfId="0" applyFont="1" applyBorder="1"/>
    <xf numFmtId="0" fontId="3" fillId="0" borderId="35" xfId="0" applyFont="1" applyBorder="1"/>
    <xf numFmtId="0" fontId="3" fillId="0" borderId="36" xfId="0" applyFont="1" applyBorder="1"/>
    <xf numFmtId="0" fontId="12" fillId="0" borderId="31" xfId="0" applyFont="1" applyBorder="1"/>
    <xf numFmtId="0" fontId="15" fillId="0" borderId="37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0" fontId="12" fillId="14" borderId="26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2" fillId="0" borderId="25" xfId="0" applyFont="1" applyBorder="1"/>
    <xf numFmtId="0" fontId="0" fillId="0" borderId="25" xfId="0" applyBorder="1"/>
    <xf numFmtId="0" fontId="13" fillId="0" borderId="26" xfId="0" applyFont="1" applyBorder="1" applyAlignment="1">
      <alignment horizontal="center" vertical="center"/>
    </xf>
    <xf numFmtId="0" fontId="12" fillId="14" borderId="26" xfId="0" applyFont="1" applyFill="1" applyBorder="1" applyAlignment="1">
      <alignment horizontal="center"/>
    </xf>
    <xf numFmtId="0" fontId="12" fillId="29" borderId="25" xfId="0" applyFont="1" applyFill="1" applyBorder="1"/>
    <xf numFmtId="0" fontId="12" fillId="14" borderId="27" xfId="0" applyFont="1" applyFill="1" applyBorder="1" applyAlignment="1">
      <alignment horizontal="center"/>
    </xf>
    <xf numFmtId="0" fontId="12" fillId="14" borderId="39" xfId="0" applyFont="1" applyFill="1" applyBorder="1" applyAlignment="1">
      <alignment horizontal="center"/>
    </xf>
    <xf numFmtId="0" fontId="12" fillId="28" borderId="25" xfId="0" applyFont="1" applyFill="1" applyBorder="1"/>
    <xf numFmtId="0" fontId="12" fillId="28" borderId="41" xfId="0" applyFont="1" applyFill="1" applyBorder="1"/>
    <xf numFmtId="0" fontId="12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28" borderId="41" xfId="0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 vertical="center"/>
    </xf>
    <xf numFmtId="0" fontId="12" fillId="14" borderId="39" xfId="0" applyFont="1" applyFill="1" applyBorder="1" applyAlignment="1">
      <alignment horizontal="center" vertical="center"/>
    </xf>
    <xf numFmtId="0" fontId="12" fillId="30" borderId="6" xfId="0" applyFont="1" applyFill="1" applyBorder="1" applyAlignment="1">
      <alignment horizontal="center" vertical="center"/>
    </xf>
    <xf numFmtId="0" fontId="12" fillId="30" borderId="25" xfId="0" applyFont="1" applyFill="1" applyBorder="1" applyAlignment="1">
      <alignment horizontal="center" vertical="center"/>
    </xf>
    <xf numFmtId="0" fontId="12" fillId="30" borderId="6" xfId="0" applyFont="1" applyFill="1" applyBorder="1"/>
    <xf numFmtId="0" fontId="12" fillId="30" borderId="25" xfId="0" applyFont="1" applyFill="1" applyBorder="1"/>
    <xf numFmtId="0" fontId="12" fillId="0" borderId="39" xfId="0" applyFont="1" applyBorder="1"/>
    <xf numFmtId="0" fontId="12" fillId="0" borderId="33" xfId="0" applyFont="1" applyBorder="1"/>
    <xf numFmtId="0" fontId="12" fillId="29" borderId="6" xfId="0" applyFont="1" applyFill="1" applyBorder="1"/>
    <xf numFmtId="0" fontId="13" fillId="0" borderId="27" xfId="0" applyFont="1" applyBorder="1"/>
    <xf numFmtId="0" fontId="13" fillId="0" borderId="39" xfId="0" applyFont="1" applyBorder="1"/>
    <xf numFmtId="0" fontId="12" fillId="14" borderId="33" xfId="0" applyFont="1" applyFill="1" applyBorder="1"/>
    <xf numFmtId="0" fontId="12" fillId="28" borderId="26" xfId="0" applyFont="1" applyFill="1" applyBorder="1"/>
    <xf numFmtId="0" fontId="13" fillId="0" borderId="0" xfId="0" applyFont="1"/>
    <xf numFmtId="0" fontId="13" fillId="0" borderId="31" xfId="0" applyFont="1" applyBorder="1"/>
    <xf numFmtId="0" fontId="12" fillId="28" borderId="41" xfId="0" applyFont="1" applyFill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2" fillId="28" borderId="6" xfId="0" applyFont="1" applyFill="1" applyBorder="1" applyAlignment="1">
      <alignment horizontal="center"/>
    </xf>
    <xf numFmtId="0" fontId="13" fillId="0" borderId="6" xfId="0" applyFont="1" applyBorder="1" applyAlignment="1">
      <alignment horizontal="center" vertical="center"/>
    </xf>
    <xf numFmtId="0" fontId="13" fillId="31" borderId="6" xfId="0" applyFont="1" applyFill="1" applyBorder="1" applyAlignment="1">
      <alignment horizontal="center" vertical="center"/>
    </xf>
    <xf numFmtId="0" fontId="13" fillId="31" borderId="26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3" fillId="0" borderId="25" xfId="0" applyFont="1" applyBorder="1"/>
    <xf numFmtId="0" fontId="13" fillId="31" borderId="26" xfId="0" applyFont="1" applyFill="1" applyBorder="1"/>
    <xf numFmtId="0" fontId="0" fillId="0" borderId="26" xfId="0" applyBorder="1"/>
    <xf numFmtId="0" fontId="13" fillId="31" borderId="25" xfId="0" applyFont="1" applyFill="1" applyBorder="1"/>
    <xf numFmtId="0" fontId="13" fillId="31" borderId="6" xfId="0" applyFont="1" applyFill="1" applyBorder="1"/>
    <xf numFmtId="0" fontId="13" fillId="0" borderId="44" xfId="0" applyFont="1" applyBorder="1" applyAlignment="1">
      <alignment horizontal="center" vertical="center"/>
    </xf>
    <xf numFmtId="0" fontId="12" fillId="0" borderId="42" xfId="0" applyFont="1" applyBorder="1"/>
    <xf numFmtId="0" fontId="12" fillId="0" borderId="41" xfId="0" applyFont="1" applyBorder="1"/>
    <xf numFmtId="0" fontId="12" fillId="0" borderId="44" xfId="0" applyFont="1" applyBorder="1"/>
    <xf numFmtId="0" fontId="12" fillId="29" borderId="41" xfId="0" applyFont="1" applyFill="1" applyBorder="1"/>
    <xf numFmtId="0" fontId="12" fillId="0" borderId="45" xfId="0" applyFont="1" applyBorder="1"/>
    <xf numFmtId="0" fontId="12" fillId="14" borderId="42" xfId="0" applyFont="1" applyFill="1" applyBorder="1"/>
    <xf numFmtId="0" fontId="13" fillId="0" borderId="45" xfId="0" applyFont="1" applyBorder="1"/>
    <xf numFmtId="0" fontId="13" fillId="0" borderId="46" xfId="0" applyFont="1" applyBorder="1"/>
    <xf numFmtId="0" fontId="12" fillId="0" borderId="47" xfId="0" applyFont="1" applyBorder="1"/>
    <xf numFmtId="0" fontId="12" fillId="14" borderId="48" xfId="0" applyFont="1" applyFill="1" applyBorder="1"/>
    <xf numFmtId="0" fontId="12" fillId="28" borderId="13" xfId="0" applyFont="1" applyFill="1" applyBorder="1"/>
    <xf numFmtId="0" fontId="12" fillId="28" borderId="49" xfId="0" applyFont="1" applyFill="1" applyBorder="1"/>
    <xf numFmtId="0" fontId="13" fillId="0" borderId="13" xfId="0" applyFont="1" applyBorder="1"/>
    <xf numFmtId="0" fontId="13" fillId="0" borderId="47" xfId="0" applyFont="1" applyBorder="1"/>
    <xf numFmtId="0" fontId="12" fillId="0" borderId="42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0" fillId="0" borderId="13" xfId="0" applyBorder="1"/>
    <xf numFmtId="0" fontId="12" fillId="0" borderId="44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2" fillId="28" borderId="50" xfId="0" applyFont="1" applyFill="1" applyBorder="1" applyAlignment="1">
      <alignment horizontal="center"/>
    </xf>
    <xf numFmtId="0" fontId="13" fillId="0" borderId="5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3" fillId="31" borderId="41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31" borderId="4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3" fillId="0" borderId="42" xfId="0" applyFont="1" applyBorder="1"/>
    <xf numFmtId="0" fontId="13" fillId="31" borderId="44" xfId="0" applyFont="1" applyFill="1" applyBorder="1"/>
    <xf numFmtId="0" fontId="0" fillId="0" borderId="44" xfId="0" applyBorder="1"/>
    <xf numFmtId="0" fontId="13" fillId="31" borderId="42" xfId="0" applyFont="1" applyFill="1" applyBorder="1"/>
    <xf numFmtId="0" fontId="0" fillId="0" borderId="41" xfId="0" applyBorder="1"/>
    <xf numFmtId="0" fontId="13" fillId="31" borderId="41" xfId="0" applyFont="1" applyFill="1" applyBorder="1"/>
    <xf numFmtId="0" fontId="3" fillId="0" borderId="52" xfId="0" applyFont="1" applyBorder="1"/>
    <xf numFmtId="0" fontId="12" fillId="0" borderId="53" xfId="0" applyFont="1" applyBorder="1"/>
    <xf numFmtId="0" fontId="12" fillId="0" borderId="49" xfId="0" applyFont="1" applyBorder="1"/>
    <xf numFmtId="0" fontId="12" fillId="0" borderId="0" xfId="0" applyFont="1"/>
    <xf numFmtId="0" fontId="12" fillId="0" borderId="13" xfId="0" applyFont="1" applyBorder="1"/>
    <xf numFmtId="0" fontId="12" fillId="0" borderId="34" xfId="0" applyFont="1" applyBorder="1"/>
    <xf numFmtId="0" fontId="16" fillId="0" borderId="0" xfId="0" applyFont="1"/>
    <xf numFmtId="0" fontId="3" fillId="32" borderId="27" xfId="0" applyFont="1" applyFill="1" applyBorder="1" applyAlignment="1">
      <alignment vertical="center" wrapText="1"/>
    </xf>
    <xf numFmtId="0" fontId="3" fillId="32" borderId="39" xfId="0" applyFont="1" applyFill="1" applyBorder="1" applyAlignment="1">
      <alignment vertical="center" wrapText="1"/>
    </xf>
    <xf numFmtId="0" fontId="3" fillId="32" borderId="31" xfId="0" applyFont="1" applyFill="1" applyBorder="1" applyAlignment="1">
      <alignment vertical="center" wrapText="1"/>
    </xf>
    <xf numFmtId="0" fontId="0" fillId="0" borderId="54" xfId="0" applyBorder="1" applyAlignment="1">
      <alignment vertical="center"/>
    </xf>
    <xf numFmtId="39" fontId="0" fillId="0" borderId="0" xfId="0" applyNumberFormat="1" applyAlignment="1">
      <alignment horizontal="center" vertical="center"/>
    </xf>
    <xf numFmtId="39" fontId="0" fillId="0" borderId="55" xfId="0" applyNumberFormat="1" applyBorder="1" applyAlignment="1">
      <alignment horizontal="center" vertical="center"/>
    </xf>
    <xf numFmtId="0" fontId="17" fillId="0" borderId="27" xfId="0" applyFont="1" applyBorder="1"/>
    <xf numFmtId="39" fontId="17" fillId="0" borderId="39" xfId="0" applyNumberFormat="1" applyFont="1" applyBorder="1" applyAlignment="1">
      <alignment horizontal="center" vertical="center"/>
    </xf>
    <xf numFmtId="39" fontId="17" fillId="0" borderId="31" xfId="0" applyNumberFormat="1" applyFont="1" applyBorder="1" applyAlignment="1">
      <alignment horizontal="center" vertical="center"/>
    </xf>
    <xf numFmtId="0" fontId="18" fillId="0" borderId="0" xfId="0" applyFont="1"/>
    <xf numFmtId="0" fontId="3" fillId="0" borderId="27" xfId="0" applyFont="1" applyBorder="1" applyAlignment="1">
      <alignment vertical="center" wrapText="1"/>
    </xf>
    <xf numFmtId="0" fontId="3" fillId="0" borderId="27" xfId="0" applyFont="1" applyBorder="1" applyAlignment="1">
      <alignment wrapText="1"/>
    </xf>
    <xf numFmtId="0" fontId="3" fillId="0" borderId="39" xfId="0" applyFont="1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3" fillId="0" borderId="27" xfId="0" applyFont="1" applyBorder="1" applyAlignment="1">
      <alignment vertical="center"/>
    </xf>
    <xf numFmtId="39" fontId="3" fillId="0" borderId="39" xfId="0" applyNumberFormat="1" applyFont="1" applyBorder="1" applyAlignment="1">
      <alignment horizontal="center" vertical="center"/>
    </xf>
    <xf numFmtId="39" fontId="3" fillId="0" borderId="31" xfId="0" applyNumberFormat="1" applyFont="1" applyBorder="1" applyAlignment="1">
      <alignment horizontal="center" vertic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vertical="center"/>
    </xf>
    <xf numFmtId="174" fontId="19" fillId="0" borderId="0" xfId="0" applyNumberFormat="1" applyFont="1" applyAlignment="1">
      <alignment wrapText="1"/>
    </xf>
    <xf numFmtId="14" fontId="0" fillId="0" borderId="0" xfId="0" applyNumberFormat="1" applyAlignment="1">
      <alignment horizontal="right" wrapText="1"/>
    </xf>
    <xf numFmtId="0" fontId="20" fillId="33" borderId="56" xfId="0" applyFont="1" applyFill="1" applyBorder="1" applyAlignment="1">
      <alignment horizontal="center" vertical="center" wrapText="1"/>
    </xf>
    <xf numFmtId="0" fontId="20" fillId="33" borderId="57" xfId="0" applyFont="1" applyFill="1" applyBorder="1" applyAlignment="1">
      <alignment horizontal="center" vertical="center" wrapText="1"/>
    </xf>
    <xf numFmtId="0" fontId="20" fillId="33" borderId="58" xfId="0" applyFont="1" applyFill="1" applyBorder="1" applyAlignment="1">
      <alignment horizontal="center" vertical="center" wrapText="1"/>
    </xf>
    <xf numFmtId="0" fontId="19" fillId="0" borderId="59" xfId="0" applyFont="1" applyBorder="1" applyAlignment="1">
      <alignment vertical="center"/>
    </xf>
    <xf numFmtId="3" fontId="19" fillId="0" borderId="59" xfId="0" applyNumberFormat="1" applyFont="1" applyBorder="1" applyAlignment="1">
      <alignment horizontal="right" wrapText="1"/>
    </xf>
    <xf numFmtId="0" fontId="19" fillId="0" borderId="59" xfId="0" applyFont="1" applyBorder="1" applyAlignment="1">
      <alignment horizontal="right" wrapText="1"/>
    </xf>
    <xf numFmtId="170" fontId="19" fillId="0" borderId="59" xfId="1" applyNumberFormat="1" applyFont="1" applyBorder="1" applyAlignment="1" applyProtection="1">
      <alignment horizontal="right" wrapText="1"/>
    </xf>
    <xf numFmtId="174" fontId="19" fillId="0" borderId="59" xfId="0" applyNumberFormat="1" applyFont="1" applyBorder="1" applyAlignment="1">
      <alignment wrapText="1"/>
    </xf>
    <xf numFmtId="0" fontId="19" fillId="0" borderId="60" xfId="0" applyFont="1" applyBorder="1" applyAlignment="1">
      <alignment wrapText="1"/>
    </xf>
    <xf numFmtId="3" fontId="19" fillId="0" borderId="60" xfId="0" applyNumberFormat="1" applyFont="1" applyBorder="1" applyAlignment="1">
      <alignment horizontal="right" wrapText="1"/>
    </xf>
    <xf numFmtId="174" fontId="19" fillId="0" borderId="60" xfId="0" applyNumberFormat="1" applyFont="1" applyBorder="1" applyAlignment="1">
      <alignment wrapText="1"/>
    </xf>
    <xf numFmtId="0" fontId="19" fillId="0" borderId="60" xfId="0" applyFont="1" applyBorder="1" applyAlignment="1">
      <alignment vertical="center"/>
    </xf>
    <xf numFmtId="0" fontId="19" fillId="0" borderId="60" xfId="0" applyFont="1" applyBorder="1" applyAlignment="1">
      <alignment horizontal="right" wrapText="1"/>
    </xf>
    <xf numFmtId="0" fontId="19" fillId="34" borderId="60" xfId="0" applyFont="1" applyFill="1" applyBorder="1" applyAlignment="1">
      <alignment horizontal="right" wrapText="1"/>
    </xf>
    <xf numFmtId="0" fontId="19" fillId="34" borderId="60" xfId="0" applyFont="1" applyFill="1" applyBorder="1" applyAlignment="1">
      <alignment wrapText="1"/>
    </xf>
    <xf numFmtId="0" fontId="20" fillId="5" borderId="60" xfId="0" applyFont="1" applyFill="1" applyBorder="1" applyAlignment="1">
      <alignment vertical="center"/>
    </xf>
    <xf numFmtId="3" fontId="21" fillId="5" borderId="60" xfId="0" applyNumberFormat="1" applyFont="1" applyFill="1" applyBorder="1"/>
    <xf numFmtId="175" fontId="0" fillId="0" borderId="0" xfId="0" applyNumberFormat="1"/>
    <xf numFmtId="174" fontId="0" fillId="0" borderId="0" xfId="0" applyNumberFormat="1"/>
    <xf numFmtId="176" fontId="0" fillId="0" borderId="0" xfId="0" applyNumberFormat="1"/>
    <xf numFmtId="166" fontId="0" fillId="0" borderId="0" xfId="0" applyNumberFormat="1"/>
    <xf numFmtId="16" fontId="3" fillId="0" borderId="0" xfId="0" applyNumberFormat="1" applyFont="1"/>
    <xf numFmtId="16" fontId="3" fillId="27" borderId="0" xfId="0" applyNumberFormat="1" applyFont="1" applyFill="1"/>
    <xf numFmtId="168" fontId="0" fillId="27" borderId="0" xfId="0" applyNumberFormat="1" applyFill="1"/>
    <xf numFmtId="168" fontId="0" fillId="5" borderId="0" xfId="0" applyNumberFormat="1" applyFill="1"/>
    <xf numFmtId="168" fontId="3" fillId="0" borderId="0" xfId="0" applyNumberFormat="1" applyFont="1"/>
    <xf numFmtId="17" fontId="0" fillId="0" borderId="0" xfId="0" applyNumberFormat="1"/>
    <xf numFmtId="0" fontId="22" fillId="2" borderId="61" xfId="0" applyFont="1" applyFill="1" applyBorder="1" applyAlignment="1">
      <alignment vertical="top"/>
    </xf>
    <xf numFmtId="0" fontId="13" fillId="24" borderId="10" xfId="0" applyFont="1" applyFill="1" applyBorder="1" applyAlignment="1">
      <alignment horizontal="center" vertical="center"/>
    </xf>
    <xf numFmtId="0" fontId="13" fillId="25" borderId="8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17" fontId="12" fillId="0" borderId="8" xfId="0" applyNumberFormat="1" applyFont="1" applyBorder="1" applyAlignment="1">
      <alignment horizontal="center"/>
    </xf>
    <xf numFmtId="17" fontId="12" fillId="24" borderId="8" xfId="0" applyNumberFormat="1" applyFont="1" applyFill="1" applyBorder="1" applyAlignment="1">
      <alignment horizontal="center"/>
    </xf>
    <xf numFmtId="17" fontId="12" fillId="24" borderId="10" xfId="0" applyNumberFormat="1" applyFont="1" applyFill="1" applyBorder="1" applyAlignment="1">
      <alignment horizontal="center"/>
    </xf>
    <xf numFmtId="17" fontId="12" fillId="24" borderId="8" xfId="0" applyNumberFormat="1" applyFont="1" applyFill="1" applyBorder="1" applyAlignment="1">
      <alignment horizontal="center" vertical="center"/>
    </xf>
    <xf numFmtId="17" fontId="12" fillId="25" borderId="10" xfId="0" applyNumberFormat="1" applyFont="1" applyFill="1" applyBorder="1" applyAlignment="1">
      <alignment horizontal="center" vertical="center"/>
    </xf>
    <xf numFmtId="17" fontId="12" fillId="25" borderId="8" xfId="0" applyNumberFormat="1" applyFont="1" applyFill="1" applyBorder="1" applyAlignment="1">
      <alignment horizontal="center" vertical="center"/>
    </xf>
    <xf numFmtId="17" fontId="12" fillId="25" borderId="11" xfId="0" applyNumberFormat="1" applyFont="1" applyFill="1" applyBorder="1" applyAlignment="1">
      <alignment horizontal="center" vertical="center"/>
    </xf>
    <xf numFmtId="17" fontId="12" fillId="25" borderId="12" xfId="0" applyNumberFormat="1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/>
    </xf>
    <xf numFmtId="0" fontId="13" fillId="0" borderId="25" xfId="0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/>
    </xf>
    <xf numFmtId="0" fontId="3" fillId="0" borderId="36" xfId="0" applyFont="1" applyBorder="1" applyAlignment="1">
      <alignment horizontal="right" vertical="center"/>
    </xf>
    <xf numFmtId="0" fontId="13" fillId="0" borderId="42" xfId="0" applyFont="1" applyBorder="1" applyAlignment="1">
      <alignment horizontal="left" vertical="center"/>
    </xf>
    <xf numFmtId="0" fontId="13" fillId="28" borderId="6" xfId="0" applyFont="1" applyFill="1" applyBorder="1" applyAlignment="1">
      <alignment horizontal="center"/>
    </xf>
    <xf numFmtId="0" fontId="3" fillId="0" borderId="43" xfId="0" applyFont="1" applyBorder="1" applyAlignment="1">
      <alignment horizontal="right" vertical="center"/>
    </xf>
    <xf numFmtId="0" fontId="13" fillId="28" borderId="4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9" fillId="0" borderId="59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12">
    <dxf>
      <font>
        <color rgb="FFFF0000"/>
      </font>
      <fill>
        <patternFill>
          <bgColor rgb="FFE6B9B8"/>
        </patternFill>
      </fill>
    </dxf>
    <dxf>
      <font>
        <color rgb="FFFF0000"/>
      </font>
      <fill>
        <patternFill>
          <bgColor rgb="FFE6B9B8"/>
        </patternFill>
      </fill>
    </dxf>
    <dxf>
      <font>
        <color rgb="FFFF0000"/>
      </font>
      <fill>
        <patternFill>
          <bgColor rgb="FFE6B9B8"/>
        </patternFill>
      </fill>
    </dxf>
    <dxf>
      <font>
        <color rgb="FFFF0000"/>
      </font>
      <fill>
        <patternFill>
          <bgColor rgb="FFE6B9B8"/>
        </patternFill>
      </fill>
    </dxf>
    <dxf>
      <font>
        <color rgb="FFFF0000"/>
      </font>
      <fill>
        <patternFill>
          <bgColor rgb="FFE6B9B8"/>
        </patternFill>
      </fill>
    </dxf>
    <dxf>
      <font>
        <color rgb="FFFF0000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F2F2F2"/>
      <rgbColor rgb="FF0000FF"/>
      <rgbColor rgb="FFFFFF00"/>
      <rgbColor rgb="FFFF0066"/>
      <rgbColor rgb="FFD9D9D9"/>
      <rgbColor rgb="FF9C0006"/>
      <rgbColor rgb="FF008000"/>
      <rgbColor rgb="FF000080"/>
      <rgbColor rgb="FF9C6500"/>
      <rgbColor rgb="FF800080"/>
      <rgbColor rgb="FF008080"/>
      <rgbColor rgb="FFBFBFBF"/>
      <rgbColor rgb="FF808080"/>
      <rgbColor rgb="FF95B3D7"/>
      <rgbColor rgb="FFFCD5B5"/>
      <rgbColor rgb="FFEBF1DE"/>
      <rgbColor rgb="FFDAEEF3"/>
      <rgbColor rgb="FF660066"/>
      <rgbColor rgb="FFD99694"/>
      <rgbColor rgb="FF0066CC"/>
      <rgbColor rgb="FFB9CDE5"/>
      <rgbColor rgb="FF000080"/>
      <rgbColor rgb="FFFF00FF"/>
      <rgbColor rgb="FFFFEB9C"/>
      <rgbColor rgb="FFDDD9C3"/>
      <rgbColor rgb="FF800080"/>
      <rgbColor rgb="FFC00000"/>
      <rgbColor rgb="FF008080"/>
      <rgbColor rgb="FF0000FF"/>
      <rgbColor rgb="FFC3D69B"/>
      <rgbColor rgb="FFDCE6F2"/>
      <rgbColor rgb="FFD7E4BD"/>
      <rgbColor rgb="FFF4FAA0"/>
      <rgbColor rgb="FF8EB4E3"/>
      <rgbColor rgb="FFE6B9B8"/>
      <rgbColor rgb="FFFFC7CE"/>
      <rgbColor rgb="FFFAC090"/>
      <rgbColor rgb="FFE6E0EC"/>
      <rgbColor rgb="FFB7DEE8"/>
      <rgbColor rgb="FF92D050"/>
      <rgbColor rgb="FFFFC000"/>
      <rgbColor rgb="FFF79646"/>
      <rgbColor rgb="FFE46C0A"/>
      <rgbColor rgb="FF4F81BD"/>
      <rgbColor rgb="FF9BBB59"/>
      <rgbColor rgb="FF002060"/>
      <rgbColor rgb="FF00B050"/>
      <rgbColor rgb="FF003300"/>
      <rgbColor rgb="FF333300"/>
      <rgbColor rgb="FF993300"/>
      <rgbColor rgb="FFFDEADA"/>
      <rgbColor rgb="FF333399"/>
      <rgbColor rgb="FF4A45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190440</xdr:colOff>
      <xdr:row>1</xdr:row>
      <xdr:rowOff>202320</xdr:rowOff>
    </xdr:from>
    <xdr:to>
      <xdr:col>41</xdr:col>
      <xdr:colOff>113040</xdr:colOff>
      <xdr:row>3</xdr:row>
      <xdr:rowOff>37800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672560" y="392760"/>
          <a:ext cx="184320" cy="264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m%20shipme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m shipm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showGridLines="0" zoomScale="90" zoomScaleNormal="90" workbookViewId="0">
      <selection activeCell="A4" sqref="A4"/>
    </sheetView>
  </sheetViews>
  <sheetFormatPr defaultColWidth="8.5703125" defaultRowHeight="15" x14ac:dyDescent="0.25"/>
  <cols>
    <col min="3" max="3" width="11.7109375" customWidth="1"/>
  </cols>
  <sheetData>
    <row r="1" spans="1:15" ht="17.25" x14ac:dyDescent="0.3">
      <c r="B1" s="15">
        <v>2020</v>
      </c>
    </row>
    <row r="2" spans="1:15" x14ac:dyDescent="0.25">
      <c r="D2" s="16">
        <f t="shared" ref="D2:O2" si="0">SUM(D4:D7)</f>
        <v>1</v>
      </c>
      <c r="E2" s="16">
        <f t="shared" si="0"/>
        <v>1</v>
      </c>
      <c r="F2" s="16">
        <f t="shared" si="0"/>
        <v>1</v>
      </c>
      <c r="G2" s="16">
        <f t="shared" si="0"/>
        <v>1</v>
      </c>
      <c r="H2" s="16">
        <f t="shared" si="0"/>
        <v>1</v>
      </c>
      <c r="I2" s="16">
        <f t="shared" si="0"/>
        <v>1</v>
      </c>
      <c r="J2" s="16">
        <f t="shared" si="0"/>
        <v>1</v>
      </c>
      <c r="K2" s="16">
        <f t="shared" si="0"/>
        <v>1.0010000000000001</v>
      </c>
      <c r="L2" s="16">
        <f t="shared" si="0"/>
        <v>1</v>
      </c>
      <c r="M2" s="16">
        <f t="shared" si="0"/>
        <v>0.99150000000000005</v>
      </c>
      <c r="N2" s="16">
        <f t="shared" si="0"/>
        <v>1</v>
      </c>
      <c r="O2" s="16">
        <f t="shared" si="0"/>
        <v>1</v>
      </c>
    </row>
    <row r="3" spans="1:15" x14ac:dyDescent="0.25">
      <c r="B3" s="17" t="s">
        <v>0</v>
      </c>
      <c r="C3" s="18" t="s">
        <v>1</v>
      </c>
      <c r="D3" s="19">
        <v>43831</v>
      </c>
      <c r="E3" s="20">
        <f>D3+31</f>
        <v>43862</v>
      </c>
      <c r="F3" s="20">
        <f>E3+30</f>
        <v>43892</v>
      </c>
      <c r="G3" s="20">
        <f>F3+30</f>
        <v>43922</v>
      </c>
      <c r="H3" s="20">
        <f>G3+30</f>
        <v>43952</v>
      </c>
      <c r="I3" s="20">
        <f>H3+30</f>
        <v>43982</v>
      </c>
      <c r="J3" s="20">
        <f>I3+30</f>
        <v>44012</v>
      </c>
      <c r="K3" s="20">
        <f>J3+31</f>
        <v>44043</v>
      </c>
      <c r="L3" s="20">
        <f>K3+31</f>
        <v>44074</v>
      </c>
      <c r="M3" s="20">
        <f>L3+30</f>
        <v>44104</v>
      </c>
      <c r="N3" s="20">
        <f>M3+31</f>
        <v>44135</v>
      </c>
      <c r="O3" s="20">
        <f>N3+31</f>
        <v>44166</v>
      </c>
    </row>
    <row r="4" spans="1:15" x14ac:dyDescent="0.25">
      <c r="A4" s="14"/>
      <c r="B4" s="13" t="s">
        <v>2</v>
      </c>
      <c r="C4" s="22" t="s">
        <v>3</v>
      </c>
      <c r="D4" s="23">
        <v>0.64300000000000002</v>
      </c>
      <c r="E4" s="23">
        <f t="shared" ref="E4:F7" si="1">D4</f>
        <v>0.64300000000000002</v>
      </c>
      <c r="F4" s="23">
        <f t="shared" si="1"/>
        <v>0.64300000000000002</v>
      </c>
      <c r="G4" s="23">
        <v>0.64500000000000002</v>
      </c>
      <c r="H4" s="23">
        <f>G4</f>
        <v>0.64500000000000002</v>
      </c>
      <c r="I4" s="23">
        <f>H4</f>
        <v>0.64500000000000002</v>
      </c>
      <c r="J4" s="23">
        <f>I4</f>
        <v>0.64500000000000002</v>
      </c>
      <c r="K4" s="24">
        <v>0.64600000000000002</v>
      </c>
      <c r="L4" s="23">
        <f>K4</f>
        <v>0.64600000000000002</v>
      </c>
      <c r="M4" s="23">
        <v>0.63749999999999996</v>
      </c>
      <c r="N4" s="23">
        <v>0.64500000000000002</v>
      </c>
      <c r="O4" s="23">
        <v>0.64500000000000002</v>
      </c>
    </row>
    <row r="5" spans="1:15" x14ac:dyDescent="0.25">
      <c r="A5" s="14"/>
      <c r="B5" s="13"/>
      <c r="C5" s="22" t="s">
        <v>4</v>
      </c>
      <c r="D5" s="23">
        <v>4.9700000000000001E-2</v>
      </c>
      <c r="E5" s="23">
        <f t="shared" si="1"/>
        <v>4.9700000000000001E-2</v>
      </c>
      <c r="F5" s="23">
        <f t="shared" si="1"/>
        <v>4.9700000000000001E-2</v>
      </c>
      <c r="G5" s="23">
        <v>0.05</v>
      </c>
      <c r="H5" s="23">
        <v>5.5E-2</v>
      </c>
      <c r="I5" s="23">
        <f t="shared" ref="I5:K6" si="2">H5</f>
        <v>5.5E-2</v>
      </c>
      <c r="J5" s="23">
        <f t="shared" si="2"/>
        <v>5.5E-2</v>
      </c>
      <c r="K5" s="24">
        <f t="shared" si="2"/>
        <v>5.5E-2</v>
      </c>
      <c r="L5" s="23">
        <f>K5</f>
        <v>5.5E-2</v>
      </c>
      <c r="M5" s="23">
        <f t="shared" ref="M5:O6" si="3">L5</f>
        <v>5.5E-2</v>
      </c>
      <c r="N5" s="23">
        <f t="shared" si="3"/>
        <v>5.5E-2</v>
      </c>
      <c r="O5" s="23">
        <f t="shared" si="3"/>
        <v>5.5E-2</v>
      </c>
    </row>
    <row r="6" spans="1:15" x14ac:dyDescent="0.25">
      <c r="A6" s="14"/>
      <c r="B6" s="13"/>
      <c r="C6" s="22" t="s">
        <v>5</v>
      </c>
      <c r="D6" s="23">
        <v>5.1299999999999998E-2</v>
      </c>
      <c r="E6" s="23">
        <f t="shared" si="1"/>
        <v>5.1299999999999998E-2</v>
      </c>
      <c r="F6" s="23">
        <f t="shared" si="1"/>
        <v>5.1299999999999998E-2</v>
      </c>
      <c r="G6" s="23">
        <v>5.5E-2</v>
      </c>
      <c r="H6" s="23">
        <f>G6</f>
        <v>5.5E-2</v>
      </c>
      <c r="I6" s="23">
        <f t="shared" si="2"/>
        <v>5.5E-2</v>
      </c>
      <c r="J6" s="23">
        <f t="shared" si="2"/>
        <v>5.5E-2</v>
      </c>
      <c r="K6" s="24">
        <f t="shared" si="2"/>
        <v>5.5E-2</v>
      </c>
      <c r="L6" s="23">
        <f>K6</f>
        <v>5.5E-2</v>
      </c>
      <c r="M6" s="23">
        <f t="shared" si="3"/>
        <v>5.5E-2</v>
      </c>
      <c r="N6" s="23">
        <f t="shared" si="3"/>
        <v>5.5E-2</v>
      </c>
      <c r="O6" s="23">
        <f t="shared" si="3"/>
        <v>5.5E-2</v>
      </c>
    </row>
    <row r="7" spans="1:15" x14ac:dyDescent="0.25">
      <c r="A7" s="14"/>
      <c r="B7" s="13"/>
      <c r="C7" s="22" t="s">
        <v>6</v>
      </c>
      <c r="D7" s="23">
        <v>0.25600000000000001</v>
      </c>
      <c r="E7" s="23">
        <f t="shared" si="1"/>
        <v>0.25600000000000001</v>
      </c>
      <c r="F7" s="23">
        <f t="shared" si="1"/>
        <v>0.25600000000000001</v>
      </c>
      <c r="G7" s="23">
        <v>0.25</v>
      </c>
      <c r="H7" s="23">
        <v>0.245</v>
      </c>
      <c r="I7" s="23">
        <f>H7</f>
        <v>0.245</v>
      </c>
      <c r="J7" s="23">
        <f>I7</f>
        <v>0.245</v>
      </c>
      <c r="K7" s="24">
        <v>0.245</v>
      </c>
      <c r="L7" s="23">
        <v>0.24399999999999999</v>
      </c>
      <c r="M7" s="23">
        <v>0.24399999999999999</v>
      </c>
      <c r="N7" s="23">
        <v>0.245</v>
      </c>
      <c r="O7" s="23">
        <v>0.245</v>
      </c>
    </row>
    <row r="8" spans="1:15" x14ac:dyDescent="0.25">
      <c r="D8" s="16">
        <f t="shared" ref="D8:O8" si="4">SUM(D10:D14)</f>
        <v>1</v>
      </c>
      <c r="E8" s="16">
        <f t="shared" si="4"/>
        <v>1.0044</v>
      </c>
      <c r="F8" s="16">
        <f t="shared" si="4"/>
        <v>1</v>
      </c>
      <c r="G8" s="16">
        <f t="shared" si="4"/>
        <v>1</v>
      </c>
      <c r="H8" s="16">
        <f t="shared" si="4"/>
        <v>1</v>
      </c>
      <c r="I8" s="16">
        <f t="shared" si="4"/>
        <v>1.006</v>
      </c>
      <c r="J8" s="16">
        <f t="shared" si="4"/>
        <v>1.0020000000000002</v>
      </c>
      <c r="K8" s="16">
        <f t="shared" si="4"/>
        <v>1.02</v>
      </c>
      <c r="L8" s="16">
        <f t="shared" si="4"/>
        <v>1</v>
      </c>
      <c r="M8" s="16">
        <f t="shared" si="4"/>
        <v>1</v>
      </c>
      <c r="N8" s="16">
        <f t="shared" si="4"/>
        <v>1</v>
      </c>
      <c r="O8" s="16">
        <f t="shared" si="4"/>
        <v>1</v>
      </c>
    </row>
    <row r="9" spans="1:15" x14ac:dyDescent="0.25">
      <c r="B9" s="25" t="s">
        <v>0</v>
      </c>
      <c r="C9" s="26" t="s">
        <v>7</v>
      </c>
      <c r="D9" s="19">
        <f t="shared" ref="D9:O9" si="5">D3</f>
        <v>43831</v>
      </c>
      <c r="E9" s="20">
        <f t="shared" si="5"/>
        <v>43862</v>
      </c>
      <c r="F9" s="20">
        <f t="shared" si="5"/>
        <v>43892</v>
      </c>
      <c r="G9" s="20">
        <f t="shared" si="5"/>
        <v>43922</v>
      </c>
      <c r="H9" s="20">
        <f t="shared" si="5"/>
        <v>43952</v>
      </c>
      <c r="I9" s="20">
        <f t="shared" si="5"/>
        <v>43982</v>
      </c>
      <c r="J9" s="20">
        <f t="shared" si="5"/>
        <v>44012</v>
      </c>
      <c r="K9" s="20">
        <f t="shared" si="5"/>
        <v>44043</v>
      </c>
      <c r="L9" s="20">
        <f t="shared" si="5"/>
        <v>44074</v>
      </c>
      <c r="M9" s="20">
        <f t="shared" si="5"/>
        <v>44104</v>
      </c>
      <c r="N9" s="20">
        <f t="shared" si="5"/>
        <v>44135</v>
      </c>
      <c r="O9" s="20">
        <f t="shared" si="5"/>
        <v>44166</v>
      </c>
    </row>
    <row r="10" spans="1:15" ht="15" customHeight="1" x14ac:dyDescent="0.25">
      <c r="B10" s="12" t="s">
        <v>8</v>
      </c>
      <c r="C10" s="27" t="s">
        <v>3</v>
      </c>
      <c r="D10" s="28">
        <v>0.65</v>
      </c>
      <c r="E10" s="28">
        <v>0.65</v>
      </c>
      <c r="F10" s="28">
        <v>0.65</v>
      </c>
      <c r="G10" s="28">
        <v>0.65</v>
      </c>
      <c r="H10" s="28">
        <v>0.65</v>
      </c>
      <c r="I10" s="23">
        <v>0.65</v>
      </c>
      <c r="J10" s="23">
        <f>I10</f>
        <v>0.65</v>
      </c>
      <c r="K10" s="24">
        <v>0.64500000000000002</v>
      </c>
      <c r="L10" s="23">
        <f>K10</f>
        <v>0.64500000000000002</v>
      </c>
      <c r="M10" s="23">
        <f>L10</f>
        <v>0.64500000000000002</v>
      </c>
      <c r="N10" s="23">
        <v>0.625</v>
      </c>
      <c r="O10" s="23">
        <f>N10</f>
        <v>0.625</v>
      </c>
    </row>
    <row r="11" spans="1:15" x14ac:dyDescent="0.25">
      <c r="B11" s="12"/>
      <c r="C11" s="27" t="s">
        <v>4</v>
      </c>
      <c r="D11" s="28">
        <v>0.04</v>
      </c>
      <c r="E11" s="28">
        <v>7.0000000000000007E-2</v>
      </c>
      <c r="F11" s="28">
        <v>0.09</v>
      </c>
      <c r="G11" s="28">
        <v>0.08</v>
      </c>
      <c r="H11" s="28">
        <v>0.08</v>
      </c>
      <c r="I11" s="23">
        <v>5.6000000000000001E-2</v>
      </c>
      <c r="J11" s="23">
        <v>4.4999999999999998E-2</v>
      </c>
      <c r="K11" s="24">
        <v>2.4E-2</v>
      </c>
      <c r="L11" s="23">
        <v>1.4999999999999999E-2</v>
      </c>
      <c r="M11" s="23">
        <v>1.4999999999999999E-2</v>
      </c>
      <c r="N11" s="23">
        <v>0.04</v>
      </c>
      <c r="O11" s="23">
        <v>0.09</v>
      </c>
    </row>
    <row r="12" spans="1:15" x14ac:dyDescent="0.25">
      <c r="B12" s="12"/>
      <c r="C12" s="27" t="s">
        <v>5</v>
      </c>
      <c r="D12" s="28">
        <v>0.05</v>
      </c>
      <c r="E12" s="28">
        <v>0.05</v>
      </c>
      <c r="F12" s="28">
        <v>0.05</v>
      </c>
      <c r="G12" s="28">
        <v>0.05</v>
      </c>
      <c r="H12" s="28">
        <v>0.05</v>
      </c>
      <c r="I12" s="23">
        <v>0.05</v>
      </c>
      <c r="J12" s="23">
        <v>5.1999999999999998E-2</v>
      </c>
      <c r="K12" s="24">
        <v>5.5E-2</v>
      </c>
      <c r="L12" s="23">
        <f>K12</f>
        <v>5.5E-2</v>
      </c>
      <c r="M12" s="23">
        <f>L12</f>
        <v>5.5E-2</v>
      </c>
      <c r="N12" s="23">
        <v>0.05</v>
      </c>
      <c r="O12" s="23">
        <v>5.5E-2</v>
      </c>
    </row>
    <row r="13" spans="1:15" x14ac:dyDescent="0.25">
      <c r="B13" s="12"/>
      <c r="C13" s="27" t="s">
        <v>6</v>
      </c>
      <c r="D13" s="28">
        <v>0.06</v>
      </c>
      <c r="E13" s="28">
        <v>0.04</v>
      </c>
      <c r="F13" s="28">
        <v>0.06</v>
      </c>
      <c r="G13" s="28">
        <v>7.0000000000000007E-2</v>
      </c>
      <c r="H13" s="28">
        <v>7.0000000000000007E-2</v>
      </c>
      <c r="I13" s="28">
        <v>7.0000000000000007E-2</v>
      </c>
      <c r="J13" s="23">
        <v>4.4999999999999998E-2</v>
      </c>
      <c r="K13" s="24">
        <v>5.8999999999999997E-2</v>
      </c>
      <c r="L13" s="23">
        <v>4.4999999999999998E-2</v>
      </c>
      <c r="M13" s="23">
        <v>4.4999999999999998E-2</v>
      </c>
      <c r="N13" s="23">
        <v>6.5000000000000002E-2</v>
      </c>
      <c r="O13" s="23">
        <v>7.0000000000000007E-2</v>
      </c>
    </row>
    <row r="14" spans="1:15" x14ac:dyDescent="0.25">
      <c r="B14" s="12"/>
      <c r="C14" s="27" t="s">
        <v>9</v>
      </c>
      <c r="D14" s="28">
        <v>0.2</v>
      </c>
      <c r="E14" s="28">
        <v>0.19439999999999999</v>
      </c>
      <c r="F14" s="28">
        <v>0.15</v>
      </c>
      <c r="G14" s="28">
        <v>0.15</v>
      </c>
      <c r="H14" s="28">
        <v>0.15</v>
      </c>
      <c r="I14" s="28">
        <v>0.18</v>
      </c>
      <c r="J14" s="23">
        <v>0.21</v>
      </c>
      <c r="K14" s="24">
        <v>0.23699999999999999</v>
      </c>
      <c r="L14" s="23">
        <v>0.24</v>
      </c>
      <c r="M14" s="23">
        <v>0.24</v>
      </c>
      <c r="N14" s="23">
        <v>0.22</v>
      </c>
      <c r="O14" s="23">
        <v>0.16</v>
      </c>
    </row>
    <row r="15" spans="1:15" x14ac:dyDescent="0.25">
      <c r="D15" s="16"/>
      <c r="E15" s="16"/>
      <c r="F15" s="16"/>
      <c r="G15" s="16">
        <f t="shared" ref="G15:O15" si="6">SUM(G17:G20)</f>
        <v>1</v>
      </c>
      <c r="H15" s="16">
        <f t="shared" si="6"/>
        <v>1</v>
      </c>
      <c r="I15" s="16">
        <f t="shared" si="6"/>
        <v>1</v>
      </c>
      <c r="J15" s="16">
        <f t="shared" si="6"/>
        <v>1</v>
      </c>
      <c r="K15" s="16">
        <f t="shared" si="6"/>
        <v>1.0150000000000001</v>
      </c>
      <c r="L15" s="16">
        <f t="shared" si="6"/>
        <v>1</v>
      </c>
      <c r="M15" s="16">
        <f t="shared" si="6"/>
        <v>1</v>
      </c>
      <c r="N15" s="16">
        <f t="shared" si="6"/>
        <v>1</v>
      </c>
      <c r="O15" s="16">
        <f t="shared" si="6"/>
        <v>1</v>
      </c>
    </row>
    <row r="16" spans="1:15" x14ac:dyDescent="0.25">
      <c r="B16" s="22" t="s">
        <v>0</v>
      </c>
      <c r="C16" s="18" t="s">
        <v>1</v>
      </c>
      <c r="D16" s="19">
        <f t="shared" ref="D16:O16" si="7">D9</f>
        <v>43831</v>
      </c>
      <c r="E16" s="20">
        <f t="shared" si="7"/>
        <v>43862</v>
      </c>
      <c r="F16" s="20">
        <f t="shared" si="7"/>
        <v>43892</v>
      </c>
      <c r="G16" s="20">
        <f t="shared" si="7"/>
        <v>43922</v>
      </c>
      <c r="H16" s="20">
        <f t="shared" si="7"/>
        <v>43952</v>
      </c>
      <c r="I16" s="20">
        <f t="shared" si="7"/>
        <v>43982</v>
      </c>
      <c r="J16" s="20">
        <f t="shared" si="7"/>
        <v>44012</v>
      </c>
      <c r="K16" s="20">
        <f t="shared" si="7"/>
        <v>44043</v>
      </c>
      <c r="L16" s="20">
        <f t="shared" si="7"/>
        <v>44074</v>
      </c>
      <c r="M16" s="20">
        <f t="shared" si="7"/>
        <v>44104</v>
      </c>
      <c r="N16" s="20">
        <f t="shared" si="7"/>
        <v>44135</v>
      </c>
      <c r="O16" s="20">
        <f t="shared" si="7"/>
        <v>44166</v>
      </c>
    </row>
    <row r="17" spans="2:15" ht="15" customHeight="1" x14ac:dyDescent="0.25">
      <c r="B17" s="12" t="s">
        <v>8</v>
      </c>
      <c r="C17" s="22" t="s">
        <v>3</v>
      </c>
      <c r="D17" s="23">
        <v>0.65</v>
      </c>
      <c r="E17" s="23">
        <v>0.64</v>
      </c>
      <c r="F17" s="23">
        <v>0.64</v>
      </c>
      <c r="G17" s="23">
        <v>0.64</v>
      </c>
      <c r="H17" s="23">
        <f t="shared" ref="H17:J20" si="8">G17</f>
        <v>0.64</v>
      </c>
      <c r="I17" s="23">
        <f t="shared" si="8"/>
        <v>0.64</v>
      </c>
      <c r="J17" s="23">
        <f t="shared" si="8"/>
        <v>0.64</v>
      </c>
      <c r="K17" s="24">
        <v>0.65</v>
      </c>
      <c r="L17" s="23">
        <f>K17</f>
        <v>0.65</v>
      </c>
      <c r="M17" s="23">
        <f>L17</f>
        <v>0.65</v>
      </c>
      <c r="N17" s="23">
        <v>0.64</v>
      </c>
      <c r="O17" s="23">
        <f>N17</f>
        <v>0.64</v>
      </c>
    </row>
    <row r="18" spans="2:15" x14ac:dyDescent="0.25">
      <c r="B18" s="12"/>
      <c r="C18" s="22" t="s">
        <v>4</v>
      </c>
      <c r="D18" s="23">
        <v>0.05</v>
      </c>
      <c r="E18" s="23">
        <v>0.05</v>
      </c>
      <c r="F18" s="23">
        <v>0.05</v>
      </c>
      <c r="G18" s="23">
        <v>0.05</v>
      </c>
      <c r="H18" s="23">
        <f t="shared" si="8"/>
        <v>0.05</v>
      </c>
      <c r="I18" s="23">
        <f t="shared" si="8"/>
        <v>0.05</v>
      </c>
      <c r="J18" s="23">
        <f t="shared" si="8"/>
        <v>0.05</v>
      </c>
      <c r="K18" s="24">
        <v>5.5E-2</v>
      </c>
      <c r="L18" s="23">
        <v>4.4999999999999998E-2</v>
      </c>
      <c r="M18" s="23">
        <f>L18</f>
        <v>4.4999999999999998E-2</v>
      </c>
      <c r="N18" s="23">
        <v>0.05</v>
      </c>
      <c r="O18" s="23">
        <f>N18</f>
        <v>0.05</v>
      </c>
    </row>
    <row r="19" spans="2:15" x14ac:dyDescent="0.25">
      <c r="B19" s="12"/>
      <c r="C19" s="22" t="s">
        <v>5</v>
      </c>
      <c r="D19" s="23">
        <v>0.05</v>
      </c>
      <c r="E19" s="23">
        <v>0.05</v>
      </c>
      <c r="F19" s="23">
        <v>0.05</v>
      </c>
      <c r="G19" s="23">
        <v>0.05</v>
      </c>
      <c r="H19" s="23">
        <f t="shared" si="8"/>
        <v>0.05</v>
      </c>
      <c r="I19" s="23">
        <f t="shared" si="8"/>
        <v>0.05</v>
      </c>
      <c r="J19" s="23">
        <f t="shared" si="8"/>
        <v>0.05</v>
      </c>
      <c r="K19" s="24">
        <v>5.5E-2</v>
      </c>
      <c r="L19" s="23">
        <f>K19</f>
        <v>5.5E-2</v>
      </c>
      <c r="M19" s="23">
        <f>L19</f>
        <v>5.5E-2</v>
      </c>
      <c r="N19" s="23">
        <v>0.05</v>
      </c>
      <c r="O19" s="23">
        <f>N19</f>
        <v>0.05</v>
      </c>
    </row>
    <row r="20" spans="2:15" x14ac:dyDescent="0.25">
      <c r="B20" s="12"/>
      <c r="C20" s="22" t="s">
        <v>6</v>
      </c>
      <c r="D20" s="23">
        <v>0.25</v>
      </c>
      <c r="E20" s="23">
        <v>0.26</v>
      </c>
      <c r="F20" s="23">
        <v>0.26</v>
      </c>
      <c r="G20" s="23">
        <v>0.26</v>
      </c>
      <c r="H20" s="23">
        <f t="shared" si="8"/>
        <v>0.26</v>
      </c>
      <c r="I20" s="23">
        <f t="shared" si="8"/>
        <v>0.26</v>
      </c>
      <c r="J20" s="23">
        <f t="shared" si="8"/>
        <v>0.26</v>
      </c>
      <c r="K20" s="24">
        <v>0.255</v>
      </c>
      <c r="L20" s="23">
        <v>0.25</v>
      </c>
      <c r="M20" s="23">
        <v>0.25</v>
      </c>
      <c r="N20" s="23">
        <v>0.26</v>
      </c>
      <c r="O20" s="23">
        <f>N20</f>
        <v>0.26</v>
      </c>
    </row>
    <row r="21" spans="2:15" x14ac:dyDescent="0.25">
      <c r="D21" s="16"/>
      <c r="E21" s="16"/>
      <c r="F21" s="16"/>
      <c r="G21" s="16">
        <f t="shared" ref="G21:O21" si="9">SUM(G23:G26)</f>
        <v>1</v>
      </c>
      <c r="H21" s="16">
        <f t="shared" si="9"/>
        <v>1</v>
      </c>
      <c r="I21" s="16">
        <f t="shared" si="9"/>
        <v>1</v>
      </c>
      <c r="J21" s="16">
        <f t="shared" si="9"/>
        <v>1</v>
      </c>
      <c r="K21" s="16">
        <f t="shared" si="9"/>
        <v>1.02</v>
      </c>
      <c r="L21" s="16">
        <f t="shared" si="9"/>
        <v>1.02</v>
      </c>
      <c r="M21" s="16">
        <f t="shared" si="9"/>
        <v>1.02</v>
      </c>
      <c r="N21" s="16">
        <f t="shared" si="9"/>
        <v>1</v>
      </c>
      <c r="O21" s="16">
        <f t="shared" si="9"/>
        <v>1</v>
      </c>
    </row>
    <row r="22" spans="2:15" x14ac:dyDescent="0.25">
      <c r="B22" s="22" t="s">
        <v>0</v>
      </c>
      <c r="C22" s="29" t="s">
        <v>10</v>
      </c>
      <c r="D22" s="19">
        <f t="shared" ref="D22:O22" si="10">D16</f>
        <v>43831</v>
      </c>
      <c r="E22" s="20">
        <f t="shared" si="10"/>
        <v>43862</v>
      </c>
      <c r="F22" s="20">
        <f t="shared" si="10"/>
        <v>43892</v>
      </c>
      <c r="G22" s="20">
        <f t="shared" si="10"/>
        <v>43922</v>
      </c>
      <c r="H22" s="20">
        <f t="shared" si="10"/>
        <v>43952</v>
      </c>
      <c r="I22" s="20">
        <f t="shared" si="10"/>
        <v>43982</v>
      </c>
      <c r="J22" s="20">
        <f t="shared" si="10"/>
        <v>44012</v>
      </c>
      <c r="K22" s="20">
        <f t="shared" si="10"/>
        <v>44043</v>
      </c>
      <c r="L22" s="20">
        <f t="shared" si="10"/>
        <v>44074</v>
      </c>
      <c r="M22" s="20">
        <f t="shared" si="10"/>
        <v>44104</v>
      </c>
      <c r="N22" s="20">
        <f t="shared" si="10"/>
        <v>44135</v>
      </c>
      <c r="O22" s="20">
        <f t="shared" si="10"/>
        <v>44166</v>
      </c>
    </row>
    <row r="23" spans="2:15" ht="15" customHeight="1" x14ac:dyDescent="0.25">
      <c r="B23" s="12" t="s">
        <v>8</v>
      </c>
      <c r="C23" s="22" t="s">
        <v>3</v>
      </c>
      <c r="D23" s="23">
        <v>0.90233429917290897</v>
      </c>
      <c r="E23" s="23">
        <v>0.9</v>
      </c>
      <c r="F23" s="23">
        <v>0.9</v>
      </c>
      <c r="G23" s="23">
        <v>0.9</v>
      </c>
      <c r="H23" s="23">
        <f t="shared" ref="H23:J26" si="11">G23</f>
        <v>0.9</v>
      </c>
      <c r="I23" s="23">
        <f t="shared" si="11"/>
        <v>0.9</v>
      </c>
      <c r="J23" s="23">
        <f t="shared" si="11"/>
        <v>0.9</v>
      </c>
      <c r="K23" s="24">
        <v>0.91</v>
      </c>
      <c r="L23" s="23">
        <f t="shared" ref="L23:M26" si="12">K23</f>
        <v>0.91</v>
      </c>
      <c r="M23" s="23">
        <f t="shared" si="12"/>
        <v>0.91</v>
      </c>
      <c r="N23" s="23">
        <v>0.9</v>
      </c>
      <c r="O23" s="23">
        <f>N23</f>
        <v>0.9</v>
      </c>
    </row>
    <row r="24" spans="2:15" x14ac:dyDescent="0.25">
      <c r="B24" s="12"/>
      <c r="C24" s="22" t="s">
        <v>4</v>
      </c>
      <c r="D24" s="23">
        <v>4.1737196161663499E-2</v>
      </c>
      <c r="E24" s="23">
        <v>0.05</v>
      </c>
      <c r="F24" s="23">
        <v>0.05</v>
      </c>
      <c r="G24" s="23">
        <v>0.05</v>
      </c>
      <c r="H24" s="23">
        <f t="shared" si="11"/>
        <v>0.05</v>
      </c>
      <c r="I24" s="23">
        <f t="shared" si="11"/>
        <v>0.05</v>
      </c>
      <c r="J24" s="23">
        <f t="shared" si="11"/>
        <v>0.05</v>
      </c>
      <c r="K24" s="24">
        <v>0.05</v>
      </c>
      <c r="L24" s="23">
        <f t="shared" si="12"/>
        <v>0.05</v>
      </c>
      <c r="M24" s="23">
        <f t="shared" si="12"/>
        <v>0.05</v>
      </c>
      <c r="N24" s="23">
        <f>M24</f>
        <v>0.05</v>
      </c>
      <c r="O24" s="23">
        <f>N24</f>
        <v>0.05</v>
      </c>
    </row>
    <row r="25" spans="2:15" x14ac:dyDescent="0.25">
      <c r="B25" s="12"/>
      <c r="C25" s="22" t="s">
        <v>5</v>
      </c>
      <c r="D25" s="23">
        <v>5.1501537123261498E-2</v>
      </c>
      <c r="E25" s="23">
        <v>0.05</v>
      </c>
      <c r="F25" s="23">
        <v>0.05</v>
      </c>
      <c r="G25" s="23">
        <v>0.05</v>
      </c>
      <c r="H25" s="23">
        <f t="shared" si="11"/>
        <v>0.05</v>
      </c>
      <c r="I25" s="23">
        <f t="shared" si="11"/>
        <v>0.05</v>
      </c>
      <c r="J25" s="23">
        <f t="shared" si="11"/>
        <v>0.05</v>
      </c>
      <c r="K25" s="24">
        <v>5.5E-2</v>
      </c>
      <c r="L25" s="23">
        <f t="shared" si="12"/>
        <v>5.5E-2</v>
      </c>
      <c r="M25" s="23">
        <f t="shared" si="12"/>
        <v>5.5E-2</v>
      </c>
      <c r="N25" s="23">
        <v>0.05</v>
      </c>
      <c r="O25" s="23">
        <v>0.05</v>
      </c>
    </row>
    <row r="26" spans="2:15" x14ac:dyDescent="0.25">
      <c r="B26" s="12"/>
      <c r="C26" s="22" t="s">
        <v>6</v>
      </c>
      <c r="D26" s="23">
        <v>1.5983672632075001E-2</v>
      </c>
      <c r="E26" s="23">
        <v>0</v>
      </c>
      <c r="F26" s="23">
        <v>0</v>
      </c>
      <c r="G26" s="23">
        <v>0</v>
      </c>
      <c r="H26" s="23">
        <f t="shared" si="11"/>
        <v>0</v>
      </c>
      <c r="I26" s="23">
        <f t="shared" si="11"/>
        <v>0</v>
      </c>
      <c r="J26" s="23">
        <f t="shared" si="11"/>
        <v>0</v>
      </c>
      <c r="K26" s="24">
        <v>5.0000000000000001E-3</v>
      </c>
      <c r="L26" s="23">
        <f t="shared" si="12"/>
        <v>5.0000000000000001E-3</v>
      </c>
      <c r="M26" s="23">
        <f t="shared" si="12"/>
        <v>5.0000000000000001E-3</v>
      </c>
      <c r="N26" s="23">
        <v>0</v>
      </c>
      <c r="O26" s="23">
        <v>0</v>
      </c>
    </row>
    <row r="28" spans="2:15" x14ac:dyDescent="0.25">
      <c r="B28" s="22" t="s">
        <v>0</v>
      </c>
      <c r="C28" s="30" t="s">
        <v>11</v>
      </c>
      <c r="D28" s="19">
        <f t="shared" ref="D28:O28" si="13">D22</f>
        <v>43831</v>
      </c>
      <c r="E28" s="20">
        <f t="shared" si="13"/>
        <v>43862</v>
      </c>
      <c r="F28" s="20">
        <f t="shared" si="13"/>
        <v>43892</v>
      </c>
      <c r="G28" s="20">
        <f t="shared" si="13"/>
        <v>43922</v>
      </c>
      <c r="H28" s="20">
        <f t="shared" si="13"/>
        <v>43952</v>
      </c>
      <c r="I28" s="20">
        <f t="shared" si="13"/>
        <v>43982</v>
      </c>
      <c r="J28" s="20">
        <f t="shared" si="13"/>
        <v>44012</v>
      </c>
      <c r="K28" s="20">
        <f t="shared" si="13"/>
        <v>44043</v>
      </c>
      <c r="L28" s="20">
        <f t="shared" si="13"/>
        <v>44074</v>
      </c>
      <c r="M28" s="20">
        <f t="shared" si="13"/>
        <v>44104</v>
      </c>
      <c r="N28" s="20">
        <f t="shared" si="13"/>
        <v>44135</v>
      </c>
      <c r="O28" s="20">
        <f t="shared" si="13"/>
        <v>44166</v>
      </c>
    </row>
    <row r="29" spans="2:15" ht="15" customHeight="1" x14ac:dyDescent="0.25">
      <c r="B29" s="12" t="str">
        <f>B23</f>
        <v>Plant Y</v>
      </c>
      <c r="C29" s="22" t="s">
        <v>3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</row>
    <row r="30" spans="2:15" x14ac:dyDescent="0.25">
      <c r="B30" s="12"/>
      <c r="C30" s="22" t="s">
        <v>4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</row>
    <row r="31" spans="2:15" x14ac:dyDescent="0.25">
      <c r="B31" s="12"/>
      <c r="C31" s="22" t="s">
        <v>5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</row>
    <row r="32" spans="2:15" x14ac:dyDescent="0.25">
      <c r="B32" s="12"/>
      <c r="C32" s="22" t="s">
        <v>6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</row>
    <row r="34" spans="2:15" x14ac:dyDescent="0.25">
      <c r="B34" s="22" t="s">
        <v>0</v>
      </c>
      <c r="C34" s="31" t="s">
        <v>12</v>
      </c>
      <c r="D34" s="20">
        <f t="shared" ref="D34:O34" si="14">D28</f>
        <v>43831</v>
      </c>
      <c r="E34" s="20">
        <f t="shared" si="14"/>
        <v>43862</v>
      </c>
      <c r="F34" s="20">
        <f t="shared" si="14"/>
        <v>43892</v>
      </c>
      <c r="G34" s="20">
        <f t="shared" si="14"/>
        <v>43922</v>
      </c>
      <c r="H34" s="20">
        <f t="shared" si="14"/>
        <v>43952</v>
      </c>
      <c r="I34" s="20">
        <f t="shared" si="14"/>
        <v>43982</v>
      </c>
      <c r="J34" s="20">
        <f t="shared" si="14"/>
        <v>44012</v>
      </c>
      <c r="K34" s="20">
        <f t="shared" si="14"/>
        <v>44043</v>
      </c>
      <c r="L34" s="20">
        <f t="shared" si="14"/>
        <v>44074</v>
      </c>
      <c r="M34" s="20">
        <f t="shared" si="14"/>
        <v>44104</v>
      </c>
      <c r="N34" s="20">
        <f t="shared" si="14"/>
        <v>44135</v>
      </c>
      <c r="O34" s="20">
        <f t="shared" si="14"/>
        <v>44166</v>
      </c>
    </row>
    <row r="35" spans="2:15" ht="15" customHeight="1" x14ac:dyDescent="0.25">
      <c r="B35" s="12" t="str">
        <f>B29</f>
        <v>Plant Y</v>
      </c>
      <c r="C35" s="22" t="s">
        <v>3</v>
      </c>
      <c r="D35" s="23">
        <v>0.67</v>
      </c>
      <c r="E35" s="23">
        <v>0.67</v>
      </c>
      <c r="F35" s="23">
        <v>0.67</v>
      </c>
      <c r="G35" s="23">
        <v>0.67</v>
      </c>
      <c r="H35" s="23">
        <v>0.67</v>
      </c>
      <c r="I35" s="23">
        <v>0.67</v>
      </c>
      <c r="J35" s="23">
        <v>0.67</v>
      </c>
      <c r="K35" s="23">
        <v>0.67</v>
      </c>
      <c r="L35" s="23">
        <v>0.67</v>
      </c>
      <c r="M35" s="23">
        <v>0.67</v>
      </c>
      <c r="N35" s="23">
        <v>0.67</v>
      </c>
      <c r="O35" s="23">
        <v>0.67</v>
      </c>
    </row>
    <row r="36" spans="2:15" x14ac:dyDescent="0.25">
      <c r="B36" s="12"/>
      <c r="C36" s="22" t="s">
        <v>4</v>
      </c>
      <c r="D36" s="23">
        <v>0.05</v>
      </c>
      <c r="E36" s="23">
        <v>0.05</v>
      </c>
      <c r="F36" s="23">
        <v>0.05</v>
      </c>
      <c r="G36" s="23">
        <v>0.05</v>
      </c>
      <c r="H36" s="23">
        <v>0.05</v>
      </c>
      <c r="I36" s="23">
        <v>0.05</v>
      </c>
      <c r="J36" s="23">
        <v>0.05</v>
      </c>
      <c r="K36" s="23">
        <v>0.05</v>
      </c>
      <c r="L36" s="23">
        <v>0.05</v>
      </c>
      <c r="M36" s="23">
        <v>0.05</v>
      </c>
      <c r="N36" s="23">
        <v>0.05</v>
      </c>
      <c r="O36" s="23">
        <v>0.05</v>
      </c>
    </row>
    <row r="37" spans="2:15" x14ac:dyDescent="0.25">
      <c r="B37" s="12"/>
      <c r="C37" s="22" t="s">
        <v>5</v>
      </c>
      <c r="D37" s="23">
        <v>0.05</v>
      </c>
      <c r="E37" s="23">
        <v>0.05</v>
      </c>
      <c r="F37" s="23">
        <v>0.05</v>
      </c>
      <c r="G37" s="23">
        <v>0.05</v>
      </c>
      <c r="H37" s="23">
        <v>0.05</v>
      </c>
      <c r="I37" s="23">
        <v>0.05</v>
      </c>
      <c r="J37" s="23">
        <v>0.05</v>
      </c>
      <c r="K37" s="23">
        <v>0.05</v>
      </c>
      <c r="L37" s="23">
        <v>0.05</v>
      </c>
      <c r="M37" s="23">
        <v>0.05</v>
      </c>
      <c r="N37" s="23">
        <v>0.05</v>
      </c>
      <c r="O37" s="23">
        <v>0.05</v>
      </c>
    </row>
    <row r="38" spans="2:15" x14ac:dyDescent="0.25">
      <c r="B38" s="12"/>
      <c r="C38" s="22" t="s">
        <v>9</v>
      </c>
      <c r="D38" s="23">
        <v>0.23</v>
      </c>
      <c r="E38" s="23">
        <v>0.23</v>
      </c>
      <c r="F38" s="23">
        <v>0.23</v>
      </c>
      <c r="G38" s="23">
        <v>0.23</v>
      </c>
      <c r="H38" s="23">
        <v>0.23</v>
      </c>
      <c r="I38" s="23">
        <v>0.23</v>
      </c>
      <c r="J38" s="23">
        <v>0.23</v>
      </c>
      <c r="K38" s="23">
        <v>0.23</v>
      </c>
      <c r="L38" s="23">
        <v>0.23</v>
      </c>
      <c r="M38" s="23">
        <v>0.23</v>
      </c>
      <c r="N38" s="23">
        <v>0.23</v>
      </c>
      <c r="O38" s="23">
        <v>0.23</v>
      </c>
    </row>
    <row r="40" spans="2:15" x14ac:dyDescent="0.25">
      <c r="B40" s="22" t="s">
        <v>0</v>
      </c>
      <c r="C40" s="31" t="s">
        <v>13</v>
      </c>
      <c r="D40" s="20">
        <f t="shared" ref="D40:O40" si="15">D34</f>
        <v>43831</v>
      </c>
      <c r="E40" s="20">
        <f t="shared" si="15"/>
        <v>43862</v>
      </c>
      <c r="F40" s="20">
        <f t="shared" si="15"/>
        <v>43892</v>
      </c>
      <c r="G40" s="20">
        <f t="shared" si="15"/>
        <v>43922</v>
      </c>
      <c r="H40" s="20">
        <f t="shared" si="15"/>
        <v>43952</v>
      </c>
      <c r="I40" s="20">
        <f t="shared" si="15"/>
        <v>43982</v>
      </c>
      <c r="J40" s="20">
        <f t="shared" si="15"/>
        <v>44012</v>
      </c>
      <c r="K40" s="20">
        <f t="shared" si="15"/>
        <v>44043</v>
      </c>
      <c r="L40" s="20">
        <f t="shared" si="15"/>
        <v>44074</v>
      </c>
      <c r="M40" s="20">
        <f t="shared" si="15"/>
        <v>44104</v>
      </c>
      <c r="N40" s="20">
        <f t="shared" si="15"/>
        <v>44135</v>
      </c>
      <c r="O40" s="20">
        <f t="shared" si="15"/>
        <v>44166</v>
      </c>
    </row>
    <row r="41" spans="2:15" ht="15" customHeight="1" x14ac:dyDescent="0.25">
      <c r="B41" s="12" t="str">
        <f>B35</f>
        <v>Plant Y</v>
      </c>
      <c r="C41" s="22" t="s">
        <v>3</v>
      </c>
      <c r="D41" s="23">
        <v>0.66</v>
      </c>
      <c r="E41" s="23">
        <v>0.66</v>
      </c>
      <c r="F41" s="23">
        <v>0.66</v>
      </c>
      <c r="G41" s="23">
        <v>0.66</v>
      </c>
      <c r="H41" s="23">
        <v>0.66</v>
      </c>
      <c r="I41" s="23">
        <v>0.66</v>
      </c>
      <c r="J41" s="23">
        <v>0.66</v>
      </c>
      <c r="K41" s="23">
        <v>0.66</v>
      </c>
      <c r="L41" s="23">
        <v>0.66</v>
      </c>
      <c r="M41" s="23">
        <v>0.66</v>
      </c>
      <c r="N41" s="23">
        <v>0.66</v>
      </c>
      <c r="O41" s="23">
        <v>0.66</v>
      </c>
    </row>
    <row r="42" spans="2:15" x14ac:dyDescent="0.25">
      <c r="B42" s="12"/>
      <c r="C42" s="22" t="s">
        <v>4</v>
      </c>
      <c r="D42" s="23">
        <v>0.1</v>
      </c>
      <c r="E42" s="23">
        <v>0.1</v>
      </c>
      <c r="F42" s="23">
        <v>0.1</v>
      </c>
      <c r="G42" s="23">
        <v>0.1</v>
      </c>
      <c r="H42" s="23">
        <v>0.1</v>
      </c>
      <c r="I42" s="23">
        <v>0.1</v>
      </c>
      <c r="J42" s="23">
        <v>0.1</v>
      </c>
      <c r="K42" s="23">
        <v>0.1</v>
      </c>
      <c r="L42" s="23">
        <v>0.1</v>
      </c>
      <c r="M42" s="23">
        <v>0.1</v>
      </c>
      <c r="N42" s="23">
        <v>0.1</v>
      </c>
      <c r="O42" s="23">
        <v>0.1</v>
      </c>
    </row>
    <row r="43" spans="2:15" x14ac:dyDescent="0.25">
      <c r="B43" s="12"/>
      <c r="C43" s="22" t="s">
        <v>5</v>
      </c>
      <c r="D43" s="23">
        <v>0.05</v>
      </c>
      <c r="E43" s="23">
        <v>0.05</v>
      </c>
      <c r="F43" s="23">
        <v>0.05</v>
      </c>
      <c r="G43" s="23">
        <v>0.05</v>
      </c>
      <c r="H43" s="23">
        <v>0.05</v>
      </c>
      <c r="I43" s="23">
        <v>0.05</v>
      </c>
      <c r="J43" s="23">
        <v>0.05</v>
      </c>
      <c r="K43" s="23">
        <v>0.05</v>
      </c>
      <c r="L43" s="23">
        <v>0.05</v>
      </c>
      <c r="M43" s="23">
        <v>0.05</v>
      </c>
      <c r="N43" s="23">
        <v>0.05</v>
      </c>
      <c r="O43" s="23">
        <v>0.05</v>
      </c>
    </row>
    <row r="44" spans="2:15" x14ac:dyDescent="0.25">
      <c r="B44" s="12"/>
      <c r="C44" s="22" t="s">
        <v>6</v>
      </c>
      <c r="D44" s="23">
        <v>0.19</v>
      </c>
      <c r="E44" s="23">
        <v>0.19</v>
      </c>
      <c r="F44" s="23">
        <v>0.19</v>
      </c>
      <c r="G44" s="23">
        <v>0.19</v>
      </c>
      <c r="H44" s="23">
        <v>0.19</v>
      </c>
      <c r="I44" s="23">
        <v>0.19</v>
      </c>
      <c r="J44" s="23">
        <v>0.19</v>
      </c>
      <c r="K44" s="23">
        <v>0.19</v>
      </c>
      <c r="L44" s="23">
        <v>0.19</v>
      </c>
      <c r="M44" s="23">
        <v>0.19</v>
      </c>
      <c r="N44" s="23">
        <v>0.19</v>
      </c>
      <c r="O44" s="23">
        <v>0.19</v>
      </c>
    </row>
  </sheetData>
  <mergeCells count="8">
    <mergeCell ref="B29:B32"/>
    <mergeCell ref="B35:B38"/>
    <mergeCell ref="B41:B44"/>
    <mergeCell ref="A4:A7"/>
    <mergeCell ref="B4:B7"/>
    <mergeCell ref="B10:B14"/>
    <mergeCell ref="B17:B20"/>
    <mergeCell ref="B23:B26"/>
  </mergeCells>
  <conditionalFormatting sqref="D8:O8">
    <cfRule type="cellIs" dxfId="11" priority="2" operator="lessThan">
      <formula>1</formula>
    </cfRule>
    <cfRule type="cellIs" dxfId="10" priority="3" operator="greaterThan">
      <formula>1</formula>
    </cfRule>
  </conditionalFormatting>
  <conditionalFormatting sqref="D15:O15">
    <cfRule type="cellIs" dxfId="9" priority="4" operator="lessThan">
      <formula>1</formula>
    </cfRule>
    <cfRule type="cellIs" dxfId="8" priority="5" operator="greaterThan">
      <formula>1</formula>
    </cfRule>
  </conditionalFormatting>
  <conditionalFormatting sqref="D21:O21">
    <cfRule type="cellIs" dxfId="7" priority="6" operator="lessThan">
      <formula>1</formula>
    </cfRule>
    <cfRule type="cellIs" dxfId="6" priority="7" operator="greaterThan">
      <formula>1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X27"/>
  <sheetViews>
    <sheetView zoomScaleNormal="100" workbookViewId="0">
      <selection activeCell="BK4" sqref="BK4"/>
    </sheetView>
  </sheetViews>
  <sheetFormatPr defaultColWidth="8.5703125" defaultRowHeight="15" x14ac:dyDescent="0.25"/>
  <cols>
    <col min="1" max="1" width="14.42578125" customWidth="1"/>
    <col min="2" max="2" width="9.42578125" customWidth="1"/>
    <col min="3" max="3" width="10.140625" customWidth="1"/>
    <col min="4" max="15" width="9.140625" customWidth="1"/>
    <col min="25" max="33" width="9.7109375" customWidth="1"/>
  </cols>
  <sheetData>
    <row r="1" spans="1:76" x14ac:dyDescent="0.25">
      <c r="C1" s="321">
        <v>43573</v>
      </c>
      <c r="D1" s="321">
        <f t="shared" ref="D1:AI1" si="0">C1+1</f>
        <v>43574</v>
      </c>
      <c r="E1" s="321">
        <f t="shared" si="0"/>
        <v>43575</v>
      </c>
      <c r="F1" s="321">
        <f t="shared" si="0"/>
        <v>43576</v>
      </c>
      <c r="G1" s="321">
        <f t="shared" si="0"/>
        <v>43577</v>
      </c>
      <c r="H1" s="321">
        <f t="shared" si="0"/>
        <v>43578</v>
      </c>
      <c r="I1" s="321">
        <f t="shared" si="0"/>
        <v>43579</v>
      </c>
      <c r="J1" s="321">
        <f t="shared" si="0"/>
        <v>43580</v>
      </c>
      <c r="K1" s="321">
        <f t="shared" si="0"/>
        <v>43581</v>
      </c>
      <c r="L1" s="321">
        <f t="shared" si="0"/>
        <v>43582</v>
      </c>
      <c r="M1" s="321">
        <f t="shared" si="0"/>
        <v>43583</v>
      </c>
      <c r="N1" s="321">
        <f t="shared" si="0"/>
        <v>43584</v>
      </c>
      <c r="O1" s="321">
        <f t="shared" si="0"/>
        <v>43585</v>
      </c>
      <c r="P1" s="321">
        <f t="shared" si="0"/>
        <v>43586</v>
      </c>
      <c r="Q1" s="321">
        <f t="shared" si="0"/>
        <v>43587</v>
      </c>
      <c r="R1" s="321">
        <f t="shared" si="0"/>
        <v>43588</v>
      </c>
      <c r="S1" s="321">
        <f t="shared" si="0"/>
        <v>43589</v>
      </c>
      <c r="T1" s="321">
        <f t="shared" si="0"/>
        <v>43590</v>
      </c>
      <c r="U1" s="321">
        <f t="shared" si="0"/>
        <v>43591</v>
      </c>
      <c r="V1" s="321">
        <f t="shared" si="0"/>
        <v>43592</v>
      </c>
      <c r="W1" s="321">
        <f t="shared" si="0"/>
        <v>43593</v>
      </c>
      <c r="X1" s="321">
        <f t="shared" si="0"/>
        <v>43594</v>
      </c>
      <c r="Y1" s="321">
        <f t="shared" si="0"/>
        <v>43595</v>
      </c>
      <c r="Z1" s="321">
        <f t="shared" si="0"/>
        <v>43596</v>
      </c>
      <c r="AA1" s="321">
        <f t="shared" si="0"/>
        <v>43597</v>
      </c>
      <c r="AB1" s="321">
        <f t="shared" si="0"/>
        <v>43598</v>
      </c>
      <c r="AC1" s="321">
        <f t="shared" si="0"/>
        <v>43599</v>
      </c>
      <c r="AD1" s="321">
        <f t="shared" si="0"/>
        <v>43600</v>
      </c>
      <c r="AE1" s="321">
        <f t="shared" si="0"/>
        <v>43601</v>
      </c>
      <c r="AF1" s="321">
        <f t="shared" si="0"/>
        <v>43602</v>
      </c>
      <c r="AG1" s="321">
        <f t="shared" si="0"/>
        <v>43603</v>
      </c>
      <c r="AH1" s="321">
        <f t="shared" si="0"/>
        <v>43604</v>
      </c>
      <c r="AI1" s="321">
        <f t="shared" si="0"/>
        <v>43605</v>
      </c>
      <c r="AJ1" s="321">
        <f t="shared" ref="AJ1:BO1" si="1">AI1+1</f>
        <v>43606</v>
      </c>
      <c r="AK1" s="321">
        <f t="shared" si="1"/>
        <v>43607</v>
      </c>
      <c r="AL1" s="321">
        <f t="shared" si="1"/>
        <v>43608</v>
      </c>
      <c r="AM1" s="321">
        <f t="shared" si="1"/>
        <v>43609</v>
      </c>
      <c r="AN1" s="321">
        <f t="shared" si="1"/>
        <v>43610</v>
      </c>
      <c r="AO1" s="321">
        <f t="shared" si="1"/>
        <v>43611</v>
      </c>
      <c r="AP1" s="321">
        <f t="shared" si="1"/>
        <v>43612</v>
      </c>
      <c r="AQ1" s="321">
        <f t="shared" si="1"/>
        <v>43613</v>
      </c>
      <c r="AR1" s="321">
        <f t="shared" si="1"/>
        <v>43614</v>
      </c>
      <c r="AS1" s="321">
        <f t="shared" si="1"/>
        <v>43615</v>
      </c>
      <c r="AT1" s="321">
        <f t="shared" si="1"/>
        <v>43616</v>
      </c>
      <c r="AU1" s="321">
        <f t="shared" si="1"/>
        <v>43617</v>
      </c>
      <c r="AV1" s="321">
        <f t="shared" si="1"/>
        <v>43618</v>
      </c>
      <c r="AW1" s="321">
        <f t="shared" si="1"/>
        <v>43619</v>
      </c>
      <c r="AX1" s="321">
        <f t="shared" si="1"/>
        <v>43620</v>
      </c>
      <c r="AY1" s="321">
        <f t="shared" si="1"/>
        <v>43621</v>
      </c>
      <c r="AZ1" s="321">
        <f t="shared" si="1"/>
        <v>43622</v>
      </c>
      <c r="BA1" s="321">
        <f t="shared" si="1"/>
        <v>43623</v>
      </c>
      <c r="BB1" s="321">
        <f t="shared" si="1"/>
        <v>43624</v>
      </c>
      <c r="BC1" s="321">
        <f t="shared" si="1"/>
        <v>43625</v>
      </c>
      <c r="BD1" s="321">
        <f t="shared" si="1"/>
        <v>43626</v>
      </c>
      <c r="BE1" s="321">
        <f t="shared" si="1"/>
        <v>43627</v>
      </c>
      <c r="BF1" s="321">
        <f t="shared" si="1"/>
        <v>43628</v>
      </c>
      <c r="BG1" s="321">
        <f t="shared" si="1"/>
        <v>43629</v>
      </c>
      <c r="BH1" s="321">
        <f t="shared" si="1"/>
        <v>43630</v>
      </c>
      <c r="BI1" s="321">
        <f t="shared" si="1"/>
        <v>43631</v>
      </c>
      <c r="BJ1" s="321">
        <f t="shared" si="1"/>
        <v>43632</v>
      </c>
      <c r="BK1" s="321">
        <f t="shared" si="1"/>
        <v>43633</v>
      </c>
      <c r="BL1" s="321">
        <f t="shared" si="1"/>
        <v>43634</v>
      </c>
      <c r="BM1" s="321">
        <f t="shared" si="1"/>
        <v>43635</v>
      </c>
      <c r="BN1" s="321">
        <f t="shared" si="1"/>
        <v>43636</v>
      </c>
      <c r="BO1" s="321">
        <f t="shared" si="1"/>
        <v>43637</v>
      </c>
      <c r="BP1" s="321">
        <f t="shared" ref="BP1:BX1" si="2">BO1+1</f>
        <v>43638</v>
      </c>
      <c r="BQ1" s="321">
        <f t="shared" si="2"/>
        <v>43639</v>
      </c>
      <c r="BR1" s="321">
        <f t="shared" si="2"/>
        <v>43640</v>
      </c>
      <c r="BS1" s="321">
        <f t="shared" si="2"/>
        <v>43641</v>
      </c>
      <c r="BT1" s="321">
        <f t="shared" si="2"/>
        <v>43642</v>
      </c>
      <c r="BU1" s="321">
        <f t="shared" si="2"/>
        <v>43643</v>
      </c>
      <c r="BV1" s="321">
        <f t="shared" si="2"/>
        <v>43644</v>
      </c>
      <c r="BW1" s="321">
        <f t="shared" si="2"/>
        <v>43645</v>
      </c>
      <c r="BX1" s="321">
        <f t="shared" si="2"/>
        <v>43646</v>
      </c>
    </row>
    <row r="2" spans="1:76" x14ac:dyDescent="0.25">
      <c r="A2" t="s">
        <v>152</v>
      </c>
      <c r="B2" t="s">
        <v>50</v>
      </c>
      <c r="W2">
        <v>55000</v>
      </c>
    </row>
    <row r="3" spans="1:76" x14ac:dyDescent="0.25">
      <c r="B3" t="s">
        <v>52</v>
      </c>
    </row>
    <row r="4" spans="1:76" x14ac:dyDescent="0.25">
      <c r="B4" t="s">
        <v>51</v>
      </c>
      <c r="I4">
        <v>11000</v>
      </c>
    </row>
    <row r="5" spans="1:76" x14ac:dyDescent="0.25">
      <c r="B5" t="s">
        <v>54</v>
      </c>
      <c r="D5">
        <v>500</v>
      </c>
      <c r="E5">
        <v>500</v>
      </c>
      <c r="F5">
        <v>500</v>
      </c>
      <c r="G5">
        <v>500</v>
      </c>
      <c r="H5">
        <v>500</v>
      </c>
      <c r="I5">
        <v>500</v>
      </c>
      <c r="J5">
        <v>500</v>
      </c>
      <c r="K5">
        <v>500</v>
      </c>
      <c r="L5">
        <v>500</v>
      </c>
      <c r="M5">
        <v>500</v>
      </c>
      <c r="N5">
        <v>500</v>
      </c>
      <c r="O5">
        <v>500</v>
      </c>
      <c r="Q5">
        <v>500</v>
      </c>
      <c r="S5">
        <v>500</v>
      </c>
      <c r="U5">
        <v>500</v>
      </c>
      <c r="W5">
        <v>500</v>
      </c>
      <c r="Y5">
        <v>500</v>
      </c>
      <c r="AA5">
        <v>500</v>
      </c>
      <c r="AC5">
        <v>500</v>
      </c>
      <c r="AE5">
        <v>500</v>
      </c>
      <c r="AG5">
        <v>500</v>
      </c>
      <c r="AI5">
        <v>500</v>
      </c>
      <c r="AK5">
        <v>500</v>
      </c>
      <c r="AM5">
        <v>500</v>
      </c>
      <c r="AO5">
        <v>500</v>
      </c>
      <c r="AQ5">
        <v>500</v>
      </c>
      <c r="AS5">
        <v>500</v>
      </c>
      <c r="AT5">
        <v>500</v>
      </c>
      <c r="AV5">
        <v>500</v>
      </c>
      <c r="AX5">
        <v>500</v>
      </c>
      <c r="AZ5">
        <v>500</v>
      </c>
      <c r="BB5">
        <v>500</v>
      </c>
      <c r="BD5">
        <v>500</v>
      </c>
      <c r="BF5">
        <v>500</v>
      </c>
      <c r="BH5">
        <v>500</v>
      </c>
      <c r="BJ5">
        <v>500</v>
      </c>
      <c r="BL5">
        <v>500</v>
      </c>
      <c r="BN5">
        <v>500</v>
      </c>
      <c r="BO5">
        <v>500</v>
      </c>
      <c r="BP5">
        <v>500</v>
      </c>
      <c r="BQ5">
        <v>500</v>
      </c>
      <c r="BR5">
        <v>500</v>
      </c>
      <c r="BS5">
        <v>500</v>
      </c>
      <c r="BT5">
        <v>500</v>
      </c>
      <c r="BU5">
        <v>500</v>
      </c>
      <c r="BV5">
        <v>500</v>
      </c>
      <c r="BW5">
        <v>500</v>
      </c>
      <c r="BX5">
        <v>500</v>
      </c>
    </row>
    <row r="7" spans="1:76" x14ac:dyDescent="0.25">
      <c r="A7" t="s">
        <v>144</v>
      </c>
      <c r="B7" t="s">
        <v>50</v>
      </c>
      <c r="C7">
        <v>16500</v>
      </c>
    </row>
    <row r="8" spans="1:76" x14ac:dyDescent="0.25">
      <c r="B8" t="s">
        <v>52</v>
      </c>
      <c r="C8">
        <v>2010</v>
      </c>
    </row>
    <row r="9" spans="1:76" x14ac:dyDescent="0.25">
      <c r="B9" t="s">
        <v>51</v>
      </c>
    </row>
    <row r="10" spans="1:76" x14ac:dyDescent="0.25">
      <c r="A10" t="s">
        <v>153</v>
      </c>
      <c r="B10" t="s">
        <v>54</v>
      </c>
      <c r="C10">
        <v>3519</v>
      </c>
    </row>
    <row r="12" spans="1:76" x14ac:dyDescent="0.25">
      <c r="C12" s="321">
        <v>43573</v>
      </c>
      <c r="D12" s="321">
        <f t="shared" ref="D12:AI12" si="3">C12+1</f>
        <v>43574</v>
      </c>
      <c r="E12" s="321">
        <f t="shared" si="3"/>
        <v>43575</v>
      </c>
      <c r="F12" s="321">
        <f t="shared" si="3"/>
        <v>43576</v>
      </c>
      <c r="G12" s="321">
        <f t="shared" si="3"/>
        <v>43577</v>
      </c>
      <c r="H12" s="321">
        <f t="shared" si="3"/>
        <v>43578</v>
      </c>
      <c r="I12" s="321">
        <f t="shared" si="3"/>
        <v>43579</v>
      </c>
      <c r="J12" s="321">
        <f t="shared" si="3"/>
        <v>43580</v>
      </c>
      <c r="K12" s="321">
        <f t="shared" si="3"/>
        <v>43581</v>
      </c>
      <c r="L12" s="321">
        <f t="shared" si="3"/>
        <v>43582</v>
      </c>
      <c r="M12" s="321">
        <f t="shared" si="3"/>
        <v>43583</v>
      </c>
      <c r="N12" s="321">
        <f t="shared" si="3"/>
        <v>43584</v>
      </c>
      <c r="O12" s="321">
        <f t="shared" si="3"/>
        <v>43585</v>
      </c>
      <c r="P12" s="321">
        <f t="shared" si="3"/>
        <v>43586</v>
      </c>
      <c r="Q12" s="321">
        <f t="shared" si="3"/>
        <v>43587</v>
      </c>
      <c r="R12" s="321">
        <f t="shared" si="3"/>
        <v>43588</v>
      </c>
      <c r="S12" s="321">
        <f t="shared" si="3"/>
        <v>43589</v>
      </c>
      <c r="T12" s="321">
        <f t="shared" si="3"/>
        <v>43590</v>
      </c>
      <c r="U12" s="321">
        <f t="shared" si="3"/>
        <v>43591</v>
      </c>
      <c r="V12" s="321">
        <f t="shared" si="3"/>
        <v>43592</v>
      </c>
      <c r="W12" s="321">
        <f t="shared" si="3"/>
        <v>43593</v>
      </c>
      <c r="X12" s="321">
        <f t="shared" si="3"/>
        <v>43594</v>
      </c>
      <c r="Y12" s="321">
        <f t="shared" si="3"/>
        <v>43595</v>
      </c>
      <c r="Z12" s="321">
        <f t="shared" si="3"/>
        <v>43596</v>
      </c>
      <c r="AA12" s="321">
        <f t="shared" si="3"/>
        <v>43597</v>
      </c>
      <c r="AB12" s="321">
        <f t="shared" si="3"/>
        <v>43598</v>
      </c>
      <c r="AC12" s="321">
        <f t="shared" si="3"/>
        <v>43599</v>
      </c>
      <c r="AD12" s="321">
        <f t="shared" si="3"/>
        <v>43600</v>
      </c>
      <c r="AE12" s="321">
        <f t="shared" si="3"/>
        <v>43601</v>
      </c>
      <c r="AF12" s="321">
        <f t="shared" si="3"/>
        <v>43602</v>
      </c>
      <c r="AG12" s="321">
        <f t="shared" si="3"/>
        <v>43603</v>
      </c>
      <c r="AH12" s="321">
        <f t="shared" si="3"/>
        <v>43604</v>
      </c>
      <c r="AI12" s="321">
        <f t="shared" si="3"/>
        <v>43605</v>
      </c>
      <c r="AJ12" s="321">
        <f t="shared" ref="AJ12:BO12" si="4">AI12+1</f>
        <v>43606</v>
      </c>
      <c r="AK12" s="321">
        <f t="shared" si="4"/>
        <v>43607</v>
      </c>
      <c r="AL12" s="321">
        <f t="shared" si="4"/>
        <v>43608</v>
      </c>
      <c r="AM12" s="321">
        <f t="shared" si="4"/>
        <v>43609</v>
      </c>
      <c r="AN12" s="321">
        <f t="shared" si="4"/>
        <v>43610</v>
      </c>
      <c r="AO12" s="321">
        <f t="shared" si="4"/>
        <v>43611</v>
      </c>
      <c r="AP12" s="321">
        <f t="shared" si="4"/>
        <v>43612</v>
      </c>
      <c r="AQ12" s="321">
        <f t="shared" si="4"/>
        <v>43613</v>
      </c>
      <c r="AR12" s="321">
        <f t="shared" si="4"/>
        <v>43614</v>
      </c>
      <c r="AS12" s="321">
        <f t="shared" si="4"/>
        <v>43615</v>
      </c>
      <c r="AT12" s="321">
        <f t="shared" si="4"/>
        <v>43616</v>
      </c>
      <c r="AU12" s="321">
        <f t="shared" si="4"/>
        <v>43617</v>
      </c>
      <c r="AV12" s="321">
        <f t="shared" si="4"/>
        <v>43618</v>
      </c>
      <c r="AW12" s="321">
        <f t="shared" si="4"/>
        <v>43619</v>
      </c>
      <c r="AX12" s="321">
        <f t="shared" si="4"/>
        <v>43620</v>
      </c>
      <c r="AY12" s="321">
        <f t="shared" si="4"/>
        <v>43621</v>
      </c>
      <c r="AZ12" s="321">
        <f t="shared" si="4"/>
        <v>43622</v>
      </c>
      <c r="BA12" s="321">
        <f t="shared" si="4"/>
        <v>43623</v>
      </c>
      <c r="BB12" s="321">
        <f t="shared" si="4"/>
        <v>43624</v>
      </c>
      <c r="BC12" s="321">
        <f t="shared" si="4"/>
        <v>43625</v>
      </c>
      <c r="BD12" s="321">
        <f t="shared" si="4"/>
        <v>43626</v>
      </c>
      <c r="BE12" s="321">
        <f t="shared" si="4"/>
        <v>43627</v>
      </c>
      <c r="BF12" s="321">
        <f t="shared" si="4"/>
        <v>43628</v>
      </c>
      <c r="BG12" s="321">
        <f t="shared" si="4"/>
        <v>43629</v>
      </c>
      <c r="BH12" s="321">
        <f t="shared" si="4"/>
        <v>43630</v>
      </c>
      <c r="BI12" s="321">
        <f t="shared" si="4"/>
        <v>43631</v>
      </c>
      <c r="BJ12" s="321">
        <f t="shared" si="4"/>
        <v>43632</v>
      </c>
      <c r="BK12" s="321">
        <f t="shared" si="4"/>
        <v>43633</v>
      </c>
      <c r="BL12" s="321">
        <f t="shared" si="4"/>
        <v>43634</v>
      </c>
      <c r="BM12" s="321">
        <f t="shared" si="4"/>
        <v>43635</v>
      </c>
      <c r="BN12" s="321">
        <f t="shared" si="4"/>
        <v>43636</v>
      </c>
      <c r="BO12" s="321">
        <f t="shared" si="4"/>
        <v>43637</v>
      </c>
      <c r="BP12" s="321">
        <f t="shared" ref="BP12:BX12" si="5">BO12+1</f>
        <v>43638</v>
      </c>
      <c r="BQ12" s="321">
        <f t="shared" si="5"/>
        <v>43639</v>
      </c>
      <c r="BR12" s="321">
        <f t="shared" si="5"/>
        <v>43640</v>
      </c>
      <c r="BS12" s="321">
        <f t="shared" si="5"/>
        <v>43641</v>
      </c>
      <c r="BT12" s="321">
        <f t="shared" si="5"/>
        <v>43642</v>
      </c>
      <c r="BU12" s="321">
        <f t="shared" si="5"/>
        <v>43643</v>
      </c>
      <c r="BV12" s="321">
        <f t="shared" si="5"/>
        <v>43644</v>
      </c>
      <c r="BW12" s="321">
        <f t="shared" si="5"/>
        <v>43645</v>
      </c>
      <c r="BX12" s="321">
        <f t="shared" si="5"/>
        <v>43646</v>
      </c>
    </row>
    <row r="14" spans="1:76" x14ac:dyDescent="0.25">
      <c r="A14" t="s">
        <v>154</v>
      </c>
      <c r="B14" t="s">
        <v>50</v>
      </c>
      <c r="C14" s="49">
        <v>32505</v>
      </c>
    </row>
    <row r="15" spans="1:76" x14ac:dyDescent="0.25">
      <c r="B15" t="s">
        <v>52</v>
      </c>
      <c r="C15" s="49">
        <v>4705</v>
      </c>
    </row>
    <row r="16" spans="1:76" x14ac:dyDescent="0.25">
      <c r="B16" t="s">
        <v>51</v>
      </c>
      <c r="C16" s="49">
        <v>880</v>
      </c>
    </row>
    <row r="17" spans="1:3" x14ac:dyDescent="0.25">
      <c r="B17" t="s">
        <v>54</v>
      </c>
      <c r="C17" s="49">
        <v>3519</v>
      </c>
    </row>
    <row r="19" spans="1:3" x14ac:dyDescent="0.25">
      <c r="A19" t="s">
        <v>155</v>
      </c>
      <c r="B19" t="s">
        <v>50</v>
      </c>
      <c r="C19" s="49">
        <v>2000</v>
      </c>
    </row>
    <row r="20" spans="1:3" x14ac:dyDescent="0.25">
      <c r="B20" t="s">
        <v>52</v>
      </c>
      <c r="C20" s="49">
        <v>1200</v>
      </c>
    </row>
    <row r="21" spans="1:3" x14ac:dyDescent="0.25">
      <c r="B21" t="s">
        <v>51</v>
      </c>
      <c r="C21" s="49"/>
    </row>
    <row r="22" spans="1:3" x14ac:dyDescent="0.25">
      <c r="B22" t="s">
        <v>54</v>
      </c>
      <c r="C22" s="49">
        <v>600</v>
      </c>
    </row>
    <row r="24" spans="1:3" x14ac:dyDescent="0.25">
      <c r="A24" t="s">
        <v>156</v>
      </c>
      <c r="B24" t="s">
        <v>50</v>
      </c>
      <c r="C24" s="322">
        <f>C14/1500</f>
        <v>21.67</v>
      </c>
    </row>
    <row r="25" spans="1:3" x14ac:dyDescent="0.25">
      <c r="B25" t="s">
        <v>52</v>
      </c>
      <c r="C25" s="322">
        <f>C15/1500</f>
        <v>3.1366666666666667</v>
      </c>
    </row>
    <row r="26" spans="1:3" x14ac:dyDescent="0.25">
      <c r="B26" t="s">
        <v>51</v>
      </c>
      <c r="C26" s="322">
        <f>C16/1500</f>
        <v>0.58666666666666667</v>
      </c>
    </row>
    <row r="27" spans="1:3" x14ac:dyDescent="0.25">
      <c r="A27" t="s">
        <v>157</v>
      </c>
      <c r="B27" t="s">
        <v>54</v>
      </c>
      <c r="C27" s="322">
        <f>C17/500</f>
        <v>7.0380000000000003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P75"/>
  <sheetViews>
    <sheetView topLeftCell="A3" zoomScale="90" zoomScaleNormal="90" workbookViewId="0">
      <selection activeCell="B24" sqref="B24"/>
    </sheetView>
  </sheetViews>
  <sheetFormatPr defaultColWidth="8.5703125" defaultRowHeight="15" x14ac:dyDescent="0.25"/>
  <cols>
    <col min="2" max="2" width="15.5703125" customWidth="1"/>
  </cols>
  <sheetData>
    <row r="1" spans="2:42" x14ac:dyDescent="0.25">
      <c r="C1" t="s">
        <v>158</v>
      </c>
    </row>
    <row r="2" spans="2:42" x14ac:dyDescent="0.25">
      <c r="C2" t="s">
        <v>159</v>
      </c>
      <c r="D2" t="s">
        <v>160</v>
      </c>
      <c r="E2" t="s">
        <v>60</v>
      </c>
    </row>
    <row r="3" spans="2:42" x14ac:dyDescent="0.25">
      <c r="B3" t="s">
        <v>161</v>
      </c>
      <c r="C3">
        <v>6000</v>
      </c>
      <c r="D3">
        <v>2000</v>
      </c>
      <c r="E3">
        <v>500</v>
      </c>
      <c r="J3" s="58" t="s">
        <v>162</v>
      </c>
      <c r="K3" s="58">
        <f t="shared" ref="K3:AP3" si="0">SUM(K4:K6)</f>
        <v>0.8</v>
      </c>
      <c r="L3" s="58">
        <f t="shared" si="0"/>
        <v>0</v>
      </c>
      <c r="M3" s="58">
        <f t="shared" si="0"/>
        <v>0.8</v>
      </c>
      <c r="N3" s="58">
        <f t="shared" si="0"/>
        <v>0</v>
      </c>
      <c r="O3" s="58">
        <f t="shared" si="0"/>
        <v>0.8</v>
      </c>
      <c r="P3" s="58">
        <f t="shared" si="0"/>
        <v>0</v>
      </c>
      <c r="Q3" s="58">
        <f t="shared" si="0"/>
        <v>0.8</v>
      </c>
      <c r="R3" s="58">
        <f t="shared" si="0"/>
        <v>0</v>
      </c>
      <c r="S3" s="58">
        <f t="shared" si="0"/>
        <v>0.8</v>
      </c>
      <c r="T3" s="58">
        <f t="shared" si="0"/>
        <v>0</v>
      </c>
      <c r="U3" s="58">
        <f t="shared" si="0"/>
        <v>0</v>
      </c>
      <c r="V3" s="58">
        <f t="shared" si="0"/>
        <v>0</v>
      </c>
      <c r="W3" s="58">
        <f t="shared" si="0"/>
        <v>0</v>
      </c>
      <c r="X3" s="58">
        <f t="shared" si="0"/>
        <v>0</v>
      </c>
      <c r="Y3" s="58">
        <f t="shared" si="0"/>
        <v>0</v>
      </c>
      <c r="Z3" s="58">
        <f t="shared" si="0"/>
        <v>0</v>
      </c>
      <c r="AA3" s="58">
        <f t="shared" si="0"/>
        <v>0</v>
      </c>
      <c r="AB3" s="58">
        <f t="shared" si="0"/>
        <v>0</v>
      </c>
      <c r="AC3" s="58">
        <f t="shared" si="0"/>
        <v>0</v>
      </c>
      <c r="AD3" s="58">
        <f t="shared" si="0"/>
        <v>0</v>
      </c>
      <c r="AE3" s="58">
        <f t="shared" si="0"/>
        <v>0</v>
      </c>
      <c r="AF3" s="58">
        <f t="shared" si="0"/>
        <v>0</v>
      </c>
      <c r="AG3" s="58">
        <f t="shared" si="0"/>
        <v>0</v>
      </c>
      <c r="AH3" s="58">
        <f t="shared" si="0"/>
        <v>0</v>
      </c>
      <c r="AI3" s="58">
        <f t="shared" si="0"/>
        <v>4.3</v>
      </c>
      <c r="AJ3" s="58">
        <f t="shared" si="0"/>
        <v>3.5</v>
      </c>
      <c r="AK3" s="58">
        <f t="shared" si="0"/>
        <v>4.3</v>
      </c>
      <c r="AL3" s="58">
        <f t="shared" si="0"/>
        <v>3.5</v>
      </c>
      <c r="AM3" s="58">
        <f t="shared" si="0"/>
        <v>4.3</v>
      </c>
      <c r="AN3" s="58">
        <f t="shared" si="0"/>
        <v>3.5</v>
      </c>
      <c r="AO3" s="58">
        <f t="shared" si="0"/>
        <v>4.3</v>
      </c>
      <c r="AP3" s="58">
        <f t="shared" si="0"/>
        <v>31.7</v>
      </c>
    </row>
    <row r="4" spans="2:42" x14ac:dyDescent="0.25">
      <c r="B4" t="s">
        <v>163</v>
      </c>
      <c r="C4">
        <v>41289</v>
      </c>
      <c r="D4">
        <v>22622</v>
      </c>
      <c r="E4">
        <v>2573</v>
      </c>
      <c r="J4" t="s">
        <v>159</v>
      </c>
      <c r="AI4">
        <v>2.5</v>
      </c>
      <c r="AJ4">
        <v>2.5</v>
      </c>
      <c r="AK4">
        <v>2.5</v>
      </c>
      <c r="AL4">
        <v>2.5</v>
      </c>
      <c r="AM4">
        <v>2.5</v>
      </c>
      <c r="AN4">
        <v>2.5</v>
      </c>
      <c r="AO4">
        <v>2.5</v>
      </c>
      <c r="AP4">
        <f>SUM(K4:AO4)</f>
        <v>17.5</v>
      </c>
    </row>
    <row r="5" spans="2:42" x14ac:dyDescent="0.25">
      <c r="B5" t="s">
        <v>164</v>
      </c>
      <c r="J5" t="s">
        <v>160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f>SUM(K5:AO5)</f>
        <v>7</v>
      </c>
    </row>
    <row r="6" spans="2:42" x14ac:dyDescent="0.25">
      <c r="B6" t="s">
        <v>165</v>
      </c>
      <c r="C6">
        <v>7297</v>
      </c>
      <c r="D6">
        <v>3806</v>
      </c>
      <c r="J6" t="s">
        <v>60</v>
      </c>
      <c r="K6">
        <v>0.8</v>
      </c>
      <c r="M6">
        <v>0.8</v>
      </c>
      <c r="O6">
        <v>0.8</v>
      </c>
      <c r="Q6">
        <v>0.8</v>
      </c>
      <c r="S6">
        <v>0.8</v>
      </c>
      <c r="AI6">
        <v>0.8</v>
      </c>
      <c r="AK6">
        <v>0.8</v>
      </c>
      <c r="AM6">
        <v>0.8</v>
      </c>
      <c r="AO6">
        <v>0.8</v>
      </c>
      <c r="AP6">
        <f>SUM(K6:AO6)</f>
        <v>7.1999999999999993</v>
      </c>
    </row>
    <row r="7" spans="2:42" x14ac:dyDescent="0.25">
      <c r="B7" t="s">
        <v>166</v>
      </c>
      <c r="C7">
        <f>506+2587</f>
        <v>3093</v>
      </c>
      <c r="D7">
        <v>377</v>
      </c>
      <c r="E7">
        <f>3016+2390</f>
        <v>5406</v>
      </c>
      <c r="J7" s="58" t="s">
        <v>167</v>
      </c>
      <c r="K7" s="58">
        <f t="shared" ref="K7:AP7" si="1">SUM(K8:K10)</f>
        <v>0</v>
      </c>
      <c r="L7" s="58">
        <f t="shared" si="1"/>
        <v>0</v>
      </c>
      <c r="M7" s="58">
        <f t="shared" si="1"/>
        <v>0</v>
      </c>
      <c r="N7" s="58">
        <f t="shared" si="1"/>
        <v>0</v>
      </c>
      <c r="O7" s="58">
        <f t="shared" si="1"/>
        <v>0</v>
      </c>
      <c r="P7" s="58">
        <f t="shared" si="1"/>
        <v>0</v>
      </c>
      <c r="Q7" s="58">
        <f t="shared" si="1"/>
        <v>0</v>
      </c>
      <c r="R7" s="58">
        <f t="shared" si="1"/>
        <v>0</v>
      </c>
      <c r="S7" s="58">
        <f t="shared" si="1"/>
        <v>0</v>
      </c>
      <c r="T7" s="58">
        <f t="shared" si="1"/>
        <v>3.5</v>
      </c>
      <c r="U7" s="58">
        <f t="shared" si="1"/>
        <v>3.5</v>
      </c>
      <c r="V7" s="58">
        <f t="shared" si="1"/>
        <v>3.5</v>
      </c>
      <c r="W7" s="58">
        <f t="shared" si="1"/>
        <v>3.5</v>
      </c>
      <c r="X7" s="58">
        <f t="shared" si="1"/>
        <v>3.5</v>
      </c>
      <c r="Y7" s="58">
        <f t="shared" si="1"/>
        <v>3.5</v>
      </c>
      <c r="Z7" s="58">
        <f t="shared" si="1"/>
        <v>3.5</v>
      </c>
      <c r="AA7" s="58">
        <f t="shared" si="1"/>
        <v>3.5</v>
      </c>
      <c r="AB7" s="58">
        <f t="shared" si="1"/>
        <v>3.5</v>
      </c>
      <c r="AC7" s="58">
        <f t="shared" si="1"/>
        <v>3.5</v>
      </c>
      <c r="AD7" s="58">
        <f t="shared" si="1"/>
        <v>3.5</v>
      </c>
      <c r="AE7" s="58">
        <f t="shared" si="1"/>
        <v>3.5</v>
      </c>
      <c r="AF7" s="58">
        <f t="shared" si="1"/>
        <v>3.5</v>
      </c>
      <c r="AG7" s="58">
        <f t="shared" si="1"/>
        <v>3.5</v>
      </c>
      <c r="AH7" s="58">
        <f t="shared" si="1"/>
        <v>1</v>
      </c>
      <c r="AI7" s="58">
        <f t="shared" si="1"/>
        <v>0</v>
      </c>
      <c r="AJ7" s="58">
        <f t="shared" si="1"/>
        <v>0</v>
      </c>
      <c r="AK7" s="58">
        <f t="shared" si="1"/>
        <v>0</v>
      </c>
      <c r="AL7" s="58">
        <f t="shared" si="1"/>
        <v>0</v>
      </c>
      <c r="AM7" s="58">
        <f t="shared" si="1"/>
        <v>0</v>
      </c>
      <c r="AN7" s="58">
        <f t="shared" si="1"/>
        <v>0</v>
      </c>
      <c r="AO7" s="58">
        <f t="shared" si="1"/>
        <v>0</v>
      </c>
      <c r="AP7" s="58">
        <f t="shared" si="1"/>
        <v>50</v>
      </c>
    </row>
    <row r="8" spans="2:42" x14ac:dyDescent="0.25">
      <c r="B8" t="s">
        <v>168</v>
      </c>
      <c r="E8">
        <v>2600</v>
      </c>
      <c r="J8" t="s">
        <v>159</v>
      </c>
      <c r="T8">
        <v>2.5</v>
      </c>
      <c r="U8">
        <v>2.5</v>
      </c>
      <c r="V8">
        <v>2.5</v>
      </c>
      <c r="W8">
        <v>2.5</v>
      </c>
      <c r="X8">
        <v>2.5</v>
      </c>
      <c r="Y8">
        <v>2.5</v>
      </c>
      <c r="Z8">
        <v>2.5</v>
      </c>
      <c r="AA8">
        <v>2.5</v>
      </c>
      <c r="AB8">
        <v>2.5</v>
      </c>
      <c r="AC8">
        <v>2.5</v>
      </c>
      <c r="AD8">
        <v>2.5</v>
      </c>
      <c r="AE8">
        <v>2.5</v>
      </c>
      <c r="AF8">
        <v>2.5</v>
      </c>
      <c r="AG8">
        <v>2.5</v>
      </c>
      <c r="AH8">
        <v>1</v>
      </c>
      <c r="AP8">
        <f>SUM(K8:AO8)</f>
        <v>36</v>
      </c>
    </row>
    <row r="9" spans="2:42" x14ac:dyDescent="0.25">
      <c r="J9" t="s">
        <v>160</v>
      </c>
      <c r="T9">
        <v>1</v>
      </c>
      <c r="U9">
        <v>0</v>
      </c>
      <c r="V9">
        <v>1</v>
      </c>
      <c r="W9">
        <v>0</v>
      </c>
      <c r="X9">
        <v>1</v>
      </c>
      <c r="Y9">
        <v>0</v>
      </c>
      <c r="Z9">
        <v>1</v>
      </c>
      <c r="AA9">
        <v>0</v>
      </c>
      <c r="AB9">
        <v>1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P9">
        <f>SUM(K9:AO9)</f>
        <v>7</v>
      </c>
    </row>
    <row r="10" spans="2:42" x14ac:dyDescent="0.25">
      <c r="C10">
        <f>SUM(C4:C7)</f>
        <v>51679</v>
      </c>
      <c r="D10">
        <f>SUM(D4:D7)</f>
        <v>26805</v>
      </c>
      <c r="E10">
        <f>SUM(E4:E8)</f>
        <v>10579</v>
      </c>
      <c r="J10" t="s">
        <v>60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1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1</v>
      </c>
      <c r="AH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f>SUM(K10:AO10)</f>
        <v>7</v>
      </c>
    </row>
    <row r="13" spans="2:42" x14ac:dyDescent="0.25">
      <c r="B13" s="58" t="s">
        <v>33</v>
      </c>
      <c r="C13" s="323">
        <v>43731</v>
      </c>
      <c r="D13" s="323">
        <v>43732</v>
      </c>
      <c r="E13" s="323">
        <v>43733</v>
      </c>
      <c r="F13" s="323">
        <v>43734</v>
      </c>
      <c r="G13" s="323">
        <v>43735</v>
      </c>
      <c r="H13" s="323">
        <v>43736</v>
      </c>
      <c r="I13" s="323">
        <v>43737</v>
      </c>
      <c r="J13" s="324">
        <v>43738</v>
      </c>
      <c r="K13" s="323">
        <v>43739</v>
      </c>
      <c r="L13" s="323">
        <v>43740</v>
      </c>
      <c r="M13" s="323">
        <v>43741</v>
      </c>
      <c r="N13" s="323">
        <v>43742</v>
      </c>
      <c r="O13" s="323">
        <v>43743</v>
      </c>
      <c r="P13" s="323">
        <v>43744</v>
      </c>
      <c r="Q13" s="323">
        <v>43745</v>
      </c>
      <c r="R13" s="323">
        <v>43746</v>
      </c>
      <c r="S13" s="323">
        <v>43747</v>
      </c>
      <c r="T13" s="323">
        <v>43748</v>
      </c>
      <c r="U13" s="323">
        <v>43749</v>
      </c>
      <c r="V13" s="323">
        <v>43750</v>
      </c>
      <c r="W13" s="323">
        <v>43751</v>
      </c>
      <c r="X13" s="323">
        <v>43752</v>
      </c>
      <c r="Y13" s="323">
        <v>43753</v>
      </c>
      <c r="Z13" s="323">
        <v>43754</v>
      </c>
      <c r="AA13" s="323">
        <v>43755</v>
      </c>
      <c r="AB13" s="323">
        <v>43756</v>
      </c>
      <c r="AC13" s="323">
        <v>43757</v>
      </c>
      <c r="AD13" s="323">
        <v>43758</v>
      </c>
      <c r="AE13" s="323">
        <v>43759</v>
      </c>
      <c r="AF13" s="323">
        <v>43760</v>
      </c>
      <c r="AG13" s="323">
        <v>43761</v>
      </c>
      <c r="AH13" s="323">
        <v>43762</v>
      </c>
      <c r="AI13" s="323">
        <v>43763</v>
      </c>
      <c r="AJ13" s="323">
        <v>43764</v>
      </c>
      <c r="AK13" s="323">
        <v>43765</v>
      </c>
      <c r="AL13" s="323">
        <v>43766</v>
      </c>
      <c r="AM13" s="323">
        <v>43767</v>
      </c>
      <c r="AN13" s="323">
        <v>43768</v>
      </c>
      <c r="AO13" s="323">
        <v>43769</v>
      </c>
    </row>
    <row r="14" spans="2:42" x14ac:dyDescent="0.25">
      <c r="B14" t="s">
        <v>25</v>
      </c>
      <c r="C14" s="48">
        <f>47260/1000</f>
        <v>47.26</v>
      </c>
      <c r="D14" s="48">
        <f t="shared" ref="D14:AO14" si="2">C18</f>
        <v>48.491999999999997</v>
      </c>
      <c r="E14" s="48">
        <f t="shared" si="2"/>
        <v>49.723999999999997</v>
      </c>
      <c r="F14" s="48">
        <f t="shared" si="2"/>
        <v>50.055999999999997</v>
      </c>
      <c r="G14" s="48">
        <f t="shared" si="2"/>
        <v>51.287999999999997</v>
      </c>
      <c r="H14" s="48">
        <f t="shared" si="2"/>
        <v>51.62</v>
      </c>
      <c r="I14" s="48">
        <f t="shared" si="2"/>
        <v>52.851999999999997</v>
      </c>
      <c r="J14" s="325">
        <f t="shared" si="2"/>
        <v>53.283999999999999</v>
      </c>
      <c r="K14" s="48">
        <f t="shared" si="2"/>
        <v>54.515999999999998</v>
      </c>
      <c r="L14" s="48">
        <f t="shared" si="2"/>
        <v>54.819600000000001</v>
      </c>
      <c r="M14" s="48">
        <f t="shared" si="2"/>
        <v>55.923200000000001</v>
      </c>
      <c r="N14" s="48">
        <f t="shared" si="2"/>
        <v>56.226800000000004</v>
      </c>
      <c r="O14" s="48">
        <f t="shared" si="2"/>
        <v>57.330400000000004</v>
      </c>
      <c r="P14" s="48">
        <f t="shared" si="2"/>
        <v>57.634000000000007</v>
      </c>
      <c r="Q14" s="48">
        <f t="shared" si="2"/>
        <v>58.737600000000008</v>
      </c>
      <c r="R14" s="48">
        <f t="shared" si="2"/>
        <v>59.041200000000011</v>
      </c>
      <c r="S14" s="48">
        <f t="shared" si="2"/>
        <v>60.144800000000011</v>
      </c>
      <c r="T14" s="48">
        <f t="shared" si="2"/>
        <v>60.448400000000014</v>
      </c>
      <c r="U14" s="48">
        <f t="shared" si="2"/>
        <v>61.552000000000021</v>
      </c>
      <c r="V14" s="48">
        <f t="shared" si="2"/>
        <v>62.655600000000021</v>
      </c>
      <c r="W14" s="48">
        <f t="shared" si="2"/>
        <v>63.759200000000021</v>
      </c>
      <c r="X14" s="48">
        <f t="shared" si="2"/>
        <v>64.862800000000021</v>
      </c>
      <c r="Y14" s="48">
        <f t="shared" si="2"/>
        <v>65.966400000000021</v>
      </c>
      <c r="Z14" s="48">
        <f t="shared" si="2"/>
        <v>67.070000000000022</v>
      </c>
      <c r="AA14" s="48">
        <f t="shared" si="2"/>
        <v>68.173600000000022</v>
      </c>
      <c r="AB14" s="48">
        <f t="shared" si="2"/>
        <v>69.277200000000022</v>
      </c>
      <c r="AC14" s="48">
        <f t="shared" si="2"/>
        <v>70.380800000000022</v>
      </c>
      <c r="AD14" s="48">
        <f t="shared" si="2"/>
        <v>71.484400000000022</v>
      </c>
      <c r="AE14" s="48">
        <f t="shared" si="2"/>
        <v>72.588000000000022</v>
      </c>
      <c r="AF14" s="48">
        <f t="shared" si="2"/>
        <v>73.691600000000022</v>
      </c>
      <c r="AG14" s="48">
        <f t="shared" si="2"/>
        <v>74.795200000000023</v>
      </c>
      <c r="AH14" s="48">
        <f t="shared" si="2"/>
        <v>75.898800000000023</v>
      </c>
      <c r="AI14" s="48">
        <f t="shared" si="2"/>
        <v>77.002400000000023</v>
      </c>
      <c r="AJ14" s="48">
        <f t="shared" si="2"/>
        <v>73.806000000000026</v>
      </c>
      <c r="AK14" s="48">
        <f t="shared" si="2"/>
        <v>71.409600000000026</v>
      </c>
      <c r="AL14" s="48">
        <f t="shared" si="2"/>
        <v>68.213200000000029</v>
      </c>
      <c r="AM14" s="48">
        <f t="shared" si="2"/>
        <v>65.816800000000029</v>
      </c>
      <c r="AN14" s="48">
        <f t="shared" si="2"/>
        <v>62.620400000000032</v>
      </c>
      <c r="AO14" s="48">
        <f t="shared" si="2"/>
        <v>60.224000000000032</v>
      </c>
    </row>
    <row r="15" spans="2:42" x14ac:dyDescent="0.25">
      <c r="B15" t="s">
        <v>36</v>
      </c>
      <c r="C15" s="48">
        <v>3.8</v>
      </c>
      <c r="D15" s="48">
        <v>3.8</v>
      </c>
      <c r="E15" s="48">
        <v>3.8</v>
      </c>
      <c r="F15" s="48">
        <v>3.8</v>
      </c>
      <c r="G15" s="48">
        <v>3.8</v>
      </c>
      <c r="H15" s="48">
        <v>3.8</v>
      </c>
      <c r="I15" s="48">
        <v>3.8</v>
      </c>
      <c r="J15" s="325">
        <v>3.8</v>
      </c>
      <c r="K15" s="48">
        <v>3.8</v>
      </c>
      <c r="L15" s="48">
        <v>3.8</v>
      </c>
      <c r="M15" s="48">
        <v>3.8</v>
      </c>
      <c r="N15" s="48">
        <v>3.8</v>
      </c>
      <c r="O15" s="48">
        <v>3.8</v>
      </c>
      <c r="P15" s="48">
        <v>3.8</v>
      </c>
      <c r="Q15" s="48">
        <v>3.8</v>
      </c>
      <c r="R15" s="48">
        <v>3.8</v>
      </c>
      <c r="S15" s="48">
        <v>3.8</v>
      </c>
      <c r="T15" s="48">
        <v>3.8</v>
      </c>
      <c r="U15" s="48">
        <v>3.8</v>
      </c>
      <c r="V15" s="48">
        <v>3.8</v>
      </c>
      <c r="W15" s="48">
        <v>3.8</v>
      </c>
      <c r="X15" s="48">
        <v>3.8</v>
      </c>
      <c r="Y15" s="48">
        <v>3.8</v>
      </c>
      <c r="Z15" s="48">
        <v>3.8</v>
      </c>
      <c r="AA15" s="48">
        <v>3.8</v>
      </c>
      <c r="AB15" s="48">
        <v>3.8</v>
      </c>
      <c r="AC15" s="48">
        <v>3.8</v>
      </c>
      <c r="AD15" s="48">
        <v>3.8</v>
      </c>
      <c r="AE15" s="48">
        <v>3.8</v>
      </c>
      <c r="AF15" s="48">
        <v>3.8</v>
      </c>
      <c r="AG15" s="48">
        <v>3.8</v>
      </c>
      <c r="AH15" s="48">
        <v>3.8</v>
      </c>
      <c r="AI15" s="48">
        <v>3.8</v>
      </c>
      <c r="AJ15" s="48">
        <v>3.8</v>
      </c>
      <c r="AK15" s="48">
        <v>3.8</v>
      </c>
      <c r="AL15" s="48">
        <v>3.8</v>
      </c>
      <c r="AM15" s="48">
        <v>3.8</v>
      </c>
      <c r="AN15" s="48">
        <v>3.8</v>
      </c>
      <c r="AO15" s="48">
        <v>3.8</v>
      </c>
    </row>
    <row r="16" spans="2:42" x14ac:dyDescent="0.25">
      <c r="B16" t="s">
        <v>169</v>
      </c>
      <c r="C16" s="48">
        <f t="shared" ref="C16:J16" si="3">4*64.2%</f>
        <v>2.5680000000000001</v>
      </c>
      <c r="D16" s="48">
        <f t="shared" si="3"/>
        <v>2.5680000000000001</v>
      </c>
      <c r="E16" s="48">
        <f t="shared" si="3"/>
        <v>2.5680000000000001</v>
      </c>
      <c r="F16" s="48">
        <f t="shared" si="3"/>
        <v>2.5680000000000001</v>
      </c>
      <c r="G16" s="48">
        <f t="shared" si="3"/>
        <v>2.5680000000000001</v>
      </c>
      <c r="H16" s="48">
        <f t="shared" si="3"/>
        <v>2.5680000000000001</v>
      </c>
      <c r="I16" s="48">
        <f t="shared" si="3"/>
        <v>2.5680000000000001</v>
      </c>
      <c r="J16" s="325">
        <f t="shared" si="3"/>
        <v>2.5680000000000001</v>
      </c>
      <c r="K16" s="48">
        <f t="shared" ref="K16:AO16" si="4">4.2*64.2%</f>
        <v>2.6964000000000001</v>
      </c>
      <c r="L16" s="48">
        <f t="shared" si="4"/>
        <v>2.6964000000000001</v>
      </c>
      <c r="M16" s="48">
        <f t="shared" si="4"/>
        <v>2.6964000000000001</v>
      </c>
      <c r="N16" s="48">
        <f t="shared" si="4"/>
        <v>2.6964000000000001</v>
      </c>
      <c r="O16" s="48">
        <f t="shared" si="4"/>
        <v>2.6964000000000001</v>
      </c>
      <c r="P16" s="48">
        <f t="shared" si="4"/>
        <v>2.6964000000000001</v>
      </c>
      <c r="Q16" s="48">
        <f t="shared" si="4"/>
        <v>2.6964000000000001</v>
      </c>
      <c r="R16" s="48">
        <f t="shared" si="4"/>
        <v>2.6964000000000001</v>
      </c>
      <c r="S16" s="48">
        <f t="shared" si="4"/>
        <v>2.6964000000000001</v>
      </c>
      <c r="T16" s="48">
        <f t="shared" si="4"/>
        <v>2.6964000000000001</v>
      </c>
      <c r="U16" s="48">
        <f t="shared" si="4"/>
        <v>2.6964000000000001</v>
      </c>
      <c r="V16" s="48">
        <f t="shared" si="4"/>
        <v>2.6964000000000001</v>
      </c>
      <c r="W16" s="48">
        <f t="shared" si="4"/>
        <v>2.6964000000000001</v>
      </c>
      <c r="X16" s="48">
        <f t="shared" si="4"/>
        <v>2.6964000000000001</v>
      </c>
      <c r="Y16" s="48">
        <f t="shared" si="4"/>
        <v>2.6964000000000001</v>
      </c>
      <c r="Z16" s="48">
        <f t="shared" si="4"/>
        <v>2.6964000000000001</v>
      </c>
      <c r="AA16" s="48">
        <f t="shared" si="4"/>
        <v>2.6964000000000001</v>
      </c>
      <c r="AB16" s="48">
        <f t="shared" si="4"/>
        <v>2.6964000000000001</v>
      </c>
      <c r="AC16" s="48">
        <f t="shared" si="4"/>
        <v>2.6964000000000001</v>
      </c>
      <c r="AD16" s="48">
        <f t="shared" si="4"/>
        <v>2.6964000000000001</v>
      </c>
      <c r="AE16" s="48">
        <f t="shared" si="4"/>
        <v>2.6964000000000001</v>
      </c>
      <c r="AF16" s="48">
        <f t="shared" si="4"/>
        <v>2.6964000000000001</v>
      </c>
      <c r="AG16" s="48">
        <f t="shared" si="4"/>
        <v>2.6964000000000001</v>
      </c>
      <c r="AH16" s="48">
        <f t="shared" si="4"/>
        <v>2.6964000000000001</v>
      </c>
      <c r="AI16" s="48">
        <f t="shared" si="4"/>
        <v>2.6964000000000001</v>
      </c>
      <c r="AJ16" s="48">
        <f t="shared" si="4"/>
        <v>2.6964000000000001</v>
      </c>
      <c r="AK16" s="48">
        <f t="shared" si="4"/>
        <v>2.6964000000000001</v>
      </c>
      <c r="AL16" s="48">
        <f t="shared" si="4"/>
        <v>2.6964000000000001</v>
      </c>
      <c r="AM16" s="48">
        <f t="shared" si="4"/>
        <v>2.6964000000000001</v>
      </c>
      <c r="AN16" s="48">
        <f t="shared" si="4"/>
        <v>2.6964000000000001</v>
      </c>
      <c r="AO16" s="48">
        <f t="shared" si="4"/>
        <v>2.6964000000000001</v>
      </c>
    </row>
    <row r="17" spans="2:42" x14ac:dyDescent="0.25">
      <c r="B17" t="s">
        <v>26</v>
      </c>
      <c r="C17" s="48"/>
      <c r="D17" s="48"/>
      <c r="E17" s="48">
        <v>0.9</v>
      </c>
      <c r="F17" s="48"/>
      <c r="G17" s="48">
        <v>0.9</v>
      </c>
      <c r="H17" s="48"/>
      <c r="I17" s="48">
        <v>0.8</v>
      </c>
      <c r="J17" s="325"/>
      <c r="K17" s="326">
        <f t="shared" ref="K17:AO17" si="5">K3</f>
        <v>0.8</v>
      </c>
      <c r="L17" s="326">
        <f t="shared" si="5"/>
        <v>0</v>
      </c>
      <c r="M17" s="326">
        <f t="shared" si="5"/>
        <v>0.8</v>
      </c>
      <c r="N17" s="326">
        <f t="shared" si="5"/>
        <v>0</v>
      </c>
      <c r="O17" s="326">
        <f t="shared" si="5"/>
        <v>0.8</v>
      </c>
      <c r="P17" s="326">
        <f t="shared" si="5"/>
        <v>0</v>
      </c>
      <c r="Q17" s="326">
        <f t="shared" si="5"/>
        <v>0.8</v>
      </c>
      <c r="R17" s="326">
        <f t="shared" si="5"/>
        <v>0</v>
      </c>
      <c r="S17" s="326">
        <f t="shared" si="5"/>
        <v>0.8</v>
      </c>
      <c r="T17" s="326">
        <f t="shared" si="5"/>
        <v>0</v>
      </c>
      <c r="U17" s="326">
        <f t="shared" si="5"/>
        <v>0</v>
      </c>
      <c r="V17" s="326">
        <f t="shared" si="5"/>
        <v>0</v>
      </c>
      <c r="W17" s="326">
        <f t="shared" si="5"/>
        <v>0</v>
      </c>
      <c r="X17" s="326">
        <f t="shared" si="5"/>
        <v>0</v>
      </c>
      <c r="Y17" s="326">
        <f t="shared" si="5"/>
        <v>0</v>
      </c>
      <c r="Z17" s="326">
        <f t="shared" si="5"/>
        <v>0</v>
      </c>
      <c r="AA17" s="326">
        <f t="shared" si="5"/>
        <v>0</v>
      </c>
      <c r="AB17" s="326">
        <f t="shared" si="5"/>
        <v>0</v>
      </c>
      <c r="AC17" s="326">
        <f t="shared" si="5"/>
        <v>0</v>
      </c>
      <c r="AD17" s="326">
        <f t="shared" si="5"/>
        <v>0</v>
      </c>
      <c r="AE17" s="326">
        <f t="shared" si="5"/>
        <v>0</v>
      </c>
      <c r="AF17" s="326">
        <f t="shared" si="5"/>
        <v>0</v>
      </c>
      <c r="AG17" s="326">
        <f t="shared" si="5"/>
        <v>0</v>
      </c>
      <c r="AH17" s="326">
        <f t="shared" si="5"/>
        <v>0</v>
      </c>
      <c r="AI17" s="326">
        <f t="shared" si="5"/>
        <v>4.3</v>
      </c>
      <c r="AJ17" s="326">
        <f t="shared" si="5"/>
        <v>3.5</v>
      </c>
      <c r="AK17" s="326">
        <f t="shared" si="5"/>
        <v>4.3</v>
      </c>
      <c r="AL17" s="326">
        <f t="shared" si="5"/>
        <v>3.5</v>
      </c>
      <c r="AM17" s="326">
        <f t="shared" si="5"/>
        <v>4.3</v>
      </c>
      <c r="AN17" s="326">
        <f t="shared" si="5"/>
        <v>3.5</v>
      </c>
      <c r="AO17" s="326">
        <f t="shared" si="5"/>
        <v>4.3</v>
      </c>
    </row>
    <row r="18" spans="2:42" x14ac:dyDescent="0.25">
      <c r="B18" t="s">
        <v>28</v>
      </c>
      <c r="C18" s="48">
        <f t="shared" ref="C18:AO18" si="6">C14+C15-C16-C17</f>
        <v>48.491999999999997</v>
      </c>
      <c r="D18" s="48">
        <f t="shared" si="6"/>
        <v>49.723999999999997</v>
      </c>
      <c r="E18" s="48">
        <f t="shared" si="6"/>
        <v>50.055999999999997</v>
      </c>
      <c r="F18" s="48">
        <f t="shared" si="6"/>
        <v>51.287999999999997</v>
      </c>
      <c r="G18" s="48">
        <f t="shared" si="6"/>
        <v>51.62</v>
      </c>
      <c r="H18" s="48">
        <f t="shared" si="6"/>
        <v>52.851999999999997</v>
      </c>
      <c r="I18" s="48">
        <f t="shared" si="6"/>
        <v>53.283999999999999</v>
      </c>
      <c r="J18" s="325">
        <f t="shared" si="6"/>
        <v>54.515999999999998</v>
      </c>
      <c r="K18" s="48">
        <f t="shared" si="6"/>
        <v>54.819600000000001</v>
      </c>
      <c r="L18" s="48">
        <f t="shared" si="6"/>
        <v>55.923200000000001</v>
      </c>
      <c r="M18" s="48">
        <f t="shared" si="6"/>
        <v>56.226800000000004</v>
      </c>
      <c r="N18" s="48">
        <f t="shared" si="6"/>
        <v>57.330400000000004</v>
      </c>
      <c r="O18" s="48">
        <f t="shared" si="6"/>
        <v>57.634000000000007</v>
      </c>
      <c r="P18" s="48">
        <f t="shared" si="6"/>
        <v>58.737600000000008</v>
      </c>
      <c r="Q18" s="48">
        <f t="shared" si="6"/>
        <v>59.041200000000011</v>
      </c>
      <c r="R18" s="48">
        <f t="shared" si="6"/>
        <v>60.144800000000011</v>
      </c>
      <c r="S18" s="48">
        <f t="shared" si="6"/>
        <v>60.448400000000014</v>
      </c>
      <c r="T18" s="48">
        <f t="shared" si="6"/>
        <v>61.552000000000021</v>
      </c>
      <c r="U18" s="48">
        <f t="shared" si="6"/>
        <v>62.655600000000021</v>
      </c>
      <c r="V18" s="48">
        <f t="shared" si="6"/>
        <v>63.759200000000021</v>
      </c>
      <c r="W18" s="48">
        <f t="shared" si="6"/>
        <v>64.862800000000021</v>
      </c>
      <c r="X18" s="48">
        <f t="shared" si="6"/>
        <v>65.966400000000021</v>
      </c>
      <c r="Y18" s="48">
        <f t="shared" si="6"/>
        <v>67.070000000000022</v>
      </c>
      <c r="Z18" s="48">
        <f t="shared" si="6"/>
        <v>68.173600000000022</v>
      </c>
      <c r="AA18" s="48">
        <f t="shared" si="6"/>
        <v>69.277200000000022</v>
      </c>
      <c r="AB18" s="48">
        <f t="shared" si="6"/>
        <v>70.380800000000022</v>
      </c>
      <c r="AC18" s="48">
        <f t="shared" si="6"/>
        <v>71.484400000000022</v>
      </c>
      <c r="AD18" s="48">
        <f t="shared" si="6"/>
        <v>72.588000000000022</v>
      </c>
      <c r="AE18" s="48">
        <f t="shared" si="6"/>
        <v>73.691600000000022</v>
      </c>
      <c r="AF18" s="48">
        <f t="shared" si="6"/>
        <v>74.795200000000023</v>
      </c>
      <c r="AG18" s="48">
        <f t="shared" si="6"/>
        <v>75.898800000000023</v>
      </c>
      <c r="AH18" s="48">
        <f t="shared" si="6"/>
        <v>77.002400000000023</v>
      </c>
      <c r="AI18" s="48">
        <f t="shared" si="6"/>
        <v>73.806000000000026</v>
      </c>
      <c r="AJ18" s="48">
        <f t="shared" si="6"/>
        <v>71.409600000000026</v>
      </c>
      <c r="AK18" s="48">
        <f t="shared" si="6"/>
        <v>68.213200000000029</v>
      </c>
      <c r="AL18" s="48">
        <f t="shared" si="6"/>
        <v>65.816800000000029</v>
      </c>
      <c r="AM18" s="48">
        <f t="shared" si="6"/>
        <v>62.620400000000032</v>
      </c>
      <c r="AN18" s="48">
        <f t="shared" si="6"/>
        <v>60.224000000000032</v>
      </c>
      <c r="AO18" s="48">
        <f t="shared" si="6"/>
        <v>57.027600000000035</v>
      </c>
    </row>
    <row r="20" spans="2:42" x14ac:dyDescent="0.25">
      <c r="B20" s="58" t="s">
        <v>170</v>
      </c>
      <c r="C20" s="323">
        <v>43731</v>
      </c>
      <c r="D20" s="323">
        <v>43732</v>
      </c>
      <c r="E20" s="323">
        <v>43733</v>
      </c>
      <c r="F20" s="323">
        <v>43734</v>
      </c>
      <c r="G20" s="323">
        <v>43735</v>
      </c>
      <c r="H20" s="323">
        <v>43736</v>
      </c>
      <c r="I20" s="323">
        <v>43737</v>
      </c>
      <c r="J20" s="324">
        <v>43738</v>
      </c>
      <c r="K20" s="323">
        <v>43739</v>
      </c>
      <c r="L20" s="323">
        <v>43740</v>
      </c>
      <c r="M20" s="323">
        <v>43741</v>
      </c>
      <c r="N20" s="323">
        <v>43742</v>
      </c>
      <c r="O20" s="323">
        <v>43743</v>
      </c>
      <c r="P20" s="323">
        <v>43744</v>
      </c>
      <c r="Q20" s="323">
        <v>43745</v>
      </c>
      <c r="R20" s="323">
        <v>43746</v>
      </c>
      <c r="S20" s="323">
        <v>43747</v>
      </c>
      <c r="T20" s="323">
        <v>43748</v>
      </c>
      <c r="U20" s="323">
        <v>43749</v>
      </c>
      <c r="V20" s="323">
        <v>43750</v>
      </c>
      <c r="W20" s="323">
        <v>43751</v>
      </c>
      <c r="X20" s="323">
        <v>43752</v>
      </c>
      <c r="Y20" s="323">
        <v>43753</v>
      </c>
      <c r="Z20" s="323">
        <v>43754</v>
      </c>
      <c r="AA20" s="323">
        <v>43755</v>
      </c>
      <c r="AB20" s="323">
        <v>43756</v>
      </c>
      <c r="AC20" s="323">
        <v>43757</v>
      </c>
      <c r="AD20" s="323">
        <v>43758</v>
      </c>
      <c r="AE20" s="323">
        <v>43759</v>
      </c>
      <c r="AF20" s="323">
        <v>43760</v>
      </c>
      <c r="AG20" s="323">
        <v>43761</v>
      </c>
      <c r="AH20" s="323">
        <v>43762</v>
      </c>
      <c r="AI20" s="323">
        <v>43763</v>
      </c>
      <c r="AJ20" s="323">
        <v>43764</v>
      </c>
      <c r="AK20" s="323">
        <v>43765</v>
      </c>
      <c r="AL20" s="323">
        <v>43766</v>
      </c>
      <c r="AM20" s="323">
        <v>43767</v>
      </c>
      <c r="AN20" s="323">
        <v>43768</v>
      </c>
      <c r="AO20" s="323">
        <v>43769</v>
      </c>
    </row>
    <row r="21" spans="2:42" x14ac:dyDescent="0.25">
      <c r="B21" t="s">
        <v>25</v>
      </c>
      <c r="C21" s="48">
        <f>51679/1000</f>
        <v>51.679000000000002</v>
      </c>
      <c r="D21" s="48">
        <f t="shared" ref="D21:AO21" si="7">C25</f>
        <v>49.473607000000001</v>
      </c>
      <c r="E21" s="48">
        <f t="shared" si="7"/>
        <v>47.268214</v>
      </c>
      <c r="F21" s="48">
        <f t="shared" si="7"/>
        <v>45.062821</v>
      </c>
      <c r="G21" s="48">
        <f t="shared" si="7"/>
        <v>42.857427999999999</v>
      </c>
      <c r="H21" s="48">
        <f t="shared" si="7"/>
        <v>40.652034999999998</v>
      </c>
      <c r="I21" s="48">
        <f t="shared" si="7"/>
        <v>38.446641999999997</v>
      </c>
      <c r="J21" s="325">
        <f t="shared" si="7"/>
        <v>36.241248999999996</v>
      </c>
      <c r="K21" s="48">
        <f t="shared" si="7"/>
        <v>34.035855999999995</v>
      </c>
      <c r="L21" s="48">
        <f t="shared" si="7"/>
        <v>32.813059684076507</v>
      </c>
      <c r="M21" s="48">
        <f t="shared" si="7"/>
        <v>31.793551965816309</v>
      </c>
      <c r="N21" s="48">
        <f t="shared" si="7"/>
        <v>30.169320409667922</v>
      </c>
      <c r="O21" s="48">
        <f t="shared" si="7"/>
        <v>29.067268076887139</v>
      </c>
      <c r="P21" s="48">
        <f t="shared" si="7"/>
        <v>27.745077412812019</v>
      </c>
      <c r="Q21" s="48">
        <f t="shared" si="7"/>
        <v>26.292995870692376</v>
      </c>
      <c r="R21" s="48">
        <f t="shared" si="7"/>
        <v>25.05543316846861</v>
      </c>
      <c r="S21" s="48">
        <f t="shared" si="7"/>
        <v>23.400600167452982</v>
      </c>
      <c r="T21" s="48">
        <f t="shared" si="7"/>
        <v>22.0473263896845</v>
      </c>
      <c r="U21" s="48">
        <f t="shared" si="7"/>
        <v>23.083960090869006</v>
      </c>
      <c r="V21" s="48">
        <f t="shared" si="7"/>
        <v>24.049512879498636</v>
      </c>
      <c r="W21" s="48">
        <f t="shared" si="7"/>
        <v>24.941270149914761</v>
      </c>
      <c r="X21" s="48">
        <f t="shared" si="7"/>
        <v>25.896150467121746</v>
      </c>
      <c r="Y21" s="48">
        <f t="shared" si="7"/>
        <v>27.002646395079839</v>
      </c>
      <c r="Z21" s="48">
        <f t="shared" si="7"/>
        <v>28.123270405990411</v>
      </c>
      <c r="AA21" s="48">
        <f t="shared" si="7"/>
        <v>28.922251304251063</v>
      </c>
      <c r="AB21" s="48">
        <f t="shared" si="7"/>
        <v>29.793341847680008</v>
      </c>
      <c r="AC21" s="48">
        <f t="shared" si="7"/>
        <v>30.761810384329788</v>
      </c>
      <c r="AD21" s="48">
        <f t="shared" si="7"/>
        <v>31.701638244418543</v>
      </c>
      <c r="AE21" s="48">
        <f t="shared" si="7"/>
        <v>32.22333832645554</v>
      </c>
      <c r="AF21" s="48">
        <f t="shared" si="7"/>
        <v>33.195228415389074</v>
      </c>
      <c r="AG21" s="48">
        <f t="shared" si="7"/>
        <v>33.844323315045401</v>
      </c>
      <c r="AH21" s="48">
        <f t="shared" si="7"/>
        <v>34.924228298373848</v>
      </c>
      <c r="AI21" s="48">
        <f t="shared" si="7"/>
        <v>34.373905620310431</v>
      </c>
      <c r="AJ21" s="48">
        <f t="shared" si="7"/>
        <v>35.06654534133321</v>
      </c>
      <c r="AK21" s="48">
        <f t="shared" si="7"/>
        <v>35.840076812415887</v>
      </c>
      <c r="AL21" s="48">
        <f t="shared" si="7"/>
        <v>36.419095830837271</v>
      </c>
      <c r="AM21" s="48">
        <f t="shared" si="7"/>
        <v>36.799115925335656</v>
      </c>
      <c r="AN21" s="48">
        <f t="shared" si="7"/>
        <v>37.079263102199498</v>
      </c>
      <c r="AO21" s="48">
        <f t="shared" si="7"/>
        <v>37.398049768285311</v>
      </c>
    </row>
    <row r="22" spans="2:42" x14ac:dyDescent="0.25">
      <c r="B22" t="s">
        <v>171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8">
        <v>0</v>
      </c>
      <c r="J22" s="325">
        <v>0</v>
      </c>
      <c r="K22" s="125">
        <f t="shared" ref="K22:AO22" si="8">K4+K8</f>
        <v>0</v>
      </c>
      <c r="L22" s="125">
        <f t="shared" si="8"/>
        <v>0</v>
      </c>
      <c r="M22" s="125">
        <f t="shared" si="8"/>
        <v>0</v>
      </c>
      <c r="N22" s="125">
        <f t="shared" si="8"/>
        <v>0</v>
      </c>
      <c r="O22" s="125">
        <f t="shared" si="8"/>
        <v>0</v>
      </c>
      <c r="P22" s="125">
        <f t="shared" si="8"/>
        <v>0</v>
      </c>
      <c r="Q22" s="125">
        <f t="shared" si="8"/>
        <v>0</v>
      </c>
      <c r="R22" s="125">
        <f t="shared" si="8"/>
        <v>0</v>
      </c>
      <c r="S22" s="125">
        <f t="shared" si="8"/>
        <v>0</v>
      </c>
      <c r="T22" s="125">
        <f t="shared" si="8"/>
        <v>2.5</v>
      </c>
      <c r="U22" s="125">
        <f t="shared" si="8"/>
        <v>2.5</v>
      </c>
      <c r="V22" s="125">
        <f t="shared" si="8"/>
        <v>2.5</v>
      </c>
      <c r="W22" s="125">
        <f t="shared" si="8"/>
        <v>2.5</v>
      </c>
      <c r="X22" s="125">
        <f t="shared" si="8"/>
        <v>2.5</v>
      </c>
      <c r="Y22" s="125">
        <f t="shared" si="8"/>
        <v>2.5</v>
      </c>
      <c r="Z22" s="125">
        <f t="shared" si="8"/>
        <v>2.5</v>
      </c>
      <c r="AA22" s="125">
        <f t="shared" si="8"/>
        <v>2.5</v>
      </c>
      <c r="AB22" s="125">
        <f t="shared" si="8"/>
        <v>2.5</v>
      </c>
      <c r="AC22" s="125">
        <f t="shared" si="8"/>
        <v>2.5</v>
      </c>
      <c r="AD22" s="125">
        <f t="shared" si="8"/>
        <v>2.5</v>
      </c>
      <c r="AE22" s="125">
        <f t="shared" si="8"/>
        <v>2.5</v>
      </c>
      <c r="AF22" s="125">
        <f t="shared" si="8"/>
        <v>2.5</v>
      </c>
      <c r="AG22" s="125">
        <f t="shared" si="8"/>
        <v>2.5</v>
      </c>
      <c r="AH22" s="125">
        <f t="shared" si="8"/>
        <v>1</v>
      </c>
      <c r="AI22" s="125">
        <f t="shared" si="8"/>
        <v>2.5</v>
      </c>
      <c r="AJ22" s="125">
        <f t="shared" si="8"/>
        <v>2.5</v>
      </c>
      <c r="AK22" s="125">
        <f t="shared" si="8"/>
        <v>2.5</v>
      </c>
      <c r="AL22" s="125">
        <f t="shared" si="8"/>
        <v>2.5</v>
      </c>
      <c r="AM22" s="125">
        <f t="shared" si="8"/>
        <v>2.5</v>
      </c>
      <c r="AN22" s="125">
        <f t="shared" si="8"/>
        <v>2.5</v>
      </c>
      <c r="AO22" s="125">
        <f t="shared" si="8"/>
        <v>2.5</v>
      </c>
    </row>
    <row r="23" spans="2:42" x14ac:dyDescent="0.25">
      <c r="B23" t="s">
        <v>169</v>
      </c>
      <c r="C23" s="55">
        <f t="shared" ref="C23:AO23" si="9">C24*66.4%</f>
        <v>2.2053930000000004</v>
      </c>
      <c r="D23" s="55">
        <f t="shared" si="9"/>
        <v>2.2053930000000004</v>
      </c>
      <c r="E23" s="55">
        <f t="shared" si="9"/>
        <v>2.2053930000000004</v>
      </c>
      <c r="F23" s="55">
        <f t="shared" si="9"/>
        <v>2.2053930000000004</v>
      </c>
      <c r="G23" s="55">
        <f t="shared" si="9"/>
        <v>2.2053930000000004</v>
      </c>
      <c r="H23" s="55">
        <f t="shared" si="9"/>
        <v>2.2053930000000004</v>
      </c>
      <c r="I23" s="55">
        <f t="shared" si="9"/>
        <v>2.2053930000000004</v>
      </c>
      <c r="J23" s="325">
        <f t="shared" si="9"/>
        <v>2.2053930000000004</v>
      </c>
      <c r="K23" s="55">
        <f t="shared" si="9"/>
        <v>1.2227963159234907</v>
      </c>
      <c r="L23" s="55">
        <f t="shared" si="9"/>
        <v>1.0195077182601973</v>
      </c>
      <c r="M23" s="55">
        <f t="shared" si="9"/>
        <v>1.6242315561483869</v>
      </c>
      <c r="N23" s="55">
        <f t="shared" si="9"/>
        <v>1.1020523327807847</v>
      </c>
      <c r="O23" s="55">
        <f t="shared" si="9"/>
        <v>1.3221906640751195</v>
      </c>
      <c r="P23" s="55">
        <f t="shared" si="9"/>
        <v>1.4520815421196447</v>
      </c>
      <c r="Q23" s="55">
        <f t="shared" si="9"/>
        <v>1.2375627022237659</v>
      </c>
      <c r="R23" s="55">
        <f t="shared" si="9"/>
        <v>1.6548330010156278</v>
      </c>
      <c r="S23" s="55">
        <f t="shared" si="9"/>
        <v>1.3532737777684813</v>
      </c>
      <c r="T23" s="55">
        <f t="shared" si="9"/>
        <v>1.4633662988154932</v>
      </c>
      <c r="U23" s="55">
        <f t="shared" si="9"/>
        <v>1.53444721137037</v>
      </c>
      <c r="V23" s="55">
        <f t="shared" si="9"/>
        <v>1.6082427295838739</v>
      </c>
      <c r="W23" s="55">
        <f t="shared" si="9"/>
        <v>1.5451196827930149</v>
      </c>
      <c r="X23" s="55">
        <f t="shared" si="9"/>
        <v>1.3935040720419054</v>
      </c>
      <c r="Y23" s="55">
        <f t="shared" si="9"/>
        <v>1.3793759890894282</v>
      </c>
      <c r="Z23" s="55">
        <f t="shared" si="9"/>
        <v>1.7010191017393472</v>
      </c>
      <c r="AA23" s="55">
        <f t="shared" si="9"/>
        <v>1.6289094565710533</v>
      </c>
      <c r="AB23" s="55">
        <f t="shared" si="9"/>
        <v>1.5315314633502242</v>
      </c>
      <c r="AC23" s="55">
        <f t="shared" si="9"/>
        <v>1.5601721399112489</v>
      </c>
      <c r="AD23" s="55">
        <f t="shared" si="9"/>
        <v>1.9782999179630085</v>
      </c>
      <c r="AE23" s="55">
        <f t="shared" si="9"/>
        <v>1.5281099110664667</v>
      </c>
      <c r="AF23" s="55">
        <f t="shared" si="9"/>
        <v>1.8509051003436756</v>
      </c>
      <c r="AG23" s="55">
        <f t="shared" si="9"/>
        <v>1.4200950166715514</v>
      </c>
      <c r="AH23" s="55">
        <f t="shared" si="9"/>
        <v>1.5503226780634149</v>
      </c>
      <c r="AI23" s="55">
        <f t="shared" si="9"/>
        <v>1.8073602789772223</v>
      </c>
      <c r="AJ23" s="55">
        <f t="shared" si="9"/>
        <v>1.7264685289173214</v>
      </c>
      <c r="AK23" s="55">
        <f t="shared" si="9"/>
        <v>1.9209809815786156</v>
      </c>
      <c r="AL23" s="55">
        <f t="shared" si="9"/>
        <v>2.1199799055016193</v>
      </c>
      <c r="AM23" s="55">
        <f t="shared" si="9"/>
        <v>2.2198528231361574</v>
      </c>
      <c r="AN23" s="55">
        <f t="shared" si="9"/>
        <v>2.1812133339141857</v>
      </c>
      <c r="AO23" s="55">
        <f t="shared" si="9"/>
        <v>2.0480906524279523</v>
      </c>
    </row>
    <row r="24" spans="2:42" x14ac:dyDescent="0.25">
      <c r="B24" t="s">
        <v>26</v>
      </c>
      <c r="C24" s="48">
        <f t="shared" ref="C24:J24" si="10">(26571/8)/1000</f>
        <v>3.3213750000000002</v>
      </c>
      <c r="D24" s="48">
        <f t="shared" si="10"/>
        <v>3.3213750000000002</v>
      </c>
      <c r="E24" s="48">
        <f t="shared" si="10"/>
        <v>3.3213750000000002</v>
      </c>
      <c r="F24" s="48">
        <f t="shared" si="10"/>
        <v>3.3213750000000002</v>
      </c>
      <c r="G24" s="48">
        <f t="shared" si="10"/>
        <v>3.3213750000000002</v>
      </c>
      <c r="H24" s="48">
        <f t="shared" si="10"/>
        <v>3.3213750000000002</v>
      </c>
      <c r="I24" s="48">
        <f t="shared" si="10"/>
        <v>3.3213750000000002</v>
      </c>
      <c r="J24" s="325">
        <f t="shared" si="10"/>
        <v>3.3213750000000002</v>
      </c>
      <c r="K24" s="48">
        <f t="shared" ref="K24:AO24" si="11">73.8*K55</f>
        <v>1.841560716752245</v>
      </c>
      <c r="L24" s="48">
        <f t="shared" si="11"/>
        <v>1.5354031901508995</v>
      </c>
      <c r="M24" s="48">
        <f t="shared" si="11"/>
        <v>2.4461318616692571</v>
      </c>
      <c r="N24" s="48">
        <f t="shared" si="11"/>
        <v>1.65971736864576</v>
      </c>
      <c r="O24" s="48">
        <f t="shared" si="11"/>
        <v>1.9912510001131316</v>
      </c>
      <c r="P24" s="48">
        <f t="shared" si="11"/>
        <v>2.1868697923488623</v>
      </c>
      <c r="Q24" s="48">
        <f t="shared" si="11"/>
        <v>1.8637992503369967</v>
      </c>
      <c r="R24" s="48">
        <f t="shared" si="11"/>
        <v>2.4922183750235356</v>
      </c>
      <c r="S24" s="48">
        <f t="shared" si="11"/>
        <v>2.0380629183260259</v>
      </c>
      <c r="T24" s="48">
        <f t="shared" si="11"/>
        <v>2.2038649078546584</v>
      </c>
      <c r="U24" s="48">
        <f t="shared" si="11"/>
        <v>2.3109144749553763</v>
      </c>
      <c r="V24" s="48">
        <f t="shared" si="11"/>
        <v>2.4220523035901715</v>
      </c>
      <c r="W24" s="48">
        <f t="shared" si="11"/>
        <v>2.3269874740858656</v>
      </c>
      <c r="X24" s="48">
        <f t="shared" si="11"/>
        <v>2.098650710906484</v>
      </c>
      <c r="Y24" s="48">
        <f t="shared" si="11"/>
        <v>2.0773734775443193</v>
      </c>
      <c r="Z24" s="48">
        <f t="shared" si="11"/>
        <v>2.561775755631547</v>
      </c>
      <c r="AA24" s="48">
        <f t="shared" si="11"/>
        <v>2.4531768924262849</v>
      </c>
      <c r="AB24" s="48">
        <f t="shared" si="11"/>
        <v>2.3065232881780484</v>
      </c>
      <c r="AC24" s="48">
        <f t="shared" si="11"/>
        <v>2.3496568372157363</v>
      </c>
      <c r="AD24" s="48">
        <f t="shared" si="11"/>
        <v>2.9793673463298318</v>
      </c>
      <c r="AE24" s="48">
        <f t="shared" si="11"/>
        <v>2.3013703479916665</v>
      </c>
      <c r="AF24" s="48">
        <f t="shared" si="11"/>
        <v>2.7875076812404753</v>
      </c>
      <c r="AG24" s="48">
        <f t="shared" si="11"/>
        <v>2.1386973142643844</v>
      </c>
      <c r="AH24" s="48">
        <f t="shared" si="11"/>
        <v>2.3348233103364682</v>
      </c>
      <c r="AI24" s="48">
        <f t="shared" si="11"/>
        <v>2.7219281309897925</v>
      </c>
      <c r="AJ24" s="48">
        <f t="shared" si="11"/>
        <v>2.6001032062007852</v>
      </c>
      <c r="AK24" s="48">
        <f t="shared" si="11"/>
        <v>2.8930436469557463</v>
      </c>
      <c r="AL24" s="48">
        <f t="shared" si="11"/>
        <v>3.1927408215385831</v>
      </c>
      <c r="AM24" s="48">
        <f t="shared" si="11"/>
        <v>3.3431518420725257</v>
      </c>
      <c r="AN24" s="48">
        <f t="shared" si="11"/>
        <v>3.2849598402322071</v>
      </c>
      <c r="AO24" s="48">
        <f t="shared" si="11"/>
        <v>3.0844738741384821</v>
      </c>
      <c r="AP24" s="327">
        <f>SUM(K24:AO24)</f>
        <v>74.828157958046148</v>
      </c>
    </row>
    <row r="25" spans="2:42" x14ac:dyDescent="0.25">
      <c r="B25" t="s">
        <v>28</v>
      </c>
      <c r="C25" s="48">
        <f t="shared" ref="C25:AO25" si="12">C21+C22-C23</f>
        <v>49.473607000000001</v>
      </c>
      <c r="D25" s="48">
        <f t="shared" si="12"/>
        <v>47.268214</v>
      </c>
      <c r="E25" s="48">
        <f t="shared" si="12"/>
        <v>45.062821</v>
      </c>
      <c r="F25" s="48">
        <f t="shared" si="12"/>
        <v>42.857427999999999</v>
      </c>
      <c r="G25" s="48">
        <f t="shared" si="12"/>
        <v>40.652034999999998</v>
      </c>
      <c r="H25" s="48">
        <f t="shared" si="12"/>
        <v>38.446641999999997</v>
      </c>
      <c r="I25" s="48">
        <f t="shared" si="12"/>
        <v>36.241248999999996</v>
      </c>
      <c r="J25" s="325">
        <f t="shared" si="12"/>
        <v>34.035855999999995</v>
      </c>
      <c r="K25" s="48">
        <f t="shared" si="12"/>
        <v>32.813059684076507</v>
      </c>
      <c r="L25" s="48">
        <f t="shared" si="12"/>
        <v>31.793551965816309</v>
      </c>
      <c r="M25" s="48">
        <f t="shared" si="12"/>
        <v>30.169320409667922</v>
      </c>
      <c r="N25" s="48">
        <f t="shared" si="12"/>
        <v>29.067268076887139</v>
      </c>
      <c r="O25" s="48">
        <f t="shared" si="12"/>
        <v>27.745077412812019</v>
      </c>
      <c r="P25" s="48">
        <f t="shared" si="12"/>
        <v>26.292995870692376</v>
      </c>
      <c r="Q25" s="48">
        <f t="shared" si="12"/>
        <v>25.05543316846861</v>
      </c>
      <c r="R25" s="48">
        <f t="shared" si="12"/>
        <v>23.400600167452982</v>
      </c>
      <c r="S25" s="48">
        <f t="shared" si="12"/>
        <v>22.0473263896845</v>
      </c>
      <c r="T25" s="48">
        <f t="shared" si="12"/>
        <v>23.083960090869006</v>
      </c>
      <c r="U25" s="48">
        <f t="shared" si="12"/>
        <v>24.049512879498636</v>
      </c>
      <c r="V25" s="48">
        <f t="shared" si="12"/>
        <v>24.941270149914761</v>
      </c>
      <c r="W25" s="48">
        <f t="shared" si="12"/>
        <v>25.896150467121746</v>
      </c>
      <c r="X25" s="48">
        <f t="shared" si="12"/>
        <v>27.002646395079839</v>
      </c>
      <c r="Y25" s="48">
        <f t="shared" si="12"/>
        <v>28.123270405990411</v>
      </c>
      <c r="Z25" s="48">
        <f t="shared" si="12"/>
        <v>28.922251304251063</v>
      </c>
      <c r="AA25" s="48">
        <f t="shared" si="12"/>
        <v>29.793341847680008</v>
      </c>
      <c r="AB25" s="48">
        <f t="shared" si="12"/>
        <v>30.761810384329788</v>
      </c>
      <c r="AC25" s="48">
        <f t="shared" si="12"/>
        <v>31.701638244418543</v>
      </c>
      <c r="AD25" s="48">
        <f t="shared" si="12"/>
        <v>32.22333832645554</v>
      </c>
      <c r="AE25" s="48">
        <f t="shared" si="12"/>
        <v>33.195228415389074</v>
      </c>
      <c r="AF25" s="48">
        <f t="shared" si="12"/>
        <v>33.844323315045401</v>
      </c>
      <c r="AG25" s="48">
        <f t="shared" si="12"/>
        <v>34.924228298373848</v>
      </c>
      <c r="AH25" s="48">
        <f t="shared" si="12"/>
        <v>34.373905620310431</v>
      </c>
      <c r="AI25" s="48">
        <f t="shared" si="12"/>
        <v>35.06654534133321</v>
      </c>
      <c r="AJ25" s="48">
        <f t="shared" si="12"/>
        <v>35.840076812415887</v>
      </c>
      <c r="AK25" s="48">
        <f t="shared" si="12"/>
        <v>36.419095830837271</v>
      </c>
      <c r="AL25" s="48">
        <f t="shared" si="12"/>
        <v>36.799115925335656</v>
      </c>
      <c r="AM25" s="48">
        <f t="shared" si="12"/>
        <v>37.079263102199498</v>
      </c>
      <c r="AN25" s="48">
        <f t="shared" si="12"/>
        <v>37.398049768285311</v>
      </c>
      <c r="AO25" s="48">
        <f t="shared" si="12"/>
        <v>37.849959115857359</v>
      </c>
    </row>
    <row r="27" spans="2:42" x14ac:dyDescent="0.25">
      <c r="B27" s="58" t="s">
        <v>172</v>
      </c>
      <c r="C27" s="323">
        <v>43731</v>
      </c>
      <c r="D27" s="323">
        <v>43732</v>
      </c>
      <c r="E27" s="323">
        <v>43733</v>
      </c>
      <c r="F27" s="323">
        <v>43734</v>
      </c>
      <c r="G27" s="323">
        <v>43735</v>
      </c>
      <c r="H27" s="323">
        <v>43736</v>
      </c>
      <c r="I27" s="323">
        <v>43737</v>
      </c>
      <c r="J27" s="324">
        <v>43738</v>
      </c>
      <c r="K27" s="323">
        <v>43739</v>
      </c>
      <c r="L27" s="323">
        <v>43740</v>
      </c>
      <c r="M27" s="323">
        <v>43741</v>
      </c>
      <c r="N27" s="323">
        <v>43742</v>
      </c>
      <c r="O27" s="323">
        <v>43743</v>
      </c>
      <c r="P27" s="323">
        <v>43744</v>
      </c>
      <c r="Q27" s="323">
        <v>43745</v>
      </c>
      <c r="R27" s="323">
        <v>43746</v>
      </c>
      <c r="S27" s="323">
        <v>43747</v>
      </c>
      <c r="T27" s="323">
        <v>43748</v>
      </c>
      <c r="U27" s="323">
        <v>43749</v>
      </c>
      <c r="V27" s="323">
        <v>43750</v>
      </c>
      <c r="W27" s="323">
        <v>43751</v>
      </c>
      <c r="X27" s="323">
        <v>43752</v>
      </c>
      <c r="Y27" s="323">
        <v>43753</v>
      </c>
      <c r="Z27" s="323">
        <v>43754</v>
      </c>
      <c r="AA27" s="323">
        <v>43755</v>
      </c>
      <c r="AB27" s="323">
        <v>43756</v>
      </c>
      <c r="AC27" s="323">
        <v>43757</v>
      </c>
      <c r="AD27" s="323">
        <v>43758</v>
      </c>
      <c r="AE27" s="323">
        <v>43759</v>
      </c>
      <c r="AF27" s="323">
        <v>43760</v>
      </c>
      <c r="AG27" s="323">
        <v>43761</v>
      </c>
      <c r="AH27" s="323">
        <v>43762</v>
      </c>
      <c r="AI27" s="323">
        <v>43763</v>
      </c>
      <c r="AJ27" s="323">
        <v>43764</v>
      </c>
      <c r="AK27" s="323">
        <v>43765</v>
      </c>
      <c r="AL27" s="323">
        <v>43766</v>
      </c>
      <c r="AM27" s="323">
        <v>43767</v>
      </c>
      <c r="AN27" s="323">
        <v>43768</v>
      </c>
      <c r="AO27" s="323">
        <v>43769</v>
      </c>
    </row>
    <row r="28" spans="2:42" x14ac:dyDescent="0.25">
      <c r="B28" t="s">
        <v>25</v>
      </c>
      <c r="C28" s="48">
        <f>26805/1000</f>
        <v>26.805</v>
      </c>
      <c r="D28" s="48">
        <f t="shared" ref="D28:AO28" si="13">C32</f>
        <v>26.116598</v>
      </c>
      <c r="E28" s="48">
        <f t="shared" si="13"/>
        <v>25.428196</v>
      </c>
      <c r="F28" s="48">
        <f t="shared" si="13"/>
        <v>24.739794</v>
      </c>
      <c r="G28" s="48">
        <f t="shared" si="13"/>
        <v>24.051392</v>
      </c>
      <c r="H28" s="48">
        <f t="shared" si="13"/>
        <v>23.36299</v>
      </c>
      <c r="I28" s="48">
        <f t="shared" si="13"/>
        <v>22.674588</v>
      </c>
      <c r="J28" s="325">
        <f t="shared" si="13"/>
        <v>21.986186</v>
      </c>
      <c r="K28" s="48">
        <f t="shared" si="13"/>
        <v>21.297784</v>
      </c>
      <c r="L28" s="48">
        <f t="shared" si="13"/>
        <v>20.954387173837183</v>
      </c>
      <c r="M28" s="48">
        <f t="shared" si="13"/>
        <v>20.708478114855215</v>
      </c>
      <c r="N28" s="48">
        <f t="shared" si="13"/>
        <v>20.316684890052635</v>
      </c>
      <c r="O28" s="48">
        <f t="shared" si="13"/>
        <v>19.825202336997986</v>
      </c>
      <c r="P28" s="48">
        <f t="shared" si="13"/>
        <v>19.415907513128211</v>
      </c>
      <c r="Q28" s="48">
        <f t="shared" si="13"/>
        <v>18.914079932919957</v>
      </c>
      <c r="R28" s="48">
        <f t="shared" si="13"/>
        <v>18.470252190626105</v>
      </c>
      <c r="S28" s="48">
        <f t="shared" si="13"/>
        <v>17.801352579659245</v>
      </c>
      <c r="T28" s="48">
        <f t="shared" si="13"/>
        <v>17.28507732729582</v>
      </c>
      <c r="U28" s="48">
        <f t="shared" si="13"/>
        <v>17.771755336782867</v>
      </c>
      <c r="V28" s="48">
        <f t="shared" si="13"/>
        <v>17.193000911583812</v>
      </c>
      <c r="W28" s="48">
        <f t="shared" si="13"/>
        <v>17.548746547715098</v>
      </c>
      <c r="X28" s="48">
        <f t="shared" si="13"/>
        <v>16.987462126003781</v>
      </c>
      <c r="Y28" s="48">
        <f t="shared" si="13"/>
        <v>17.434603043587146</v>
      </c>
      <c r="Z28" s="48">
        <f t="shared" si="13"/>
        <v>16.865637632984125</v>
      </c>
      <c r="AA28" s="48">
        <f t="shared" si="13"/>
        <v>17.373244380418495</v>
      </c>
      <c r="AB28" s="48">
        <f t="shared" si="13"/>
        <v>16.743868370428689</v>
      </c>
      <c r="AC28" s="48">
        <f t="shared" si="13"/>
        <v>17.176612558852145</v>
      </c>
      <c r="AD28" s="48">
        <f t="shared" si="13"/>
        <v>16.67216928149541</v>
      </c>
      <c r="AE28" s="48">
        <f t="shared" si="13"/>
        <v>17.193682816396592</v>
      </c>
      <c r="AF28" s="48">
        <f t="shared" si="13"/>
        <v>16.670476107096395</v>
      </c>
      <c r="AG28" s="48">
        <f t="shared" si="13"/>
        <v>17.197535541890943</v>
      </c>
      <c r="AH28" s="48">
        <f t="shared" si="13"/>
        <v>16.772901833819358</v>
      </c>
      <c r="AI28" s="48">
        <f t="shared" si="13"/>
        <v>16.28672551255907</v>
      </c>
      <c r="AJ28" s="48">
        <f t="shared" si="13"/>
        <v>16.578813132850197</v>
      </c>
      <c r="AK28" s="48">
        <f t="shared" si="13"/>
        <v>17.08310790277848</v>
      </c>
      <c r="AL28" s="48">
        <f t="shared" si="13"/>
        <v>17.501718120204938</v>
      </c>
      <c r="AM28" s="48">
        <f t="shared" si="13"/>
        <v>17.940435240448188</v>
      </c>
      <c r="AN28" s="48">
        <f t="shared" si="13"/>
        <v>18.348480652489524</v>
      </c>
      <c r="AO28" s="48">
        <f t="shared" si="13"/>
        <v>18.678400083121733</v>
      </c>
    </row>
    <row r="29" spans="2:42" x14ac:dyDescent="0.25">
      <c r="B29" t="s">
        <v>171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325">
        <v>0</v>
      </c>
      <c r="K29" s="125">
        <f t="shared" ref="K29:AO29" si="14">K5+K9</f>
        <v>0</v>
      </c>
      <c r="L29" s="125">
        <f t="shared" si="14"/>
        <v>0</v>
      </c>
      <c r="M29" s="125">
        <f t="shared" si="14"/>
        <v>0</v>
      </c>
      <c r="N29" s="125">
        <f t="shared" si="14"/>
        <v>0</v>
      </c>
      <c r="O29" s="125">
        <f t="shared" si="14"/>
        <v>0</v>
      </c>
      <c r="P29" s="125">
        <f t="shared" si="14"/>
        <v>0</v>
      </c>
      <c r="Q29" s="125">
        <f t="shared" si="14"/>
        <v>0</v>
      </c>
      <c r="R29" s="125">
        <f t="shared" si="14"/>
        <v>0</v>
      </c>
      <c r="S29" s="125">
        <f t="shared" si="14"/>
        <v>0</v>
      </c>
      <c r="T29" s="125">
        <f t="shared" si="14"/>
        <v>1</v>
      </c>
      <c r="U29" s="125">
        <f t="shared" si="14"/>
        <v>0</v>
      </c>
      <c r="V29" s="125">
        <f t="shared" si="14"/>
        <v>1</v>
      </c>
      <c r="W29" s="125">
        <f t="shared" si="14"/>
        <v>0</v>
      </c>
      <c r="X29" s="125">
        <f t="shared" si="14"/>
        <v>1</v>
      </c>
      <c r="Y29" s="125">
        <f t="shared" si="14"/>
        <v>0</v>
      </c>
      <c r="Z29" s="125">
        <f t="shared" si="14"/>
        <v>1</v>
      </c>
      <c r="AA29" s="125">
        <f t="shared" si="14"/>
        <v>0</v>
      </c>
      <c r="AB29" s="125">
        <f t="shared" si="14"/>
        <v>1</v>
      </c>
      <c r="AC29" s="125">
        <f t="shared" si="14"/>
        <v>0</v>
      </c>
      <c r="AD29" s="125">
        <f t="shared" si="14"/>
        <v>1</v>
      </c>
      <c r="AE29" s="125">
        <f t="shared" si="14"/>
        <v>0</v>
      </c>
      <c r="AF29" s="125">
        <f t="shared" si="14"/>
        <v>1</v>
      </c>
      <c r="AG29" s="125">
        <f t="shared" si="14"/>
        <v>0</v>
      </c>
      <c r="AH29" s="125">
        <f t="shared" si="14"/>
        <v>0</v>
      </c>
      <c r="AI29" s="125">
        <f t="shared" si="14"/>
        <v>1</v>
      </c>
      <c r="AJ29" s="125">
        <f t="shared" si="14"/>
        <v>1</v>
      </c>
      <c r="AK29" s="125">
        <f t="shared" si="14"/>
        <v>1</v>
      </c>
      <c r="AL29" s="125">
        <f t="shared" si="14"/>
        <v>1</v>
      </c>
      <c r="AM29" s="125">
        <f t="shared" si="14"/>
        <v>1</v>
      </c>
      <c r="AN29" s="125">
        <f t="shared" si="14"/>
        <v>1</v>
      </c>
      <c r="AO29" s="125">
        <f t="shared" si="14"/>
        <v>1</v>
      </c>
    </row>
    <row r="30" spans="2:42" x14ac:dyDescent="0.25">
      <c r="B30" t="s">
        <v>169</v>
      </c>
      <c r="C30" s="48">
        <f t="shared" ref="C30:AO30" si="15">C31*66.4%</f>
        <v>0.68840200000000007</v>
      </c>
      <c r="D30" s="48">
        <f t="shared" si="15"/>
        <v>0.68840200000000007</v>
      </c>
      <c r="E30" s="48">
        <f t="shared" si="15"/>
        <v>0.68840200000000007</v>
      </c>
      <c r="F30" s="48">
        <f t="shared" si="15"/>
        <v>0.68840200000000007</v>
      </c>
      <c r="G30" s="48">
        <f t="shared" si="15"/>
        <v>0.68840200000000007</v>
      </c>
      <c r="H30" s="48">
        <f t="shared" si="15"/>
        <v>0.68840200000000007</v>
      </c>
      <c r="I30" s="48">
        <f t="shared" si="15"/>
        <v>0.68840200000000007</v>
      </c>
      <c r="J30" s="325">
        <f t="shared" si="15"/>
        <v>0.68840200000000007</v>
      </c>
      <c r="K30" s="48">
        <f t="shared" si="15"/>
        <v>0.34339682616281642</v>
      </c>
      <c r="L30" s="48">
        <f t="shared" si="15"/>
        <v>0.24590905898196805</v>
      </c>
      <c r="M30" s="48">
        <f t="shared" si="15"/>
        <v>0.39179322480257911</v>
      </c>
      <c r="N30" s="48">
        <f t="shared" si="15"/>
        <v>0.49148255305464822</v>
      </c>
      <c r="O30" s="48">
        <f t="shared" si="15"/>
        <v>0.40929482386977606</v>
      </c>
      <c r="P30" s="48">
        <f t="shared" si="15"/>
        <v>0.50182758020825324</v>
      </c>
      <c r="Q30" s="48">
        <f t="shared" si="15"/>
        <v>0.4438277422938528</v>
      </c>
      <c r="R30" s="48">
        <f t="shared" si="15"/>
        <v>0.66889961096685946</v>
      </c>
      <c r="S30" s="48">
        <f t="shared" si="15"/>
        <v>0.51627525236342298</v>
      </c>
      <c r="T30" s="48">
        <f t="shared" si="15"/>
        <v>0.51332199051295391</v>
      </c>
      <c r="U30" s="48">
        <f t="shared" si="15"/>
        <v>0.57875442519905373</v>
      </c>
      <c r="V30" s="48">
        <f t="shared" si="15"/>
        <v>0.64425436386871349</v>
      </c>
      <c r="W30" s="48">
        <f t="shared" si="15"/>
        <v>0.56128442171131621</v>
      </c>
      <c r="X30" s="48">
        <f t="shared" si="15"/>
        <v>0.55285908241663595</v>
      </c>
      <c r="Y30" s="48">
        <f t="shared" si="15"/>
        <v>0.56896541060301942</v>
      </c>
      <c r="Z30" s="48">
        <f t="shared" si="15"/>
        <v>0.49239325256562888</v>
      </c>
      <c r="AA30" s="48">
        <f t="shared" si="15"/>
        <v>0.62937600998980348</v>
      </c>
      <c r="AB30" s="48">
        <f t="shared" si="15"/>
        <v>0.56725581157654525</v>
      </c>
      <c r="AC30" s="48">
        <f t="shared" si="15"/>
        <v>0.50444327735673655</v>
      </c>
      <c r="AD30" s="48">
        <f t="shared" si="15"/>
        <v>0.47848646509881798</v>
      </c>
      <c r="AE30" s="48">
        <f t="shared" si="15"/>
        <v>0.5232067093001973</v>
      </c>
      <c r="AF30" s="48">
        <f t="shared" si="15"/>
        <v>0.47294056520545291</v>
      </c>
      <c r="AG30" s="48">
        <f t="shared" si="15"/>
        <v>0.42463370807158607</v>
      </c>
      <c r="AH30" s="48">
        <f t="shared" si="15"/>
        <v>0.48617632126028698</v>
      </c>
      <c r="AI30" s="48">
        <f t="shared" si="15"/>
        <v>0.707912379708873</v>
      </c>
      <c r="AJ30" s="48">
        <f t="shared" si="15"/>
        <v>0.49570523007171718</v>
      </c>
      <c r="AK30" s="48">
        <f t="shared" si="15"/>
        <v>0.58138978257354335</v>
      </c>
      <c r="AL30" s="48">
        <f t="shared" si="15"/>
        <v>0.56128287975674884</v>
      </c>
      <c r="AM30" s="48">
        <f t="shared" si="15"/>
        <v>0.59195458795866385</v>
      </c>
      <c r="AN30" s="48">
        <f t="shared" si="15"/>
        <v>0.67008056936779137</v>
      </c>
      <c r="AO30" s="48">
        <f t="shared" si="15"/>
        <v>0.67412412468260818</v>
      </c>
    </row>
    <row r="31" spans="2:42" x14ac:dyDescent="0.25">
      <c r="B31" t="s">
        <v>26</v>
      </c>
      <c r="C31" s="48">
        <f t="shared" ref="C31:J31" si="16">8.294/8</f>
        <v>1.0367500000000001</v>
      </c>
      <c r="D31" s="48">
        <f t="shared" si="16"/>
        <v>1.0367500000000001</v>
      </c>
      <c r="E31" s="48">
        <f t="shared" si="16"/>
        <v>1.0367500000000001</v>
      </c>
      <c r="F31" s="48">
        <f t="shared" si="16"/>
        <v>1.0367500000000001</v>
      </c>
      <c r="G31" s="48">
        <f t="shared" si="16"/>
        <v>1.0367500000000001</v>
      </c>
      <c r="H31" s="48">
        <f t="shared" si="16"/>
        <v>1.0367500000000001</v>
      </c>
      <c r="I31" s="48">
        <f t="shared" si="16"/>
        <v>1.0367500000000001</v>
      </c>
      <c r="J31" s="325">
        <f t="shared" si="16"/>
        <v>1.0367500000000001</v>
      </c>
      <c r="K31" s="48">
        <f t="shared" ref="K31:AO31" si="17">24.2*K65</f>
        <v>0.51716389482351866</v>
      </c>
      <c r="L31" s="48">
        <f t="shared" si="17"/>
        <v>0.3703449683463374</v>
      </c>
      <c r="M31" s="48">
        <f t="shared" si="17"/>
        <v>0.59005003735328176</v>
      </c>
      <c r="N31" s="48">
        <f t="shared" si="17"/>
        <v>0.74018456785338582</v>
      </c>
      <c r="O31" s="48">
        <f t="shared" si="17"/>
        <v>0.61640786727375907</v>
      </c>
      <c r="P31" s="48">
        <f t="shared" si="17"/>
        <v>0.75576442802447774</v>
      </c>
      <c r="Q31" s="48">
        <f t="shared" si="17"/>
        <v>0.6684152745389349</v>
      </c>
      <c r="R31" s="48">
        <f t="shared" si="17"/>
        <v>1.0073789321790052</v>
      </c>
      <c r="S31" s="48">
        <f t="shared" si="17"/>
        <v>0.77752297042684171</v>
      </c>
      <c r="T31" s="48">
        <f t="shared" si="17"/>
        <v>0.77307528691709926</v>
      </c>
      <c r="U31" s="48">
        <f t="shared" si="17"/>
        <v>0.87161811023953872</v>
      </c>
      <c r="V31" s="48">
        <f t="shared" si="17"/>
        <v>0.9702625961878214</v>
      </c>
      <c r="W31" s="48">
        <f t="shared" si="17"/>
        <v>0.84530786402306657</v>
      </c>
      <c r="X31" s="48">
        <f t="shared" si="17"/>
        <v>0.83261910002505413</v>
      </c>
      <c r="Y31" s="48">
        <f t="shared" si="17"/>
        <v>0.85687561837804127</v>
      </c>
      <c r="Z31" s="48">
        <f t="shared" si="17"/>
        <v>0.74155610326148924</v>
      </c>
      <c r="AA31" s="48">
        <f t="shared" si="17"/>
        <v>0.94785543673163164</v>
      </c>
      <c r="AB31" s="48">
        <f t="shared" si="17"/>
        <v>0.85430092104901389</v>
      </c>
      <c r="AC31" s="48">
        <f t="shared" si="17"/>
        <v>0.7597037309589405</v>
      </c>
      <c r="AD31" s="48">
        <f t="shared" si="17"/>
        <v>0.72061214623315961</v>
      </c>
      <c r="AE31" s="48">
        <f t="shared" si="17"/>
        <v>0.78796191159668261</v>
      </c>
      <c r="AF31" s="48">
        <f t="shared" si="17"/>
        <v>0.71225988735760981</v>
      </c>
      <c r="AG31" s="48">
        <f t="shared" si="17"/>
        <v>0.63950859649335245</v>
      </c>
      <c r="AH31" s="48">
        <f t="shared" si="17"/>
        <v>0.7321932549100707</v>
      </c>
      <c r="AI31" s="48">
        <f t="shared" si="17"/>
        <v>1.0661331019711942</v>
      </c>
      <c r="AJ31" s="48">
        <f t="shared" si="17"/>
        <v>0.74654402119234509</v>
      </c>
      <c r="AK31" s="48">
        <f t="shared" si="17"/>
        <v>0.87558702194810734</v>
      </c>
      <c r="AL31" s="48">
        <f t="shared" si="17"/>
        <v>0.84530554180233253</v>
      </c>
      <c r="AM31" s="48">
        <f t="shared" si="17"/>
        <v>0.8914978734317226</v>
      </c>
      <c r="AN31" s="48">
        <f t="shared" si="17"/>
        <v>1.0091574839876376</v>
      </c>
      <c r="AO31" s="48">
        <f t="shared" si="17"/>
        <v>1.0152471757268196</v>
      </c>
      <c r="AP31" s="327">
        <f>SUM(K31:AO31)</f>
        <v>24.538415725242274</v>
      </c>
    </row>
    <row r="32" spans="2:42" x14ac:dyDescent="0.25">
      <c r="B32" t="s">
        <v>28</v>
      </c>
      <c r="C32" s="48">
        <f t="shared" ref="C32:AO32" si="18">C28+C29-C30</f>
        <v>26.116598</v>
      </c>
      <c r="D32" s="48">
        <f t="shared" si="18"/>
        <v>25.428196</v>
      </c>
      <c r="E32" s="48">
        <f t="shared" si="18"/>
        <v>24.739794</v>
      </c>
      <c r="F32" s="48">
        <f t="shared" si="18"/>
        <v>24.051392</v>
      </c>
      <c r="G32" s="48">
        <f t="shared" si="18"/>
        <v>23.36299</v>
      </c>
      <c r="H32" s="48">
        <f t="shared" si="18"/>
        <v>22.674588</v>
      </c>
      <c r="I32" s="48">
        <f t="shared" si="18"/>
        <v>21.986186</v>
      </c>
      <c r="J32" s="325">
        <f t="shared" si="18"/>
        <v>21.297784</v>
      </c>
      <c r="K32" s="48">
        <f t="shared" si="18"/>
        <v>20.954387173837183</v>
      </c>
      <c r="L32" s="48">
        <f t="shared" si="18"/>
        <v>20.708478114855215</v>
      </c>
      <c r="M32" s="48">
        <f t="shared" si="18"/>
        <v>20.316684890052635</v>
      </c>
      <c r="N32" s="48">
        <f t="shared" si="18"/>
        <v>19.825202336997986</v>
      </c>
      <c r="O32" s="48">
        <f t="shared" si="18"/>
        <v>19.415907513128211</v>
      </c>
      <c r="P32" s="48">
        <f t="shared" si="18"/>
        <v>18.914079932919957</v>
      </c>
      <c r="Q32" s="48">
        <f t="shared" si="18"/>
        <v>18.470252190626105</v>
      </c>
      <c r="R32" s="48">
        <f t="shared" si="18"/>
        <v>17.801352579659245</v>
      </c>
      <c r="S32" s="48">
        <f t="shared" si="18"/>
        <v>17.28507732729582</v>
      </c>
      <c r="T32" s="48">
        <f t="shared" si="18"/>
        <v>17.771755336782867</v>
      </c>
      <c r="U32" s="48">
        <f t="shared" si="18"/>
        <v>17.193000911583812</v>
      </c>
      <c r="V32" s="48">
        <f t="shared" si="18"/>
        <v>17.548746547715098</v>
      </c>
      <c r="W32" s="48">
        <f t="shared" si="18"/>
        <v>16.987462126003781</v>
      </c>
      <c r="X32" s="48">
        <f t="shared" si="18"/>
        <v>17.434603043587146</v>
      </c>
      <c r="Y32" s="48">
        <f t="shared" si="18"/>
        <v>16.865637632984125</v>
      </c>
      <c r="Z32" s="48">
        <f t="shared" si="18"/>
        <v>17.373244380418495</v>
      </c>
      <c r="AA32" s="48">
        <f t="shared" si="18"/>
        <v>16.743868370428689</v>
      </c>
      <c r="AB32" s="48">
        <f t="shared" si="18"/>
        <v>17.176612558852145</v>
      </c>
      <c r="AC32" s="48">
        <f t="shared" si="18"/>
        <v>16.67216928149541</v>
      </c>
      <c r="AD32" s="48">
        <f t="shared" si="18"/>
        <v>17.193682816396592</v>
      </c>
      <c r="AE32" s="48">
        <f t="shared" si="18"/>
        <v>16.670476107096395</v>
      </c>
      <c r="AF32" s="48">
        <f t="shared" si="18"/>
        <v>17.197535541890943</v>
      </c>
      <c r="AG32" s="48">
        <f t="shared" si="18"/>
        <v>16.772901833819358</v>
      </c>
      <c r="AH32" s="48">
        <f t="shared" si="18"/>
        <v>16.28672551255907</v>
      </c>
      <c r="AI32" s="48">
        <f t="shared" si="18"/>
        <v>16.578813132850197</v>
      </c>
      <c r="AJ32" s="48">
        <f t="shared" si="18"/>
        <v>17.08310790277848</v>
      </c>
      <c r="AK32" s="48">
        <f t="shared" si="18"/>
        <v>17.501718120204938</v>
      </c>
      <c r="AL32" s="48">
        <f t="shared" si="18"/>
        <v>17.940435240448188</v>
      </c>
      <c r="AM32" s="48">
        <f t="shared" si="18"/>
        <v>18.348480652489524</v>
      </c>
      <c r="AN32" s="48">
        <f t="shared" si="18"/>
        <v>18.678400083121733</v>
      </c>
      <c r="AO32" s="48">
        <f t="shared" si="18"/>
        <v>19.004275958439123</v>
      </c>
    </row>
    <row r="34" spans="2:42" x14ac:dyDescent="0.25">
      <c r="B34" s="58" t="s">
        <v>31</v>
      </c>
      <c r="C34" s="323">
        <v>43731</v>
      </c>
      <c r="D34" s="323">
        <v>43732</v>
      </c>
      <c r="E34" s="323">
        <v>43733</v>
      </c>
      <c r="F34" s="323">
        <v>43734</v>
      </c>
      <c r="G34" s="323">
        <v>43735</v>
      </c>
      <c r="H34" s="323">
        <v>43736</v>
      </c>
      <c r="I34" s="323">
        <v>43737</v>
      </c>
      <c r="J34" s="324">
        <v>43738</v>
      </c>
      <c r="K34" s="323">
        <v>43739</v>
      </c>
      <c r="L34" s="323">
        <v>43740</v>
      </c>
      <c r="M34" s="323">
        <v>43741</v>
      </c>
      <c r="N34" s="323">
        <v>43742</v>
      </c>
      <c r="O34" s="323">
        <v>43743</v>
      </c>
      <c r="P34" s="323">
        <v>43744</v>
      </c>
      <c r="Q34" s="323">
        <v>43745</v>
      </c>
      <c r="R34" s="323">
        <v>43746</v>
      </c>
      <c r="S34" s="323">
        <v>43747</v>
      </c>
      <c r="T34" s="323">
        <v>43748</v>
      </c>
      <c r="U34" s="323">
        <v>43749</v>
      </c>
      <c r="V34" s="323">
        <v>43750</v>
      </c>
      <c r="W34" s="323">
        <v>43751</v>
      </c>
      <c r="X34" s="323">
        <v>43752</v>
      </c>
      <c r="Y34" s="323">
        <v>43753</v>
      </c>
      <c r="Z34" s="323">
        <v>43754</v>
      </c>
      <c r="AA34" s="323">
        <v>43755</v>
      </c>
      <c r="AB34" s="323">
        <v>43756</v>
      </c>
      <c r="AC34" s="323">
        <v>43757</v>
      </c>
      <c r="AD34" s="323">
        <v>43758</v>
      </c>
      <c r="AE34" s="323">
        <v>43759</v>
      </c>
      <c r="AF34" s="323">
        <v>43760</v>
      </c>
      <c r="AG34" s="323">
        <v>43761</v>
      </c>
      <c r="AH34" s="323">
        <v>43762</v>
      </c>
      <c r="AI34" s="323">
        <v>43763</v>
      </c>
      <c r="AJ34" s="323">
        <v>43764</v>
      </c>
      <c r="AK34" s="323">
        <v>43765</v>
      </c>
      <c r="AL34" s="323">
        <v>43766</v>
      </c>
      <c r="AM34" s="323">
        <v>43767</v>
      </c>
      <c r="AN34" s="323">
        <v>43768</v>
      </c>
      <c r="AO34" s="323">
        <v>43769</v>
      </c>
    </row>
    <row r="35" spans="2:42" x14ac:dyDescent="0.25">
      <c r="B35" t="s">
        <v>25</v>
      </c>
      <c r="C35" s="48">
        <f>SUM(E4:E7)/1000</f>
        <v>7.9790000000000001</v>
      </c>
      <c r="D35" s="48">
        <f t="shared" ref="D35:AO35" si="19">C39</f>
        <v>7.5514669999999997</v>
      </c>
      <c r="E35" s="48">
        <f t="shared" si="19"/>
        <v>7.1239339999999993</v>
      </c>
      <c r="F35" s="48">
        <f t="shared" si="19"/>
        <v>7.5964009999999984</v>
      </c>
      <c r="G35" s="48">
        <f t="shared" si="19"/>
        <v>7.168867999999998</v>
      </c>
      <c r="H35" s="48">
        <f t="shared" si="19"/>
        <v>7.641334999999998</v>
      </c>
      <c r="I35" s="48">
        <f t="shared" si="19"/>
        <v>7.2138019999999976</v>
      </c>
      <c r="J35" s="325">
        <f t="shared" si="19"/>
        <v>7.5862689999999979</v>
      </c>
      <c r="K35" s="48">
        <f t="shared" si="19"/>
        <v>7.1587359999999975</v>
      </c>
      <c r="L35" s="48">
        <f t="shared" si="19"/>
        <v>7.7006648871995518</v>
      </c>
      <c r="M35" s="48">
        <f t="shared" si="19"/>
        <v>7.4963431300393291</v>
      </c>
      <c r="N35" s="48">
        <f t="shared" si="19"/>
        <v>8.1023055930085768</v>
      </c>
      <c r="O35" s="48">
        <f t="shared" si="19"/>
        <v>7.8851140576858416</v>
      </c>
      <c r="P35" s="48">
        <f t="shared" si="19"/>
        <v>8.432594574481346</v>
      </c>
      <c r="Q35" s="48">
        <f t="shared" si="19"/>
        <v>8.145008060976485</v>
      </c>
      <c r="R35" s="48">
        <f t="shared" si="19"/>
        <v>8.6707556183858188</v>
      </c>
      <c r="S35" s="48">
        <f t="shared" si="19"/>
        <v>8.3780728804755888</v>
      </c>
      <c r="T35" s="48">
        <f t="shared" si="19"/>
        <v>8.8630986520443198</v>
      </c>
      <c r="U35" s="48">
        <f t="shared" si="19"/>
        <v>8.5855826944767948</v>
      </c>
      <c r="V35" s="48">
        <f t="shared" si="19"/>
        <v>9.3309006774640064</v>
      </c>
      <c r="W35" s="48">
        <f t="shared" si="19"/>
        <v>8.969714161414732</v>
      </c>
      <c r="X35" s="48">
        <f t="shared" si="19"/>
        <v>9.6949171746303584</v>
      </c>
      <c r="Y35" s="48">
        <f t="shared" si="19"/>
        <v>9.3232390867218431</v>
      </c>
      <c r="Z35" s="48">
        <f t="shared" si="19"/>
        <v>9.9935807648239976</v>
      </c>
      <c r="AA35" s="48">
        <f t="shared" si="19"/>
        <v>9.6921280198299105</v>
      </c>
      <c r="AB35" s="48">
        <f t="shared" si="19"/>
        <v>10.329005762411255</v>
      </c>
      <c r="AC35" s="48">
        <f t="shared" si="19"/>
        <v>9.9484792362669019</v>
      </c>
      <c r="AD35" s="48">
        <f t="shared" si="19"/>
        <v>10.569632526817207</v>
      </c>
      <c r="AE35" s="48">
        <f t="shared" si="19"/>
        <v>10.137326538832568</v>
      </c>
      <c r="AF35" s="48">
        <f t="shared" si="19"/>
        <v>10.789363290068954</v>
      </c>
      <c r="AG35" s="48">
        <f t="shared" si="19"/>
        <v>10.372134843844131</v>
      </c>
      <c r="AH35" s="48">
        <f t="shared" si="19"/>
        <v>10.974314266807392</v>
      </c>
      <c r="AI35" s="48">
        <f t="shared" si="19"/>
        <v>10.516581687023262</v>
      </c>
      <c r="AJ35" s="48">
        <f t="shared" si="19"/>
        <v>10.852870220519973</v>
      </c>
      <c r="AK35" s="48">
        <f t="shared" si="19"/>
        <v>10.378994836688113</v>
      </c>
      <c r="AL35" s="48">
        <f t="shared" si="19"/>
        <v>10.723052239775352</v>
      </c>
      <c r="AM35" s="48">
        <f t="shared" si="19"/>
        <v>10.331238203240286</v>
      </c>
      <c r="AN35" s="48">
        <f t="shared" si="19"/>
        <v>10.66497638526412</v>
      </c>
      <c r="AO35" s="48">
        <f t="shared" si="19"/>
        <v>10.18903526997264</v>
      </c>
    </row>
    <row r="36" spans="2:42" x14ac:dyDescent="0.25">
      <c r="B36" t="s">
        <v>171</v>
      </c>
      <c r="C36" s="48">
        <f t="shared" ref="C36:I36" si="20">C17</f>
        <v>0</v>
      </c>
      <c r="D36" s="48">
        <f t="shared" si="20"/>
        <v>0</v>
      </c>
      <c r="E36" s="48">
        <f t="shared" si="20"/>
        <v>0.9</v>
      </c>
      <c r="F36" s="48">
        <f t="shared" si="20"/>
        <v>0</v>
      </c>
      <c r="G36" s="48">
        <f t="shared" si="20"/>
        <v>0.9</v>
      </c>
      <c r="H36" s="48">
        <f t="shared" si="20"/>
        <v>0</v>
      </c>
      <c r="I36" s="48">
        <f t="shared" si="20"/>
        <v>0.8</v>
      </c>
      <c r="J36" s="325">
        <v>0</v>
      </c>
      <c r="K36" s="125">
        <f t="shared" ref="K36:AO36" si="21">K6+K10</f>
        <v>0.8</v>
      </c>
      <c r="L36" s="125">
        <f t="shared" si="21"/>
        <v>0</v>
      </c>
      <c r="M36" s="125">
        <f t="shared" si="21"/>
        <v>0.8</v>
      </c>
      <c r="N36" s="125">
        <f t="shared" si="21"/>
        <v>0</v>
      </c>
      <c r="O36" s="125">
        <f t="shared" si="21"/>
        <v>0.8</v>
      </c>
      <c r="P36" s="125">
        <f t="shared" si="21"/>
        <v>0</v>
      </c>
      <c r="Q36" s="125">
        <f t="shared" si="21"/>
        <v>0.8</v>
      </c>
      <c r="R36" s="125">
        <f t="shared" si="21"/>
        <v>0</v>
      </c>
      <c r="S36" s="125">
        <f t="shared" si="21"/>
        <v>0.8</v>
      </c>
      <c r="T36" s="125">
        <f t="shared" si="21"/>
        <v>0</v>
      </c>
      <c r="U36" s="125">
        <f t="shared" si="21"/>
        <v>1</v>
      </c>
      <c r="V36" s="125">
        <f t="shared" si="21"/>
        <v>0</v>
      </c>
      <c r="W36" s="125">
        <f t="shared" si="21"/>
        <v>1</v>
      </c>
      <c r="X36" s="125">
        <f t="shared" si="21"/>
        <v>0</v>
      </c>
      <c r="Y36" s="125">
        <f t="shared" si="21"/>
        <v>1</v>
      </c>
      <c r="Z36" s="125">
        <f t="shared" si="21"/>
        <v>0</v>
      </c>
      <c r="AA36" s="125">
        <f t="shared" si="21"/>
        <v>1</v>
      </c>
      <c r="AB36" s="125">
        <f t="shared" si="21"/>
        <v>0</v>
      </c>
      <c r="AC36" s="125">
        <f t="shared" si="21"/>
        <v>1</v>
      </c>
      <c r="AD36" s="125">
        <f t="shared" si="21"/>
        <v>0</v>
      </c>
      <c r="AE36" s="125">
        <f t="shared" si="21"/>
        <v>1</v>
      </c>
      <c r="AF36" s="125">
        <f t="shared" si="21"/>
        <v>0</v>
      </c>
      <c r="AG36" s="125">
        <f t="shared" si="21"/>
        <v>1</v>
      </c>
      <c r="AH36" s="125">
        <f t="shared" si="21"/>
        <v>0</v>
      </c>
      <c r="AI36" s="125">
        <f t="shared" si="21"/>
        <v>0.8</v>
      </c>
      <c r="AJ36" s="125">
        <f t="shared" si="21"/>
        <v>0</v>
      </c>
      <c r="AK36" s="125">
        <f t="shared" si="21"/>
        <v>0.8</v>
      </c>
      <c r="AL36" s="125">
        <f t="shared" si="21"/>
        <v>0</v>
      </c>
      <c r="AM36" s="125">
        <f t="shared" si="21"/>
        <v>0.8</v>
      </c>
      <c r="AN36" s="125">
        <f t="shared" si="21"/>
        <v>0</v>
      </c>
      <c r="AO36" s="125">
        <f t="shared" si="21"/>
        <v>0.8</v>
      </c>
    </row>
    <row r="37" spans="2:42" x14ac:dyDescent="0.25">
      <c r="B37" t="s">
        <v>169</v>
      </c>
      <c r="C37" s="48">
        <f t="shared" ref="C37:AO37" si="22">C38*66.4%</f>
        <v>0.427533</v>
      </c>
      <c r="D37" s="48">
        <f t="shared" si="22"/>
        <v>0.427533</v>
      </c>
      <c r="E37" s="48">
        <f t="shared" si="22"/>
        <v>0.427533</v>
      </c>
      <c r="F37" s="48">
        <f t="shared" si="22"/>
        <v>0.427533</v>
      </c>
      <c r="G37" s="48">
        <f t="shared" si="22"/>
        <v>0.427533</v>
      </c>
      <c r="H37" s="48">
        <f t="shared" si="22"/>
        <v>0.427533</v>
      </c>
      <c r="I37" s="48">
        <f t="shared" si="22"/>
        <v>0.427533</v>
      </c>
      <c r="J37" s="325">
        <f t="shared" si="22"/>
        <v>0.427533</v>
      </c>
      <c r="K37" s="48">
        <f t="shared" si="22"/>
        <v>0.25807111280044592</v>
      </c>
      <c r="L37" s="48">
        <f t="shared" si="22"/>
        <v>0.20432175716022258</v>
      </c>
      <c r="M37" s="48">
        <f t="shared" si="22"/>
        <v>0.19403753703075161</v>
      </c>
      <c r="N37" s="48">
        <f t="shared" si="22"/>
        <v>0.21719153532273516</v>
      </c>
      <c r="O37" s="48">
        <f t="shared" si="22"/>
        <v>0.25251948320449602</v>
      </c>
      <c r="P37" s="48">
        <f t="shared" si="22"/>
        <v>0.28758651350486153</v>
      </c>
      <c r="Q37" s="48">
        <f t="shared" si="22"/>
        <v>0.27425244259066722</v>
      </c>
      <c r="R37" s="48">
        <f t="shared" si="22"/>
        <v>0.29268273791022931</v>
      </c>
      <c r="S37" s="48">
        <f t="shared" si="22"/>
        <v>0.31497422843126932</v>
      </c>
      <c r="T37" s="48">
        <f t="shared" si="22"/>
        <v>0.27751595756752484</v>
      </c>
      <c r="U37" s="48">
        <f t="shared" si="22"/>
        <v>0.25468201701278803</v>
      </c>
      <c r="V37" s="48">
        <f t="shared" si="22"/>
        <v>0.36118651604927449</v>
      </c>
      <c r="W37" s="48">
        <f t="shared" si="22"/>
        <v>0.2747969867843737</v>
      </c>
      <c r="X37" s="48">
        <f t="shared" si="22"/>
        <v>0.37167808790851492</v>
      </c>
      <c r="Y37" s="48">
        <f t="shared" si="22"/>
        <v>0.32965832189784511</v>
      </c>
      <c r="Z37" s="48">
        <f t="shared" si="22"/>
        <v>0.30145274499408703</v>
      </c>
      <c r="AA37" s="48">
        <f t="shared" si="22"/>
        <v>0.36312225741865578</v>
      </c>
      <c r="AB37" s="48">
        <f t="shared" si="22"/>
        <v>0.38052652614435234</v>
      </c>
      <c r="AC37" s="48">
        <f t="shared" si="22"/>
        <v>0.37884670944969456</v>
      </c>
      <c r="AD37" s="48">
        <f t="shared" si="22"/>
        <v>0.43230598798464009</v>
      </c>
      <c r="AE37" s="48">
        <f t="shared" si="22"/>
        <v>0.3479632487636149</v>
      </c>
      <c r="AF37" s="48">
        <f t="shared" si="22"/>
        <v>0.41722844622482208</v>
      </c>
      <c r="AG37" s="48">
        <f t="shared" si="22"/>
        <v>0.39782057703673962</v>
      </c>
      <c r="AH37" s="48">
        <f t="shared" si="22"/>
        <v>0.45773257978412962</v>
      </c>
      <c r="AI37" s="48">
        <f t="shared" si="22"/>
        <v>0.46371146650328998</v>
      </c>
      <c r="AJ37" s="48">
        <f t="shared" si="22"/>
        <v>0.47387538383186073</v>
      </c>
      <c r="AK37" s="48">
        <f t="shared" si="22"/>
        <v>0.45594259691276062</v>
      </c>
      <c r="AL37" s="48">
        <f t="shared" si="22"/>
        <v>0.3918140365350668</v>
      </c>
      <c r="AM37" s="48">
        <f t="shared" si="22"/>
        <v>0.46626181797616678</v>
      </c>
      <c r="AN37" s="48">
        <f t="shared" si="22"/>
        <v>0.47594111529147981</v>
      </c>
      <c r="AO37" s="48">
        <f t="shared" si="22"/>
        <v>0.48104890495896013</v>
      </c>
    </row>
    <row r="38" spans="2:42" x14ac:dyDescent="0.25">
      <c r="B38" t="s">
        <v>26</v>
      </c>
      <c r="C38" s="48">
        <f t="shared" ref="C38:J38" si="23">5.151/8</f>
        <v>0.64387499999999998</v>
      </c>
      <c r="D38" s="48">
        <f t="shared" si="23"/>
        <v>0.64387499999999998</v>
      </c>
      <c r="E38" s="48">
        <f t="shared" si="23"/>
        <v>0.64387499999999998</v>
      </c>
      <c r="F38" s="48">
        <f t="shared" si="23"/>
        <v>0.64387499999999998</v>
      </c>
      <c r="G38" s="48">
        <f t="shared" si="23"/>
        <v>0.64387499999999998</v>
      </c>
      <c r="H38" s="48">
        <f t="shared" si="23"/>
        <v>0.64387499999999998</v>
      </c>
      <c r="I38" s="48">
        <f t="shared" si="23"/>
        <v>0.64387499999999998</v>
      </c>
      <c r="J38" s="325">
        <f t="shared" si="23"/>
        <v>0.64387499999999998</v>
      </c>
      <c r="K38" s="48">
        <f t="shared" ref="K38:AO38" si="24">16.1*K75</f>
        <v>0.38866131445850288</v>
      </c>
      <c r="L38" s="48">
        <f t="shared" si="24"/>
        <v>0.30771348969913037</v>
      </c>
      <c r="M38" s="48">
        <f t="shared" si="24"/>
        <v>0.29222520637161387</v>
      </c>
      <c r="N38" s="48">
        <f t="shared" si="24"/>
        <v>0.32709568572701075</v>
      </c>
      <c r="O38" s="48">
        <f t="shared" si="24"/>
        <v>0.38030042651279522</v>
      </c>
      <c r="P38" s="48">
        <f t="shared" si="24"/>
        <v>0.43311221913382758</v>
      </c>
      <c r="Q38" s="48">
        <f t="shared" si="24"/>
        <v>0.41303078703413737</v>
      </c>
      <c r="R38" s="48">
        <f t="shared" si="24"/>
        <v>0.44078725588889955</v>
      </c>
      <c r="S38" s="48">
        <f t="shared" si="24"/>
        <v>0.47435877775793572</v>
      </c>
      <c r="T38" s="48">
        <f t="shared" si="24"/>
        <v>0.41794571922820006</v>
      </c>
      <c r="U38" s="48">
        <f t="shared" si="24"/>
        <v>0.38355725453733136</v>
      </c>
      <c r="V38" s="48">
        <f t="shared" si="24"/>
        <v>0.54395559645975067</v>
      </c>
      <c r="W38" s="48">
        <f t="shared" si="24"/>
        <v>0.41385088371140616</v>
      </c>
      <c r="X38" s="48">
        <f t="shared" si="24"/>
        <v>0.55975615648872723</v>
      </c>
      <c r="Y38" s="48">
        <f t="shared" si="24"/>
        <v>0.49647337635217631</v>
      </c>
      <c r="Z38" s="48">
        <f t="shared" si="24"/>
        <v>0.45399509788266118</v>
      </c>
      <c r="AA38" s="48">
        <f t="shared" si="24"/>
        <v>0.54687086960640929</v>
      </c>
      <c r="AB38" s="48">
        <f t="shared" si="24"/>
        <v>0.57308211768727757</v>
      </c>
      <c r="AC38" s="48">
        <f t="shared" si="24"/>
        <v>0.57055227326761226</v>
      </c>
      <c r="AD38" s="48">
        <f t="shared" si="24"/>
        <v>0.65106323491662665</v>
      </c>
      <c r="AE38" s="48">
        <f t="shared" si="24"/>
        <v>0.52404103729460072</v>
      </c>
      <c r="AF38" s="48">
        <f t="shared" si="24"/>
        <v>0.62835609371208145</v>
      </c>
      <c r="AG38" s="48">
        <f t="shared" si="24"/>
        <v>0.59912737505533076</v>
      </c>
      <c r="AH38" s="48">
        <f t="shared" si="24"/>
        <v>0.68935629485561689</v>
      </c>
      <c r="AI38" s="48">
        <f t="shared" si="24"/>
        <v>0.6983606423242319</v>
      </c>
      <c r="AJ38" s="48">
        <f t="shared" si="24"/>
        <v>0.71366774673472999</v>
      </c>
      <c r="AK38" s="48">
        <f t="shared" si="24"/>
        <v>0.68666053751921774</v>
      </c>
      <c r="AL38" s="48">
        <f t="shared" si="24"/>
        <v>0.59008138032389579</v>
      </c>
      <c r="AM38" s="48">
        <f t="shared" si="24"/>
        <v>0.70220153309663669</v>
      </c>
      <c r="AN38" s="48">
        <f t="shared" si="24"/>
        <v>0.71677878808957796</v>
      </c>
      <c r="AO38" s="48">
        <f t="shared" si="24"/>
        <v>0.72447124240807248</v>
      </c>
      <c r="AP38" s="327">
        <f>SUM(K38:AO38)</f>
        <v>16.341490414136025</v>
      </c>
    </row>
    <row r="39" spans="2:42" x14ac:dyDescent="0.25">
      <c r="B39" t="s">
        <v>28</v>
      </c>
      <c r="C39" s="48">
        <f t="shared" ref="C39:AO39" si="25">C35+C36-C37</f>
        <v>7.5514669999999997</v>
      </c>
      <c r="D39" s="48">
        <f t="shared" si="25"/>
        <v>7.1239339999999993</v>
      </c>
      <c r="E39" s="48">
        <f t="shared" si="25"/>
        <v>7.5964009999999984</v>
      </c>
      <c r="F39" s="48">
        <f t="shared" si="25"/>
        <v>7.168867999999998</v>
      </c>
      <c r="G39" s="48">
        <f t="shared" si="25"/>
        <v>7.641334999999998</v>
      </c>
      <c r="H39" s="48">
        <f t="shared" si="25"/>
        <v>7.2138019999999976</v>
      </c>
      <c r="I39" s="48">
        <f t="shared" si="25"/>
        <v>7.5862689999999979</v>
      </c>
      <c r="J39" s="325">
        <f t="shared" si="25"/>
        <v>7.1587359999999975</v>
      </c>
      <c r="K39" s="48">
        <f t="shared" si="25"/>
        <v>7.7006648871995518</v>
      </c>
      <c r="L39" s="48">
        <f t="shared" si="25"/>
        <v>7.4963431300393291</v>
      </c>
      <c r="M39" s="48">
        <f t="shared" si="25"/>
        <v>8.1023055930085768</v>
      </c>
      <c r="N39" s="48">
        <f t="shared" si="25"/>
        <v>7.8851140576858416</v>
      </c>
      <c r="O39" s="48">
        <f t="shared" si="25"/>
        <v>8.432594574481346</v>
      </c>
      <c r="P39" s="48">
        <f t="shared" si="25"/>
        <v>8.145008060976485</v>
      </c>
      <c r="Q39" s="48">
        <f t="shared" si="25"/>
        <v>8.6707556183858188</v>
      </c>
      <c r="R39" s="48">
        <f t="shared" si="25"/>
        <v>8.3780728804755888</v>
      </c>
      <c r="S39" s="48">
        <f t="shared" si="25"/>
        <v>8.8630986520443198</v>
      </c>
      <c r="T39" s="48">
        <f t="shared" si="25"/>
        <v>8.5855826944767948</v>
      </c>
      <c r="U39" s="48">
        <f t="shared" si="25"/>
        <v>9.3309006774640064</v>
      </c>
      <c r="V39" s="48">
        <f t="shared" si="25"/>
        <v>8.969714161414732</v>
      </c>
      <c r="W39" s="48">
        <f t="shared" si="25"/>
        <v>9.6949171746303584</v>
      </c>
      <c r="X39" s="48">
        <f t="shared" si="25"/>
        <v>9.3232390867218431</v>
      </c>
      <c r="Y39" s="48">
        <f t="shared" si="25"/>
        <v>9.9935807648239976</v>
      </c>
      <c r="Z39" s="48">
        <f t="shared" si="25"/>
        <v>9.6921280198299105</v>
      </c>
      <c r="AA39" s="48">
        <f t="shared" si="25"/>
        <v>10.329005762411255</v>
      </c>
      <c r="AB39" s="48">
        <f t="shared" si="25"/>
        <v>9.9484792362669019</v>
      </c>
      <c r="AC39" s="48">
        <f t="shared" si="25"/>
        <v>10.569632526817207</v>
      </c>
      <c r="AD39" s="48">
        <f t="shared" si="25"/>
        <v>10.137326538832568</v>
      </c>
      <c r="AE39" s="48">
        <f t="shared" si="25"/>
        <v>10.789363290068954</v>
      </c>
      <c r="AF39" s="48">
        <f t="shared" si="25"/>
        <v>10.372134843844131</v>
      </c>
      <c r="AG39" s="48">
        <f t="shared" si="25"/>
        <v>10.974314266807392</v>
      </c>
      <c r="AH39" s="48">
        <f t="shared" si="25"/>
        <v>10.516581687023262</v>
      </c>
      <c r="AI39" s="48">
        <f t="shared" si="25"/>
        <v>10.852870220519973</v>
      </c>
      <c r="AJ39" s="48">
        <f t="shared" si="25"/>
        <v>10.378994836688113</v>
      </c>
      <c r="AK39" s="48">
        <f t="shared" si="25"/>
        <v>10.723052239775352</v>
      </c>
      <c r="AL39" s="48">
        <f t="shared" si="25"/>
        <v>10.331238203240286</v>
      </c>
      <c r="AM39" s="48">
        <f t="shared" si="25"/>
        <v>10.66497638526412</v>
      </c>
      <c r="AN39" s="48">
        <f t="shared" si="25"/>
        <v>10.18903526997264</v>
      </c>
      <c r="AO39" s="48">
        <f t="shared" si="25"/>
        <v>10.50798636501368</v>
      </c>
    </row>
    <row r="41" spans="2:42" x14ac:dyDescent="0.25">
      <c r="C41" s="48">
        <f t="shared" ref="C41:AO41" si="26">C25+C32+C39</f>
        <v>83.141672</v>
      </c>
      <c r="D41" s="48">
        <f t="shared" si="26"/>
        <v>79.820344000000006</v>
      </c>
      <c r="E41" s="48">
        <f t="shared" si="26"/>
        <v>77.399016000000003</v>
      </c>
      <c r="F41" s="48">
        <f t="shared" si="26"/>
        <v>74.077687999999995</v>
      </c>
      <c r="G41" s="48">
        <f t="shared" si="26"/>
        <v>71.656359999999992</v>
      </c>
      <c r="H41" s="48">
        <f t="shared" si="26"/>
        <v>68.335031999999998</v>
      </c>
      <c r="I41" s="48">
        <f t="shared" si="26"/>
        <v>65.813704000000001</v>
      </c>
      <c r="J41" s="48">
        <f t="shared" si="26"/>
        <v>62.492375999999993</v>
      </c>
      <c r="K41" s="48">
        <f t="shared" si="26"/>
        <v>61.468111745113241</v>
      </c>
      <c r="L41" s="48">
        <f t="shared" si="26"/>
        <v>59.998373210710852</v>
      </c>
      <c r="M41" s="48">
        <f t="shared" si="26"/>
        <v>58.58831089272914</v>
      </c>
      <c r="N41" s="48">
        <f t="shared" si="26"/>
        <v>56.777584471570961</v>
      </c>
      <c r="O41" s="48">
        <f t="shared" si="26"/>
        <v>55.593579500421569</v>
      </c>
      <c r="P41" s="48">
        <f t="shared" si="26"/>
        <v>53.35208386458882</v>
      </c>
      <c r="Q41" s="48">
        <f t="shared" si="26"/>
        <v>52.196440977480535</v>
      </c>
      <c r="R41" s="48">
        <f t="shared" si="26"/>
        <v>49.580025627587816</v>
      </c>
      <c r="S41" s="48">
        <f t="shared" si="26"/>
        <v>48.195502369024645</v>
      </c>
      <c r="T41" s="48">
        <f t="shared" si="26"/>
        <v>49.441298122128671</v>
      </c>
      <c r="U41" s="48">
        <f t="shared" si="26"/>
        <v>50.573414468546453</v>
      </c>
      <c r="V41" s="48">
        <f t="shared" si="26"/>
        <v>51.459730859044583</v>
      </c>
      <c r="W41" s="48">
        <f t="shared" si="26"/>
        <v>52.578529767755882</v>
      </c>
      <c r="X41" s="48">
        <f t="shared" si="26"/>
        <v>53.760488525388823</v>
      </c>
      <c r="Y41" s="48">
        <f t="shared" si="26"/>
        <v>54.982488803798532</v>
      </c>
      <c r="Z41" s="48">
        <f t="shared" si="26"/>
        <v>55.98762370449947</v>
      </c>
      <c r="AA41" s="48">
        <f t="shared" si="26"/>
        <v>56.866215980519954</v>
      </c>
      <c r="AB41" s="48">
        <f t="shared" si="26"/>
        <v>57.886902179448839</v>
      </c>
      <c r="AC41" s="48">
        <f t="shared" si="26"/>
        <v>58.943440052731162</v>
      </c>
      <c r="AD41" s="48">
        <f t="shared" si="26"/>
        <v>59.554347681684703</v>
      </c>
      <c r="AE41" s="48">
        <f t="shared" si="26"/>
        <v>60.655067812554428</v>
      </c>
      <c r="AF41" s="48">
        <f t="shared" si="26"/>
        <v>61.413993700780473</v>
      </c>
      <c r="AG41" s="48">
        <f t="shared" si="26"/>
        <v>62.671444399000599</v>
      </c>
      <c r="AH41" s="48">
        <f t="shared" si="26"/>
        <v>61.177212819892759</v>
      </c>
      <c r="AI41" s="48">
        <f t="shared" si="26"/>
        <v>62.498228694703386</v>
      </c>
      <c r="AJ41" s="48">
        <f t="shared" si="26"/>
        <v>63.302179551882482</v>
      </c>
      <c r="AK41" s="48">
        <f t="shared" si="26"/>
        <v>64.643866190817562</v>
      </c>
      <c r="AL41" s="48">
        <f t="shared" si="26"/>
        <v>65.070789369024126</v>
      </c>
      <c r="AM41" s="48">
        <f t="shared" si="26"/>
        <v>66.092720139953144</v>
      </c>
      <c r="AN41" s="48">
        <f t="shared" si="26"/>
        <v>66.265485121379683</v>
      </c>
      <c r="AO41" s="48">
        <f t="shared" si="26"/>
        <v>67.362221439310161</v>
      </c>
    </row>
    <row r="42" spans="2:42" x14ac:dyDescent="0.25">
      <c r="B42" t="s">
        <v>173</v>
      </c>
    </row>
    <row r="47" spans="2:42" x14ac:dyDescent="0.25">
      <c r="I47" s="58" t="s">
        <v>174</v>
      </c>
    </row>
    <row r="48" spans="2:42" x14ac:dyDescent="0.25">
      <c r="J48" t="s">
        <v>175</v>
      </c>
      <c r="K48">
        <v>1</v>
      </c>
      <c r="L48">
        <v>2</v>
      </c>
      <c r="M48">
        <v>3</v>
      </c>
      <c r="N48">
        <v>4</v>
      </c>
      <c r="O48">
        <v>5</v>
      </c>
      <c r="P48">
        <v>6</v>
      </c>
      <c r="Q48">
        <v>7</v>
      </c>
      <c r="R48">
        <v>8</v>
      </c>
      <c r="S48">
        <v>9</v>
      </c>
      <c r="T48">
        <v>10</v>
      </c>
      <c r="U48">
        <v>11</v>
      </c>
      <c r="V48">
        <v>12</v>
      </c>
      <c r="W48">
        <v>13</v>
      </c>
      <c r="X48">
        <v>14</v>
      </c>
      <c r="Y48">
        <v>15</v>
      </c>
      <c r="Z48">
        <v>16</v>
      </c>
      <c r="AA48">
        <v>17</v>
      </c>
      <c r="AB48">
        <v>18</v>
      </c>
      <c r="AC48">
        <v>19</v>
      </c>
      <c r="AD48">
        <v>20</v>
      </c>
      <c r="AE48">
        <v>21</v>
      </c>
      <c r="AF48">
        <v>22</v>
      </c>
      <c r="AG48">
        <v>23</v>
      </c>
      <c r="AH48">
        <v>24</v>
      </c>
      <c r="AI48">
        <v>25</v>
      </c>
      <c r="AJ48">
        <v>26</v>
      </c>
      <c r="AK48">
        <v>27</v>
      </c>
      <c r="AL48">
        <v>28</v>
      </c>
      <c r="AM48">
        <v>29</v>
      </c>
      <c r="AN48">
        <v>30</v>
      </c>
      <c r="AO48">
        <v>31</v>
      </c>
      <c r="AP48" t="s">
        <v>20</v>
      </c>
    </row>
    <row r="49" spans="9:42" x14ac:dyDescent="0.25">
      <c r="I49" s="328">
        <v>43525</v>
      </c>
      <c r="J49" t="s">
        <v>159</v>
      </c>
      <c r="K49">
        <v>2519.31</v>
      </c>
      <c r="L49">
        <v>2804.2</v>
      </c>
      <c r="M49">
        <v>2262.62</v>
      </c>
      <c r="N49">
        <v>2231.5</v>
      </c>
      <c r="O49">
        <v>2686.6</v>
      </c>
      <c r="P49">
        <v>3206.49</v>
      </c>
      <c r="Q49">
        <v>3097.64</v>
      </c>
      <c r="R49">
        <v>4642.92</v>
      </c>
      <c r="S49">
        <v>3086.5</v>
      </c>
      <c r="T49">
        <v>2811.25</v>
      </c>
      <c r="U49">
        <v>3416.95</v>
      </c>
      <c r="V49">
        <v>3966.72</v>
      </c>
      <c r="W49">
        <v>3776.1</v>
      </c>
      <c r="X49">
        <v>3907.82</v>
      </c>
      <c r="Y49">
        <v>3339.35</v>
      </c>
      <c r="Z49">
        <v>3864.53</v>
      </c>
      <c r="AA49">
        <v>4298.49</v>
      </c>
      <c r="AB49">
        <v>2712.91</v>
      </c>
      <c r="AC49">
        <v>2996.74</v>
      </c>
      <c r="AD49">
        <v>3812.51</v>
      </c>
      <c r="AE49">
        <v>3777.43</v>
      </c>
      <c r="AF49">
        <v>4718.96</v>
      </c>
      <c r="AG49">
        <v>3004.52</v>
      </c>
      <c r="AH49">
        <v>3353.25</v>
      </c>
      <c r="AI49">
        <v>4074.69</v>
      </c>
      <c r="AJ49">
        <v>3753.19</v>
      </c>
      <c r="AK49">
        <v>3908.34</v>
      </c>
      <c r="AL49">
        <v>3560.63</v>
      </c>
      <c r="AM49">
        <v>4089.43</v>
      </c>
      <c r="AN49">
        <v>3819.66</v>
      </c>
      <c r="AO49">
        <v>3642.56</v>
      </c>
      <c r="AP49">
        <f t="shared" ref="AP49:AP54" si="27">SUM(K49:AO49)</f>
        <v>107143.81</v>
      </c>
    </row>
    <row r="50" spans="9:42" x14ac:dyDescent="0.25">
      <c r="I50" s="328">
        <v>43556</v>
      </c>
      <c r="J50" t="s">
        <v>159</v>
      </c>
      <c r="K50" s="329">
        <v>2541.96</v>
      </c>
      <c r="L50" s="329">
        <v>1758.41</v>
      </c>
      <c r="M50" s="329">
        <v>3609.82</v>
      </c>
      <c r="N50" s="329">
        <v>2929.14</v>
      </c>
      <c r="O50" s="329">
        <v>3488.5</v>
      </c>
      <c r="P50" s="329">
        <v>2785.3</v>
      </c>
      <c r="Q50" s="329">
        <v>1946.14</v>
      </c>
      <c r="R50" s="329">
        <v>2902.96</v>
      </c>
      <c r="S50" s="329">
        <v>2501.08</v>
      </c>
      <c r="T50" s="329">
        <v>3242.21</v>
      </c>
      <c r="U50" s="329">
        <v>3594</v>
      </c>
      <c r="V50" s="329">
        <v>3935.86</v>
      </c>
      <c r="W50" s="329">
        <v>2878.02</v>
      </c>
      <c r="X50" s="329">
        <v>2515.1999999999998</v>
      </c>
      <c r="Y50" s="329">
        <v>2248.85</v>
      </c>
      <c r="Z50" s="329">
        <v>2946.8</v>
      </c>
      <c r="AA50" s="329">
        <v>2620.8000000000002</v>
      </c>
      <c r="AB50" s="329">
        <v>3217.1</v>
      </c>
      <c r="AC50" s="329">
        <v>3657.29</v>
      </c>
      <c r="AD50" s="329">
        <v>3712.8</v>
      </c>
      <c r="AE50" s="329">
        <v>2687.19</v>
      </c>
      <c r="AF50" s="329">
        <v>3123.65</v>
      </c>
      <c r="AG50" s="329">
        <v>2399.0500000000002</v>
      </c>
      <c r="AH50" s="329">
        <v>3419.57</v>
      </c>
      <c r="AI50" s="329">
        <v>3470.34</v>
      </c>
      <c r="AJ50" s="329">
        <v>3489.55</v>
      </c>
      <c r="AK50" s="329">
        <v>3557.2</v>
      </c>
      <c r="AL50" s="329">
        <v>3849.17</v>
      </c>
      <c r="AM50" s="329">
        <v>3904.52</v>
      </c>
      <c r="AN50" s="329">
        <v>4327.26</v>
      </c>
      <c r="AP50">
        <f t="shared" si="27"/>
        <v>93259.74</v>
      </c>
    </row>
    <row r="51" spans="9:42" x14ac:dyDescent="0.25">
      <c r="I51" s="328">
        <v>43586</v>
      </c>
      <c r="J51" t="s">
        <v>159</v>
      </c>
      <c r="K51" s="329">
        <v>1773.39</v>
      </c>
      <c r="L51" s="329">
        <v>1279.98</v>
      </c>
      <c r="M51" s="329">
        <v>2916</v>
      </c>
      <c r="N51" s="329">
        <v>1121.3499999999999</v>
      </c>
      <c r="O51" s="329">
        <v>1359.24</v>
      </c>
      <c r="P51" s="329">
        <v>2142.5</v>
      </c>
      <c r="Q51" s="329">
        <v>1912.9</v>
      </c>
      <c r="R51" s="329">
        <v>1976.45</v>
      </c>
      <c r="S51" s="329">
        <v>2003.99</v>
      </c>
      <c r="T51" s="329">
        <v>2104.25</v>
      </c>
      <c r="U51" s="329">
        <v>1730.75</v>
      </c>
      <c r="V51" s="329">
        <v>1415.75</v>
      </c>
      <c r="W51" s="329">
        <v>2097.25</v>
      </c>
      <c r="X51" s="329">
        <v>1609.85</v>
      </c>
      <c r="Y51" s="329">
        <v>2147</v>
      </c>
      <c r="Z51" s="329">
        <v>2684.8</v>
      </c>
      <c r="AA51" s="329">
        <v>2318.9899999999998</v>
      </c>
      <c r="AB51" s="329">
        <v>2498.84</v>
      </c>
      <c r="AC51" s="329">
        <v>2085.44</v>
      </c>
      <c r="AD51" s="329">
        <v>3365.53</v>
      </c>
      <c r="AE51" s="329">
        <v>2170.31</v>
      </c>
      <c r="AF51" s="329">
        <v>2633.65</v>
      </c>
      <c r="AG51" s="329">
        <v>2442</v>
      </c>
      <c r="AH51" s="329">
        <v>1983.75</v>
      </c>
      <c r="AI51" s="329">
        <v>2606.4</v>
      </c>
      <c r="AJ51" s="329">
        <v>2447.5700000000002</v>
      </c>
      <c r="AK51" s="329">
        <v>3164.19</v>
      </c>
      <c r="AL51" s="329">
        <v>4069.46</v>
      </c>
      <c r="AM51" s="329">
        <v>4112.55</v>
      </c>
      <c r="AN51" s="329">
        <v>3790.07</v>
      </c>
      <c r="AO51" s="329">
        <v>3650.8</v>
      </c>
      <c r="AP51">
        <f t="shared" si="27"/>
        <v>73615.000000000015</v>
      </c>
    </row>
    <row r="52" spans="9:42" x14ac:dyDescent="0.25">
      <c r="I52" s="328">
        <v>43525</v>
      </c>
      <c r="J52" t="s">
        <v>159</v>
      </c>
      <c r="K52" s="114">
        <f t="shared" ref="K52:AO52" si="28">K49/$AP49</f>
        <v>2.3513350887932771E-2</v>
      </c>
      <c r="L52" s="114">
        <f t="shared" si="28"/>
        <v>2.6172300574340224E-2</v>
      </c>
      <c r="M52" s="114">
        <f t="shared" si="28"/>
        <v>2.1117598860820798E-2</v>
      </c>
      <c r="N52" s="114">
        <f t="shared" si="28"/>
        <v>2.0827148110562802E-2</v>
      </c>
      <c r="O52" s="114">
        <f t="shared" si="28"/>
        <v>2.5074710335576081E-2</v>
      </c>
      <c r="P52" s="114">
        <f t="shared" si="28"/>
        <v>2.9926973849445898E-2</v>
      </c>
      <c r="Q52" s="114">
        <f t="shared" si="28"/>
        <v>2.8911049551065993E-2</v>
      </c>
      <c r="R52" s="114">
        <f t="shared" si="28"/>
        <v>4.3333534620432108E-2</v>
      </c>
      <c r="S52" s="114">
        <f t="shared" si="28"/>
        <v>2.8807077142393948E-2</v>
      </c>
      <c r="T52" s="114">
        <f t="shared" si="28"/>
        <v>2.6238099989164095E-2</v>
      </c>
      <c r="U52" s="114">
        <f t="shared" si="28"/>
        <v>3.1891249713819209E-2</v>
      </c>
      <c r="V52" s="114">
        <f t="shared" si="28"/>
        <v>3.7022390747538284E-2</v>
      </c>
      <c r="W52" s="114">
        <f t="shared" si="28"/>
        <v>3.5243286569704775E-2</v>
      </c>
      <c r="X52" s="114">
        <f t="shared" si="28"/>
        <v>3.6472662303123252E-2</v>
      </c>
      <c r="Y52" s="114">
        <f t="shared" si="28"/>
        <v>3.1166989488240152E-2</v>
      </c>
      <c r="Z52" s="114">
        <f t="shared" si="28"/>
        <v>3.60686258963537E-2</v>
      </c>
      <c r="AA52" s="114">
        <f t="shared" si="28"/>
        <v>4.0118883209398659E-2</v>
      </c>
      <c r="AB52" s="114">
        <f t="shared" si="28"/>
        <v>2.5320268151748569E-2</v>
      </c>
      <c r="AC52" s="114">
        <f t="shared" si="28"/>
        <v>2.796932459280662E-2</v>
      </c>
      <c r="AD52" s="114">
        <f t="shared" si="28"/>
        <v>3.5583110214206501E-2</v>
      </c>
      <c r="AE52" s="114">
        <f t="shared" si="28"/>
        <v>3.5255699792643175E-2</v>
      </c>
      <c r="AF52" s="114">
        <f t="shared" si="28"/>
        <v>4.4043234975496955E-2</v>
      </c>
      <c r="AG52" s="114">
        <f t="shared" si="28"/>
        <v>2.8041937280371122E-2</v>
      </c>
      <c r="AH52" s="114">
        <f t="shared" si="28"/>
        <v>3.1296721667821971E-2</v>
      </c>
      <c r="AI52" s="114">
        <f t="shared" si="28"/>
        <v>3.8030101785628122E-2</v>
      </c>
      <c r="AJ52" s="114">
        <f t="shared" si="28"/>
        <v>3.5029461804653016E-2</v>
      </c>
      <c r="AK52" s="114">
        <f t="shared" si="28"/>
        <v>3.6477515593294658E-2</v>
      </c>
      <c r="AL52" s="114">
        <f t="shared" si="28"/>
        <v>3.3232251121180029E-2</v>
      </c>
      <c r="AM52" s="114">
        <f t="shared" si="28"/>
        <v>3.8167673895486823E-2</v>
      </c>
      <c r="AN52" s="114">
        <f t="shared" si="28"/>
        <v>3.5649842954063329E-2</v>
      </c>
      <c r="AO52" s="114">
        <f t="shared" si="28"/>
        <v>3.3996924320686378E-2</v>
      </c>
      <c r="AP52" s="113">
        <f t="shared" si="27"/>
        <v>1</v>
      </c>
    </row>
    <row r="53" spans="9:42" x14ac:dyDescent="0.25">
      <c r="I53" s="328">
        <v>43556</v>
      </c>
      <c r="J53" t="s">
        <v>159</v>
      </c>
      <c r="K53" s="114">
        <f t="shared" ref="K53:AO53" si="29">K50/$AP50</f>
        <v>2.7256777683489143E-2</v>
      </c>
      <c r="L53" s="114">
        <f t="shared" si="29"/>
        <v>1.8854974290084876E-2</v>
      </c>
      <c r="M53" s="114">
        <f t="shared" si="29"/>
        <v>3.8707163455527542E-2</v>
      </c>
      <c r="N53" s="114">
        <f t="shared" si="29"/>
        <v>3.1408408387156125E-2</v>
      </c>
      <c r="O53" s="114">
        <f t="shared" si="29"/>
        <v>3.7406280566512407E-2</v>
      </c>
      <c r="P53" s="114">
        <f t="shared" si="29"/>
        <v>2.9866049379936081E-2</v>
      </c>
      <c r="Q53" s="114">
        <f t="shared" si="29"/>
        <v>2.0867954382030231E-2</v>
      </c>
      <c r="R53" s="114">
        <f t="shared" si="29"/>
        <v>3.1127687038372612E-2</v>
      </c>
      <c r="S53" s="114">
        <f t="shared" si="29"/>
        <v>2.6818432047955525E-2</v>
      </c>
      <c r="T53" s="114">
        <f t="shared" si="29"/>
        <v>3.4765376785309499E-2</v>
      </c>
      <c r="U53" s="114">
        <f t="shared" si="29"/>
        <v>3.8537529699310763E-2</v>
      </c>
      <c r="V53" s="114">
        <f t="shared" si="29"/>
        <v>4.220320579920124E-2</v>
      </c>
      <c r="W53" s="114">
        <f t="shared" si="29"/>
        <v>3.08602618879272E-2</v>
      </c>
      <c r="X53" s="114">
        <f t="shared" si="29"/>
        <v>2.6969837145160384E-2</v>
      </c>
      <c r="Y53" s="114">
        <f t="shared" si="29"/>
        <v>2.4113835187616863E-2</v>
      </c>
      <c r="Z53" s="114">
        <f t="shared" si="29"/>
        <v>3.1597771986068154E-2</v>
      </c>
      <c r="AA53" s="114">
        <f t="shared" si="29"/>
        <v>2.8102158552018267E-2</v>
      </c>
      <c r="AB53" s="114">
        <f t="shared" si="29"/>
        <v>3.4496128768962894E-2</v>
      </c>
      <c r="AC53" s="114">
        <f t="shared" si="29"/>
        <v>3.921617195158382E-2</v>
      </c>
      <c r="AD53" s="114">
        <f t="shared" si="29"/>
        <v>3.9811391282025876E-2</v>
      </c>
      <c r="AE53" s="114">
        <f t="shared" si="29"/>
        <v>2.8814041300136584E-2</v>
      </c>
      <c r="AF53" s="114">
        <f t="shared" si="29"/>
        <v>3.3494088660337248E-2</v>
      </c>
      <c r="AG53" s="114">
        <f t="shared" si="29"/>
        <v>2.5724390825022675E-2</v>
      </c>
      <c r="AH53" s="114">
        <f t="shared" si="29"/>
        <v>3.6667162057282168E-2</v>
      </c>
      <c r="AI53" s="114">
        <f t="shared" si="29"/>
        <v>3.7211555597302756E-2</v>
      </c>
      <c r="AJ53" s="114">
        <f t="shared" si="29"/>
        <v>3.7417539444137414E-2</v>
      </c>
      <c r="AK53" s="114">
        <f t="shared" si="29"/>
        <v>3.8142932845405743E-2</v>
      </c>
      <c r="AL53" s="114">
        <f t="shared" si="29"/>
        <v>4.1273651416999443E-2</v>
      </c>
      <c r="AM53" s="114">
        <f t="shared" si="29"/>
        <v>4.1867155108946258E-2</v>
      </c>
      <c r="AN53" s="114">
        <f t="shared" si="29"/>
        <v>4.6400086468180161E-2</v>
      </c>
      <c r="AO53" s="114">
        <f t="shared" si="29"/>
        <v>0</v>
      </c>
      <c r="AP53" s="113">
        <f t="shared" si="27"/>
        <v>0.99999999999999978</v>
      </c>
    </row>
    <row r="54" spans="9:42" x14ac:dyDescent="0.25">
      <c r="I54" s="328">
        <v>43586</v>
      </c>
      <c r="J54" t="s">
        <v>159</v>
      </c>
      <c r="K54" s="114">
        <f t="shared" ref="K54:AO54" si="30">K51/$AP51</f>
        <v>2.4090063166474222E-2</v>
      </c>
      <c r="L54" s="114">
        <f t="shared" si="30"/>
        <v>1.7387488962847242E-2</v>
      </c>
      <c r="M54" s="114">
        <f t="shared" si="30"/>
        <v>3.9611492223052359E-2</v>
      </c>
      <c r="N54" s="114">
        <f t="shared" si="30"/>
        <v>1.5232629219588395E-2</v>
      </c>
      <c r="O54" s="114">
        <f t="shared" si="30"/>
        <v>1.8464171704136383E-2</v>
      </c>
      <c r="P54" s="114">
        <f t="shared" si="30"/>
        <v>2.9104122801059562E-2</v>
      </c>
      <c r="Q54" s="114">
        <f t="shared" si="30"/>
        <v>2.598519323507437E-2</v>
      </c>
      <c r="R54" s="114">
        <f t="shared" si="30"/>
        <v>2.6848468382802412E-2</v>
      </c>
      <c r="S54" s="114">
        <f t="shared" si="30"/>
        <v>2.7222576920464574E-2</v>
      </c>
      <c r="T54" s="114">
        <f t="shared" si="30"/>
        <v>2.8584527609862114E-2</v>
      </c>
      <c r="U54" s="114">
        <f t="shared" si="30"/>
        <v>2.3510833389934111E-2</v>
      </c>
      <c r="V54" s="114">
        <f t="shared" si="30"/>
        <v>1.9231814168308086E-2</v>
      </c>
      <c r="W54" s="114">
        <f t="shared" si="30"/>
        <v>2.848943829382598E-2</v>
      </c>
      <c r="X54" s="114">
        <f t="shared" si="30"/>
        <v>2.1868505060110028E-2</v>
      </c>
      <c r="Y54" s="114">
        <f t="shared" si="30"/>
        <v>2.916525164708279E-2</v>
      </c>
      <c r="Z54" s="114">
        <f t="shared" si="30"/>
        <v>3.647082795625891E-2</v>
      </c>
      <c r="AA54" s="114">
        <f t="shared" si="30"/>
        <v>3.1501596142090596E-2</v>
      </c>
      <c r="AB54" s="114">
        <f t="shared" si="30"/>
        <v>3.3944712354818989E-2</v>
      </c>
      <c r="AC54" s="114">
        <f t="shared" si="30"/>
        <v>2.8329009033485019E-2</v>
      </c>
      <c r="AD54" s="114">
        <f t="shared" si="30"/>
        <v>4.5717992257012834E-2</v>
      </c>
      <c r="AE54" s="114">
        <f t="shared" si="30"/>
        <v>2.9481899069483116E-2</v>
      </c>
      <c r="AF54" s="114">
        <f t="shared" si="30"/>
        <v>3.5775996739794876E-2</v>
      </c>
      <c r="AG54" s="114">
        <f t="shared" si="30"/>
        <v>3.3172587108605579E-2</v>
      </c>
      <c r="AH54" s="114">
        <f t="shared" si="30"/>
        <v>2.6947632955240094E-2</v>
      </c>
      <c r="AI54" s="114">
        <f t="shared" si="30"/>
        <v>3.5405827616654208E-2</v>
      </c>
      <c r="AJ54" s="114">
        <f t="shared" si="30"/>
        <v>3.3248251035794332E-2</v>
      </c>
      <c r="AK54" s="114">
        <f t="shared" si="30"/>
        <v>4.2982951844053513E-2</v>
      </c>
      <c r="AL54" s="114">
        <f t="shared" si="30"/>
        <v>5.5280309719486505E-2</v>
      </c>
      <c r="AM54" s="114">
        <f t="shared" si="30"/>
        <v>5.586565238062894E-2</v>
      </c>
      <c r="AN54" s="114">
        <f t="shared" si="30"/>
        <v>5.1485023432724299E-2</v>
      </c>
      <c r="AO54" s="114">
        <f t="shared" si="30"/>
        <v>4.9593153569245388E-2</v>
      </c>
      <c r="AP54" s="113">
        <f t="shared" si="27"/>
        <v>0.99999999999999978</v>
      </c>
    </row>
    <row r="55" spans="9:42" x14ac:dyDescent="0.25">
      <c r="J55" t="s">
        <v>176</v>
      </c>
      <c r="K55" s="113">
        <f t="shared" ref="K55:AN55" si="31">AVERAGE(K52:K54)</f>
        <v>2.4953397245965379E-2</v>
      </c>
      <c r="L55" s="113">
        <f t="shared" si="31"/>
        <v>2.0804921275757449E-2</v>
      </c>
      <c r="M55" s="113">
        <f t="shared" si="31"/>
        <v>3.3145418179800233E-2</v>
      </c>
      <c r="N55" s="113">
        <f t="shared" si="31"/>
        <v>2.2489395239102442E-2</v>
      </c>
      <c r="O55" s="113">
        <f t="shared" si="31"/>
        <v>2.6981720868741621E-2</v>
      </c>
      <c r="P55" s="113">
        <f t="shared" si="31"/>
        <v>2.9632382010147184E-2</v>
      </c>
      <c r="Q55" s="113">
        <f t="shared" si="31"/>
        <v>2.5254732389390199E-2</v>
      </c>
      <c r="R55" s="113">
        <f t="shared" si="31"/>
        <v>3.3769896680535712E-2</v>
      </c>
      <c r="S55" s="113">
        <f t="shared" si="31"/>
        <v>2.7616028703604686E-2</v>
      </c>
      <c r="T55" s="113">
        <f t="shared" si="31"/>
        <v>2.9862668128111905E-2</v>
      </c>
      <c r="U55" s="113">
        <f t="shared" si="31"/>
        <v>3.1313204267688029E-2</v>
      </c>
      <c r="V55" s="113">
        <f t="shared" si="31"/>
        <v>3.2819136905015873E-2</v>
      </c>
      <c r="W55" s="113">
        <f t="shared" si="31"/>
        <v>3.1530995583819318E-2</v>
      </c>
      <c r="X55" s="113">
        <f t="shared" si="31"/>
        <v>2.8437001502797887E-2</v>
      </c>
      <c r="Y55" s="113">
        <f t="shared" si="31"/>
        <v>2.8148692107646603E-2</v>
      </c>
      <c r="Z55" s="113">
        <f t="shared" si="31"/>
        <v>3.471240861289359E-2</v>
      </c>
      <c r="AA55" s="113">
        <f t="shared" si="31"/>
        <v>3.3240879301169174E-2</v>
      </c>
      <c r="AB55" s="113">
        <f t="shared" si="31"/>
        <v>3.1253703091843478E-2</v>
      </c>
      <c r="AC55" s="113">
        <f t="shared" si="31"/>
        <v>3.1838168525958485E-2</v>
      </c>
      <c r="AD55" s="113">
        <f t="shared" si="31"/>
        <v>4.0370831251081735E-2</v>
      </c>
      <c r="AE55" s="113">
        <f t="shared" si="31"/>
        <v>3.1183880054087624E-2</v>
      </c>
      <c r="AF55" s="113">
        <f t="shared" si="31"/>
        <v>3.7771106791876362E-2</v>
      </c>
      <c r="AG55" s="113">
        <f t="shared" si="31"/>
        <v>2.8979638404666459E-2</v>
      </c>
      <c r="AH55" s="113">
        <f t="shared" si="31"/>
        <v>3.1637172226781411E-2</v>
      </c>
      <c r="AI55" s="113">
        <f t="shared" si="31"/>
        <v>3.6882494999861688E-2</v>
      </c>
      <c r="AJ55" s="113">
        <f t="shared" si="31"/>
        <v>3.5231750761528256E-2</v>
      </c>
      <c r="AK55" s="113">
        <f t="shared" si="31"/>
        <v>3.920113342758464E-2</v>
      </c>
      <c r="AL55" s="113">
        <f t="shared" si="31"/>
        <v>4.326207075255533E-2</v>
      </c>
      <c r="AM55" s="113">
        <f t="shared" si="31"/>
        <v>4.530016046168734E-2</v>
      </c>
      <c r="AN55" s="113">
        <f t="shared" si="31"/>
        <v>4.4511650951655927E-2</v>
      </c>
      <c r="AO55" s="113">
        <f>AVERAGE(AO52,AO54)</f>
        <v>4.1795038944965883E-2</v>
      </c>
      <c r="AP55" s="113"/>
    </row>
    <row r="58" spans="9:42" x14ac:dyDescent="0.25">
      <c r="J58" t="s">
        <v>175</v>
      </c>
      <c r="K58">
        <v>1</v>
      </c>
      <c r="L58">
        <v>2</v>
      </c>
      <c r="M58">
        <v>3</v>
      </c>
      <c r="N58">
        <v>4</v>
      </c>
      <c r="O58">
        <v>5</v>
      </c>
      <c r="P58">
        <v>6</v>
      </c>
      <c r="Q58">
        <v>7</v>
      </c>
      <c r="R58">
        <v>8</v>
      </c>
      <c r="S58">
        <v>9</v>
      </c>
      <c r="T58">
        <v>10</v>
      </c>
      <c r="U58">
        <v>11</v>
      </c>
      <c r="V58">
        <v>12</v>
      </c>
      <c r="W58">
        <v>13</v>
      </c>
      <c r="X58">
        <v>14</v>
      </c>
      <c r="Y58">
        <v>15</v>
      </c>
      <c r="Z58">
        <v>16</v>
      </c>
      <c r="AA58">
        <v>17</v>
      </c>
      <c r="AB58">
        <v>18</v>
      </c>
      <c r="AC58">
        <v>19</v>
      </c>
      <c r="AD58">
        <v>20</v>
      </c>
      <c r="AE58">
        <v>21</v>
      </c>
      <c r="AF58">
        <v>22</v>
      </c>
      <c r="AG58">
        <v>23</v>
      </c>
      <c r="AH58">
        <v>24</v>
      </c>
      <c r="AI58">
        <v>25</v>
      </c>
      <c r="AJ58">
        <v>26</v>
      </c>
      <c r="AK58">
        <v>27</v>
      </c>
      <c r="AL58">
        <v>28</v>
      </c>
      <c r="AM58">
        <v>29</v>
      </c>
      <c r="AN58">
        <v>30</v>
      </c>
      <c r="AO58">
        <v>31</v>
      </c>
      <c r="AP58" t="s">
        <v>20</v>
      </c>
    </row>
    <row r="59" spans="9:42" x14ac:dyDescent="0.25">
      <c r="I59" s="328">
        <v>43525</v>
      </c>
      <c r="J59" t="s">
        <v>160</v>
      </c>
      <c r="K59">
        <v>633.11</v>
      </c>
      <c r="L59">
        <v>561.54</v>
      </c>
      <c r="M59">
        <v>1151.58</v>
      </c>
      <c r="N59">
        <v>1588.62</v>
      </c>
      <c r="O59">
        <v>1233.47</v>
      </c>
      <c r="P59">
        <v>971.46</v>
      </c>
      <c r="Q59">
        <v>1281.1199999999999</v>
      </c>
      <c r="R59">
        <v>1393.42</v>
      </c>
      <c r="S59">
        <v>979.22</v>
      </c>
      <c r="T59">
        <v>1110.56</v>
      </c>
      <c r="U59">
        <v>1399.15</v>
      </c>
      <c r="V59">
        <v>1123.71</v>
      </c>
      <c r="W59">
        <v>1213</v>
      </c>
      <c r="X59">
        <v>1309.82</v>
      </c>
      <c r="Y59">
        <v>1168.6500000000001</v>
      </c>
      <c r="Z59">
        <v>893.62</v>
      </c>
      <c r="AA59">
        <v>1255.6500000000001</v>
      </c>
      <c r="AB59">
        <v>1161.2</v>
      </c>
      <c r="AC59">
        <v>1012.63</v>
      </c>
      <c r="AD59">
        <v>1053.42</v>
      </c>
      <c r="AE59">
        <v>1130.8399999999999</v>
      </c>
      <c r="AF59">
        <v>1100.26</v>
      </c>
      <c r="AG59">
        <v>899.69</v>
      </c>
      <c r="AH59">
        <v>1257.8399999999999</v>
      </c>
      <c r="AI59">
        <v>1421.43</v>
      </c>
      <c r="AJ59">
        <v>695.66</v>
      </c>
      <c r="AK59">
        <v>821.84</v>
      </c>
      <c r="AL59">
        <v>1141.6400000000001</v>
      </c>
      <c r="AM59">
        <v>1107.79</v>
      </c>
      <c r="AN59">
        <v>1086.42</v>
      </c>
      <c r="AO59">
        <v>1638.51</v>
      </c>
      <c r="AP59">
        <f t="shared" ref="AP59:AP64" si="32">SUM(K59:AO59)</f>
        <v>34796.870000000003</v>
      </c>
    </row>
    <row r="60" spans="9:42" x14ac:dyDescent="0.25">
      <c r="I60" s="328">
        <v>43556</v>
      </c>
      <c r="J60" t="s">
        <v>160</v>
      </c>
      <c r="K60" s="329">
        <v>535.54999999999995</v>
      </c>
      <c r="L60" s="329">
        <v>297.12</v>
      </c>
      <c r="M60" s="329">
        <v>626.74</v>
      </c>
      <c r="N60" s="329">
        <v>1271.4100000000001</v>
      </c>
      <c r="O60" s="329">
        <v>725.91</v>
      </c>
      <c r="P60" s="329">
        <v>519.32000000000005</v>
      </c>
      <c r="Q60" s="329">
        <v>851.14</v>
      </c>
      <c r="R60" s="329">
        <v>1498.41</v>
      </c>
      <c r="S60" s="329">
        <v>832.73</v>
      </c>
      <c r="T60" s="329">
        <v>1116.2</v>
      </c>
      <c r="U60" s="329">
        <v>996.51</v>
      </c>
      <c r="V60" s="329">
        <v>1394.59</v>
      </c>
      <c r="W60" s="329">
        <v>811.82</v>
      </c>
      <c r="X60" s="329">
        <v>677.7</v>
      </c>
      <c r="Y60" s="329">
        <v>734.91</v>
      </c>
      <c r="Z60" s="329">
        <v>545.25</v>
      </c>
      <c r="AA60" s="329">
        <v>966.03</v>
      </c>
      <c r="AB60" s="329">
        <v>1133.0999999999999</v>
      </c>
      <c r="AC60" s="329">
        <v>1080.96</v>
      </c>
      <c r="AD60" s="329">
        <v>747.75</v>
      </c>
      <c r="AE60" s="329">
        <v>1004.79</v>
      </c>
      <c r="AF60" s="329">
        <v>655.93</v>
      </c>
      <c r="AG60" s="329">
        <v>788.02</v>
      </c>
      <c r="AH60" s="329">
        <v>1086.24</v>
      </c>
      <c r="AI60" s="329">
        <v>1232.47</v>
      </c>
      <c r="AJ60" s="329">
        <v>1084.6199999999999</v>
      </c>
      <c r="AK60" s="329">
        <v>1377.26</v>
      </c>
      <c r="AL60" s="329">
        <v>1114.3499999999999</v>
      </c>
      <c r="AM60" s="329">
        <v>1083.1199999999999</v>
      </c>
      <c r="AN60" s="329">
        <v>1728.73</v>
      </c>
      <c r="AP60">
        <f t="shared" si="32"/>
        <v>28518.68</v>
      </c>
    </row>
    <row r="61" spans="9:42" x14ac:dyDescent="0.25">
      <c r="I61" s="328">
        <v>43586</v>
      </c>
      <c r="J61" t="s">
        <v>160</v>
      </c>
      <c r="K61" s="329">
        <v>756.04</v>
      </c>
      <c r="L61" s="329">
        <v>539.20000000000005</v>
      </c>
      <c r="M61" s="329">
        <v>503.58</v>
      </c>
      <c r="N61" s="329">
        <v>42.42</v>
      </c>
      <c r="O61" s="329">
        <v>432.17</v>
      </c>
      <c r="P61" s="329">
        <v>1325.04</v>
      </c>
      <c r="Q61" s="329">
        <v>451.3</v>
      </c>
      <c r="R61" s="329">
        <v>899.74</v>
      </c>
      <c r="S61" s="329">
        <v>1087.81</v>
      </c>
      <c r="T61" s="329">
        <v>690.38</v>
      </c>
      <c r="U61" s="329">
        <v>916.58</v>
      </c>
      <c r="V61" s="329">
        <v>1088.9100000000001</v>
      </c>
      <c r="W61" s="329">
        <v>1155.17</v>
      </c>
      <c r="X61" s="329">
        <v>1164.8499999999999</v>
      </c>
      <c r="Y61" s="329">
        <v>1305.76</v>
      </c>
      <c r="Z61" s="329">
        <v>1312.96</v>
      </c>
      <c r="AA61" s="329">
        <v>1324.54</v>
      </c>
      <c r="AB61" s="329">
        <v>913.85</v>
      </c>
      <c r="AC61" s="329">
        <v>757.03</v>
      </c>
      <c r="AD61" s="329">
        <v>914.87</v>
      </c>
      <c r="AE61" s="329">
        <v>834.39</v>
      </c>
      <c r="AF61" s="329">
        <v>938.22</v>
      </c>
      <c r="AG61" s="329">
        <v>718.51</v>
      </c>
      <c r="AH61" s="329">
        <v>460.54</v>
      </c>
      <c r="AI61" s="329">
        <v>1340.02</v>
      </c>
      <c r="AJ61" s="329">
        <v>961.78</v>
      </c>
      <c r="AK61" s="329">
        <v>1020.55</v>
      </c>
      <c r="AL61" s="329">
        <v>916.76</v>
      </c>
      <c r="AM61" s="329">
        <v>1133.9000000000001</v>
      </c>
      <c r="AN61" s="329">
        <v>926.68</v>
      </c>
      <c r="AO61" s="329">
        <v>1025.69</v>
      </c>
      <c r="AP61">
        <f t="shared" si="32"/>
        <v>27859.239999999998</v>
      </c>
    </row>
    <row r="62" spans="9:42" x14ac:dyDescent="0.25">
      <c r="I62" s="328">
        <v>43525</v>
      </c>
      <c r="J62" t="s">
        <v>160</v>
      </c>
      <c r="K62" s="114">
        <f t="shared" ref="K62:AO62" si="33">K59/$AP59</f>
        <v>1.8194452547025061E-2</v>
      </c>
      <c r="L62" s="114">
        <f t="shared" si="33"/>
        <v>1.6137658358352343E-2</v>
      </c>
      <c r="M62" s="114">
        <f t="shared" si="33"/>
        <v>3.3094355900401384E-2</v>
      </c>
      <c r="N62" s="114">
        <f t="shared" si="33"/>
        <v>4.5654106245762903E-2</v>
      </c>
      <c r="O62" s="114">
        <f t="shared" si="33"/>
        <v>3.5447728488223224E-2</v>
      </c>
      <c r="P62" s="114">
        <f t="shared" si="33"/>
        <v>2.7918028259438277E-2</v>
      </c>
      <c r="Q62" s="114">
        <f t="shared" si="33"/>
        <v>3.6817104526930149E-2</v>
      </c>
      <c r="R62" s="114">
        <f t="shared" si="33"/>
        <v>4.0044406292864848E-2</v>
      </c>
      <c r="S62" s="114">
        <f t="shared" si="33"/>
        <v>2.8141036823139551E-2</v>
      </c>
      <c r="T62" s="114">
        <f t="shared" si="33"/>
        <v>3.1915514240217581E-2</v>
      </c>
      <c r="U62" s="114">
        <f t="shared" si="33"/>
        <v>4.0209076276113337E-2</v>
      </c>
      <c r="V62" s="114">
        <f t="shared" si="33"/>
        <v>3.2293421793396934E-2</v>
      </c>
      <c r="W62" s="114">
        <f t="shared" si="33"/>
        <v>3.4859457186810189E-2</v>
      </c>
      <c r="X62" s="114">
        <f t="shared" si="33"/>
        <v>3.7641891354021205E-2</v>
      </c>
      <c r="Y62" s="114">
        <f t="shared" si="33"/>
        <v>3.3584917264110246E-2</v>
      </c>
      <c r="Z62" s="114">
        <f t="shared" si="33"/>
        <v>2.5681045450352286E-2</v>
      </c>
      <c r="AA62" s="114">
        <f t="shared" si="33"/>
        <v>3.6085142140658055E-2</v>
      </c>
      <c r="AB62" s="114">
        <f t="shared" si="33"/>
        <v>3.3370817547670233E-2</v>
      </c>
      <c r="AC62" s="114">
        <f t="shared" si="33"/>
        <v>2.9101180652167852E-2</v>
      </c>
      <c r="AD62" s="114">
        <f t="shared" si="33"/>
        <v>3.027341252244814E-2</v>
      </c>
      <c r="AE62" s="114">
        <f t="shared" si="33"/>
        <v>3.2498325280405964E-2</v>
      </c>
      <c r="AF62" s="114">
        <f t="shared" si="33"/>
        <v>3.1619510605407901E-2</v>
      </c>
      <c r="AG62" s="114">
        <f t="shared" si="33"/>
        <v>2.5855486427371198E-2</v>
      </c>
      <c r="AH62" s="114">
        <f t="shared" si="33"/>
        <v>3.6148078835826318E-2</v>
      </c>
      <c r="AI62" s="114">
        <f t="shared" si="33"/>
        <v>4.0849363750245352E-2</v>
      </c>
      <c r="AJ62" s="114">
        <f t="shared" si="33"/>
        <v>1.9992028018612017E-2</v>
      </c>
      <c r="AK62" s="114">
        <f t="shared" si="33"/>
        <v>2.3618216236115489E-2</v>
      </c>
      <c r="AL62" s="114">
        <f t="shared" si="33"/>
        <v>3.2808698023701559E-2</v>
      </c>
      <c r="AM62" s="114">
        <f t="shared" si="33"/>
        <v>3.1835909379205656E-2</v>
      </c>
      <c r="AN62" s="114">
        <f t="shared" si="33"/>
        <v>3.1221773682517995E-2</v>
      </c>
      <c r="AO62" s="114">
        <f t="shared" si="33"/>
        <v>4.7087855890486696E-2</v>
      </c>
      <c r="AP62" s="113">
        <f t="shared" si="32"/>
        <v>1</v>
      </c>
    </row>
    <row r="63" spans="9:42" x14ac:dyDescent="0.25">
      <c r="I63" s="328">
        <v>43556</v>
      </c>
      <c r="J63" t="s">
        <v>160</v>
      </c>
      <c r="K63" s="114">
        <f t="shared" ref="K63:AO63" si="34">K60/$AP60</f>
        <v>1.877891964144203E-2</v>
      </c>
      <c r="L63" s="114">
        <f t="shared" si="34"/>
        <v>1.0418434513799377E-2</v>
      </c>
      <c r="M63" s="114">
        <f t="shared" si="34"/>
        <v>2.1976472964386852E-2</v>
      </c>
      <c r="N63" s="114">
        <f t="shared" si="34"/>
        <v>4.4581656654515571E-2</v>
      </c>
      <c r="O63" s="114">
        <f t="shared" si="34"/>
        <v>2.5453842884733794E-2</v>
      </c>
      <c r="P63" s="114">
        <f t="shared" si="34"/>
        <v>1.8209818967778315E-2</v>
      </c>
      <c r="Q63" s="114">
        <f t="shared" si="34"/>
        <v>2.9844999838702212E-2</v>
      </c>
      <c r="R63" s="114">
        <f t="shared" si="34"/>
        <v>5.2541351843773981E-2</v>
      </c>
      <c r="S63" s="114">
        <f t="shared" si="34"/>
        <v>2.9199458039432399E-2</v>
      </c>
      <c r="T63" s="114">
        <f t="shared" si="34"/>
        <v>3.9139258899780774E-2</v>
      </c>
      <c r="U63" s="114">
        <f t="shared" si="34"/>
        <v>3.4942360586114087E-2</v>
      </c>
      <c r="V63" s="114">
        <f t="shared" si="34"/>
        <v>4.8900930898625038E-2</v>
      </c>
      <c r="W63" s="114">
        <f t="shared" si="34"/>
        <v>2.8466254398871196E-2</v>
      </c>
      <c r="X63" s="114">
        <f t="shared" si="34"/>
        <v>2.3763371937270589E-2</v>
      </c>
      <c r="Y63" s="114">
        <f t="shared" si="34"/>
        <v>2.5769425513382807E-2</v>
      </c>
      <c r="Z63" s="114">
        <f t="shared" si="34"/>
        <v>1.9119047585652631E-2</v>
      </c>
      <c r="AA63" s="114">
        <f t="shared" si="34"/>
        <v>3.3873587417089429E-2</v>
      </c>
      <c r="AB63" s="114">
        <f t="shared" si="34"/>
        <v>3.9731852946910583E-2</v>
      </c>
      <c r="AC63" s="114">
        <f t="shared" si="34"/>
        <v>3.7903577584937315E-2</v>
      </c>
      <c r="AD63" s="114">
        <f t="shared" si="34"/>
        <v>2.6219656730255399E-2</v>
      </c>
      <c r="AE63" s="114">
        <f t="shared" si="34"/>
        <v>3.5232696604471175E-2</v>
      </c>
      <c r="AF63" s="114">
        <f t="shared" si="34"/>
        <v>2.3000012623305144E-2</v>
      </c>
      <c r="AG63" s="114">
        <f t="shared" si="34"/>
        <v>2.7631713669777142E-2</v>
      </c>
      <c r="AH63" s="114">
        <f t="shared" si="34"/>
        <v>3.8088719393744731E-2</v>
      </c>
      <c r="AI63" s="114">
        <f t="shared" si="34"/>
        <v>4.3216235814560841E-2</v>
      </c>
      <c r="AJ63" s="114">
        <f t="shared" si="34"/>
        <v>3.8031914520587906E-2</v>
      </c>
      <c r="AK63" s="114">
        <f t="shared" si="34"/>
        <v>4.8293259014793109E-2</v>
      </c>
      <c r="AL63" s="114">
        <f t="shared" si="34"/>
        <v>3.9074389137225142E-2</v>
      </c>
      <c r="AM63" s="114">
        <f t="shared" si="34"/>
        <v>3.797931741581307E-2</v>
      </c>
      <c r="AN63" s="114">
        <f t="shared" si="34"/>
        <v>6.0617461958267352E-2</v>
      </c>
      <c r="AO63" s="114">
        <f t="shared" si="34"/>
        <v>0</v>
      </c>
      <c r="AP63" s="113">
        <f t="shared" si="32"/>
        <v>0.99999999999999989</v>
      </c>
    </row>
    <row r="64" spans="9:42" x14ac:dyDescent="0.25">
      <c r="I64" s="328">
        <v>43586</v>
      </c>
      <c r="J64" t="s">
        <v>160</v>
      </c>
      <c r="K64" s="114">
        <f t="shared" ref="K64:AO64" si="35">K61/$AP61</f>
        <v>2.7137854442547609E-2</v>
      </c>
      <c r="L64" s="114">
        <f t="shared" si="35"/>
        <v>1.9354440393923169E-2</v>
      </c>
      <c r="M64" s="114">
        <f t="shared" si="35"/>
        <v>1.8075869980659919E-2</v>
      </c>
      <c r="N64" s="114">
        <f t="shared" si="35"/>
        <v>1.5226546022073827E-3</v>
      </c>
      <c r="O64" s="114">
        <f t="shared" si="35"/>
        <v>1.5512627049409821E-2</v>
      </c>
      <c r="P64" s="114">
        <f t="shared" si="35"/>
        <v>4.7561957899784776E-2</v>
      </c>
      <c r="Q64" s="114">
        <f t="shared" si="35"/>
        <v>1.6199293304483543E-2</v>
      </c>
      <c r="R64" s="114">
        <f t="shared" si="35"/>
        <v>3.2295927670675871E-2</v>
      </c>
      <c r="S64" s="114">
        <f t="shared" si="35"/>
        <v>3.9046650231664613E-2</v>
      </c>
      <c r="T64" s="114">
        <f t="shared" si="35"/>
        <v>2.4781006229889976E-2</v>
      </c>
      <c r="U64" s="114">
        <f t="shared" si="35"/>
        <v>3.2900394985649291E-2</v>
      </c>
      <c r="V64" s="114">
        <f t="shared" si="35"/>
        <v>3.9086134438699696E-2</v>
      </c>
      <c r="W64" s="114">
        <f t="shared" si="35"/>
        <v>4.1464519491558285E-2</v>
      </c>
      <c r="X64" s="114">
        <f t="shared" si="35"/>
        <v>4.1811980513466983E-2</v>
      </c>
      <c r="Y64" s="114">
        <f t="shared" si="35"/>
        <v>4.6869907434660817E-2</v>
      </c>
      <c r="Z64" s="114">
        <f t="shared" si="35"/>
        <v>4.712834951707226E-2</v>
      </c>
      <c r="AA64" s="114">
        <f t="shared" si="35"/>
        <v>4.7544010532950647E-2</v>
      </c>
      <c r="AB64" s="114">
        <f t="shared" si="35"/>
        <v>3.2802402362734955E-2</v>
      </c>
      <c r="AC64" s="114">
        <f t="shared" si="35"/>
        <v>2.7173390228879182E-2</v>
      </c>
      <c r="AD64" s="114">
        <f t="shared" si="35"/>
        <v>3.2839014991076575E-2</v>
      </c>
      <c r="AE64" s="114">
        <f t="shared" si="35"/>
        <v>2.9950206825455399E-2</v>
      </c>
      <c r="AF64" s="114">
        <f t="shared" si="35"/>
        <v>3.3677157022230328E-2</v>
      </c>
      <c r="AG64" s="114">
        <f t="shared" si="35"/>
        <v>2.5790725087977993E-2</v>
      </c>
      <c r="AH64" s="114">
        <f t="shared" si="35"/>
        <v>1.6530960643578219E-2</v>
      </c>
      <c r="AI64" s="114">
        <f t="shared" si="35"/>
        <v>4.8099661010135242E-2</v>
      </c>
      <c r="AJ64" s="114">
        <f t="shared" si="35"/>
        <v>3.4522836947454422E-2</v>
      </c>
      <c r="AK64" s="114">
        <f t="shared" si="35"/>
        <v>3.6632370445137771E-2</v>
      </c>
      <c r="AL64" s="114">
        <f t="shared" si="35"/>
        <v>3.2906856037709577E-2</v>
      </c>
      <c r="AM64" s="114">
        <f t="shared" si="35"/>
        <v>4.0701038506434493E-2</v>
      </c>
      <c r="AN64" s="114">
        <f t="shared" si="35"/>
        <v>3.3262931795698662E-2</v>
      </c>
      <c r="AO64" s="114">
        <f t="shared" si="35"/>
        <v>3.6816869376192607E-2</v>
      </c>
      <c r="AP64" s="113">
        <f t="shared" si="32"/>
        <v>0.99999999999999978</v>
      </c>
    </row>
    <row r="65" spans="9:42" x14ac:dyDescent="0.25">
      <c r="J65" t="s">
        <v>176</v>
      </c>
      <c r="K65" s="113">
        <f t="shared" ref="K65:AN65" si="36">AVERAGE(K62:K64)</f>
        <v>2.1370408877004903E-2</v>
      </c>
      <c r="L65" s="113">
        <f t="shared" si="36"/>
        <v>1.5303511088691629E-2</v>
      </c>
      <c r="M65" s="113">
        <f t="shared" si="36"/>
        <v>2.4382232948482716E-2</v>
      </c>
      <c r="N65" s="113">
        <f t="shared" si="36"/>
        <v>3.0586139167495283E-2</v>
      </c>
      <c r="O65" s="113">
        <f t="shared" si="36"/>
        <v>2.5471399474122278E-2</v>
      </c>
      <c r="P65" s="113">
        <f t="shared" si="36"/>
        <v>3.122993504233379E-2</v>
      </c>
      <c r="Q65" s="113">
        <f t="shared" si="36"/>
        <v>2.7620465890038633E-2</v>
      </c>
      <c r="R65" s="113">
        <f t="shared" si="36"/>
        <v>4.1627228602438233E-2</v>
      </c>
      <c r="S65" s="113">
        <f t="shared" si="36"/>
        <v>3.2129048364745526E-2</v>
      </c>
      <c r="T65" s="113">
        <f t="shared" si="36"/>
        <v>3.1945259789962779E-2</v>
      </c>
      <c r="U65" s="113">
        <f t="shared" si="36"/>
        <v>3.6017277282625569E-2</v>
      </c>
      <c r="V65" s="113">
        <f t="shared" si="36"/>
        <v>4.0093495710240554E-2</v>
      </c>
      <c r="W65" s="113">
        <f t="shared" si="36"/>
        <v>3.4930077025746555E-2</v>
      </c>
      <c r="X65" s="113">
        <f t="shared" si="36"/>
        <v>3.4405747934919594E-2</v>
      </c>
      <c r="Y65" s="113">
        <f t="shared" si="36"/>
        <v>3.5408083404051292E-2</v>
      </c>
      <c r="Z65" s="113">
        <f t="shared" si="36"/>
        <v>3.064281418435906E-2</v>
      </c>
      <c r="AA65" s="113">
        <f t="shared" si="36"/>
        <v>3.9167580030232713E-2</v>
      </c>
      <c r="AB65" s="113">
        <f t="shared" si="36"/>
        <v>3.530169095243859E-2</v>
      </c>
      <c r="AC65" s="113">
        <f t="shared" si="36"/>
        <v>3.1392716155328119E-2</v>
      </c>
      <c r="AD65" s="113">
        <f t="shared" si="36"/>
        <v>2.9777361414593372E-2</v>
      </c>
      <c r="AE65" s="113">
        <f t="shared" si="36"/>
        <v>3.2560409570110853E-2</v>
      </c>
      <c r="AF65" s="113">
        <f t="shared" si="36"/>
        <v>2.9432226750314455E-2</v>
      </c>
      <c r="AG65" s="113">
        <f t="shared" si="36"/>
        <v>2.6425975061708778E-2</v>
      </c>
      <c r="AH65" s="113">
        <f t="shared" si="36"/>
        <v>3.025591962438309E-2</v>
      </c>
      <c r="AI65" s="113">
        <f t="shared" si="36"/>
        <v>4.4055086858313809E-2</v>
      </c>
      <c r="AJ65" s="113">
        <f t="shared" si="36"/>
        <v>3.0848926495551449E-2</v>
      </c>
      <c r="AK65" s="113">
        <f t="shared" si="36"/>
        <v>3.6181281898682124E-2</v>
      </c>
      <c r="AL65" s="113">
        <f t="shared" si="36"/>
        <v>3.492998106621209E-2</v>
      </c>
      <c r="AM65" s="113">
        <f t="shared" si="36"/>
        <v>3.6838755100484406E-2</v>
      </c>
      <c r="AN65" s="113">
        <f t="shared" si="36"/>
        <v>4.1700722478828001E-2</v>
      </c>
      <c r="AO65" s="113">
        <f>AVERAGE(AO62,AO64)</f>
        <v>4.1952362633339652E-2</v>
      </c>
      <c r="AP65" s="113"/>
    </row>
    <row r="68" spans="9:42" x14ac:dyDescent="0.25">
      <c r="J68" t="s">
        <v>175</v>
      </c>
      <c r="K68">
        <v>1</v>
      </c>
      <c r="L68">
        <v>2</v>
      </c>
      <c r="M68">
        <v>3</v>
      </c>
      <c r="N68">
        <v>4</v>
      </c>
      <c r="O68">
        <v>5</v>
      </c>
      <c r="P68">
        <v>6</v>
      </c>
      <c r="Q68">
        <v>7</v>
      </c>
      <c r="R68">
        <v>8</v>
      </c>
      <c r="S68">
        <v>9</v>
      </c>
      <c r="T68">
        <v>10</v>
      </c>
      <c r="U68">
        <v>11</v>
      </c>
      <c r="V68">
        <v>12</v>
      </c>
      <c r="W68">
        <v>13</v>
      </c>
      <c r="X68">
        <v>14</v>
      </c>
      <c r="Y68">
        <v>15</v>
      </c>
      <c r="Z68">
        <v>16</v>
      </c>
      <c r="AA68">
        <v>17</v>
      </c>
      <c r="AB68">
        <v>18</v>
      </c>
      <c r="AC68">
        <v>19</v>
      </c>
      <c r="AD68">
        <v>20</v>
      </c>
      <c r="AE68">
        <v>21</v>
      </c>
      <c r="AF68">
        <v>22</v>
      </c>
      <c r="AG68">
        <v>23</v>
      </c>
      <c r="AH68">
        <v>24</v>
      </c>
      <c r="AI68">
        <v>25</v>
      </c>
      <c r="AJ68">
        <v>26</v>
      </c>
      <c r="AK68">
        <v>27</v>
      </c>
      <c r="AL68">
        <v>28</v>
      </c>
      <c r="AM68">
        <v>29</v>
      </c>
      <c r="AN68">
        <v>30</v>
      </c>
      <c r="AO68">
        <v>31</v>
      </c>
      <c r="AP68" t="s">
        <v>20</v>
      </c>
    </row>
    <row r="69" spans="9:42" x14ac:dyDescent="0.25">
      <c r="I69" s="328">
        <v>43525</v>
      </c>
      <c r="J69" t="s">
        <v>60</v>
      </c>
      <c r="K69">
        <v>420</v>
      </c>
      <c r="L69">
        <v>200</v>
      </c>
      <c r="M69">
        <v>332.5</v>
      </c>
      <c r="N69">
        <v>563.97</v>
      </c>
      <c r="O69">
        <v>468.33</v>
      </c>
      <c r="P69">
        <v>600.20000000000005</v>
      </c>
      <c r="Q69">
        <v>562.5</v>
      </c>
      <c r="R69">
        <v>414.55</v>
      </c>
      <c r="S69">
        <v>308.72000000000003</v>
      </c>
      <c r="T69">
        <v>364.89</v>
      </c>
      <c r="U69">
        <v>490</v>
      </c>
      <c r="V69">
        <v>811.19</v>
      </c>
      <c r="W69">
        <v>347</v>
      </c>
      <c r="X69">
        <v>776.81</v>
      </c>
      <c r="Y69">
        <v>612.5</v>
      </c>
      <c r="Z69">
        <v>465.26</v>
      </c>
      <c r="AA69">
        <v>696.85</v>
      </c>
      <c r="AB69">
        <v>435</v>
      </c>
      <c r="AC69">
        <v>755</v>
      </c>
      <c r="AD69">
        <v>471.65</v>
      </c>
      <c r="AE69">
        <v>577.5</v>
      </c>
      <c r="AF69">
        <v>766.3</v>
      </c>
      <c r="AG69">
        <v>643.25</v>
      </c>
      <c r="AH69">
        <v>557.5</v>
      </c>
      <c r="AI69">
        <v>824.5</v>
      </c>
      <c r="AJ69">
        <v>588</v>
      </c>
      <c r="AK69">
        <v>556.95000000000005</v>
      </c>
      <c r="AL69">
        <v>580.5</v>
      </c>
      <c r="AM69">
        <v>734.4</v>
      </c>
      <c r="AN69">
        <v>684.5</v>
      </c>
      <c r="AO69">
        <v>615.4</v>
      </c>
      <c r="AP69">
        <f t="shared" ref="AP69:AP74" si="37">SUM(K69:AO69)</f>
        <v>17225.72</v>
      </c>
    </row>
    <row r="70" spans="9:42" x14ac:dyDescent="0.25">
      <c r="I70" s="328">
        <v>43556</v>
      </c>
      <c r="J70" t="s">
        <v>60</v>
      </c>
      <c r="K70" s="329">
        <v>382</v>
      </c>
      <c r="L70" s="329">
        <v>259.5</v>
      </c>
      <c r="M70" s="329">
        <v>365</v>
      </c>
      <c r="N70" s="329">
        <v>352.5</v>
      </c>
      <c r="O70" s="329">
        <v>417</v>
      </c>
      <c r="P70" s="329">
        <v>455</v>
      </c>
      <c r="Q70" s="329">
        <v>429.5</v>
      </c>
      <c r="R70" s="329">
        <v>580</v>
      </c>
      <c r="S70" s="329">
        <v>821.05</v>
      </c>
      <c r="T70" s="329">
        <v>630</v>
      </c>
      <c r="U70" s="329">
        <v>412</v>
      </c>
      <c r="V70" s="329">
        <v>619.5</v>
      </c>
      <c r="W70" s="329">
        <v>389.9</v>
      </c>
      <c r="X70" s="329">
        <v>460.7</v>
      </c>
      <c r="Y70" s="329">
        <v>447.5</v>
      </c>
      <c r="Z70" s="329">
        <v>457.5</v>
      </c>
      <c r="AA70" s="329">
        <v>591.47</v>
      </c>
      <c r="AB70" s="329">
        <v>903.3</v>
      </c>
      <c r="AC70" s="329">
        <v>704.5</v>
      </c>
      <c r="AD70" s="329">
        <v>1100.3900000000001</v>
      </c>
      <c r="AE70" s="329">
        <v>622.48</v>
      </c>
      <c r="AF70" s="329">
        <v>705.83</v>
      </c>
      <c r="AG70" s="329">
        <v>764.66</v>
      </c>
      <c r="AH70" s="329">
        <v>905.62</v>
      </c>
      <c r="AI70" s="329">
        <v>633.53</v>
      </c>
      <c r="AJ70" s="329">
        <v>1000.48</v>
      </c>
      <c r="AK70" s="329">
        <v>993.82</v>
      </c>
      <c r="AL70" s="329">
        <v>645.61</v>
      </c>
      <c r="AM70" s="329">
        <v>941.33</v>
      </c>
      <c r="AN70" s="329">
        <v>1012.18</v>
      </c>
      <c r="AP70">
        <f t="shared" si="37"/>
        <v>19003.850000000002</v>
      </c>
    </row>
    <row r="71" spans="9:42" x14ac:dyDescent="0.25">
      <c r="I71" s="328">
        <v>43586</v>
      </c>
      <c r="J71" t="s">
        <v>60</v>
      </c>
      <c r="K71" s="329">
        <v>520.54999999999995</v>
      </c>
      <c r="L71" s="329">
        <v>597.58000000000004</v>
      </c>
      <c r="M71" s="329">
        <v>297.05</v>
      </c>
      <c r="N71" s="329">
        <v>180</v>
      </c>
      <c r="O71" s="329">
        <v>404.93</v>
      </c>
      <c r="P71" s="329">
        <v>408.39</v>
      </c>
      <c r="Q71" s="329">
        <v>404.45</v>
      </c>
      <c r="R71" s="329">
        <v>513.29</v>
      </c>
      <c r="S71" s="329">
        <v>507.98</v>
      </c>
      <c r="T71" s="329">
        <v>438.68</v>
      </c>
      <c r="U71" s="329">
        <v>397.7</v>
      </c>
      <c r="V71" s="329">
        <v>403.72</v>
      </c>
      <c r="W71" s="329">
        <v>679.22</v>
      </c>
      <c r="X71" s="329">
        <v>651.46</v>
      </c>
      <c r="Y71" s="329">
        <v>622.41999999999996</v>
      </c>
      <c r="Z71" s="329">
        <v>624.4</v>
      </c>
      <c r="AA71" s="329">
        <v>565</v>
      </c>
      <c r="AB71" s="329">
        <v>633.5</v>
      </c>
      <c r="AC71" s="329">
        <v>473.5</v>
      </c>
      <c r="AD71" s="329">
        <v>671.36</v>
      </c>
      <c r="AE71" s="329">
        <v>584.42999999999995</v>
      </c>
      <c r="AF71" s="329">
        <v>660.66</v>
      </c>
      <c r="AG71" s="329">
        <v>634.6</v>
      </c>
      <c r="AH71" s="329">
        <v>902.41</v>
      </c>
      <c r="AI71" s="329">
        <v>911.64</v>
      </c>
      <c r="AJ71" s="329">
        <v>860.82</v>
      </c>
      <c r="AK71" s="329">
        <v>807.17</v>
      </c>
      <c r="AL71" s="329">
        <v>787.79</v>
      </c>
      <c r="AM71" s="329">
        <v>720.65</v>
      </c>
      <c r="AN71" s="329">
        <v>755.77</v>
      </c>
      <c r="AO71" s="329">
        <v>1011.19</v>
      </c>
      <c r="AP71">
        <f t="shared" si="37"/>
        <v>18632.310000000001</v>
      </c>
    </row>
    <row r="72" spans="9:42" x14ac:dyDescent="0.25">
      <c r="I72" s="328">
        <v>43525</v>
      </c>
      <c r="J72" t="s">
        <v>60</v>
      </c>
      <c r="K72" s="114">
        <f t="shared" ref="K72:AO72" si="38">K69/$AP69</f>
        <v>2.4382144839228778E-2</v>
      </c>
      <c r="L72" s="114">
        <f t="shared" si="38"/>
        <v>1.1610545161537514E-2</v>
      </c>
      <c r="M72" s="114">
        <f t="shared" si="38"/>
        <v>1.9302531331056118E-2</v>
      </c>
      <c r="N72" s="114">
        <f t="shared" si="38"/>
        <v>3.2739995773761563E-2</v>
      </c>
      <c r="O72" s="114">
        <f t="shared" si="38"/>
        <v>2.7187833077514319E-2</v>
      </c>
      <c r="P72" s="114">
        <f t="shared" si="38"/>
        <v>3.484324602977408E-2</v>
      </c>
      <c r="Q72" s="114">
        <f t="shared" si="38"/>
        <v>3.265465826682426E-2</v>
      </c>
      <c r="R72" s="114">
        <f t="shared" si="38"/>
        <v>2.4065757483576884E-2</v>
      </c>
      <c r="S72" s="114">
        <f t="shared" si="38"/>
        <v>1.7922037511349308E-2</v>
      </c>
      <c r="T72" s="114">
        <f t="shared" si="38"/>
        <v>2.1182859119967118E-2</v>
      </c>
      <c r="U72" s="114">
        <f t="shared" si="38"/>
        <v>2.8445835645766908E-2</v>
      </c>
      <c r="V72" s="114">
        <f t="shared" si="38"/>
        <v>4.7091790647938087E-2</v>
      </c>
      <c r="W72" s="114">
        <f t="shared" si="38"/>
        <v>2.0144295855267585E-2</v>
      </c>
      <c r="X72" s="114">
        <f t="shared" si="38"/>
        <v>4.5095937934669782E-2</v>
      </c>
      <c r="Y72" s="114">
        <f t="shared" si="38"/>
        <v>3.5557294557208637E-2</v>
      </c>
      <c r="Z72" s="114">
        <f t="shared" si="38"/>
        <v>2.7009611209284717E-2</v>
      </c>
      <c r="AA72" s="114">
        <f t="shared" si="38"/>
        <v>4.0454041979087085E-2</v>
      </c>
      <c r="AB72" s="114">
        <f t="shared" si="38"/>
        <v>2.5252935726344093E-2</v>
      </c>
      <c r="AC72" s="114">
        <f t="shared" si="38"/>
        <v>4.3829807984804119E-2</v>
      </c>
      <c r="AD72" s="114">
        <f t="shared" si="38"/>
        <v>2.7380568127195842E-2</v>
      </c>
      <c r="AE72" s="114">
        <f t="shared" si="38"/>
        <v>3.3525449153939575E-2</v>
      </c>
      <c r="AF72" s="114">
        <f t="shared" si="38"/>
        <v>4.448580378643098E-2</v>
      </c>
      <c r="AG72" s="114">
        <f t="shared" si="38"/>
        <v>3.7342415875795031E-2</v>
      </c>
      <c r="AH72" s="114">
        <f t="shared" si="38"/>
        <v>3.2364394637785822E-2</v>
      </c>
      <c r="AI72" s="114">
        <f t="shared" si="38"/>
        <v>4.7864472428438401E-2</v>
      </c>
      <c r="AJ72" s="114">
        <f t="shared" si="38"/>
        <v>3.4135002774920292E-2</v>
      </c>
      <c r="AK72" s="114">
        <f t="shared" si="38"/>
        <v>3.2332465638591594E-2</v>
      </c>
      <c r="AL72" s="114">
        <f t="shared" si="38"/>
        <v>3.3699607331362631E-2</v>
      </c>
      <c r="AM72" s="114">
        <f t="shared" si="38"/>
        <v>4.263392183316575E-2</v>
      </c>
      <c r="AN72" s="114">
        <f t="shared" si="38"/>
        <v>3.9737090815362142E-2</v>
      </c>
      <c r="AO72" s="114">
        <f t="shared" si="38"/>
        <v>3.5725647462050932E-2</v>
      </c>
      <c r="AP72" s="113">
        <f t="shared" si="37"/>
        <v>0.99999999999999989</v>
      </c>
    </row>
    <row r="73" spans="9:42" x14ac:dyDescent="0.25">
      <c r="I73" s="328">
        <v>43556</v>
      </c>
      <c r="J73" t="s">
        <v>60</v>
      </c>
      <c r="K73" s="114">
        <f t="shared" ref="K73:AO73" si="39">K70/$AP70</f>
        <v>2.0101190022021851E-2</v>
      </c>
      <c r="L73" s="114">
        <f t="shared" si="39"/>
        <v>1.3655127776739974E-2</v>
      </c>
      <c r="M73" s="114">
        <f t="shared" si="39"/>
        <v>1.9206634445125589E-2</v>
      </c>
      <c r="N73" s="114">
        <f t="shared" si="39"/>
        <v>1.8548872991525401E-2</v>
      </c>
      <c r="O73" s="114">
        <f t="shared" si="39"/>
        <v>2.1942922092102388E-2</v>
      </c>
      <c r="P73" s="114">
        <f t="shared" si="39"/>
        <v>2.3942516911046971E-2</v>
      </c>
      <c r="Q73" s="114">
        <f t="shared" si="39"/>
        <v>2.260068354570258E-2</v>
      </c>
      <c r="R73" s="114">
        <f t="shared" si="39"/>
        <v>3.0520131447048883E-2</v>
      </c>
      <c r="S73" s="114">
        <f t="shared" si="39"/>
        <v>4.3204403318274971E-2</v>
      </c>
      <c r="T73" s="114">
        <f t="shared" si="39"/>
        <v>3.3151177261449651E-2</v>
      </c>
      <c r="U73" s="114">
        <f t="shared" si="39"/>
        <v>2.1679817510662312E-2</v>
      </c>
      <c r="V73" s="114">
        <f t="shared" si="39"/>
        <v>3.2598657640425487E-2</v>
      </c>
      <c r="W73" s="114">
        <f t="shared" si="39"/>
        <v>2.0516895260697172E-2</v>
      </c>
      <c r="X73" s="114">
        <f t="shared" si="39"/>
        <v>2.4242456133888656E-2</v>
      </c>
      <c r="Y73" s="114">
        <f t="shared" si="39"/>
        <v>2.3547860038886856E-2</v>
      </c>
      <c r="Z73" s="114">
        <f t="shared" si="39"/>
        <v>2.4074069201767006E-2</v>
      </c>
      <c r="AA73" s="114">
        <f t="shared" si="39"/>
        <v>3.1123693356872421E-2</v>
      </c>
      <c r="AB73" s="114">
        <f t="shared" si="39"/>
        <v>4.7532473682964232E-2</v>
      </c>
      <c r="AC73" s="114">
        <f t="shared" si="39"/>
        <v>3.7071435524906791E-2</v>
      </c>
      <c r="AD73" s="114">
        <f t="shared" si="39"/>
        <v>5.7903530074169179E-2</v>
      </c>
      <c r="AE73" s="114">
        <f t="shared" si="39"/>
        <v>3.2755467970963778E-2</v>
      </c>
      <c r="AF73" s="114">
        <f t="shared" si="39"/>
        <v>3.7141421343569854E-2</v>
      </c>
      <c r="AG73" s="114">
        <f t="shared" si="39"/>
        <v>4.0237109848793792E-2</v>
      </c>
      <c r="AH73" s="114">
        <f t="shared" si="39"/>
        <v>4.7654554208752434E-2</v>
      </c>
      <c r="AI73" s="114">
        <f t="shared" si="39"/>
        <v>3.3336929095946342E-2</v>
      </c>
      <c r="AJ73" s="114">
        <f t="shared" si="39"/>
        <v>5.2646174327833563E-2</v>
      </c>
      <c r="AK73" s="114">
        <f t="shared" si="39"/>
        <v>5.2295719025355382E-2</v>
      </c>
      <c r="AL73" s="114">
        <f t="shared" si="39"/>
        <v>3.3972589764705567E-2</v>
      </c>
      <c r="AM73" s="114">
        <f t="shared" si="39"/>
        <v>4.9533647129397458E-2</v>
      </c>
      <c r="AN73" s="114">
        <f t="shared" si="39"/>
        <v>5.3261839048403342E-2</v>
      </c>
      <c r="AO73" s="114">
        <f t="shared" si="39"/>
        <v>0</v>
      </c>
      <c r="AP73" s="113">
        <f t="shared" si="37"/>
        <v>0.99999999999999967</v>
      </c>
    </row>
    <row r="74" spans="9:42" x14ac:dyDescent="0.25">
      <c r="I74" s="328">
        <v>43586</v>
      </c>
      <c r="J74" t="s">
        <v>60</v>
      </c>
      <c r="K74" s="114">
        <f t="shared" ref="K74:AO74" si="40">K71/$AP71</f>
        <v>2.7938028081327539E-2</v>
      </c>
      <c r="L74" s="114">
        <f t="shared" si="40"/>
        <v>3.2072244396964197E-2</v>
      </c>
      <c r="M74" s="114">
        <f t="shared" si="40"/>
        <v>1.5942736032193539E-2</v>
      </c>
      <c r="N74" s="114">
        <f t="shared" si="40"/>
        <v>9.6606378919200028E-3</v>
      </c>
      <c r="O74" s="114">
        <f t="shared" si="40"/>
        <v>2.1732678342084259E-2</v>
      </c>
      <c r="P74" s="114">
        <f t="shared" si="40"/>
        <v>2.1918377270451164E-2</v>
      </c>
      <c r="Q74" s="114">
        <f t="shared" si="40"/>
        <v>2.1706916641039138E-2</v>
      </c>
      <c r="R74" s="114">
        <f t="shared" si="40"/>
        <v>2.7548382353020099E-2</v>
      </c>
      <c r="S74" s="114">
        <f t="shared" si="40"/>
        <v>2.7263393535208461E-2</v>
      </c>
      <c r="T74" s="114">
        <f t="shared" si="40"/>
        <v>2.354404794681926E-2</v>
      </c>
      <c r="U74" s="114">
        <f t="shared" si="40"/>
        <v>2.1344642720092139E-2</v>
      </c>
      <c r="V74" s="114">
        <f t="shared" si="40"/>
        <v>2.1667737387366354E-2</v>
      </c>
      <c r="W74" s="114">
        <f t="shared" si="40"/>
        <v>3.6453880383055026E-2</v>
      </c>
      <c r="X74" s="114">
        <f t="shared" si="40"/>
        <v>3.4963995339278922E-2</v>
      </c>
      <c r="Y74" s="114">
        <f t="shared" si="40"/>
        <v>3.3405412426049157E-2</v>
      </c>
      <c r="Z74" s="114">
        <f t="shared" si="40"/>
        <v>3.3511679442860272E-2</v>
      </c>
      <c r="AA74" s="114">
        <f t="shared" si="40"/>
        <v>3.0323668938526675E-2</v>
      </c>
      <c r="AB74" s="114">
        <f t="shared" si="40"/>
        <v>3.4000078358507345E-2</v>
      </c>
      <c r="AC74" s="114">
        <f t="shared" si="40"/>
        <v>2.5412844676800675E-2</v>
      </c>
      <c r="AD74" s="114">
        <f t="shared" si="40"/>
        <v>3.6032032528441185E-2</v>
      </c>
      <c r="AE74" s="114">
        <f t="shared" si="40"/>
        <v>3.136648112874893E-2</v>
      </c>
      <c r="AF74" s="114">
        <f t="shared" si="40"/>
        <v>3.5457761275977051E-2</v>
      </c>
      <c r="AG74" s="114">
        <f t="shared" si="40"/>
        <v>3.4059115590069078E-2</v>
      </c>
      <c r="AH74" s="114">
        <f t="shared" si="40"/>
        <v>4.8432534666930718E-2</v>
      </c>
      <c r="AI74" s="114">
        <f t="shared" si="40"/>
        <v>4.8927910709944171E-2</v>
      </c>
      <c r="AJ74" s="114">
        <f t="shared" si="40"/>
        <v>4.6200390611792097E-2</v>
      </c>
      <c r="AK74" s="114">
        <f t="shared" si="40"/>
        <v>4.3320983817894822E-2</v>
      </c>
      <c r="AL74" s="114">
        <f t="shared" si="40"/>
        <v>4.2280855138198105E-2</v>
      </c>
      <c r="AM74" s="114">
        <f t="shared" si="40"/>
        <v>3.8677437204511944E-2</v>
      </c>
      <c r="AN74" s="114">
        <f t="shared" si="40"/>
        <v>4.0562334997646554E-2</v>
      </c>
      <c r="AO74" s="114">
        <f t="shared" si="40"/>
        <v>5.4270780166281042E-2</v>
      </c>
      <c r="AP74" s="113">
        <f t="shared" si="37"/>
        <v>1</v>
      </c>
    </row>
    <row r="75" spans="9:42" x14ac:dyDescent="0.25">
      <c r="J75" t="s">
        <v>176</v>
      </c>
      <c r="K75" s="113">
        <f t="shared" ref="K75:AN75" si="41">AVERAGE(K72:K74)</f>
        <v>2.4140454314192723E-2</v>
      </c>
      <c r="L75" s="113">
        <f t="shared" si="41"/>
        <v>1.9112639111747227E-2</v>
      </c>
      <c r="M75" s="113">
        <f t="shared" si="41"/>
        <v>1.8150633936125083E-2</v>
      </c>
      <c r="N75" s="113">
        <f t="shared" si="41"/>
        <v>2.0316502219068989E-2</v>
      </c>
      <c r="O75" s="113">
        <f t="shared" si="41"/>
        <v>2.3621144503900321E-2</v>
      </c>
      <c r="P75" s="113">
        <f t="shared" si="41"/>
        <v>2.6901380070424072E-2</v>
      </c>
      <c r="Q75" s="113">
        <f t="shared" si="41"/>
        <v>2.5654086151188655E-2</v>
      </c>
      <c r="R75" s="113">
        <f t="shared" si="41"/>
        <v>2.7378090427881956E-2</v>
      </c>
      <c r="S75" s="113">
        <f t="shared" si="41"/>
        <v>2.9463278121610911E-2</v>
      </c>
      <c r="T75" s="113">
        <f t="shared" si="41"/>
        <v>2.5959361442745344E-2</v>
      </c>
      <c r="U75" s="113">
        <f t="shared" si="41"/>
        <v>2.3823431958840454E-2</v>
      </c>
      <c r="V75" s="113">
        <f t="shared" si="41"/>
        <v>3.3786061891909976E-2</v>
      </c>
      <c r="W75" s="113">
        <f t="shared" si="41"/>
        <v>2.5705023833006591E-2</v>
      </c>
      <c r="X75" s="113">
        <f t="shared" si="41"/>
        <v>3.4767463135945788E-2</v>
      </c>
      <c r="Y75" s="113">
        <f t="shared" si="41"/>
        <v>3.0836855674048216E-2</v>
      </c>
      <c r="Z75" s="113">
        <f t="shared" si="41"/>
        <v>2.8198453284637336E-2</v>
      </c>
      <c r="AA75" s="113">
        <f t="shared" si="41"/>
        <v>3.3967134758162064E-2</v>
      </c>
      <c r="AB75" s="113">
        <f t="shared" si="41"/>
        <v>3.5595162589271895E-2</v>
      </c>
      <c r="AC75" s="113">
        <f t="shared" si="41"/>
        <v>3.5438029395503862E-2</v>
      </c>
      <c r="AD75" s="113">
        <f t="shared" si="41"/>
        <v>4.0438710243268734E-2</v>
      </c>
      <c r="AE75" s="113">
        <f t="shared" si="41"/>
        <v>3.254913275121743E-2</v>
      </c>
      <c r="AF75" s="113">
        <f t="shared" si="41"/>
        <v>3.9028328801992633E-2</v>
      </c>
      <c r="AG75" s="113">
        <f t="shared" si="41"/>
        <v>3.7212880438219298E-2</v>
      </c>
      <c r="AH75" s="113">
        <f t="shared" si="41"/>
        <v>4.2817161171156325E-2</v>
      </c>
      <c r="AI75" s="113">
        <f t="shared" si="41"/>
        <v>4.3376437411442974E-2</v>
      </c>
      <c r="AJ75" s="113">
        <f t="shared" si="41"/>
        <v>4.4327189238181984E-2</v>
      </c>
      <c r="AK75" s="113">
        <f t="shared" si="41"/>
        <v>4.2649722827280599E-2</v>
      </c>
      <c r="AL75" s="113">
        <f t="shared" si="41"/>
        <v>3.6651017411422099E-2</v>
      </c>
      <c r="AM75" s="113">
        <f t="shared" si="41"/>
        <v>4.3615002055691715E-2</v>
      </c>
      <c r="AN75" s="113">
        <f t="shared" si="41"/>
        <v>4.4520421620470679E-2</v>
      </c>
      <c r="AO75" s="113">
        <f>AVERAGE(AO72,AO74)</f>
        <v>4.4998213814165987E-2</v>
      </c>
      <c r="AP75" s="113"/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0"/>
  <sheetViews>
    <sheetView showGridLines="0" zoomScaleNormal="100" workbookViewId="0">
      <pane xSplit="2" ySplit="1" topLeftCell="O2" activePane="bottomRight" state="frozen"/>
      <selection pane="topRight" activeCell="O1" sqref="O1"/>
      <selection pane="bottomLeft" activeCell="A2" sqref="A2"/>
      <selection pane="bottomRight" activeCell="Q1" sqref="Q1"/>
    </sheetView>
  </sheetViews>
  <sheetFormatPr defaultColWidth="8.5703125" defaultRowHeight="15" x14ac:dyDescent="0.25"/>
  <cols>
    <col min="1" max="1" width="6.28515625" customWidth="1"/>
    <col min="2" max="2" width="20.42578125" customWidth="1"/>
    <col min="3" max="3" width="6.7109375" customWidth="1"/>
    <col min="4" max="4" width="7.140625" customWidth="1"/>
    <col min="5" max="5" width="7.42578125" customWidth="1"/>
    <col min="6" max="6" width="7" customWidth="1"/>
    <col min="7" max="7" width="7.7109375" customWidth="1"/>
    <col min="8" max="8" width="6.85546875" customWidth="1"/>
    <col min="9" max="9" width="6.28515625" customWidth="1"/>
    <col min="10" max="10" width="7.28515625" customWidth="1"/>
    <col min="11" max="11" width="7.140625" customWidth="1"/>
    <col min="12" max="12" width="6.85546875" customWidth="1"/>
    <col min="13" max="13" width="7.42578125" customWidth="1"/>
    <col min="14" max="14" width="7.140625" customWidth="1"/>
    <col min="15" max="15" width="9.85546875" customWidth="1"/>
    <col min="16" max="16" width="3" customWidth="1"/>
  </cols>
  <sheetData>
    <row r="1" spans="2:16" ht="18" customHeight="1" x14ac:dyDescent="0.25">
      <c r="C1" s="32"/>
      <c r="D1" s="32"/>
      <c r="E1" s="32"/>
      <c r="F1" s="33"/>
      <c r="G1" s="33"/>
      <c r="H1" s="33"/>
      <c r="I1" s="33"/>
      <c r="J1" s="33"/>
      <c r="K1" s="33"/>
      <c r="L1" s="33"/>
      <c r="M1" s="33"/>
    </row>
    <row r="2" spans="2:16" ht="18" customHeight="1" x14ac:dyDescent="0.25">
      <c r="B2" s="35" t="s">
        <v>14</v>
      </c>
      <c r="C2" s="33"/>
      <c r="D2" s="33"/>
      <c r="E2" s="33"/>
      <c r="F2" s="36"/>
      <c r="G2" s="36"/>
      <c r="H2" s="36"/>
      <c r="I2" s="36"/>
      <c r="J2" s="36"/>
      <c r="K2" s="36"/>
      <c r="L2" s="36"/>
      <c r="M2" s="36"/>
      <c r="N2" s="36"/>
    </row>
    <row r="3" spans="2:16" ht="18" customHeight="1" x14ac:dyDescent="0.25">
      <c r="B3" s="37" t="s">
        <v>15</v>
      </c>
      <c r="C3" s="38">
        <v>43831</v>
      </c>
      <c r="D3" s="38">
        <v>43862</v>
      </c>
      <c r="E3" s="38">
        <v>43891</v>
      </c>
      <c r="F3" s="38">
        <v>43922</v>
      </c>
      <c r="G3" s="38">
        <v>43952</v>
      </c>
      <c r="H3" s="38">
        <v>43983</v>
      </c>
      <c r="I3" s="38">
        <v>44013</v>
      </c>
      <c r="J3" s="38">
        <v>44044</v>
      </c>
      <c r="K3" s="38">
        <v>44075</v>
      </c>
      <c r="L3" s="38">
        <v>44105</v>
      </c>
      <c r="M3" s="38">
        <v>44136</v>
      </c>
      <c r="N3" s="38">
        <v>44166</v>
      </c>
      <c r="O3" s="39" t="s">
        <v>16</v>
      </c>
    </row>
    <row r="4" spans="2:16" ht="18" customHeight="1" x14ac:dyDescent="0.25">
      <c r="B4" s="40" t="s">
        <v>1</v>
      </c>
      <c r="C4" s="41">
        <v>158.10060999999999</v>
      </c>
      <c r="D4" s="41">
        <v>175.00720000000001</v>
      </c>
      <c r="E4" s="41">
        <v>179.93342999999999</v>
      </c>
      <c r="F4" s="41">
        <v>61.07206</v>
      </c>
      <c r="G4" s="41">
        <v>67.21566</v>
      </c>
      <c r="H4" s="41">
        <v>100.9432</v>
      </c>
      <c r="I4" s="41">
        <v>124.73423</v>
      </c>
      <c r="J4" s="41">
        <v>98.995999999999995</v>
      </c>
      <c r="K4" s="41">
        <v>120</v>
      </c>
      <c r="L4" s="41">
        <v>146</v>
      </c>
      <c r="M4" s="41">
        <v>149</v>
      </c>
      <c r="N4" s="41">
        <v>169.3</v>
      </c>
      <c r="O4" s="41">
        <f>SUM(C4:N4)</f>
        <v>1550.3023900000001</v>
      </c>
    </row>
    <row r="5" spans="2:16" ht="18" customHeight="1" x14ac:dyDescent="0.25">
      <c r="B5" s="40" t="s">
        <v>7</v>
      </c>
      <c r="C5" s="41">
        <v>77.726020000000005</v>
      </c>
      <c r="D5" s="41">
        <v>90.983189999999993</v>
      </c>
      <c r="E5" s="41">
        <v>98.440520000000006</v>
      </c>
      <c r="F5" s="41">
        <v>40.151299999999999</v>
      </c>
      <c r="G5" s="41">
        <v>43.243310000000001</v>
      </c>
      <c r="H5" s="41">
        <v>65.583160000000007</v>
      </c>
      <c r="I5" s="41">
        <v>73.781909999999996</v>
      </c>
      <c r="J5" s="41">
        <v>57.557000000000002</v>
      </c>
      <c r="K5" s="41">
        <v>66</v>
      </c>
      <c r="L5" s="41">
        <v>80</v>
      </c>
      <c r="M5" s="41">
        <v>83</v>
      </c>
      <c r="N5" s="41">
        <v>96.4</v>
      </c>
      <c r="O5" s="41">
        <f>SUM(C5:N5)</f>
        <v>872.86640999999997</v>
      </c>
    </row>
    <row r="6" spans="2:16" ht="18" customHeight="1" x14ac:dyDescent="0.25">
      <c r="B6" s="40" t="s">
        <v>10</v>
      </c>
      <c r="C6" s="41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1">
        <f>SUM(C6:N6)</f>
        <v>0</v>
      </c>
    </row>
    <row r="7" spans="2:16" ht="18" customHeight="1" x14ac:dyDescent="0.25">
      <c r="B7" s="40" t="s">
        <v>11</v>
      </c>
      <c r="C7" s="41">
        <v>8.3629999999999995</v>
      </c>
      <c r="D7" s="41">
        <v>6.391</v>
      </c>
      <c r="E7" s="41">
        <v>5.3730000000000002</v>
      </c>
      <c r="F7" s="41">
        <v>0</v>
      </c>
      <c r="G7" s="41">
        <v>4.3</v>
      </c>
      <c r="H7" s="41">
        <v>3</v>
      </c>
      <c r="I7" s="41">
        <v>6.1280900000000003</v>
      </c>
      <c r="J7" s="41">
        <v>7.8890000000000002</v>
      </c>
      <c r="K7" s="41">
        <v>7</v>
      </c>
      <c r="L7" s="41">
        <v>0</v>
      </c>
      <c r="M7" s="41">
        <v>3</v>
      </c>
      <c r="N7" s="41">
        <v>4.7</v>
      </c>
      <c r="O7" s="41">
        <f>SUM(C7:N7)</f>
        <v>56.144090000000006</v>
      </c>
    </row>
    <row r="8" spans="2:16" ht="18" customHeight="1" x14ac:dyDescent="0.25">
      <c r="B8" s="40" t="s">
        <v>12</v>
      </c>
      <c r="C8" s="44"/>
      <c r="D8" s="41"/>
      <c r="E8" s="41"/>
      <c r="F8" s="41"/>
      <c r="G8" s="41"/>
      <c r="H8" s="41"/>
      <c r="I8" s="41"/>
      <c r="J8" s="41"/>
      <c r="K8" s="41"/>
      <c r="L8" s="41"/>
      <c r="M8" s="41"/>
      <c r="N8" s="41">
        <v>2.7</v>
      </c>
      <c r="O8" s="41"/>
    </row>
    <row r="9" spans="2:16" ht="18" customHeight="1" x14ac:dyDescent="0.25">
      <c r="B9" s="40" t="s">
        <v>13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>
        <f>SUM(C9:N9)</f>
        <v>0</v>
      </c>
    </row>
    <row r="10" spans="2:16" ht="18" customHeight="1" x14ac:dyDescent="0.25">
      <c r="B10" s="40" t="s">
        <v>17</v>
      </c>
      <c r="C10" s="45">
        <f t="shared" ref="C10:O10" si="0">SUM(C4:C9)</f>
        <v>244.18962999999999</v>
      </c>
      <c r="D10" s="45">
        <f t="shared" si="0"/>
        <v>272.38139000000001</v>
      </c>
      <c r="E10" s="45">
        <f t="shared" si="0"/>
        <v>283.74694999999997</v>
      </c>
      <c r="F10" s="45">
        <f t="shared" si="0"/>
        <v>101.22336</v>
      </c>
      <c r="G10" s="45">
        <f t="shared" si="0"/>
        <v>114.75896999999999</v>
      </c>
      <c r="H10" s="45">
        <f t="shared" si="0"/>
        <v>169.52636000000001</v>
      </c>
      <c r="I10" s="45">
        <f t="shared" si="0"/>
        <v>204.64422999999999</v>
      </c>
      <c r="J10" s="45">
        <f t="shared" si="0"/>
        <v>164.44200000000001</v>
      </c>
      <c r="K10" s="45">
        <f t="shared" si="0"/>
        <v>193</v>
      </c>
      <c r="L10" s="45">
        <f t="shared" si="0"/>
        <v>226</v>
      </c>
      <c r="M10" s="45">
        <f t="shared" si="0"/>
        <v>235</v>
      </c>
      <c r="N10" s="45">
        <f t="shared" si="0"/>
        <v>273.10000000000002</v>
      </c>
      <c r="O10" s="45">
        <f t="shared" si="0"/>
        <v>2479.3128900000002</v>
      </c>
      <c r="P10" s="46"/>
    </row>
  </sheetData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4"/>
  <sheetViews>
    <sheetView showGridLines="0" zoomScale="106" zoomScaleNormal="106" workbookViewId="0">
      <selection activeCell="C4" sqref="C4"/>
    </sheetView>
  </sheetViews>
  <sheetFormatPr defaultColWidth="8.5703125" defaultRowHeight="15" x14ac:dyDescent="0.25"/>
  <cols>
    <col min="1" max="1" width="3.85546875" customWidth="1"/>
    <col min="2" max="2" width="11.7109375" customWidth="1"/>
    <col min="3" max="3" width="13.85546875" customWidth="1"/>
    <col min="4" max="4" width="8.7109375" customWidth="1"/>
    <col min="5" max="5" width="11.5703125" customWidth="1"/>
    <col min="6" max="15" width="8.7109375" customWidth="1"/>
    <col min="16" max="16" width="11.140625" customWidth="1"/>
    <col min="17" max="17" width="1.85546875" customWidth="1"/>
  </cols>
  <sheetData>
    <row r="1" spans="2:17" ht="15.75" x14ac:dyDescent="0.25">
      <c r="B1" s="47">
        <v>2020</v>
      </c>
      <c r="D1" s="48"/>
      <c r="E1" s="48"/>
      <c r="F1" s="48"/>
      <c r="G1" s="48"/>
      <c r="H1" s="48"/>
      <c r="I1" s="48"/>
      <c r="J1" s="48"/>
      <c r="K1" s="48"/>
      <c r="L1" s="48"/>
      <c r="M1" s="49"/>
      <c r="N1" s="49">
        <f>N6+N13+N20</f>
        <v>82</v>
      </c>
      <c r="O1" s="49">
        <f>O6+O13+O20</f>
        <v>94.000000000000014</v>
      </c>
    </row>
    <row r="2" spans="2:17" x14ac:dyDescent="0.25"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50"/>
      <c r="N2" s="50"/>
      <c r="O2" s="50"/>
      <c r="P2" s="48"/>
    </row>
    <row r="3" spans="2:17" x14ac:dyDescent="0.25">
      <c r="B3" s="51" t="s">
        <v>0</v>
      </c>
      <c r="C3" s="52" t="s">
        <v>15</v>
      </c>
      <c r="D3" s="38">
        <v>43831</v>
      </c>
      <c r="E3" s="38">
        <v>43862</v>
      </c>
      <c r="F3" s="38">
        <v>43891</v>
      </c>
      <c r="G3" s="38">
        <v>43922</v>
      </c>
      <c r="H3" s="38">
        <v>43952</v>
      </c>
      <c r="I3" s="38">
        <v>43983</v>
      </c>
      <c r="J3" s="38">
        <v>44013</v>
      </c>
      <c r="K3" s="38">
        <v>44044</v>
      </c>
      <c r="L3" s="38">
        <v>44075</v>
      </c>
      <c r="M3" s="38">
        <v>44105</v>
      </c>
      <c r="N3" s="38">
        <v>44136</v>
      </c>
      <c r="O3" s="38">
        <v>44166</v>
      </c>
      <c r="P3" s="39" t="s">
        <v>18</v>
      </c>
    </row>
    <row r="4" spans="2:17" x14ac:dyDescent="0.25">
      <c r="B4" s="22" t="s">
        <v>2</v>
      </c>
      <c r="C4" s="22" t="s">
        <v>1</v>
      </c>
      <c r="D4" s="53">
        <v>121.63</v>
      </c>
      <c r="E4" s="53">
        <v>115.5945</v>
      </c>
      <c r="F4" s="53">
        <f>121.613+0.32128</f>
        <v>121.93428</v>
      </c>
      <c r="G4" s="53">
        <f>31.4975-2.4185</f>
        <v>29.079000000000001</v>
      </c>
      <c r="H4" s="53">
        <v>59.185499999999998</v>
      </c>
      <c r="I4" s="53">
        <v>60.546349999999997</v>
      </c>
      <c r="J4" s="53">
        <v>66.861999999999995</v>
      </c>
      <c r="K4" s="53">
        <v>77.863200000000006</v>
      </c>
      <c r="L4" s="53">
        <v>70</v>
      </c>
      <c r="M4" s="54">
        <v>102</v>
      </c>
      <c r="N4" s="53">
        <v>124.7</v>
      </c>
      <c r="O4" s="53">
        <v>114.2</v>
      </c>
      <c r="P4" s="53">
        <f>SUM(D4:O4)</f>
        <v>1063.59483</v>
      </c>
      <c r="Q4" s="55"/>
    </row>
    <row r="5" spans="2:17" x14ac:dyDescent="0.25">
      <c r="B5" s="11" t="s">
        <v>8</v>
      </c>
      <c r="C5" s="22" t="s">
        <v>7</v>
      </c>
      <c r="D5" s="53">
        <v>23.172999999999998</v>
      </c>
      <c r="E5" s="53">
        <f>15.15065+5.08645</f>
        <v>20.237100000000002</v>
      </c>
      <c r="F5" s="53">
        <v>29.407</v>
      </c>
      <c r="G5" s="53">
        <f>11.879+2.024</f>
        <v>13.902999999999999</v>
      </c>
      <c r="H5" s="53">
        <f>6.5418+6.79349</f>
        <v>13.335290000000001</v>
      </c>
      <c r="I5" s="53">
        <f>8.07035+5.47804</f>
        <v>13.548389999999999</v>
      </c>
      <c r="J5" s="53">
        <f>26.6059+6.35607</f>
        <v>32.961970000000001</v>
      </c>
      <c r="K5" s="53">
        <v>14.614610000000001</v>
      </c>
      <c r="L5" s="53">
        <v>15</v>
      </c>
      <c r="M5" s="54">
        <v>24</v>
      </c>
      <c r="N5" s="53">
        <v>21.6</v>
      </c>
      <c r="O5" s="53">
        <f>15+4.4</f>
        <v>19.399999999999999</v>
      </c>
      <c r="P5" s="53">
        <f>SUM(D5:O5)</f>
        <v>241.18036000000001</v>
      </c>
      <c r="Q5" s="55"/>
    </row>
    <row r="6" spans="2:17" x14ac:dyDescent="0.25">
      <c r="B6" s="11"/>
      <c r="C6" s="22" t="s">
        <v>10</v>
      </c>
      <c r="D6" s="53">
        <v>56.798999999999999</v>
      </c>
      <c r="E6" s="53">
        <f>61.7787+2.24622+3.1875</f>
        <v>67.212419999999995</v>
      </c>
      <c r="F6" s="53">
        <v>71.831000000000003</v>
      </c>
      <c r="G6" s="53">
        <f>29.67355+0.1+0.17</f>
        <v>29.943550000000002</v>
      </c>
      <c r="H6" s="53">
        <f>28.84605+0.72376+1.7</f>
        <v>31.26981</v>
      </c>
      <c r="I6" s="53">
        <f>38.05715+0.82735+1.175</f>
        <v>40.0595</v>
      </c>
      <c r="J6" s="53">
        <f>49.5123+1.09084+1.425</f>
        <v>52.02814</v>
      </c>
      <c r="K6" s="53">
        <v>38.706760000000003</v>
      </c>
      <c r="L6" s="53">
        <v>42</v>
      </c>
      <c r="M6" s="54">
        <v>51</v>
      </c>
      <c r="N6" s="53">
        <v>53.9</v>
      </c>
      <c r="O6" s="53">
        <v>64.400000000000006</v>
      </c>
      <c r="P6" s="53">
        <f>SUM(D6:O6)</f>
        <v>599.15017999999998</v>
      </c>
      <c r="Q6" s="55"/>
    </row>
    <row r="7" spans="2:17" x14ac:dyDescent="0.25">
      <c r="B7" s="11"/>
      <c r="C7" s="22" t="s">
        <v>11</v>
      </c>
      <c r="D7" s="53">
        <v>2.8740000000000001</v>
      </c>
      <c r="E7" s="53">
        <f>1.78295+0.90639</f>
        <v>2.6893400000000001</v>
      </c>
      <c r="F7" s="53">
        <v>2.3650000000000002</v>
      </c>
      <c r="G7" s="53">
        <f>0.23227+0.07</f>
        <v>0.30227000000000004</v>
      </c>
      <c r="H7" s="53">
        <f>0.223+2.4584</f>
        <v>2.6814</v>
      </c>
      <c r="I7" s="53">
        <f>0.94675+1.71604</f>
        <v>2.6627900000000002</v>
      </c>
      <c r="J7" s="53">
        <f>1.40905+3.82439</f>
        <v>5.2334399999999999</v>
      </c>
      <c r="K7" s="53">
        <v>7.3550820000000003</v>
      </c>
      <c r="L7" s="53">
        <v>7</v>
      </c>
      <c r="M7" s="54">
        <v>3</v>
      </c>
      <c r="N7" s="53">
        <v>3</v>
      </c>
      <c r="O7" s="53">
        <v>1.8</v>
      </c>
      <c r="P7" s="53">
        <f>SUM(D7:O7)</f>
        <v>40.963321999999991</v>
      </c>
      <c r="Q7" s="55"/>
    </row>
    <row r="8" spans="2:17" x14ac:dyDescent="0.25">
      <c r="B8" s="11"/>
      <c r="C8" s="22" t="s">
        <v>12</v>
      </c>
      <c r="D8" s="56"/>
      <c r="E8" s="56"/>
      <c r="F8" s="56"/>
      <c r="G8" s="56"/>
      <c r="H8" s="56"/>
      <c r="I8" s="56"/>
      <c r="J8" s="56"/>
      <c r="K8" s="56"/>
      <c r="L8" s="56"/>
      <c r="M8" s="57"/>
      <c r="N8" s="56"/>
      <c r="O8" s="56"/>
      <c r="P8" s="56">
        <f>SUM(D8:O8)</f>
        <v>0</v>
      </c>
    </row>
    <row r="9" spans="2:17" x14ac:dyDescent="0.25">
      <c r="B9" s="11"/>
      <c r="C9" s="22" t="s">
        <v>13</v>
      </c>
      <c r="D9" s="56"/>
      <c r="E9" s="56"/>
      <c r="F9" s="56"/>
      <c r="G9" s="56"/>
      <c r="H9" s="56"/>
      <c r="I9" s="56"/>
      <c r="J9" s="56"/>
      <c r="K9" s="56"/>
      <c r="L9" s="56"/>
      <c r="M9" s="57"/>
      <c r="N9" s="56"/>
      <c r="O9" s="53">
        <v>2.85</v>
      </c>
      <c r="P9" s="56"/>
    </row>
    <row r="10" spans="2:17" x14ac:dyDescent="0.25">
      <c r="B10" s="11"/>
      <c r="C10" s="22"/>
      <c r="D10" s="56"/>
      <c r="E10" s="56"/>
      <c r="F10" s="56"/>
      <c r="G10" s="56"/>
      <c r="H10" s="56"/>
      <c r="I10" s="56"/>
      <c r="J10" s="56"/>
      <c r="K10" s="56"/>
      <c r="L10" s="56"/>
      <c r="M10" s="57"/>
      <c r="N10" s="56"/>
      <c r="O10" s="56"/>
      <c r="P10" s="56">
        <f>SUM(D10:O10)</f>
        <v>0</v>
      </c>
    </row>
    <row r="11" spans="2:17" s="58" customFormat="1" x14ac:dyDescent="0.25">
      <c r="B11" s="59" t="s">
        <v>19</v>
      </c>
      <c r="C11" s="60" t="s">
        <v>20</v>
      </c>
      <c r="D11" s="61">
        <f t="shared" ref="D11:P11" si="0">SUM(D5:D10)</f>
        <v>82.845999999999989</v>
      </c>
      <c r="E11" s="61">
        <f t="shared" si="0"/>
        <v>90.138859999999994</v>
      </c>
      <c r="F11" s="61">
        <f t="shared" si="0"/>
        <v>103.60299999999999</v>
      </c>
      <c r="G11" s="61">
        <f t="shared" si="0"/>
        <v>44.148820000000001</v>
      </c>
      <c r="H11" s="61">
        <f t="shared" si="0"/>
        <v>47.286500000000004</v>
      </c>
      <c r="I11" s="61">
        <f t="shared" si="0"/>
        <v>56.270679999999999</v>
      </c>
      <c r="J11" s="61">
        <f t="shared" si="0"/>
        <v>90.223550000000003</v>
      </c>
      <c r="K11" s="61">
        <f t="shared" si="0"/>
        <v>60.676452000000005</v>
      </c>
      <c r="L11" s="61">
        <f t="shared" si="0"/>
        <v>64</v>
      </c>
      <c r="M11" s="62">
        <f t="shared" si="0"/>
        <v>78</v>
      </c>
      <c r="N11" s="61">
        <f t="shared" si="0"/>
        <v>78.5</v>
      </c>
      <c r="O11" s="61">
        <f t="shared" si="0"/>
        <v>88.45</v>
      </c>
      <c r="P11" s="61">
        <f t="shared" si="0"/>
        <v>881.29386199999988</v>
      </c>
    </row>
    <row r="12" spans="2:17" s="58" customFormat="1" x14ac:dyDescent="0.25">
      <c r="B12" s="11" t="s">
        <v>21</v>
      </c>
      <c r="C12" s="22" t="s">
        <v>1</v>
      </c>
      <c r="D12" s="56">
        <v>20.3079</v>
      </c>
      <c r="E12" s="56">
        <f>18.1711+7.62056</f>
        <v>25.79166</v>
      </c>
      <c r="F12" s="56">
        <v>22.396000000000001</v>
      </c>
      <c r="G12" s="56">
        <f>0.23878+0.4</f>
        <v>0.63878000000000001</v>
      </c>
      <c r="H12" s="56">
        <f>0.05295+0.91342</f>
        <v>0.96636999999999995</v>
      </c>
      <c r="I12" s="56">
        <f>(11549.2+2727.85)/1000</f>
        <v>14.277050000000001</v>
      </c>
      <c r="J12" s="56">
        <f>19.10935+7.61407</f>
        <v>26.723419999999997</v>
      </c>
      <c r="K12" s="56">
        <v>14.23053</v>
      </c>
      <c r="L12" s="56">
        <v>18</v>
      </c>
      <c r="M12" s="57">
        <v>22</v>
      </c>
      <c r="N12" s="56">
        <v>11.6</v>
      </c>
      <c r="O12" s="56">
        <f>13.3+4.9</f>
        <v>18.200000000000003</v>
      </c>
      <c r="P12" s="56">
        <f>SUM(D12:O12)</f>
        <v>195.13171</v>
      </c>
      <c r="Q12" s="55"/>
    </row>
    <row r="13" spans="2:17" s="58" customFormat="1" x14ac:dyDescent="0.25">
      <c r="B13" s="11"/>
      <c r="C13" s="22" t="s">
        <v>7</v>
      </c>
      <c r="D13" s="56">
        <v>10.72</v>
      </c>
      <c r="E13" s="56">
        <v>12.398149999999999</v>
      </c>
      <c r="F13" s="56">
        <v>11.717000000000001</v>
      </c>
      <c r="G13" s="56">
        <v>1.55E-2</v>
      </c>
      <c r="H13" s="56">
        <f>1.339+0.12596</f>
        <v>1.46496</v>
      </c>
      <c r="I13" s="56">
        <f>(10001+560)/1000</f>
        <v>10.561</v>
      </c>
      <c r="J13" s="56">
        <v>7.9595000000000002</v>
      </c>
      <c r="K13" s="56">
        <v>6.8284000000000002</v>
      </c>
      <c r="L13" s="56">
        <v>10</v>
      </c>
      <c r="M13" s="57">
        <v>10</v>
      </c>
      <c r="N13" s="56">
        <v>12.9</v>
      </c>
      <c r="O13" s="56">
        <v>15.9</v>
      </c>
      <c r="P13" s="56">
        <f>SUM(D13:O13)</f>
        <v>110.46451000000002</v>
      </c>
      <c r="Q13" s="55"/>
    </row>
    <row r="14" spans="2:17" s="58" customFormat="1" x14ac:dyDescent="0.25">
      <c r="B14" s="11"/>
      <c r="C14" s="22" t="s">
        <v>10</v>
      </c>
      <c r="D14" s="56"/>
      <c r="E14" s="56"/>
      <c r="F14" s="56"/>
      <c r="G14" s="56"/>
      <c r="H14" s="56">
        <v>1.2749999999999999</v>
      </c>
      <c r="I14" s="56"/>
      <c r="J14" s="56"/>
      <c r="K14" s="56"/>
      <c r="L14" s="56"/>
      <c r="M14" s="57"/>
      <c r="N14" s="56"/>
      <c r="O14" s="56"/>
      <c r="P14" s="56">
        <f>SUM(D14:O14)</f>
        <v>1.2749999999999999</v>
      </c>
    </row>
    <row r="15" spans="2:17" x14ac:dyDescent="0.25">
      <c r="B15" s="11"/>
      <c r="C15" s="22" t="s">
        <v>11</v>
      </c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56"/>
      <c r="O15" s="56"/>
      <c r="P15" s="56">
        <f>SUM(D15:O15)</f>
        <v>0</v>
      </c>
    </row>
    <row r="16" spans="2:17" x14ac:dyDescent="0.25">
      <c r="B16" s="11"/>
      <c r="C16" s="22" t="s">
        <v>12</v>
      </c>
      <c r="D16" s="56"/>
      <c r="E16" s="56"/>
      <c r="F16" s="56"/>
      <c r="G16" s="56"/>
      <c r="H16" s="56"/>
      <c r="I16" s="56"/>
      <c r="J16" s="56"/>
      <c r="K16" s="56"/>
      <c r="L16" s="56"/>
      <c r="M16" s="57"/>
      <c r="N16" s="56"/>
      <c r="O16" s="56"/>
      <c r="P16" s="56"/>
    </row>
    <row r="17" spans="2:17" x14ac:dyDescent="0.25">
      <c r="B17" s="11"/>
      <c r="C17" s="22" t="s">
        <v>13</v>
      </c>
      <c r="D17" s="56"/>
      <c r="E17" s="56"/>
      <c r="F17" s="56"/>
      <c r="G17" s="56"/>
      <c r="H17" s="56"/>
      <c r="I17" s="56"/>
      <c r="J17" s="56"/>
      <c r="K17" s="56"/>
      <c r="L17" s="56"/>
      <c r="M17" s="57"/>
      <c r="N17" s="56"/>
      <c r="O17" s="56"/>
      <c r="P17" s="56">
        <f>SUM(D17:O17)</f>
        <v>0</v>
      </c>
    </row>
    <row r="18" spans="2:17" s="58" customFormat="1" x14ac:dyDescent="0.25">
      <c r="B18" s="63" t="s">
        <v>19</v>
      </c>
      <c r="C18" s="64" t="s">
        <v>20</v>
      </c>
      <c r="D18" s="61">
        <f t="shared" ref="D18:P18" si="1">SUM(D12:D17)</f>
        <v>31.027900000000002</v>
      </c>
      <c r="E18" s="61">
        <f t="shared" si="1"/>
        <v>38.189810000000001</v>
      </c>
      <c r="F18" s="61">
        <f t="shared" si="1"/>
        <v>34.113</v>
      </c>
      <c r="G18" s="61">
        <f t="shared" si="1"/>
        <v>0.65427999999999997</v>
      </c>
      <c r="H18" s="61">
        <f t="shared" si="1"/>
        <v>3.7063299999999999</v>
      </c>
      <c r="I18" s="61">
        <f t="shared" si="1"/>
        <v>24.838050000000003</v>
      </c>
      <c r="J18" s="61">
        <f t="shared" si="1"/>
        <v>34.682919999999996</v>
      </c>
      <c r="K18" s="61">
        <f t="shared" si="1"/>
        <v>21.05893</v>
      </c>
      <c r="L18" s="61">
        <f t="shared" si="1"/>
        <v>28</v>
      </c>
      <c r="M18" s="62">
        <f t="shared" si="1"/>
        <v>32</v>
      </c>
      <c r="N18" s="61">
        <f t="shared" si="1"/>
        <v>24.5</v>
      </c>
      <c r="O18" s="61">
        <f t="shared" si="1"/>
        <v>34.1</v>
      </c>
      <c r="P18" s="61">
        <f t="shared" si="1"/>
        <v>306.87121999999999</v>
      </c>
    </row>
    <row r="19" spans="2:17" x14ac:dyDescent="0.25">
      <c r="B19" s="11" t="s">
        <v>22</v>
      </c>
      <c r="C19" s="22" t="s">
        <v>1</v>
      </c>
      <c r="D19" s="56">
        <v>4.4160000000000004</v>
      </c>
      <c r="E19" s="56">
        <f>5.85535+0.1728</f>
        <v>6.0281499999999992</v>
      </c>
      <c r="F19" s="56">
        <v>3.2429999999999999</v>
      </c>
      <c r="G19" s="56">
        <v>3.21455</v>
      </c>
      <c r="H19" s="56">
        <f>3.1719</f>
        <v>3.1718999999999999</v>
      </c>
      <c r="I19" s="56">
        <f>3623.2/1000</f>
        <v>3.6231999999999998</v>
      </c>
      <c r="J19" s="56">
        <v>5.2016499999999999</v>
      </c>
      <c r="K19" s="56">
        <v>2.9916499999999999</v>
      </c>
      <c r="L19" s="56">
        <v>2.5</v>
      </c>
      <c r="M19" s="57">
        <v>4</v>
      </c>
      <c r="N19" s="56">
        <v>3.45</v>
      </c>
      <c r="O19" s="56">
        <v>3</v>
      </c>
      <c r="P19" s="56">
        <f>SUM(D19:O19)</f>
        <v>44.840100000000007</v>
      </c>
      <c r="Q19" s="55"/>
    </row>
    <row r="20" spans="2:17" x14ac:dyDescent="0.25">
      <c r="B20" s="11"/>
      <c r="C20" s="22" t="s">
        <v>7</v>
      </c>
      <c r="D20" s="56">
        <v>10.289</v>
      </c>
      <c r="E20" s="56">
        <v>11.273</v>
      </c>
      <c r="F20" s="56">
        <v>14.526</v>
      </c>
      <c r="G20" s="56">
        <v>9.4209999999999994</v>
      </c>
      <c r="H20" s="56">
        <v>11.3117</v>
      </c>
      <c r="I20" s="56">
        <v>14.096</v>
      </c>
      <c r="J20" s="56">
        <v>14.0732</v>
      </c>
      <c r="K20" s="56">
        <v>11.307550000000001</v>
      </c>
      <c r="L20" s="56">
        <v>15</v>
      </c>
      <c r="M20" s="57">
        <v>15</v>
      </c>
      <c r="N20" s="56">
        <v>15.2</v>
      </c>
      <c r="O20" s="56">
        <v>13.7</v>
      </c>
      <c r="P20" s="56">
        <f>SUM(D20:O20)</f>
        <v>155.19744999999998</v>
      </c>
      <c r="Q20" s="55"/>
    </row>
    <row r="21" spans="2:17" x14ac:dyDescent="0.25">
      <c r="B21" s="11"/>
      <c r="C21" s="22" t="s">
        <v>10</v>
      </c>
      <c r="D21" s="56">
        <v>5.2990000000000004</v>
      </c>
      <c r="E21" s="56">
        <f>3.67607+0.0265</f>
        <v>3.7025700000000001</v>
      </c>
      <c r="F21" s="56">
        <v>2.532</v>
      </c>
      <c r="G21" s="56">
        <v>0</v>
      </c>
      <c r="H21" s="56">
        <f>0.38535+0.0205</f>
        <v>0.40585000000000004</v>
      </c>
      <c r="I21" s="56">
        <f>0.22+0.12882</f>
        <v>0.34882000000000002</v>
      </c>
      <c r="J21" s="56">
        <f>0.5125+0.38215</f>
        <v>0.89464999999999995</v>
      </c>
      <c r="K21" s="56">
        <v>0.53749999999999998</v>
      </c>
      <c r="L21" s="56">
        <v>0.5</v>
      </c>
      <c r="M21" s="57">
        <v>1</v>
      </c>
      <c r="N21" s="56">
        <v>1</v>
      </c>
      <c r="O21" s="56">
        <v>4.9000000000000004</v>
      </c>
      <c r="P21" s="56">
        <f>SUM(D21:O21)</f>
        <v>21.12039</v>
      </c>
      <c r="Q21" s="55"/>
    </row>
    <row r="22" spans="2:17" s="58" customFormat="1" x14ac:dyDescent="0.25">
      <c r="B22" s="63" t="s">
        <v>19</v>
      </c>
      <c r="C22" s="64" t="s">
        <v>20</v>
      </c>
      <c r="D22" s="61">
        <f t="shared" ref="D22:P22" si="2">SUM(D19:D21)</f>
        <v>20.004000000000001</v>
      </c>
      <c r="E22" s="61">
        <f t="shared" si="2"/>
        <v>21.003720000000001</v>
      </c>
      <c r="F22" s="61">
        <f t="shared" si="2"/>
        <v>20.300999999999998</v>
      </c>
      <c r="G22" s="61">
        <f t="shared" si="2"/>
        <v>12.635549999999999</v>
      </c>
      <c r="H22" s="61">
        <f t="shared" si="2"/>
        <v>14.88945</v>
      </c>
      <c r="I22" s="61">
        <f t="shared" si="2"/>
        <v>18.068020000000001</v>
      </c>
      <c r="J22" s="61">
        <f t="shared" si="2"/>
        <v>20.169499999999999</v>
      </c>
      <c r="K22" s="61">
        <f t="shared" si="2"/>
        <v>14.8367</v>
      </c>
      <c r="L22" s="61">
        <f t="shared" si="2"/>
        <v>18</v>
      </c>
      <c r="M22" s="62">
        <f t="shared" si="2"/>
        <v>20</v>
      </c>
      <c r="N22" s="61">
        <f t="shared" si="2"/>
        <v>19.649999999999999</v>
      </c>
      <c r="O22" s="61">
        <f t="shared" si="2"/>
        <v>21.6</v>
      </c>
      <c r="P22" s="61">
        <f t="shared" si="2"/>
        <v>221.15794</v>
      </c>
    </row>
    <row r="23" spans="2:17" ht="8.25" customHeight="1" x14ac:dyDescent="0.25">
      <c r="D23" s="34"/>
      <c r="E23" s="34"/>
      <c r="F23" s="34"/>
      <c r="G23" s="34"/>
      <c r="H23" s="34"/>
      <c r="I23" s="34"/>
      <c r="J23" s="34"/>
      <c r="K23" s="34"/>
      <c r="L23" s="34"/>
      <c r="M23" s="65"/>
    </row>
    <row r="24" spans="2:17" s="58" customFormat="1" x14ac:dyDescent="0.25">
      <c r="B24" s="63" t="s">
        <v>20</v>
      </c>
      <c r="C24" s="64"/>
      <c r="D24" s="61">
        <f t="shared" ref="D24:P24" si="3">D11+D18+D22</f>
        <v>133.87789999999998</v>
      </c>
      <c r="E24" s="61">
        <f t="shared" si="3"/>
        <v>149.33238999999998</v>
      </c>
      <c r="F24" s="61">
        <f t="shared" si="3"/>
        <v>158.017</v>
      </c>
      <c r="G24" s="61">
        <f t="shared" si="3"/>
        <v>57.438649999999996</v>
      </c>
      <c r="H24" s="61">
        <f t="shared" si="3"/>
        <v>65.882280000000009</v>
      </c>
      <c r="I24" s="61">
        <f t="shared" si="3"/>
        <v>99.176750000000013</v>
      </c>
      <c r="J24" s="61">
        <f t="shared" si="3"/>
        <v>145.07596999999998</v>
      </c>
      <c r="K24" s="61">
        <f t="shared" si="3"/>
        <v>96.572081999999995</v>
      </c>
      <c r="L24" s="61">
        <f t="shared" si="3"/>
        <v>110</v>
      </c>
      <c r="M24" s="62">
        <f t="shared" si="3"/>
        <v>130</v>
      </c>
      <c r="N24" s="61">
        <f t="shared" si="3"/>
        <v>122.65</v>
      </c>
      <c r="O24" s="61">
        <f t="shared" si="3"/>
        <v>144.15</v>
      </c>
      <c r="P24" s="61">
        <f t="shared" si="3"/>
        <v>1409.323022</v>
      </c>
    </row>
    <row r="25" spans="2:17" x14ac:dyDescent="0.25">
      <c r="D25" s="34"/>
      <c r="E25" s="34"/>
      <c r="F25" s="34"/>
      <c r="G25" s="34"/>
      <c r="H25" s="34"/>
      <c r="I25" s="34"/>
      <c r="J25" s="34"/>
      <c r="K25" s="34"/>
      <c r="L25" s="34"/>
      <c r="M25" s="65"/>
    </row>
    <row r="26" spans="2:17" x14ac:dyDescent="0.25">
      <c r="B26" s="11" t="s">
        <v>23</v>
      </c>
      <c r="C26" s="22" t="s">
        <v>1</v>
      </c>
      <c r="D26" s="53">
        <f t="shared" ref="D26:O26" si="4">D4+D5+D12+D19</f>
        <v>169.52689999999998</v>
      </c>
      <c r="E26" s="53">
        <f t="shared" si="4"/>
        <v>167.65141000000003</v>
      </c>
      <c r="F26" s="53">
        <f t="shared" si="4"/>
        <v>176.98027999999999</v>
      </c>
      <c r="G26" s="53">
        <f t="shared" si="4"/>
        <v>46.835329999999999</v>
      </c>
      <c r="H26" s="53">
        <f t="shared" si="4"/>
        <v>76.659059999999997</v>
      </c>
      <c r="I26" s="53">
        <f t="shared" si="4"/>
        <v>91.994990000000001</v>
      </c>
      <c r="J26" s="53">
        <f t="shared" si="4"/>
        <v>131.74904000000001</v>
      </c>
      <c r="K26" s="53">
        <f t="shared" si="4"/>
        <v>109.69999000000001</v>
      </c>
      <c r="L26" s="53">
        <f t="shared" si="4"/>
        <v>105.5</v>
      </c>
      <c r="M26" s="54">
        <f t="shared" si="4"/>
        <v>152</v>
      </c>
      <c r="N26" s="53">
        <f t="shared" si="4"/>
        <v>161.35</v>
      </c>
      <c r="O26" s="53">
        <f t="shared" si="4"/>
        <v>154.80000000000001</v>
      </c>
      <c r="P26" s="53">
        <f t="shared" ref="P26:P32" si="5">SUM(D26:O26)</f>
        <v>1544.7469999999998</v>
      </c>
    </row>
    <row r="27" spans="2:17" x14ac:dyDescent="0.25">
      <c r="B27" s="11"/>
      <c r="C27" s="22" t="s">
        <v>7</v>
      </c>
      <c r="D27" s="53">
        <f t="shared" ref="D27:O27" si="6">D6+D13+D20</f>
        <v>77.808000000000007</v>
      </c>
      <c r="E27" s="53">
        <f t="shared" si="6"/>
        <v>90.883569999999992</v>
      </c>
      <c r="F27" s="53">
        <f t="shared" si="6"/>
        <v>98.073999999999998</v>
      </c>
      <c r="G27" s="53">
        <f t="shared" si="6"/>
        <v>39.380049999999997</v>
      </c>
      <c r="H27" s="53">
        <f t="shared" si="6"/>
        <v>44.046469999999999</v>
      </c>
      <c r="I27" s="53">
        <f t="shared" si="6"/>
        <v>64.716499999999996</v>
      </c>
      <c r="J27" s="53">
        <f t="shared" si="6"/>
        <v>74.060839999999999</v>
      </c>
      <c r="K27" s="53">
        <f t="shared" si="6"/>
        <v>56.842710000000004</v>
      </c>
      <c r="L27" s="53">
        <f t="shared" si="6"/>
        <v>67</v>
      </c>
      <c r="M27" s="54">
        <f t="shared" si="6"/>
        <v>76</v>
      </c>
      <c r="N27" s="53">
        <f t="shared" si="6"/>
        <v>82</v>
      </c>
      <c r="O27" s="53">
        <f t="shared" si="6"/>
        <v>94.000000000000014</v>
      </c>
      <c r="P27" s="53">
        <f t="shared" si="5"/>
        <v>864.81214</v>
      </c>
    </row>
    <row r="28" spans="2:17" x14ac:dyDescent="0.25">
      <c r="B28" s="11"/>
      <c r="C28" s="22" t="s">
        <v>10</v>
      </c>
      <c r="D28" s="56">
        <f t="shared" ref="D28:O28" si="7">D7+D14+D21</f>
        <v>8.173</v>
      </c>
      <c r="E28" s="53">
        <f t="shared" si="7"/>
        <v>6.3919100000000002</v>
      </c>
      <c r="F28" s="53">
        <f t="shared" si="7"/>
        <v>4.8970000000000002</v>
      </c>
      <c r="G28" s="53">
        <f t="shared" si="7"/>
        <v>0.30227000000000004</v>
      </c>
      <c r="H28" s="53">
        <f t="shared" si="7"/>
        <v>4.3622499999999995</v>
      </c>
      <c r="I28" s="53">
        <f t="shared" si="7"/>
        <v>3.0116100000000001</v>
      </c>
      <c r="J28" s="53">
        <f t="shared" si="7"/>
        <v>6.1280900000000003</v>
      </c>
      <c r="K28" s="53">
        <f t="shared" si="7"/>
        <v>7.892582</v>
      </c>
      <c r="L28" s="53">
        <f t="shared" si="7"/>
        <v>7.5</v>
      </c>
      <c r="M28" s="54">
        <f t="shared" si="7"/>
        <v>4</v>
      </c>
      <c r="N28" s="53">
        <f t="shared" si="7"/>
        <v>4</v>
      </c>
      <c r="O28" s="53">
        <f t="shared" si="7"/>
        <v>6.7</v>
      </c>
      <c r="P28" s="53">
        <f t="shared" si="5"/>
        <v>63.358712000000004</v>
      </c>
    </row>
    <row r="29" spans="2:17" x14ac:dyDescent="0.25">
      <c r="B29" s="11"/>
      <c r="C29" s="22" t="s">
        <v>11</v>
      </c>
      <c r="D29" s="53">
        <f t="shared" ref="D29:O29" si="8">D8+D15</f>
        <v>0</v>
      </c>
      <c r="E29" s="53">
        <f t="shared" si="8"/>
        <v>0</v>
      </c>
      <c r="F29" s="53">
        <f t="shared" si="8"/>
        <v>0</v>
      </c>
      <c r="G29" s="53">
        <f t="shared" si="8"/>
        <v>0</v>
      </c>
      <c r="H29" s="53">
        <f t="shared" si="8"/>
        <v>0</v>
      </c>
      <c r="I29" s="53">
        <f t="shared" si="8"/>
        <v>0</v>
      </c>
      <c r="J29" s="53">
        <f t="shared" si="8"/>
        <v>0</v>
      </c>
      <c r="K29" s="53">
        <f t="shared" si="8"/>
        <v>0</v>
      </c>
      <c r="L29" s="53">
        <f t="shared" si="8"/>
        <v>0</v>
      </c>
      <c r="M29" s="54">
        <f t="shared" si="8"/>
        <v>0</v>
      </c>
      <c r="N29" s="53">
        <f t="shared" si="8"/>
        <v>0</v>
      </c>
      <c r="O29" s="53">
        <f t="shared" si="8"/>
        <v>0</v>
      </c>
      <c r="P29" s="53">
        <f t="shared" si="5"/>
        <v>0</v>
      </c>
    </row>
    <row r="30" spans="2:17" x14ac:dyDescent="0.25">
      <c r="B30" s="11"/>
      <c r="C30" s="22" t="s">
        <v>12</v>
      </c>
      <c r="D30" s="53">
        <f t="shared" ref="D30:O30" si="9">D9+D16</f>
        <v>0</v>
      </c>
      <c r="E30" s="53">
        <f t="shared" si="9"/>
        <v>0</v>
      </c>
      <c r="F30" s="53">
        <f t="shared" si="9"/>
        <v>0</v>
      </c>
      <c r="G30" s="53">
        <f t="shared" si="9"/>
        <v>0</v>
      </c>
      <c r="H30" s="53">
        <f t="shared" si="9"/>
        <v>0</v>
      </c>
      <c r="I30" s="53">
        <f t="shared" si="9"/>
        <v>0</v>
      </c>
      <c r="J30" s="53">
        <f t="shared" si="9"/>
        <v>0</v>
      </c>
      <c r="K30" s="53">
        <f t="shared" si="9"/>
        <v>0</v>
      </c>
      <c r="L30" s="53">
        <f t="shared" si="9"/>
        <v>0</v>
      </c>
      <c r="M30" s="54">
        <f t="shared" si="9"/>
        <v>0</v>
      </c>
      <c r="N30" s="53">
        <f t="shared" si="9"/>
        <v>0</v>
      </c>
      <c r="O30" s="53">
        <f t="shared" si="9"/>
        <v>2.85</v>
      </c>
      <c r="P30" s="53">
        <f t="shared" si="5"/>
        <v>2.85</v>
      </c>
    </row>
    <row r="31" spans="2:17" x14ac:dyDescent="0.25">
      <c r="B31" s="11"/>
      <c r="C31" s="22" t="s">
        <v>13</v>
      </c>
      <c r="D31" s="53">
        <f t="shared" ref="D31:O31" si="10">D10+D17</f>
        <v>0</v>
      </c>
      <c r="E31" s="53">
        <f t="shared" si="10"/>
        <v>0</v>
      </c>
      <c r="F31" s="53">
        <f t="shared" si="10"/>
        <v>0</v>
      </c>
      <c r="G31" s="53">
        <f t="shared" si="10"/>
        <v>0</v>
      </c>
      <c r="H31" s="53">
        <f t="shared" si="10"/>
        <v>0</v>
      </c>
      <c r="I31" s="53">
        <f t="shared" si="10"/>
        <v>0</v>
      </c>
      <c r="J31" s="53">
        <f t="shared" si="10"/>
        <v>0</v>
      </c>
      <c r="K31" s="53">
        <f t="shared" si="10"/>
        <v>0</v>
      </c>
      <c r="L31" s="53">
        <f t="shared" si="10"/>
        <v>0</v>
      </c>
      <c r="M31" s="54">
        <f t="shared" si="10"/>
        <v>0</v>
      </c>
      <c r="N31" s="53">
        <f t="shared" si="10"/>
        <v>0</v>
      </c>
      <c r="O31" s="53">
        <f t="shared" si="10"/>
        <v>0</v>
      </c>
      <c r="P31" s="53">
        <f t="shared" si="5"/>
        <v>0</v>
      </c>
    </row>
    <row r="32" spans="2:17" x14ac:dyDescent="0.25">
      <c r="B32" s="11"/>
      <c r="C32" s="22" t="s">
        <v>20</v>
      </c>
      <c r="D32" s="53">
        <f t="shared" ref="D32:O32" si="11">SUM(D26:D31)</f>
        <v>255.50790000000001</v>
      </c>
      <c r="E32" s="53">
        <f t="shared" si="11"/>
        <v>264.92689000000001</v>
      </c>
      <c r="F32" s="53">
        <f t="shared" si="11"/>
        <v>279.95128</v>
      </c>
      <c r="G32" s="53">
        <f t="shared" si="11"/>
        <v>86.517650000000003</v>
      </c>
      <c r="H32" s="53">
        <f t="shared" si="11"/>
        <v>125.06778</v>
      </c>
      <c r="I32" s="53">
        <f t="shared" si="11"/>
        <v>159.72309999999999</v>
      </c>
      <c r="J32" s="53">
        <f t="shared" si="11"/>
        <v>211.93797000000001</v>
      </c>
      <c r="K32" s="53">
        <f t="shared" si="11"/>
        <v>174.43528200000003</v>
      </c>
      <c r="L32" s="53">
        <f t="shared" si="11"/>
        <v>180</v>
      </c>
      <c r="M32" s="54">
        <f t="shared" si="11"/>
        <v>232</v>
      </c>
      <c r="N32" s="53">
        <f t="shared" si="11"/>
        <v>247.35</v>
      </c>
      <c r="O32" s="53">
        <f t="shared" si="11"/>
        <v>258.35000000000002</v>
      </c>
      <c r="P32" s="66">
        <f t="shared" si="5"/>
        <v>2475.7678519999999</v>
      </c>
    </row>
    <row r="33" spans="1:17" ht="7.5" customHeight="1" x14ac:dyDescent="0.25">
      <c r="D33" s="55"/>
      <c r="E33" s="55"/>
      <c r="F33" s="67"/>
      <c r="G33" s="67"/>
      <c r="H33" s="67"/>
      <c r="I33" s="67"/>
      <c r="J33" s="67"/>
      <c r="K33" s="67"/>
      <c r="L33" s="67"/>
    </row>
    <row r="34" spans="1:17" x14ac:dyDescent="0.25">
      <c r="B34" s="68"/>
      <c r="C34" s="52" t="s">
        <v>24</v>
      </c>
      <c r="D34" s="69">
        <v>43831</v>
      </c>
      <c r="E34" s="69">
        <v>43862</v>
      </c>
      <c r="F34" s="69">
        <v>43891</v>
      </c>
      <c r="G34" s="69">
        <v>43922</v>
      </c>
      <c r="H34" s="69">
        <v>43952</v>
      </c>
      <c r="I34" s="69">
        <v>43983</v>
      </c>
      <c r="J34" s="69">
        <v>44013</v>
      </c>
      <c r="K34" s="69">
        <v>44044</v>
      </c>
      <c r="L34" s="69">
        <v>44075</v>
      </c>
      <c r="M34" s="69">
        <v>44105</v>
      </c>
      <c r="N34" s="69">
        <v>44136</v>
      </c>
      <c r="O34" s="69">
        <v>44166</v>
      </c>
      <c r="P34" s="52" t="str">
        <f>P3</f>
        <v>TOTAL 2020</v>
      </c>
    </row>
    <row r="35" spans="1:17" x14ac:dyDescent="0.25">
      <c r="B35" s="10" t="s">
        <v>1</v>
      </c>
      <c r="C35" s="22" t="s">
        <v>25</v>
      </c>
      <c r="D35" s="70">
        <v>18</v>
      </c>
      <c r="E35" s="70">
        <f t="shared" ref="E35:O35" si="12">D42</f>
        <v>29.426289999999995</v>
      </c>
      <c r="F35" s="70">
        <f t="shared" si="12"/>
        <v>22.07050000000001</v>
      </c>
      <c r="G35" s="70">
        <f t="shared" si="12"/>
        <v>18.600000000000001</v>
      </c>
      <c r="H35" s="70">
        <f t="shared" si="12"/>
        <v>4.3632699999999929</v>
      </c>
      <c r="I35" s="70">
        <f t="shared" si="12"/>
        <v>13.406669999999982</v>
      </c>
      <c r="J35" s="70">
        <f t="shared" si="12"/>
        <v>3.4584599999999739</v>
      </c>
      <c r="K35" s="71">
        <f t="shared" si="12"/>
        <v>9.4732699999999852</v>
      </c>
      <c r="L35" s="70">
        <f t="shared" si="12"/>
        <v>20.877260000000003</v>
      </c>
      <c r="M35" s="72">
        <f t="shared" si="12"/>
        <v>6.3772600000000068</v>
      </c>
      <c r="N35" s="70">
        <f t="shared" si="12"/>
        <v>12.377260000000007</v>
      </c>
      <c r="O35" s="70">
        <f t="shared" si="12"/>
        <v>24.727260000000001</v>
      </c>
      <c r="P35" s="70"/>
    </row>
    <row r="36" spans="1:17" x14ac:dyDescent="0.25">
      <c r="B36" s="10"/>
      <c r="C36" s="22" t="s">
        <v>26</v>
      </c>
      <c r="D36" s="70">
        <f t="shared" ref="D36:O36" si="13">D26</f>
        <v>169.52689999999998</v>
      </c>
      <c r="E36" s="70">
        <f t="shared" si="13"/>
        <v>167.65141000000003</v>
      </c>
      <c r="F36" s="70">
        <f t="shared" si="13"/>
        <v>176.98027999999999</v>
      </c>
      <c r="G36" s="70">
        <f t="shared" si="13"/>
        <v>46.835329999999999</v>
      </c>
      <c r="H36" s="70">
        <f t="shared" si="13"/>
        <v>76.659059999999997</v>
      </c>
      <c r="I36" s="70">
        <f t="shared" si="13"/>
        <v>91.994990000000001</v>
      </c>
      <c r="J36" s="70">
        <f t="shared" si="13"/>
        <v>131.74904000000001</v>
      </c>
      <c r="K36" s="71">
        <f t="shared" si="13"/>
        <v>109.69999000000001</v>
      </c>
      <c r="L36" s="70">
        <f t="shared" si="13"/>
        <v>105.5</v>
      </c>
      <c r="M36" s="72">
        <f t="shared" si="13"/>
        <v>152</v>
      </c>
      <c r="N36" s="70">
        <f t="shared" si="13"/>
        <v>161.35</v>
      </c>
      <c r="O36" s="70">
        <f t="shared" si="13"/>
        <v>154.80000000000001</v>
      </c>
      <c r="P36" s="73">
        <f t="shared" ref="P36:P41" si="14">SUM(D36:O36)</f>
        <v>1544.7469999999998</v>
      </c>
    </row>
    <row r="37" spans="1:17" x14ac:dyDescent="0.25">
      <c r="B37" s="10"/>
      <c r="C37" s="74" t="s">
        <v>2</v>
      </c>
      <c r="D37" s="75">
        <f t="shared" ref="D37:O37" si="15">D4</f>
        <v>121.63</v>
      </c>
      <c r="E37" s="75">
        <f t="shared" si="15"/>
        <v>115.5945</v>
      </c>
      <c r="F37" s="75">
        <f t="shared" si="15"/>
        <v>121.93428</v>
      </c>
      <c r="G37" s="75">
        <f t="shared" si="15"/>
        <v>29.079000000000001</v>
      </c>
      <c r="H37" s="75">
        <f t="shared" si="15"/>
        <v>59.185499999999998</v>
      </c>
      <c r="I37" s="75">
        <f t="shared" si="15"/>
        <v>60.546349999999997</v>
      </c>
      <c r="J37" s="75">
        <f t="shared" si="15"/>
        <v>66.861999999999995</v>
      </c>
      <c r="K37" s="75">
        <f t="shared" si="15"/>
        <v>77.863200000000006</v>
      </c>
      <c r="L37" s="75">
        <f t="shared" si="15"/>
        <v>70</v>
      </c>
      <c r="M37" s="76">
        <f t="shared" si="15"/>
        <v>102</v>
      </c>
      <c r="N37" s="75">
        <f t="shared" si="15"/>
        <v>124.7</v>
      </c>
      <c r="O37" s="75">
        <f t="shared" si="15"/>
        <v>114.2</v>
      </c>
      <c r="P37" s="77">
        <f t="shared" si="14"/>
        <v>1063.59483</v>
      </c>
    </row>
    <row r="38" spans="1:17" x14ac:dyDescent="0.25">
      <c r="A38" s="48"/>
      <c r="B38" s="10"/>
      <c r="C38" s="74" t="s">
        <v>8</v>
      </c>
      <c r="D38" s="75">
        <f t="shared" ref="D38:O38" si="16">D5</f>
        <v>23.172999999999998</v>
      </c>
      <c r="E38" s="75">
        <f t="shared" si="16"/>
        <v>20.237100000000002</v>
      </c>
      <c r="F38" s="75">
        <f t="shared" si="16"/>
        <v>29.407</v>
      </c>
      <c r="G38" s="75">
        <f t="shared" si="16"/>
        <v>13.902999999999999</v>
      </c>
      <c r="H38" s="75">
        <f t="shared" si="16"/>
        <v>13.335290000000001</v>
      </c>
      <c r="I38" s="75">
        <f t="shared" si="16"/>
        <v>13.548389999999999</v>
      </c>
      <c r="J38" s="75">
        <f t="shared" si="16"/>
        <v>32.961970000000001</v>
      </c>
      <c r="K38" s="75">
        <f t="shared" si="16"/>
        <v>14.614610000000001</v>
      </c>
      <c r="L38" s="75">
        <f t="shared" si="16"/>
        <v>15</v>
      </c>
      <c r="M38" s="76">
        <f t="shared" si="16"/>
        <v>24</v>
      </c>
      <c r="N38" s="75">
        <f t="shared" si="16"/>
        <v>21.6</v>
      </c>
      <c r="O38" s="75">
        <f t="shared" si="16"/>
        <v>19.399999999999999</v>
      </c>
      <c r="P38" s="77">
        <f t="shared" si="14"/>
        <v>241.18036000000001</v>
      </c>
    </row>
    <row r="39" spans="1:17" x14ac:dyDescent="0.25">
      <c r="B39" s="10"/>
      <c r="C39" s="74" t="s">
        <v>21</v>
      </c>
      <c r="D39" s="75">
        <f t="shared" ref="D39:O39" si="17">D12</f>
        <v>20.3079</v>
      </c>
      <c r="E39" s="75">
        <f t="shared" si="17"/>
        <v>25.79166</v>
      </c>
      <c r="F39" s="75">
        <f t="shared" si="17"/>
        <v>22.396000000000001</v>
      </c>
      <c r="G39" s="75">
        <f t="shared" si="17"/>
        <v>0.63878000000000001</v>
      </c>
      <c r="H39" s="75">
        <f t="shared" si="17"/>
        <v>0.96636999999999995</v>
      </c>
      <c r="I39" s="75">
        <f t="shared" si="17"/>
        <v>14.277050000000001</v>
      </c>
      <c r="J39" s="75">
        <f t="shared" si="17"/>
        <v>26.723419999999997</v>
      </c>
      <c r="K39" s="75">
        <f t="shared" si="17"/>
        <v>14.23053</v>
      </c>
      <c r="L39" s="75">
        <f t="shared" si="17"/>
        <v>18</v>
      </c>
      <c r="M39" s="76">
        <f t="shared" si="17"/>
        <v>22</v>
      </c>
      <c r="N39" s="75">
        <f t="shared" si="17"/>
        <v>11.6</v>
      </c>
      <c r="O39" s="75">
        <f t="shared" si="17"/>
        <v>18.200000000000003</v>
      </c>
      <c r="P39" s="77">
        <f t="shared" si="14"/>
        <v>195.13171</v>
      </c>
    </row>
    <row r="40" spans="1:17" x14ac:dyDescent="0.25">
      <c r="B40" s="10"/>
      <c r="C40" s="74" t="s">
        <v>22</v>
      </c>
      <c r="D40" s="75">
        <f t="shared" ref="D40:O40" si="18">D19</f>
        <v>4.4160000000000004</v>
      </c>
      <c r="E40" s="75">
        <f t="shared" si="18"/>
        <v>6.0281499999999992</v>
      </c>
      <c r="F40" s="75">
        <f t="shared" si="18"/>
        <v>3.2429999999999999</v>
      </c>
      <c r="G40" s="75">
        <f t="shared" si="18"/>
        <v>3.21455</v>
      </c>
      <c r="H40" s="75">
        <f t="shared" si="18"/>
        <v>3.1718999999999999</v>
      </c>
      <c r="I40" s="75">
        <f t="shared" si="18"/>
        <v>3.6231999999999998</v>
      </c>
      <c r="J40" s="75">
        <f t="shared" si="18"/>
        <v>5.2016499999999999</v>
      </c>
      <c r="K40" s="75">
        <f t="shared" si="18"/>
        <v>2.9916499999999999</v>
      </c>
      <c r="L40" s="75">
        <f t="shared" si="18"/>
        <v>2.5</v>
      </c>
      <c r="M40" s="76">
        <f t="shared" si="18"/>
        <v>4</v>
      </c>
      <c r="N40" s="75">
        <f t="shared" si="18"/>
        <v>3.45</v>
      </c>
      <c r="O40" s="75">
        <f t="shared" si="18"/>
        <v>3</v>
      </c>
      <c r="P40" s="77">
        <f t="shared" si="14"/>
        <v>44.840100000000007</v>
      </c>
    </row>
    <row r="41" spans="1:17" x14ac:dyDescent="0.25">
      <c r="B41" s="10"/>
      <c r="C41" s="22" t="s">
        <v>27</v>
      </c>
      <c r="D41" s="77">
        <f>Sales!C4</f>
        <v>158.10060999999999</v>
      </c>
      <c r="E41" s="77">
        <f>Sales!D4</f>
        <v>175.00720000000001</v>
      </c>
      <c r="F41" s="77">
        <f>Sales!E4</f>
        <v>179.93342999999999</v>
      </c>
      <c r="G41" s="77">
        <f>Sales!F4</f>
        <v>61.07206</v>
      </c>
      <c r="H41" s="77">
        <f>Sales!G4</f>
        <v>67.21566</v>
      </c>
      <c r="I41" s="77">
        <f>Sales!H4</f>
        <v>100.9432</v>
      </c>
      <c r="J41" s="77">
        <f>Sales!I4</f>
        <v>124.73423</v>
      </c>
      <c r="K41" s="77">
        <f>Sales!J4</f>
        <v>98.995999999999995</v>
      </c>
      <c r="L41" s="77">
        <f>Sales!K4</f>
        <v>120</v>
      </c>
      <c r="M41" s="78">
        <f>Sales!L4</f>
        <v>146</v>
      </c>
      <c r="N41" s="77">
        <f>Sales!M4</f>
        <v>149</v>
      </c>
      <c r="O41" s="77">
        <f>Sales!N4</f>
        <v>169.3</v>
      </c>
      <c r="P41" s="79">
        <f t="shared" si="14"/>
        <v>1550.3023900000001</v>
      </c>
    </row>
    <row r="42" spans="1:17" x14ac:dyDescent="0.25">
      <c r="B42" s="10"/>
      <c r="C42" s="22" t="s">
        <v>28</v>
      </c>
      <c r="D42" s="77">
        <f>D35+D36-D41</f>
        <v>29.426289999999995</v>
      </c>
      <c r="E42" s="77">
        <f>E35+E36-E41</f>
        <v>22.07050000000001</v>
      </c>
      <c r="F42" s="77">
        <v>18.600000000000001</v>
      </c>
      <c r="G42" s="77">
        <f>G35+G36-G41</f>
        <v>4.3632699999999929</v>
      </c>
      <c r="H42" s="77">
        <f>H35+H36-H41-0.4</f>
        <v>13.406669999999982</v>
      </c>
      <c r="I42" s="77">
        <f>I35+I36-I41-1</f>
        <v>3.4584599999999739</v>
      </c>
      <c r="J42" s="77">
        <f>J35+J36-J41-1</f>
        <v>9.4732699999999852</v>
      </c>
      <c r="K42" s="77">
        <f>K35+K36-K41+0.7</f>
        <v>20.877260000000003</v>
      </c>
      <c r="L42" s="77">
        <f>L35+L36-L41</f>
        <v>6.3772600000000068</v>
      </c>
      <c r="M42" s="78">
        <f>M35+M36-M41</f>
        <v>12.377260000000007</v>
      </c>
      <c r="N42" s="77">
        <f>N35+N36-N41</f>
        <v>24.727260000000001</v>
      </c>
      <c r="O42" s="77">
        <f>O35+O36-O41</f>
        <v>10.227260000000001</v>
      </c>
      <c r="P42" s="71"/>
    </row>
    <row r="43" spans="1:17" ht="10.5" customHeight="1" x14ac:dyDescent="0.25">
      <c r="D43" s="48"/>
      <c r="E43" s="48"/>
      <c r="F43" s="48"/>
      <c r="G43" s="48"/>
    </row>
    <row r="44" spans="1:17" x14ac:dyDescent="0.25">
      <c r="B44" s="68"/>
      <c r="C44" s="52"/>
      <c r="D44" s="52">
        <v>43831</v>
      </c>
      <c r="E44" s="52">
        <v>43862</v>
      </c>
      <c r="F44" s="52">
        <v>43891</v>
      </c>
      <c r="G44" s="52">
        <v>43922</v>
      </c>
      <c r="H44" s="52">
        <v>43952</v>
      </c>
      <c r="I44" s="52">
        <v>43983</v>
      </c>
      <c r="J44" s="52">
        <v>44013</v>
      </c>
      <c r="K44" s="52">
        <v>44044</v>
      </c>
      <c r="L44" s="52">
        <v>44075</v>
      </c>
      <c r="M44" s="52">
        <v>44105</v>
      </c>
      <c r="N44" s="52">
        <v>44136</v>
      </c>
      <c r="O44" s="52">
        <v>44166</v>
      </c>
      <c r="P44" s="52" t="str">
        <f>P34</f>
        <v>TOTAL 2020</v>
      </c>
    </row>
    <row r="45" spans="1:17" x14ac:dyDescent="0.25">
      <c r="B45" s="9" t="s">
        <v>7</v>
      </c>
      <c r="C45" s="22" t="s">
        <v>25</v>
      </c>
      <c r="D45" s="70"/>
      <c r="E45" s="70">
        <f t="shared" ref="E45:L45" si="19">D51</f>
        <v>0.27</v>
      </c>
      <c r="F45" s="70">
        <f t="shared" si="19"/>
        <v>0.47128999999999904</v>
      </c>
      <c r="G45" s="70">
        <f t="shared" si="19"/>
        <v>0.52876999999998875</v>
      </c>
      <c r="H45" s="70">
        <f t="shared" si="19"/>
        <v>5.978999999999246E-2</v>
      </c>
      <c r="I45" s="70">
        <f t="shared" si="19"/>
        <v>0.92519999999999669</v>
      </c>
      <c r="J45" s="70">
        <f t="shared" si="19"/>
        <v>7.0149999999998158E-2</v>
      </c>
      <c r="K45" s="70">
        <f t="shared" si="19"/>
        <v>0.34908000000000072</v>
      </c>
      <c r="L45" s="70">
        <f t="shared" si="19"/>
        <v>-0.36162799999998185</v>
      </c>
      <c r="M45" s="80">
        <v>0.37</v>
      </c>
      <c r="N45" s="80">
        <f>M51</f>
        <v>0.37000000000000455</v>
      </c>
      <c r="O45" s="80">
        <f>N51</f>
        <v>0.37000000000000455</v>
      </c>
      <c r="P45" s="70"/>
    </row>
    <row r="46" spans="1:17" x14ac:dyDescent="0.25">
      <c r="B46" s="9"/>
      <c r="C46" s="22" t="s">
        <v>26</v>
      </c>
      <c r="D46" s="41">
        <f t="shared" ref="D46:P46" si="20">SUM(D47:D49)</f>
        <v>85.980999999999995</v>
      </c>
      <c r="E46" s="41">
        <f t="shared" si="20"/>
        <v>97.275480000000002</v>
      </c>
      <c r="F46" s="41">
        <f t="shared" si="20"/>
        <v>102.971</v>
      </c>
      <c r="G46" s="41">
        <f t="shared" si="20"/>
        <v>39.682320000000004</v>
      </c>
      <c r="H46" s="41">
        <f t="shared" si="20"/>
        <v>48.408720000000002</v>
      </c>
      <c r="I46" s="41">
        <f t="shared" si="20"/>
        <v>67.728110000000001</v>
      </c>
      <c r="J46" s="41">
        <f t="shared" si="20"/>
        <v>80.188929999999999</v>
      </c>
      <c r="K46" s="41">
        <f t="shared" si="20"/>
        <v>64.735292000000015</v>
      </c>
      <c r="L46" s="41">
        <f t="shared" si="20"/>
        <v>74.5</v>
      </c>
      <c r="M46" s="41">
        <f t="shared" si="20"/>
        <v>80</v>
      </c>
      <c r="N46" s="41">
        <f t="shared" si="20"/>
        <v>86</v>
      </c>
      <c r="O46" s="41">
        <f t="shared" si="20"/>
        <v>103.55000000000001</v>
      </c>
      <c r="P46" s="41">
        <f t="shared" si="20"/>
        <v>928.17085199999997</v>
      </c>
    </row>
    <row r="47" spans="1:17" x14ac:dyDescent="0.25">
      <c r="B47" s="9"/>
      <c r="C47" s="74" t="s">
        <v>8</v>
      </c>
      <c r="D47" s="81">
        <f t="shared" ref="D47:N47" si="21">SUM(D6:D8)</f>
        <v>59.673000000000002</v>
      </c>
      <c r="E47" s="81">
        <f t="shared" si="21"/>
        <v>69.901759999999996</v>
      </c>
      <c r="F47" s="81">
        <f t="shared" si="21"/>
        <v>74.195999999999998</v>
      </c>
      <c r="G47" s="81">
        <f t="shared" si="21"/>
        <v>30.245820000000002</v>
      </c>
      <c r="H47" s="81">
        <f t="shared" si="21"/>
        <v>33.951210000000003</v>
      </c>
      <c r="I47" s="81">
        <f t="shared" si="21"/>
        <v>42.722290000000001</v>
      </c>
      <c r="J47" s="81">
        <f t="shared" si="21"/>
        <v>57.261580000000002</v>
      </c>
      <c r="K47" s="81">
        <f t="shared" si="21"/>
        <v>46.061842000000006</v>
      </c>
      <c r="L47" s="81">
        <f t="shared" si="21"/>
        <v>49</v>
      </c>
      <c r="M47" s="81">
        <f t="shared" si="21"/>
        <v>54</v>
      </c>
      <c r="N47" s="81">
        <f t="shared" si="21"/>
        <v>56.9</v>
      </c>
      <c r="O47" s="81">
        <f>SUM(O6:O9)</f>
        <v>69.05</v>
      </c>
      <c r="P47" s="81">
        <f>SUM(P6:P8)</f>
        <v>640.11350199999993</v>
      </c>
      <c r="Q47" s="82"/>
    </row>
    <row r="48" spans="1:17" x14ac:dyDescent="0.25">
      <c r="B48" s="9"/>
      <c r="C48" s="74" t="s">
        <v>21</v>
      </c>
      <c r="D48" s="81">
        <f t="shared" ref="D48:P48" si="22">SUM(D13:D15)</f>
        <v>10.72</v>
      </c>
      <c r="E48" s="81">
        <f t="shared" si="22"/>
        <v>12.398149999999999</v>
      </c>
      <c r="F48" s="81">
        <f t="shared" si="22"/>
        <v>11.717000000000001</v>
      </c>
      <c r="G48" s="81">
        <f t="shared" si="22"/>
        <v>1.55E-2</v>
      </c>
      <c r="H48" s="81">
        <f t="shared" si="22"/>
        <v>2.73996</v>
      </c>
      <c r="I48" s="81">
        <f t="shared" si="22"/>
        <v>10.561</v>
      </c>
      <c r="J48" s="81">
        <f t="shared" si="22"/>
        <v>7.9595000000000002</v>
      </c>
      <c r="K48" s="81">
        <f t="shared" si="22"/>
        <v>6.8284000000000002</v>
      </c>
      <c r="L48" s="81">
        <f t="shared" si="22"/>
        <v>10</v>
      </c>
      <c r="M48" s="81">
        <f t="shared" si="22"/>
        <v>10</v>
      </c>
      <c r="N48" s="81">
        <f t="shared" si="22"/>
        <v>12.9</v>
      </c>
      <c r="O48" s="81">
        <f t="shared" si="22"/>
        <v>15.9</v>
      </c>
      <c r="P48" s="81">
        <f t="shared" si="22"/>
        <v>111.73951000000002</v>
      </c>
      <c r="Q48" s="82"/>
    </row>
    <row r="49" spans="2:17" x14ac:dyDescent="0.25">
      <c r="B49" s="9"/>
      <c r="C49" s="74" t="s">
        <v>22</v>
      </c>
      <c r="D49" s="81">
        <f t="shared" ref="D49:P49" si="23">SUM(D20:D21)</f>
        <v>15.588000000000001</v>
      </c>
      <c r="E49" s="81">
        <f t="shared" si="23"/>
        <v>14.975569999999999</v>
      </c>
      <c r="F49" s="81">
        <f t="shared" si="23"/>
        <v>17.058</v>
      </c>
      <c r="G49" s="81">
        <f t="shared" si="23"/>
        <v>9.4209999999999994</v>
      </c>
      <c r="H49" s="81">
        <f t="shared" si="23"/>
        <v>11.717549999999999</v>
      </c>
      <c r="I49" s="81">
        <f t="shared" si="23"/>
        <v>14.44482</v>
      </c>
      <c r="J49" s="81">
        <f t="shared" si="23"/>
        <v>14.96785</v>
      </c>
      <c r="K49" s="81">
        <f t="shared" si="23"/>
        <v>11.845050000000001</v>
      </c>
      <c r="L49" s="81">
        <f t="shared" si="23"/>
        <v>15.5</v>
      </c>
      <c r="M49" s="81">
        <f t="shared" si="23"/>
        <v>16</v>
      </c>
      <c r="N49" s="81">
        <f t="shared" si="23"/>
        <v>16.2</v>
      </c>
      <c r="O49" s="81">
        <f t="shared" si="23"/>
        <v>18.600000000000001</v>
      </c>
      <c r="P49" s="81">
        <f t="shared" si="23"/>
        <v>176.31783999999999</v>
      </c>
      <c r="Q49" s="82"/>
    </row>
    <row r="50" spans="2:17" x14ac:dyDescent="0.25">
      <c r="B50" s="9"/>
      <c r="C50" s="22" t="s">
        <v>27</v>
      </c>
      <c r="D50" s="45">
        <f>SUM(Sales!C5:C7)</f>
        <v>86.089020000000005</v>
      </c>
      <c r="E50" s="45">
        <f>SUM(Sales!D5:D7)</f>
        <v>97.374189999999999</v>
      </c>
      <c r="F50" s="45">
        <f>SUM(Sales!E5:E7)</f>
        <v>103.81352000000001</v>
      </c>
      <c r="G50" s="45">
        <f>SUM(Sales!F5:F7)</f>
        <v>40.151299999999999</v>
      </c>
      <c r="H50" s="45">
        <f>SUM(Sales!G5:G7)</f>
        <v>47.543309999999998</v>
      </c>
      <c r="I50" s="45">
        <f>SUM(Sales!H5:H7)</f>
        <v>68.583160000000007</v>
      </c>
      <c r="J50" s="45">
        <f>SUM(Sales!I5:I7)</f>
        <v>79.91</v>
      </c>
      <c r="K50" s="45">
        <f>SUM(Sales!J5:J7)</f>
        <v>65.445999999999998</v>
      </c>
      <c r="L50" s="45">
        <f>SUM(Sales!K5:K7)</f>
        <v>73</v>
      </c>
      <c r="M50" s="45">
        <f>SUM(Sales!L5:L7)</f>
        <v>80</v>
      </c>
      <c r="N50" s="45">
        <f>SUM(Sales!M5:M7)</f>
        <v>86</v>
      </c>
      <c r="O50" s="45">
        <f>SUM(Sales!N5:N8)</f>
        <v>103.80000000000001</v>
      </c>
      <c r="P50" s="45">
        <f>SUM(Sales!O5:O7)</f>
        <v>929.01049999999998</v>
      </c>
    </row>
    <row r="51" spans="2:17" x14ac:dyDescent="0.25">
      <c r="B51" s="9"/>
      <c r="C51" s="22" t="s">
        <v>28</v>
      </c>
      <c r="D51" s="77">
        <v>0.27</v>
      </c>
      <c r="E51" s="83">
        <f>E45+E46-E50+0.3</f>
        <v>0.47128999999999904</v>
      </c>
      <c r="F51" s="83">
        <f>F45+F46-F50+0.9</f>
        <v>0.52876999999998875</v>
      </c>
      <c r="G51" s="83">
        <f>G45+G46-G50</f>
        <v>5.978999999999246E-2</v>
      </c>
      <c r="H51" s="83">
        <f>H45+H46-H50</f>
        <v>0.92519999999999669</v>
      </c>
      <c r="I51" s="83">
        <f>I45+I46-I50</f>
        <v>7.0149999999998158E-2</v>
      </c>
      <c r="J51" s="83">
        <f>J45+J46-J50</f>
        <v>0.34908000000000072</v>
      </c>
      <c r="K51" s="83">
        <f>K45+K46-K50</f>
        <v>-0.36162799999998185</v>
      </c>
      <c r="L51" s="83">
        <f>L45+L46-L50-2</f>
        <v>-0.86162799999998185</v>
      </c>
      <c r="M51" s="83">
        <f>M45+M46-M50</f>
        <v>0.37000000000000455</v>
      </c>
      <c r="N51" s="83">
        <f>N45+N46-N50</f>
        <v>0.37000000000000455</v>
      </c>
      <c r="O51" s="83">
        <f>O45+O46-O50</f>
        <v>0.12000000000000455</v>
      </c>
      <c r="P51" s="71"/>
    </row>
    <row r="52" spans="2:17" ht="11.25" customHeight="1" x14ac:dyDescent="0.25">
      <c r="D52" s="55"/>
      <c r="E52" s="55"/>
      <c r="F52" s="55"/>
      <c r="G52" s="55"/>
      <c r="H52" s="55"/>
      <c r="I52" s="55"/>
      <c r="J52" s="55"/>
      <c r="K52" s="55"/>
      <c r="L52" s="55"/>
      <c r="M52" s="55"/>
    </row>
    <row r="53" spans="2:17" x14ac:dyDescent="0.25">
      <c r="B53" s="84"/>
      <c r="C53" s="84" t="s">
        <v>27</v>
      </c>
      <c r="D53" s="84">
        <f t="shared" ref="D53:O53" si="24">D50+D41</f>
        <v>244.18962999999999</v>
      </c>
      <c r="E53" s="84">
        <f t="shared" si="24"/>
        <v>272.38139000000001</v>
      </c>
      <c r="F53" s="84">
        <f t="shared" si="24"/>
        <v>283.74694999999997</v>
      </c>
      <c r="G53" s="84">
        <f t="shared" si="24"/>
        <v>101.22336</v>
      </c>
      <c r="H53" s="84">
        <f t="shared" si="24"/>
        <v>114.75897000000001</v>
      </c>
      <c r="I53" s="84">
        <f t="shared" si="24"/>
        <v>169.52636000000001</v>
      </c>
      <c r="J53" s="84">
        <f t="shared" si="24"/>
        <v>204.64422999999999</v>
      </c>
      <c r="K53" s="84">
        <f t="shared" si="24"/>
        <v>164.44200000000001</v>
      </c>
      <c r="L53" s="84">
        <f t="shared" si="24"/>
        <v>193</v>
      </c>
      <c r="M53" s="84">
        <f t="shared" si="24"/>
        <v>226</v>
      </c>
      <c r="N53" s="84">
        <f t="shared" si="24"/>
        <v>235</v>
      </c>
      <c r="O53" s="84">
        <f t="shared" si="24"/>
        <v>273.10000000000002</v>
      </c>
      <c r="P53" s="84">
        <f>SUM(D53:O53)</f>
        <v>2482.01289</v>
      </c>
    </row>
    <row r="54" spans="2:17" ht="15" customHeight="1" x14ac:dyDescent="0.25">
      <c r="B54" s="8" t="s">
        <v>26</v>
      </c>
      <c r="C54" s="74" t="s">
        <v>2</v>
      </c>
      <c r="D54" s="85">
        <f t="shared" ref="D54:O54" si="25">D37</f>
        <v>121.63</v>
      </c>
      <c r="E54" s="85">
        <f t="shared" si="25"/>
        <v>115.5945</v>
      </c>
      <c r="F54" s="85">
        <f t="shared" si="25"/>
        <v>121.93428</v>
      </c>
      <c r="G54" s="85">
        <f t="shared" si="25"/>
        <v>29.079000000000001</v>
      </c>
      <c r="H54" s="85">
        <f t="shared" si="25"/>
        <v>59.185499999999998</v>
      </c>
      <c r="I54" s="85">
        <f t="shared" si="25"/>
        <v>60.546349999999997</v>
      </c>
      <c r="J54" s="85">
        <f t="shared" si="25"/>
        <v>66.861999999999995</v>
      </c>
      <c r="K54" s="85">
        <f t="shared" si="25"/>
        <v>77.863200000000006</v>
      </c>
      <c r="L54" s="85">
        <f t="shared" si="25"/>
        <v>70</v>
      </c>
      <c r="M54" s="85">
        <f t="shared" si="25"/>
        <v>102</v>
      </c>
      <c r="N54" s="85">
        <f t="shared" si="25"/>
        <v>124.7</v>
      </c>
      <c r="O54" s="85">
        <f t="shared" si="25"/>
        <v>114.2</v>
      </c>
      <c r="P54" s="85">
        <f>SUM(D54:O54)</f>
        <v>1063.59483</v>
      </c>
      <c r="Q54" s="86"/>
    </row>
    <row r="55" spans="2:17" x14ac:dyDescent="0.25">
      <c r="B55" s="8"/>
      <c r="C55" s="74" t="s">
        <v>8</v>
      </c>
      <c r="D55" s="85">
        <f t="shared" ref="D55:O55" si="26">D38+D47</f>
        <v>82.846000000000004</v>
      </c>
      <c r="E55" s="85">
        <f t="shared" si="26"/>
        <v>90.138859999999994</v>
      </c>
      <c r="F55" s="85">
        <f t="shared" si="26"/>
        <v>103.60299999999999</v>
      </c>
      <c r="G55" s="85">
        <f t="shared" si="26"/>
        <v>44.148820000000001</v>
      </c>
      <c r="H55" s="85">
        <f t="shared" si="26"/>
        <v>47.286500000000004</v>
      </c>
      <c r="I55" s="85">
        <f t="shared" si="26"/>
        <v>56.270679999999999</v>
      </c>
      <c r="J55" s="85">
        <f t="shared" si="26"/>
        <v>90.223550000000003</v>
      </c>
      <c r="K55" s="85">
        <f t="shared" si="26"/>
        <v>60.676452000000005</v>
      </c>
      <c r="L55" s="85">
        <f t="shared" si="26"/>
        <v>64</v>
      </c>
      <c r="M55" s="85">
        <f t="shared" si="26"/>
        <v>78</v>
      </c>
      <c r="N55" s="85">
        <f t="shared" si="26"/>
        <v>78.5</v>
      </c>
      <c r="O55" s="85">
        <f t="shared" si="26"/>
        <v>88.449999999999989</v>
      </c>
      <c r="P55" s="85">
        <f>SUM(D55:O55)</f>
        <v>884.14386200000013</v>
      </c>
    </row>
    <row r="56" spans="2:17" x14ac:dyDescent="0.25">
      <c r="B56" s="8"/>
      <c r="C56" s="74" t="s">
        <v>21</v>
      </c>
      <c r="D56" s="85">
        <f t="shared" ref="D56:O56" si="27">D39+D48</f>
        <v>31.027900000000002</v>
      </c>
      <c r="E56" s="85">
        <f t="shared" si="27"/>
        <v>38.189810000000001</v>
      </c>
      <c r="F56" s="85">
        <f t="shared" si="27"/>
        <v>34.113</v>
      </c>
      <c r="G56" s="85">
        <f t="shared" si="27"/>
        <v>0.65427999999999997</v>
      </c>
      <c r="H56" s="85">
        <f t="shared" si="27"/>
        <v>3.7063299999999999</v>
      </c>
      <c r="I56" s="85">
        <f t="shared" si="27"/>
        <v>24.838050000000003</v>
      </c>
      <c r="J56" s="85">
        <f t="shared" si="27"/>
        <v>34.682919999999996</v>
      </c>
      <c r="K56" s="85">
        <f t="shared" si="27"/>
        <v>21.05893</v>
      </c>
      <c r="L56" s="85">
        <f t="shared" si="27"/>
        <v>28</v>
      </c>
      <c r="M56" s="85">
        <f t="shared" si="27"/>
        <v>32</v>
      </c>
      <c r="N56" s="85">
        <f t="shared" si="27"/>
        <v>24.5</v>
      </c>
      <c r="O56" s="85">
        <f t="shared" si="27"/>
        <v>34.1</v>
      </c>
      <c r="P56" s="85">
        <f>SUM(D56:O56)</f>
        <v>306.87121999999999</v>
      </c>
    </row>
    <row r="57" spans="2:17" x14ac:dyDescent="0.25">
      <c r="B57" s="8"/>
      <c r="C57" s="74" t="s">
        <v>22</v>
      </c>
      <c r="D57" s="85">
        <f t="shared" ref="D57:O57" si="28">D40+D49</f>
        <v>20.004000000000001</v>
      </c>
      <c r="E57" s="85">
        <f t="shared" si="28"/>
        <v>21.003719999999998</v>
      </c>
      <c r="F57" s="85">
        <f t="shared" si="28"/>
        <v>20.300999999999998</v>
      </c>
      <c r="G57" s="85">
        <f t="shared" si="28"/>
        <v>12.635549999999999</v>
      </c>
      <c r="H57" s="85">
        <f t="shared" si="28"/>
        <v>14.88945</v>
      </c>
      <c r="I57" s="85">
        <f t="shared" si="28"/>
        <v>18.068020000000001</v>
      </c>
      <c r="J57" s="85">
        <f t="shared" si="28"/>
        <v>20.169499999999999</v>
      </c>
      <c r="K57" s="85">
        <f t="shared" si="28"/>
        <v>14.8367</v>
      </c>
      <c r="L57" s="85">
        <f t="shared" si="28"/>
        <v>18</v>
      </c>
      <c r="M57" s="85">
        <f t="shared" si="28"/>
        <v>20</v>
      </c>
      <c r="N57" s="85">
        <f t="shared" si="28"/>
        <v>19.649999999999999</v>
      </c>
      <c r="O57" s="85">
        <f t="shared" si="28"/>
        <v>21.6</v>
      </c>
      <c r="P57" s="85">
        <f>SUM(D57:O57)</f>
        <v>221.15794</v>
      </c>
    </row>
    <row r="58" spans="2:17" x14ac:dyDescent="0.25">
      <c r="B58" s="8"/>
      <c r="C58" s="87" t="s">
        <v>20</v>
      </c>
      <c r="D58" s="85">
        <f t="shared" ref="D58:P58" si="29">SUM(D54:D57)</f>
        <v>255.50789999999998</v>
      </c>
      <c r="E58" s="85">
        <f t="shared" si="29"/>
        <v>264.92689000000001</v>
      </c>
      <c r="F58" s="85">
        <f t="shared" si="29"/>
        <v>279.95128</v>
      </c>
      <c r="G58" s="85">
        <f t="shared" si="29"/>
        <v>86.517650000000003</v>
      </c>
      <c r="H58" s="85">
        <f t="shared" si="29"/>
        <v>125.06778</v>
      </c>
      <c r="I58" s="85">
        <f t="shared" si="29"/>
        <v>159.72309999999999</v>
      </c>
      <c r="J58" s="85">
        <f t="shared" si="29"/>
        <v>211.93797000000001</v>
      </c>
      <c r="K58" s="85">
        <f t="shared" si="29"/>
        <v>174.43528200000003</v>
      </c>
      <c r="L58" s="85">
        <f t="shared" si="29"/>
        <v>180</v>
      </c>
      <c r="M58" s="85">
        <f t="shared" si="29"/>
        <v>232</v>
      </c>
      <c r="N58" s="85">
        <f t="shared" si="29"/>
        <v>247.35</v>
      </c>
      <c r="O58" s="85">
        <f t="shared" si="29"/>
        <v>258.34999999999997</v>
      </c>
      <c r="P58" s="85">
        <f t="shared" si="29"/>
        <v>2475.7678519999999</v>
      </c>
    </row>
    <row r="59" spans="2:17" x14ac:dyDescent="0.25">
      <c r="D59" s="55"/>
      <c r="E59" s="55"/>
      <c r="F59" s="55"/>
      <c r="G59" s="55"/>
      <c r="H59" s="55"/>
      <c r="I59" s="55"/>
      <c r="J59" s="55"/>
      <c r="K59" s="55"/>
      <c r="L59" s="55"/>
      <c r="M59" s="55"/>
    </row>
    <row r="60" spans="2:17" ht="15" customHeight="1" x14ac:dyDescent="0.25">
      <c r="B60" s="7" t="s">
        <v>29</v>
      </c>
      <c r="C60" s="88"/>
      <c r="D60" s="88">
        <v>43831</v>
      </c>
      <c r="E60" s="88">
        <v>43862</v>
      </c>
      <c r="F60" s="88">
        <v>43891</v>
      </c>
      <c r="G60" s="88">
        <v>43922</v>
      </c>
      <c r="H60" s="88">
        <v>43952</v>
      </c>
      <c r="I60" s="88">
        <v>43983</v>
      </c>
      <c r="J60" s="88">
        <v>44013</v>
      </c>
      <c r="K60" s="88">
        <v>44044</v>
      </c>
      <c r="L60" s="88">
        <v>44075</v>
      </c>
      <c r="M60" s="88">
        <v>44105</v>
      </c>
      <c r="N60" s="88">
        <v>44136</v>
      </c>
      <c r="O60" s="88">
        <v>44166</v>
      </c>
      <c r="P60" s="88" t="s">
        <v>18</v>
      </c>
    </row>
    <row r="61" spans="2:17" x14ac:dyDescent="0.25">
      <c r="B61" s="7"/>
      <c r="C61" s="74" t="s">
        <v>2</v>
      </c>
      <c r="D61" s="89">
        <f t="shared" ref="D61:O61" si="30">D37</f>
        <v>121.63</v>
      </c>
      <c r="E61" s="89">
        <f t="shared" si="30"/>
        <v>115.5945</v>
      </c>
      <c r="F61" s="89">
        <f t="shared" si="30"/>
        <v>121.93428</v>
      </c>
      <c r="G61" s="89">
        <f t="shared" si="30"/>
        <v>29.079000000000001</v>
      </c>
      <c r="H61" s="89">
        <f t="shared" si="30"/>
        <v>59.185499999999998</v>
      </c>
      <c r="I61" s="89">
        <f t="shared" si="30"/>
        <v>60.546349999999997</v>
      </c>
      <c r="J61" s="89">
        <f t="shared" si="30"/>
        <v>66.861999999999995</v>
      </c>
      <c r="K61" s="89">
        <f t="shared" si="30"/>
        <v>77.863200000000006</v>
      </c>
      <c r="L61" s="89">
        <f t="shared" si="30"/>
        <v>70</v>
      </c>
      <c r="M61" s="89">
        <f t="shared" si="30"/>
        <v>102</v>
      </c>
      <c r="N61" s="89">
        <f t="shared" si="30"/>
        <v>124.7</v>
      </c>
      <c r="O61" s="89">
        <f t="shared" si="30"/>
        <v>114.2</v>
      </c>
      <c r="P61" s="89">
        <f>SUM(D61:O61)</f>
        <v>1063.59483</v>
      </c>
    </row>
    <row r="62" spans="2:17" x14ac:dyDescent="0.25">
      <c r="B62" s="7"/>
      <c r="C62" s="74" t="s">
        <v>8</v>
      </c>
      <c r="D62" s="89">
        <f t="shared" ref="D62:O62" si="31">D38+D39+D47+D48</f>
        <v>113.87389999999999</v>
      </c>
      <c r="E62" s="89">
        <f t="shared" si="31"/>
        <v>128.32866999999999</v>
      </c>
      <c r="F62" s="89">
        <f t="shared" si="31"/>
        <v>137.71600000000001</v>
      </c>
      <c r="G62" s="89">
        <f t="shared" si="31"/>
        <v>44.803100000000001</v>
      </c>
      <c r="H62" s="89">
        <f t="shared" si="31"/>
        <v>50.992829999999998</v>
      </c>
      <c r="I62" s="89">
        <f t="shared" si="31"/>
        <v>81.108730000000008</v>
      </c>
      <c r="J62" s="89">
        <f t="shared" si="31"/>
        <v>124.90647</v>
      </c>
      <c r="K62" s="89">
        <f t="shared" si="31"/>
        <v>81.735382000000001</v>
      </c>
      <c r="L62" s="89">
        <f t="shared" si="31"/>
        <v>92</v>
      </c>
      <c r="M62" s="89">
        <f t="shared" si="31"/>
        <v>110</v>
      </c>
      <c r="N62" s="89">
        <f t="shared" si="31"/>
        <v>103</v>
      </c>
      <c r="O62" s="89">
        <f t="shared" si="31"/>
        <v>122.55000000000001</v>
      </c>
      <c r="P62" s="89">
        <f>SUM(D62:O62)</f>
        <v>1191.0150820000001</v>
      </c>
    </row>
    <row r="63" spans="2:17" x14ac:dyDescent="0.25">
      <c r="B63" s="7"/>
      <c r="C63" s="74" t="s">
        <v>21</v>
      </c>
      <c r="D63" s="89">
        <f t="shared" ref="D63:O63" si="32">D40+D49</f>
        <v>20.004000000000001</v>
      </c>
      <c r="E63" s="89">
        <f t="shared" si="32"/>
        <v>21.003719999999998</v>
      </c>
      <c r="F63" s="89">
        <f t="shared" si="32"/>
        <v>20.300999999999998</v>
      </c>
      <c r="G63" s="89">
        <f t="shared" si="32"/>
        <v>12.635549999999999</v>
      </c>
      <c r="H63" s="89">
        <f t="shared" si="32"/>
        <v>14.88945</v>
      </c>
      <c r="I63" s="89">
        <f t="shared" si="32"/>
        <v>18.068020000000001</v>
      </c>
      <c r="J63" s="89">
        <f t="shared" si="32"/>
        <v>20.169499999999999</v>
      </c>
      <c r="K63" s="89">
        <f t="shared" si="32"/>
        <v>14.8367</v>
      </c>
      <c r="L63" s="89">
        <f t="shared" si="32"/>
        <v>18</v>
      </c>
      <c r="M63" s="89">
        <f t="shared" si="32"/>
        <v>20</v>
      </c>
      <c r="N63" s="89">
        <f t="shared" si="32"/>
        <v>19.649999999999999</v>
      </c>
      <c r="O63" s="89">
        <f t="shared" si="32"/>
        <v>21.6</v>
      </c>
      <c r="P63" s="89">
        <f>SUM(D63:O63)</f>
        <v>221.15794</v>
      </c>
    </row>
    <row r="64" spans="2:17" x14ac:dyDescent="0.25">
      <c r="B64" s="7"/>
      <c r="C64" s="90" t="s">
        <v>20</v>
      </c>
      <c r="D64" s="91">
        <f t="shared" ref="D64:P64" si="33">SUM(D61:D63)</f>
        <v>255.50789999999998</v>
      </c>
      <c r="E64" s="91">
        <f t="shared" si="33"/>
        <v>264.92688999999996</v>
      </c>
      <c r="F64" s="91">
        <f t="shared" si="33"/>
        <v>279.95128</v>
      </c>
      <c r="G64" s="91">
        <f t="shared" si="33"/>
        <v>86.517650000000003</v>
      </c>
      <c r="H64" s="91">
        <f t="shared" si="33"/>
        <v>125.06777999999998</v>
      </c>
      <c r="I64" s="91">
        <f t="shared" si="33"/>
        <v>159.72309999999999</v>
      </c>
      <c r="J64" s="91">
        <f t="shared" si="33"/>
        <v>211.93796999999998</v>
      </c>
      <c r="K64" s="91">
        <f t="shared" si="33"/>
        <v>174.43528200000003</v>
      </c>
      <c r="L64" s="91">
        <f t="shared" si="33"/>
        <v>180</v>
      </c>
      <c r="M64" s="91">
        <f t="shared" si="33"/>
        <v>232</v>
      </c>
      <c r="N64" s="91">
        <f t="shared" si="33"/>
        <v>247.35</v>
      </c>
      <c r="O64" s="91">
        <f t="shared" si="33"/>
        <v>258.35000000000002</v>
      </c>
      <c r="P64" s="91">
        <f t="shared" si="33"/>
        <v>2475.7678519999999</v>
      </c>
    </row>
  </sheetData>
  <mergeCells count="8">
    <mergeCell ref="B45:B51"/>
    <mergeCell ref="B54:B58"/>
    <mergeCell ref="B60:B64"/>
    <mergeCell ref="B5:B10"/>
    <mergeCell ref="B12:B17"/>
    <mergeCell ref="B19:B21"/>
    <mergeCell ref="B26:B32"/>
    <mergeCell ref="B35:B42"/>
  </mergeCells>
  <conditionalFormatting sqref="D11:O11">
    <cfRule type="cellIs" dxfId="5" priority="2" operator="greaterThanOrEqual">
      <formula>#REF!</formula>
    </cfRule>
  </conditionalFormatting>
  <conditionalFormatting sqref="D18:O18">
    <cfRule type="cellIs" dxfId="4" priority="3" operator="greaterThanOrEqual">
      <formula>#REF!</formula>
    </cfRule>
  </conditionalFormatting>
  <conditionalFormatting sqref="D22:O22 D24:O24">
    <cfRule type="cellIs" dxfId="3" priority="4" operator="greaterThanOrEqual">
      <formula>#REF!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60"/>
  <sheetViews>
    <sheetView showGridLines="0" zoomScale="80" zoomScaleNormal="80" workbookViewId="0">
      <pane xSplit="3" ySplit="3" topLeftCell="D19" activePane="bottomRight" state="frozen"/>
      <selection pane="topRight" activeCell="D1" sqref="D1"/>
      <selection pane="bottomLeft" activeCell="A19" sqref="A19"/>
      <selection pane="bottomRight" activeCell="D62" sqref="D62"/>
    </sheetView>
  </sheetViews>
  <sheetFormatPr defaultColWidth="8.5703125" defaultRowHeight="15" x14ac:dyDescent="0.25"/>
  <cols>
    <col min="1" max="1" width="6.28515625" customWidth="1"/>
    <col min="2" max="2" width="11.7109375" customWidth="1"/>
    <col min="3" max="3" width="20" customWidth="1"/>
    <col min="4" max="4" width="8.7109375" customWidth="1"/>
    <col min="16" max="16" width="11.42578125" customWidth="1"/>
  </cols>
  <sheetData>
    <row r="2" spans="2:16" ht="17.25" x14ac:dyDescent="0.3">
      <c r="D2" s="92">
        <v>2020</v>
      </c>
    </row>
    <row r="3" spans="2:16" x14ac:dyDescent="0.25">
      <c r="B3" s="51" t="s">
        <v>0</v>
      </c>
      <c r="C3" s="52" t="s">
        <v>30</v>
      </c>
      <c r="D3" s="52">
        <v>43831</v>
      </c>
      <c r="E3" s="52">
        <v>43862</v>
      </c>
      <c r="F3" s="52">
        <v>43891</v>
      </c>
      <c r="G3" s="52">
        <v>43922</v>
      </c>
      <c r="H3" s="52">
        <v>43952</v>
      </c>
      <c r="I3" s="52">
        <v>43983</v>
      </c>
      <c r="J3" s="52">
        <v>44013</v>
      </c>
      <c r="K3" s="52">
        <v>44044</v>
      </c>
      <c r="L3" s="52">
        <v>44075</v>
      </c>
      <c r="M3" s="52">
        <v>44105</v>
      </c>
      <c r="N3" s="52">
        <v>44136</v>
      </c>
      <c r="O3" s="52">
        <v>44166</v>
      </c>
      <c r="P3" s="52" t="s">
        <v>16</v>
      </c>
    </row>
    <row r="4" spans="2:16" x14ac:dyDescent="0.25">
      <c r="B4" s="22" t="s">
        <v>2</v>
      </c>
      <c r="C4" s="22" t="s">
        <v>1</v>
      </c>
      <c r="D4" s="53">
        <f>Dispatch!D4</f>
        <v>121.63</v>
      </c>
      <c r="E4" s="53">
        <f>Dispatch!E4</f>
        <v>115.5945</v>
      </c>
      <c r="F4" s="53">
        <f>Dispatch!F4</f>
        <v>121.93428</v>
      </c>
      <c r="G4" s="53">
        <f>Dispatch!G4</f>
        <v>29.079000000000001</v>
      </c>
      <c r="H4" s="53">
        <f>Dispatch!H4</f>
        <v>59.185499999999998</v>
      </c>
      <c r="I4" s="53">
        <f>Dispatch!I4</f>
        <v>60.546349999999997</v>
      </c>
      <c r="J4" s="53">
        <f>Dispatch!J4</f>
        <v>66.861999999999995</v>
      </c>
      <c r="K4" s="53">
        <f>Dispatch!K4</f>
        <v>77.863200000000006</v>
      </c>
      <c r="L4" s="53">
        <f>Dispatch!L4</f>
        <v>70</v>
      </c>
      <c r="M4" s="53">
        <f>Dispatch!M4</f>
        <v>102</v>
      </c>
      <c r="N4" s="53">
        <f>Dispatch!N4</f>
        <v>124.7</v>
      </c>
      <c r="O4" s="53">
        <f>Dispatch!O4</f>
        <v>114.2</v>
      </c>
      <c r="P4" s="53">
        <f t="shared" ref="P4:P10" si="0">SUM(D4:O4)</f>
        <v>1063.59483</v>
      </c>
    </row>
    <row r="5" spans="2:16" x14ac:dyDescent="0.25">
      <c r="B5" s="11" t="s">
        <v>8</v>
      </c>
      <c r="C5" s="22" t="s">
        <v>7</v>
      </c>
      <c r="D5" s="53">
        <f>Dispatch!D5</f>
        <v>23.172999999999998</v>
      </c>
      <c r="E5" s="53">
        <f>Dispatch!E5</f>
        <v>20.237100000000002</v>
      </c>
      <c r="F5" s="53">
        <f>Dispatch!F5</f>
        <v>29.407</v>
      </c>
      <c r="G5" s="53">
        <f>Dispatch!G5</f>
        <v>13.902999999999999</v>
      </c>
      <c r="H5" s="53">
        <f>Dispatch!H5</f>
        <v>13.335290000000001</v>
      </c>
      <c r="I5" s="53">
        <f>Dispatch!I5</f>
        <v>13.548389999999999</v>
      </c>
      <c r="J5" s="53">
        <f>Dispatch!J5</f>
        <v>32.961970000000001</v>
      </c>
      <c r="K5" s="53">
        <f>Dispatch!K5</f>
        <v>14.614610000000001</v>
      </c>
      <c r="L5" s="53">
        <f>Dispatch!L5</f>
        <v>15</v>
      </c>
      <c r="M5" s="53">
        <f>Dispatch!M5</f>
        <v>24</v>
      </c>
      <c r="N5" s="53">
        <f>Dispatch!N5</f>
        <v>21.6</v>
      </c>
      <c r="O5" s="53">
        <f>Dispatch!O5</f>
        <v>19.399999999999999</v>
      </c>
      <c r="P5" s="53">
        <f t="shared" si="0"/>
        <v>241.18036000000001</v>
      </c>
    </row>
    <row r="6" spans="2:16" x14ac:dyDescent="0.25">
      <c r="B6" s="11"/>
      <c r="C6" s="22" t="s">
        <v>10</v>
      </c>
      <c r="D6" s="53">
        <f>Dispatch!D6</f>
        <v>56.798999999999999</v>
      </c>
      <c r="E6" s="53">
        <f>Dispatch!E6</f>
        <v>67.212419999999995</v>
      </c>
      <c r="F6" s="53">
        <f>Dispatch!F6</f>
        <v>71.831000000000003</v>
      </c>
      <c r="G6" s="53">
        <f>Dispatch!G6</f>
        <v>29.943550000000002</v>
      </c>
      <c r="H6" s="53">
        <f>Dispatch!H6</f>
        <v>31.26981</v>
      </c>
      <c r="I6" s="53">
        <f>Dispatch!I6</f>
        <v>40.0595</v>
      </c>
      <c r="J6" s="53">
        <f>Dispatch!J6</f>
        <v>52.02814</v>
      </c>
      <c r="K6" s="53">
        <f>Dispatch!K6</f>
        <v>38.706760000000003</v>
      </c>
      <c r="L6" s="53">
        <f>Dispatch!L6</f>
        <v>42</v>
      </c>
      <c r="M6" s="53">
        <f>Dispatch!M6</f>
        <v>51</v>
      </c>
      <c r="N6" s="53">
        <f>Dispatch!N6</f>
        <v>53.9</v>
      </c>
      <c r="O6" s="53">
        <f>Dispatch!O6</f>
        <v>64.400000000000006</v>
      </c>
      <c r="P6" s="53">
        <f t="shared" si="0"/>
        <v>599.15017999999998</v>
      </c>
    </row>
    <row r="7" spans="2:16" x14ac:dyDescent="0.25">
      <c r="B7" s="11"/>
      <c r="C7" s="22" t="s">
        <v>11</v>
      </c>
      <c r="D7" s="53">
        <f>Dispatch!D7</f>
        <v>2.8740000000000001</v>
      </c>
      <c r="E7" s="53">
        <f>Dispatch!E7</f>
        <v>2.6893400000000001</v>
      </c>
      <c r="F7" s="53">
        <f>Dispatch!F7</f>
        <v>2.3650000000000002</v>
      </c>
      <c r="G7" s="53">
        <f>Dispatch!G7</f>
        <v>0.30227000000000004</v>
      </c>
      <c r="H7" s="53">
        <f>Dispatch!H7</f>
        <v>2.6814</v>
      </c>
      <c r="I7" s="53">
        <f>Dispatch!I7</f>
        <v>2.6627900000000002</v>
      </c>
      <c r="J7" s="53">
        <f>Dispatch!J7</f>
        <v>5.2334399999999999</v>
      </c>
      <c r="K7" s="53">
        <f>Dispatch!K7</f>
        <v>7.3550820000000003</v>
      </c>
      <c r="L7" s="53">
        <f>Dispatch!L7</f>
        <v>7</v>
      </c>
      <c r="M7" s="53">
        <f>Dispatch!M7</f>
        <v>3</v>
      </c>
      <c r="N7" s="53">
        <f>Dispatch!N7</f>
        <v>3</v>
      </c>
      <c r="O7" s="53">
        <f>Dispatch!O7</f>
        <v>1.8</v>
      </c>
      <c r="P7" s="53">
        <f t="shared" si="0"/>
        <v>40.963321999999991</v>
      </c>
    </row>
    <row r="8" spans="2:16" x14ac:dyDescent="0.25">
      <c r="B8" s="11"/>
      <c r="C8" s="22" t="s">
        <v>12</v>
      </c>
      <c r="D8" s="53">
        <f>Dispatch!D8</f>
        <v>0</v>
      </c>
      <c r="E8" s="53">
        <f>Dispatch!E8</f>
        <v>0</v>
      </c>
      <c r="F8" s="53">
        <f>Dispatch!F8</f>
        <v>0</v>
      </c>
      <c r="G8" s="53">
        <f>Dispatch!G8</f>
        <v>0</v>
      </c>
      <c r="H8" s="53">
        <f>Dispatch!H8</f>
        <v>0</v>
      </c>
      <c r="I8" s="53">
        <f>Dispatch!I8</f>
        <v>0</v>
      </c>
      <c r="J8" s="53">
        <f>Dispatch!J8</f>
        <v>0</v>
      </c>
      <c r="K8" s="53">
        <f>Dispatch!K8</f>
        <v>0</v>
      </c>
      <c r="L8" s="53">
        <f>Dispatch!L8</f>
        <v>0</v>
      </c>
      <c r="M8" s="53">
        <f>Dispatch!M8</f>
        <v>0</v>
      </c>
      <c r="N8" s="53">
        <f>Dispatch!N8</f>
        <v>0</v>
      </c>
      <c r="O8" s="53">
        <f>Dispatch!O8</f>
        <v>0</v>
      </c>
      <c r="P8" s="53">
        <f t="shared" si="0"/>
        <v>0</v>
      </c>
    </row>
    <row r="9" spans="2:16" x14ac:dyDescent="0.25">
      <c r="B9" s="11"/>
      <c r="C9" s="22" t="s">
        <v>13</v>
      </c>
      <c r="D9" s="53">
        <f>Dispatch!D9</f>
        <v>0</v>
      </c>
      <c r="E9" s="53">
        <f>Dispatch!E9</f>
        <v>0</v>
      </c>
      <c r="F9" s="53">
        <f>Dispatch!F9</f>
        <v>0</v>
      </c>
      <c r="G9" s="53">
        <f>Dispatch!G9</f>
        <v>0</v>
      </c>
      <c r="H9" s="53">
        <f>Dispatch!H9</f>
        <v>0</v>
      </c>
      <c r="I9" s="53">
        <f>Dispatch!I9</f>
        <v>0</v>
      </c>
      <c r="J9" s="53">
        <f>Dispatch!J9</f>
        <v>0</v>
      </c>
      <c r="K9" s="53">
        <f>Dispatch!K9</f>
        <v>0</v>
      </c>
      <c r="L9" s="53">
        <f>Dispatch!L9</f>
        <v>0</v>
      </c>
      <c r="M9" s="53">
        <f>Dispatch!M9</f>
        <v>0</v>
      </c>
      <c r="N9" s="53">
        <f>Dispatch!N9</f>
        <v>0</v>
      </c>
      <c r="O9" s="53">
        <f>Dispatch!O9</f>
        <v>2.85</v>
      </c>
      <c r="P9" s="53">
        <f t="shared" si="0"/>
        <v>2.85</v>
      </c>
    </row>
    <row r="10" spans="2:16" x14ac:dyDescent="0.25">
      <c r="B10" s="11"/>
      <c r="C10" s="22" t="str">
        <f>Sales!B9</f>
        <v>Product F</v>
      </c>
      <c r="D10" s="53">
        <f>Dispatch!D10</f>
        <v>0</v>
      </c>
      <c r="E10" s="53">
        <f>Dispatch!E10</f>
        <v>0</v>
      </c>
      <c r="F10" s="53">
        <f>Dispatch!F10</f>
        <v>0</v>
      </c>
      <c r="G10" s="53">
        <f>Dispatch!G10</f>
        <v>0</v>
      </c>
      <c r="H10" s="53">
        <f>Dispatch!H10</f>
        <v>0</v>
      </c>
      <c r="I10" s="53">
        <f>Dispatch!I10</f>
        <v>0</v>
      </c>
      <c r="J10" s="53">
        <f>Dispatch!J10</f>
        <v>0</v>
      </c>
      <c r="K10" s="53">
        <f>Dispatch!K10</f>
        <v>0</v>
      </c>
      <c r="L10" s="53">
        <f>Dispatch!L10</f>
        <v>0</v>
      </c>
      <c r="M10" s="53">
        <f>Dispatch!M10</f>
        <v>0</v>
      </c>
      <c r="N10" s="53">
        <f>Dispatch!N10</f>
        <v>0</v>
      </c>
      <c r="O10" s="53">
        <f>Dispatch!O10</f>
        <v>0</v>
      </c>
      <c r="P10" s="53">
        <f t="shared" si="0"/>
        <v>0</v>
      </c>
    </row>
    <row r="11" spans="2:16" s="58" customFormat="1" x14ac:dyDescent="0.25">
      <c r="B11" s="59"/>
      <c r="C11" s="60" t="s">
        <v>20</v>
      </c>
      <c r="D11" s="61">
        <f t="shared" ref="D11:P11" si="1">SUM(D5:D10)</f>
        <v>82.845999999999989</v>
      </c>
      <c r="E11" s="61">
        <f t="shared" si="1"/>
        <v>90.138859999999994</v>
      </c>
      <c r="F11" s="61">
        <f t="shared" si="1"/>
        <v>103.60299999999999</v>
      </c>
      <c r="G11" s="61">
        <f t="shared" si="1"/>
        <v>44.148820000000001</v>
      </c>
      <c r="H11" s="61">
        <f t="shared" si="1"/>
        <v>47.286500000000004</v>
      </c>
      <c r="I11" s="61">
        <f t="shared" si="1"/>
        <v>56.270679999999999</v>
      </c>
      <c r="J11" s="61">
        <f t="shared" si="1"/>
        <v>90.223550000000003</v>
      </c>
      <c r="K11" s="61">
        <f t="shared" si="1"/>
        <v>60.676452000000005</v>
      </c>
      <c r="L11" s="61">
        <f t="shared" si="1"/>
        <v>64</v>
      </c>
      <c r="M11" s="61">
        <f t="shared" si="1"/>
        <v>78</v>
      </c>
      <c r="N11" s="61">
        <f t="shared" si="1"/>
        <v>78.5</v>
      </c>
      <c r="O11" s="61">
        <f t="shared" si="1"/>
        <v>88.45</v>
      </c>
      <c r="P11" s="93">
        <f t="shared" si="1"/>
        <v>884.1438619999999</v>
      </c>
    </row>
    <row r="12" spans="2:16" s="58" customFormat="1" x14ac:dyDescent="0.25">
      <c r="B12" s="11" t="s">
        <v>21</v>
      </c>
      <c r="C12" s="22" t="s">
        <v>1</v>
      </c>
      <c r="D12" s="53">
        <f>Dispatch!D12</f>
        <v>20.3079</v>
      </c>
      <c r="E12" s="53">
        <f>Dispatch!E12</f>
        <v>25.79166</v>
      </c>
      <c r="F12" s="53">
        <f>Dispatch!F12</f>
        <v>22.396000000000001</v>
      </c>
      <c r="G12" s="53">
        <f>Dispatch!G12</f>
        <v>0.63878000000000001</v>
      </c>
      <c r="H12" s="53">
        <f>Dispatch!H12</f>
        <v>0.96636999999999995</v>
      </c>
      <c r="I12" s="53">
        <f>Dispatch!I12</f>
        <v>14.277050000000001</v>
      </c>
      <c r="J12" s="53">
        <f>Dispatch!J12</f>
        <v>26.723419999999997</v>
      </c>
      <c r="K12" s="53">
        <f>Dispatch!K12</f>
        <v>14.23053</v>
      </c>
      <c r="L12" s="53">
        <f>Dispatch!L12</f>
        <v>18</v>
      </c>
      <c r="M12" s="53">
        <f>Dispatch!M12</f>
        <v>22</v>
      </c>
      <c r="N12" s="53">
        <f>Dispatch!N12</f>
        <v>11.6</v>
      </c>
      <c r="O12" s="53">
        <f>Dispatch!O12</f>
        <v>18.200000000000003</v>
      </c>
      <c r="P12" s="53">
        <f t="shared" ref="P12:P17" si="2">SUM(D12:O12)</f>
        <v>195.13171</v>
      </c>
    </row>
    <row r="13" spans="2:16" s="58" customFormat="1" x14ac:dyDescent="0.25">
      <c r="B13" s="11"/>
      <c r="C13" s="22" t="s">
        <v>7</v>
      </c>
      <c r="D13" s="53">
        <f>Dispatch!D13</f>
        <v>10.72</v>
      </c>
      <c r="E13" s="53">
        <f>Dispatch!E13</f>
        <v>12.398149999999999</v>
      </c>
      <c r="F13" s="53">
        <f>Dispatch!F13</f>
        <v>11.717000000000001</v>
      </c>
      <c r="G13" s="53">
        <f>Dispatch!G13</f>
        <v>1.55E-2</v>
      </c>
      <c r="H13" s="53">
        <f>Dispatch!H13</f>
        <v>1.46496</v>
      </c>
      <c r="I13" s="53">
        <f>Dispatch!I13</f>
        <v>10.561</v>
      </c>
      <c r="J13" s="53">
        <f>Dispatch!J13</f>
        <v>7.9595000000000002</v>
      </c>
      <c r="K13" s="53">
        <f>Dispatch!K13</f>
        <v>6.8284000000000002</v>
      </c>
      <c r="L13" s="53">
        <f>Dispatch!L13</f>
        <v>10</v>
      </c>
      <c r="M13" s="53">
        <f>Dispatch!M13</f>
        <v>10</v>
      </c>
      <c r="N13" s="53">
        <f>Dispatch!N13</f>
        <v>12.9</v>
      </c>
      <c r="O13" s="53">
        <f>Dispatch!O13</f>
        <v>15.9</v>
      </c>
      <c r="P13" s="53">
        <f t="shared" si="2"/>
        <v>110.46451000000002</v>
      </c>
    </row>
    <row r="14" spans="2:16" s="58" customFormat="1" x14ac:dyDescent="0.25">
      <c r="B14" s="11"/>
      <c r="C14" s="22" t="s">
        <v>10</v>
      </c>
      <c r="D14" s="53">
        <f>Dispatch!D14</f>
        <v>0</v>
      </c>
      <c r="E14" s="53">
        <f>Dispatch!E14</f>
        <v>0</v>
      </c>
      <c r="F14" s="53">
        <f>Dispatch!F14</f>
        <v>0</v>
      </c>
      <c r="G14" s="53">
        <f>Dispatch!G14</f>
        <v>0</v>
      </c>
      <c r="H14" s="53">
        <f>Dispatch!H14</f>
        <v>1.2749999999999999</v>
      </c>
      <c r="I14" s="53">
        <f>Dispatch!I14</f>
        <v>0</v>
      </c>
      <c r="J14" s="53">
        <f>Dispatch!J14</f>
        <v>0</v>
      </c>
      <c r="K14" s="53">
        <f>Dispatch!K14</f>
        <v>0</v>
      </c>
      <c r="L14" s="53">
        <f>Dispatch!L14</f>
        <v>0</v>
      </c>
      <c r="M14" s="53">
        <f>Dispatch!M14</f>
        <v>0</v>
      </c>
      <c r="N14" s="53">
        <f>Dispatch!N14</f>
        <v>0</v>
      </c>
      <c r="O14" s="53">
        <f>Dispatch!O14</f>
        <v>0</v>
      </c>
      <c r="P14" s="53">
        <f t="shared" si="2"/>
        <v>1.2749999999999999</v>
      </c>
    </row>
    <row r="15" spans="2:16" x14ac:dyDescent="0.25">
      <c r="B15" s="11"/>
      <c r="C15" s="22" t="s">
        <v>11</v>
      </c>
      <c r="D15" s="53">
        <f>Dispatch!D15</f>
        <v>0</v>
      </c>
      <c r="E15" s="53">
        <f>Dispatch!E15</f>
        <v>0</v>
      </c>
      <c r="F15" s="53">
        <f>Dispatch!F15</f>
        <v>0</v>
      </c>
      <c r="G15" s="53">
        <f>Dispatch!G15</f>
        <v>0</v>
      </c>
      <c r="H15" s="53">
        <f>Dispatch!H15</f>
        <v>0</v>
      </c>
      <c r="I15" s="53">
        <f>Dispatch!I15</f>
        <v>0</v>
      </c>
      <c r="J15" s="53">
        <f>Dispatch!J15</f>
        <v>0</v>
      </c>
      <c r="K15" s="53">
        <f>Dispatch!K15</f>
        <v>0</v>
      </c>
      <c r="L15" s="53">
        <f>Dispatch!L15</f>
        <v>0</v>
      </c>
      <c r="M15" s="53">
        <f>Dispatch!M15</f>
        <v>0</v>
      </c>
      <c r="N15" s="53">
        <f>Dispatch!N15</f>
        <v>0</v>
      </c>
      <c r="O15" s="53">
        <f>Dispatch!O15</f>
        <v>0</v>
      </c>
      <c r="P15" s="53">
        <f t="shared" si="2"/>
        <v>0</v>
      </c>
    </row>
    <row r="16" spans="2:16" x14ac:dyDescent="0.25">
      <c r="B16" s="11"/>
      <c r="C16" s="22" t="s">
        <v>12</v>
      </c>
      <c r="D16" s="53">
        <f>Dispatch!D16</f>
        <v>0</v>
      </c>
      <c r="E16" s="53">
        <f>Dispatch!E16</f>
        <v>0</v>
      </c>
      <c r="F16" s="53">
        <f>Dispatch!F16</f>
        <v>0</v>
      </c>
      <c r="G16" s="53">
        <f>Dispatch!G16</f>
        <v>0</v>
      </c>
      <c r="H16" s="53">
        <f>Dispatch!H16</f>
        <v>0</v>
      </c>
      <c r="I16" s="53">
        <f>Dispatch!I16</f>
        <v>0</v>
      </c>
      <c r="J16" s="53">
        <f>Dispatch!J16</f>
        <v>0</v>
      </c>
      <c r="K16" s="53">
        <f>Dispatch!K16</f>
        <v>0</v>
      </c>
      <c r="L16" s="53">
        <f>Dispatch!L16</f>
        <v>0</v>
      </c>
      <c r="M16" s="53">
        <f>Dispatch!M16</f>
        <v>0</v>
      </c>
      <c r="N16" s="53">
        <f>Dispatch!N16</f>
        <v>0</v>
      </c>
      <c r="O16" s="53">
        <f>Dispatch!O16</f>
        <v>0</v>
      </c>
      <c r="P16" s="53">
        <f t="shared" si="2"/>
        <v>0</v>
      </c>
    </row>
    <row r="17" spans="2:16" x14ac:dyDescent="0.25">
      <c r="B17" s="11"/>
      <c r="C17" s="22"/>
      <c r="D17" s="53">
        <f>Dispatch!D17</f>
        <v>0</v>
      </c>
      <c r="E17" s="53">
        <f>Dispatch!E17</f>
        <v>0</v>
      </c>
      <c r="F17" s="53">
        <f>Dispatch!F17</f>
        <v>0</v>
      </c>
      <c r="G17" s="53">
        <f>Dispatch!G17</f>
        <v>0</v>
      </c>
      <c r="H17" s="53">
        <f>Dispatch!H17</f>
        <v>0</v>
      </c>
      <c r="I17" s="53">
        <f>Dispatch!I17</f>
        <v>0</v>
      </c>
      <c r="J17" s="53">
        <f>Dispatch!J17</f>
        <v>0</v>
      </c>
      <c r="K17" s="53">
        <f>Dispatch!K17</f>
        <v>0</v>
      </c>
      <c r="L17" s="53">
        <f>Dispatch!L17</f>
        <v>0</v>
      </c>
      <c r="M17" s="53">
        <f>Dispatch!M17</f>
        <v>0</v>
      </c>
      <c r="N17" s="53">
        <f>Dispatch!N17</f>
        <v>0</v>
      </c>
      <c r="O17" s="53">
        <f>Dispatch!O17</f>
        <v>0</v>
      </c>
      <c r="P17" s="53">
        <f t="shared" si="2"/>
        <v>0</v>
      </c>
    </row>
    <row r="18" spans="2:16" s="58" customFormat="1" x14ac:dyDescent="0.25">
      <c r="B18" s="63"/>
      <c r="C18" s="64" t="s">
        <v>20</v>
      </c>
      <c r="D18" s="61">
        <f t="shared" ref="D18:P18" si="3">SUM(D12:D17)</f>
        <v>31.027900000000002</v>
      </c>
      <c r="E18" s="61">
        <f t="shared" si="3"/>
        <v>38.189810000000001</v>
      </c>
      <c r="F18" s="61">
        <f t="shared" si="3"/>
        <v>34.113</v>
      </c>
      <c r="G18" s="61">
        <f t="shared" si="3"/>
        <v>0.65427999999999997</v>
      </c>
      <c r="H18" s="61">
        <f t="shared" si="3"/>
        <v>3.7063299999999999</v>
      </c>
      <c r="I18" s="61">
        <f t="shared" si="3"/>
        <v>24.838050000000003</v>
      </c>
      <c r="J18" s="61">
        <f t="shared" si="3"/>
        <v>34.682919999999996</v>
      </c>
      <c r="K18" s="61">
        <f t="shared" si="3"/>
        <v>21.05893</v>
      </c>
      <c r="L18" s="61">
        <f t="shared" si="3"/>
        <v>28</v>
      </c>
      <c r="M18" s="61">
        <f t="shared" si="3"/>
        <v>32</v>
      </c>
      <c r="N18" s="61">
        <f t="shared" si="3"/>
        <v>24.5</v>
      </c>
      <c r="O18" s="61">
        <f t="shared" si="3"/>
        <v>34.1</v>
      </c>
      <c r="P18" s="93">
        <f t="shared" si="3"/>
        <v>306.87121999999999</v>
      </c>
    </row>
    <row r="19" spans="2:16" x14ac:dyDescent="0.25">
      <c r="B19" s="11" t="s">
        <v>22</v>
      </c>
      <c r="C19" s="22" t="s">
        <v>1</v>
      </c>
      <c r="D19" s="53">
        <f>Dispatch!D19</f>
        <v>4.4160000000000004</v>
      </c>
      <c r="E19" s="53">
        <f>Dispatch!E19</f>
        <v>6.0281499999999992</v>
      </c>
      <c r="F19" s="53">
        <f>Dispatch!F19</f>
        <v>3.2429999999999999</v>
      </c>
      <c r="G19" s="53">
        <f>Dispatch!G19</f>
        <v>3.21455</v>
      </c>
      <c r="H19" s="53">
        <f>Dispatch!H19</f>
        <v>3.1718999999999999</v>
      </c>
      <c r="I19" s="53">
        <f>Dispatch!I19</f>
        <v>3.6231999999999998</v>
      </c>
      <c r="J19" s="53">
        <f>Dispatch!J19</f>
        <v>5.2016499999999999</v>
      </c>
      <c r="K19" s="53">
        <f>Dispatch!K19</f>
        <v>2.9916499999999999</v>
      </c>
      <c r="L19" s="53">
        <f>Dispatch!L19</f>
        <v>2.5</v>
      </c>
      <c r="M19" s="53">
        <f>Dispatch!M19</f>
        <v>4</v>
      </c>
      <c r="N19" s="53">
        <f>Dispatch!N19</f>
        <v>3.45</v>
      </c>
      <c r="O19" s="53">
        <f>Dispatch!O19</f>
        <v>3</v>
      </c>
      <c r="P19" s="53">
        <f>SUM(D19:O19)</f>
        <v>44.840100000000007</v>
      </c>
    </row>
    <row r="20" spans="2:16" x14ac:dyDescent="0.25">
      <c r="B20" s="11"/>
      <c r="C20" s="22" t="s">
        <v>7</v>
      </c>
      <c r="D20" s="53">
        <f>Dispatch!D20</f>
        <v>10.289</v>
      </c>
      <c r="E20" s="53">
        <f>Dispatch!E20</f>
        <v>11.273</v>
      </c>
      <c r="F20" s="53">
        <f>Dispatch!F20</f>
        <v>14.526</v>
      </c>
      <c r="G20" s="53">
        <f>Dispatch!G20</f>
        <v>9.4209999999999994</v>
      </c>
      <c r="H20" s="53">
        <f>Dispatch!H20</f>
        <v>11.3117</v>
      </c>
      <c r="I20" s="53">
        <f>Dispatch!I20</f>
        <v>14.096</v>
      </c>
      <c r="J20" s="53">
        <f>Dispatch!J20</f>
        <v>14.0732</v>
      </c>
      <c r="K20" s="53">
        <f>Dispatch!K20</f>
        <v>11.307550000000001</v>
      </c>
      <c r="L20" s="53">
        <f>Dispatch!L20</f>
        <v>15</v>
      </c>
      <c r="M20" s="53">
        <f>Dispatch!M20</f>
        <v>15</v>
      </c>
      <c r="N20" s="53">
        <f>Dispatch!N20</f>
        <v>15.2</v>
      </c>
      <c r="O20" s="53">
        <f>Dispatch!O20</f>
        <v>13.7</v>
      </c>
      <c r="P20" s="53">
        <f>SUM(D20:O20)</f>
        <v>155.19744999999998</v>
      </c>
    </row>
    <row r="21" spans="2:16" x14ac:dyDescent="0.25">
      <c r="B21" s="11"/>
      <c r="C21" s="22" t="s">
        <v>10</v>
      </c>
      <c r="D21" s="53">
        <f>Dispatch!D21</f>
        <v>5.2990000000000004</v>
      </c>
      <c r="E21" s="53">
        <f>Dispatch!E21</f>
        <v>3.7025700000000001</v>
      </c>
      <c r="F21" s="53">
        <f>Dispatch!F21</f>
        <v>2.532</v>
      </c>
      <c r="G21" s="53">
        <f>Dispatch!G21</f>
        <v>0</v>
      </c>
      <c r="H21" s="53">
        <f>Dispatch!H21</f>
        <v>0.40585000000000004</v>
      </c>
      <c r="I21" s="53">
        <f>Dispatch!I21</f>
        <v>0.34882000000000002</v>
      </c>
      <c r="J21" s="53">
        <f>Dispatch!J21</f>
        <v>0.89464999999999995</v>
      </c>
      <c r="K21" s="53">
        <f>Dispatch!K21</f>
        <v>0.53749999999999998</v>
      </c>
      <c r="L21" s="53">
        <f>Dispatch!L21</f>
        <v>0.5</v>
      </c>
      <c r="M21" s="53">
        <f>Dispatch!M21</f>
        <v>1</v>
      </c>
      <c r="N21" s="53">
        <f>Dispatch!N21</f>
        <v>1</v>
      </c>
      <c r="O21" s="53">
        <f>Dispatch!O21</f>
        <v>4.9000000000000004</v>
      </c>
      <c r="P21" s="53">
        <f>SUM(D21:O21)</f>
        <v>21.12039</v>
      </c>
    </row>
    <row r="22" spans="2:16" s="58" customFormat="1" x14ac:dyDescent="0.25">
      <c r="B22" s="63" t="s">
        <v>31</v>
      </c>
      <c r="C22" s="64" t="s">
        <v>20</v>
      </c>
      <c r="D22" s="61">
        <f t="shared" ref="D22:P22" si="4">SUM(D19:D21)</f>
        <v>20.004000000000001</v>
      </c>
      <c r="E22" s="61">
        <f t="shared" si="4"/>
        <v>21.003720000000001</v>
      </c>
      <c r="F22" s="61">
        <f t="shared" si="4"/>
        <v>20.300999999999998</v>
      </c>
      <c r="G22" s="61">
        <f t="shared" si="4"/>
        <v>12.635549999999999</v>
      </c>
      <c r="H22" s="61">
        <f t="shared" si="4"/>
        <v>14.88945</v>
      </c>
      <c r="I22" s="61">
        <f t="shared" si="4"/>
        <v>18.068020000000001</v>
      </c>
      <c r="J22" s="61">
        <f t="shared" si="4"/>
        <v>20.169499999999999</v>
      </c>
      <c r="K22" s="61">
        <f t="shared" si="4"/>
        <v>14.8367</v>
      </c>
      <c r="L22" s="61">
        <f t="shared" si="4"/>
        <v>18</v>
      </c>
      <c r="M22" s="61">
        <f t="shared" si="4"/>
        <v>20</v>
      </c>
      <c r="N22" s="61">
        <f t="shared" si="4"/>
        <v>19.649999999999999</v>
      </c>
      <c r="O22" s="61">
        <f t="shared" si="4"/>
        <v>21.6</v>
      </c>
      <c r="P22" s="93">
        <f t="shared" si="4"/>
        <v>221.15794</v>
      </c>
    </row>
    <row r="24" spans="2:16" x14ac:dyDescent="0.25">
      <c r="B24" s="11" t="s">
        <v>23</v>
      </c>
      <c r="C24" s="22" t="s">
        <v>1</v>
      </c>
      <c r="D24" s="53">
        <f t="shared" ref="D24:O24" si="5">D4+D5+D12+D19</f>
        <v>169.52689999999998</v>
      </c>
      <c r="E24" s="53">
        <f t="shared" si="5"/>
        <v>167.65141000000003</v>
      </c>
      <c r="F24" s="53">
        <f t="shared" si="5"/>
        <v>176.98027999999999</v>
      </c>
      <c r="G24" s="53">
        <f t="shared" si="5"/>
        <v>46.835329999999999</v>
      </c>
      <c r="H24" s="53">
        <f t="shared" si="5"/>
        <v>76.659059999999997</v>
      </c>
      <c r="I24" s="53">
        <f t="shared" si="5"/>
        <v>91.994990000000001</v>
      </c>
      <c r="J24" s="53">
        <f t="shared" si="5"/>
        <v>131.74904000000001</v>
      </c>
      <c r="K24" s="53">
        <f t="shared" si="5"/>
        <v>109.69999000000001</v>
      </c>
      <c r="L24" s="53">
        <f t="shared" si="5"/>
        <v>105.5</v>
      </c>
      <c r="M24" s="53">
        <f t="shared" si="5"/>
        <v>152</v>
      </c>
      <c r="N24" s="53">
        <f t="shared" si="5"/>
        <v>161.35</v>
      </c>
      <c r="O24" s="53">
        <f t="shared" si="5"/>
        <v>154.80000000000001</v>
      </c>
      <c r="P24" s="53">
        <f t="shared" ref="P24:P30" si="6">SUM(D24:O24)</f>
        <v>1544.7469999999998</v>
      </c>
    </row>
    <row r="25" spans="2:16" x14ac:dyDescent="0.25">
      <c r="B25" s="11"/>
      <c r="C25" s="22" t="s">
        <v>7</v>
      </c>
      <c r="D25" s="53">
        <f t="shared" ref="D25:O25" si="7">D6+D13+D20</f>
        <v>77.808000000000007</v>
      </c>
      <c r="E25" s="53">
        <f t="shared" si="7"/>
        <v>90.883569999999992</v>
      </c>
      <c r="F25" s="53">
        <f t="shared" si="7"/>
        <v>98.073999999999998</v>
      </c>
      <c r="G25" s="53">
        <f t="shared" si="7"/>
        <v>39.380049999999997</v>
      </c>
      <c r="H25" s="53">
        <f t="shared" si="7"/>
        <v>44.046469999999999</v>
      </c>
      <c r="I25" s="53">
        <f t="shared" si="7"/>
        <v>64.716499999999996</v>
      </c>
      <c r="J25" s="53">
        <f t="shared" si="7"/>
        <v>74.060839999999999</v>
      </c>
      <c r="K25" s="53">
        <f t="shared" si="7"/>
        <v>56.842710000000004</v>
      </c>
      <c r="L25" s="53">
        <f t="shared" si="7"/>
        <v>67</v>
      </c>
      <c r="M25" s="53">
        <f t="shared" si="7"/>
        <v>76</v>
      </c>
      <c r="N25" s="53">
        <f t="shared" si="7"/>
        <v>82</v>
      </c>
      <c r="O25" s="53">
        <f t="shared" si="7"/>
        <v>94.000000000000014</v>
      </c>
      <c r="P25" s="53">
        <f t="shared" si="6"/>
        <v>864.81214</v>
      </c>
    </row>
    <row r="26" spans="2:16" x14ac:dyDescent="0.25">
      <c r="B26" s="11"/>
      <c r="C26" s="22" t="s">
        <v>10</v>
      </c>
      <c r="D26" s="53">
        <f t="shared" ref="D26:O26" si="8">D7+D14+D21</f>
        <v>8.173</v>
      </c>
      <c r="E26" s="53">
        <f t="shared" si="8"/>
        <v>6.3919100000000002</v>
      </c>
      <c r="F26" s="53">
        <f t="shared" si="8"/>
        <v>4.8970000000000002</v>
      </c>
      <c r="G26" s="53">
        <f t="shared" si="8"/>
        <v>0.30227000000000004</v>
      </c>
      <c r="H26" s="53">
        <f t="shared" si="8"/>
        <v>4.3622499999999995</v>
      </c>
      <c r="I26" s="53">
        <f t="shared" si="8"/>
        <v>3.0116100000000001</v>
      </c>
      <c r="J26" s="53">
        <f t="shared" si="8"/>
        <v>6.1280900000000003</v>
      </c>
      <c r="K26" s="53">
        <f t="shared" si="8"/>
        <v>7.892582</v>
      </c>
      <c r="L26" s="53">
        <f t="shared" si="8"/>
        <v>7.5</v>
      </c>
      <c r="M26" s="53">
        <f t="shared" si="8"/>
        <v>4</v>
      </c>
      <c r="N26" s="53">
        <f t="shared" si="8"/>
        <v>4</v>
      </c>
      <c r="O26" s="53">
        <f t="shared" si="8"/>
        <v>6.7</v>
      </c>
      <c r="P26" s="53">
        <f t="shared" si="6"/>
        <v>63.358712000000004</v>
      </c>
    </row>
    <row r="27" spans="2:16" x14ac:dyDescent="0.25">
      <c r="B27" s="11"/>
      <c r="C27" s="22" t="s">
        <v>11</v>
      </c>
      <c r="D27" s="53">
        <f t="shared" ref="D27:O27" si="9">D8+D15</f>
        <v>0</v>
      </c>
      <c r="E27" s="53">
        <f t="shared" si="9"/>
        <v>0</v>
      </c>
      <c r="F27" s="53">
        <f t="shared" si="9"/>
        <v>0</v>
      </c>
      <c r="G27" s="53">
        <f t="shared" si="9"/>
        <v>0</v>
      </c>
      <c r="H27" s="53">
        <f t="shared" si="9"/>
        <v>0</v>
      </c>
      <c r="I27" s="53">
        <f t="shared" si="9"/>
        <v>0</v>
      </c>
      <c r="J27" s="53">
        <f t="shared" si="9"/>
        <v>0</v>
      </c>
      <c r="K27" s="53">
        <f t="shared" si="9"/>
        <v>0</v>
      </c>
      <c r="L27" s="53">
        <f t="shared" si="9"/>
        <v>0</v>
      </c>
      <c r="M27" s="53">
        <f t="shared" si="9"/>
        <v>0</v>
      </c>
      <c r="N27" s="53">
        <f t="shared" si="9"/>
        <v>0</v>
      </c>
      <c r="O27" s="53">
        <f t="shared" si="9"/>
        <v>0</v>
      </c>
      <c r="P27" s="53">
        <f t="shared" si="6"/>
        <v>0</v>
      </c>
    </row>
    <row r="28" spans="2:16" x14ac:dyDescent="0.25">
      <c r="B28" s="11"/>
      <c r="C28" s="22" t="s">
        <v>12</v>
      </c>
      <c r="D28" s="53">
        <f t="shared" ref="D28:O28" si="10">D9+D16</f>
        <v>0</v>
      </c>
      <c r="E28" s="53">
        <f t="shared" si="10"/>
        <v>0</v>
      </c>
      <c r="F28" s="53">
        <f t="shared" si="10"/>
        <v>0</v>
      </c>
      <c r="G28" s="53">
        <f t="shared" si="10"/>
        <v>0</v>
      </c>
      <c r="H28" s="53">
        <f t="shared" si="10"/>
        <v>0</v>
      </c>
      <c r="I28" s="53">
        <f t="shared" si="10"/>
        <v>0</v>
      </c>
      <c r="J28" s="53">
        <f t="shared" si="10"/>
        <v>0</v>
      </c>
      <c r="K28" s="53">
        <f t="shared" si="10"/>
        <v>0</v>
      </c>
      <c r="L28" s="53">
        <f t="shared" si="10"/>
        <v>0</v>
      </c>
      <c r="M28" s="53">
        <f t="shared" si="10"/>
        <v>0</v>
      </c>
      <c r="N28" s="53">
        <f t="shared" si="10"/>
        <v>0</v>
      </c>
      <c r="O28" s="53">
        <f t="shared" si="10"/>
        <v>2.85</v>
      </c>
      <c r="P28" s="53">
        <f t="shared" si="6"/>
        <v>2.85</v>
      </c>
    </row>
    <row r="29" spans="2:16" x14ac:dyDescent="0.25">
      <c r="B29" s="11"/>
      <c r="C29" s="22" t="s">
        <v>13</v>
      </c>
      <c r="D29" s="53">
        <f t="shared" ref="D29:O29" si="11">D10+D17</f>
        <v>0</v>
      </c>
      <c r="E29" s="53">
        <f t="shared" si="11"/>
        <v>0</v>
      </c>
      <c r="F29" s="53">
        <f t="shared" si="11"/>
        <v>0</v>
      </c>
      <c r="G29" s="53">
        <f t="shared" si="11"/>
        <v>0</v>
      </c>
      <c r="H29" s="53">
        <f t="shared" si="11"/>
        <v>0</v>
      </c>
      <c r="I29" s="53">
        <f t="shared" si="11"/>
        <v>0</v>
      </c>
      <c r="J29" s="53">
        <f t="shared" si="11"/>
        <v>0</v>
      </c>
      <c r="K29" s="53">
        <f t="shared" si="11"/>
        <v>0</v>
      </c>
      <c r="L29" s="53">
        <f t="shared" si="11"/>
        <v>0</v>
      </c>
      <c r="M29" s="53">
        <f t="shared" si="11"/>
        <v>0</v>
      </c>
      <c r="N29" s="53">
        <f t="shared" si="11"/>
        <v>0</v>
      </c>
      <c r="O29" s="53">
        <f t="shared" si="11"/>
        <v>0</v>
      </c>
      <c r="P29" s="53">
        <f t="shared" si="6"/>
        <v>0</v>
      </c>
    </row>
    <row r="30" spans="2:16" x14ac:dyDescent="0.25">
      <c r="B30" s="11"/>
      <c r="C30" s="22" t="s">
        <v>20</v>
      </c>
      <c r="D30" s="53">
        <f t="shared" ref="D30:O30" si="12">SUM(D24:D29)</f>
        <v>255.50790000000001</v>
      </c>
      <c r="E30" s="53">
        <f t="shared" si="12"/>
        <v>264.92689000000001</v>
      </c>
      <c r="F30" s="53">
        <f t="shared" si="12"/>
        <v>279.95128</v>
      </c>
      <c r="G30" s="53">
        <f t="shared" si="12"/>
        <v>86.517650000000003</v>
      </c>
      <c r="H30" s="53">
        <f t="shared" si="12"/>
        <v>125.06778</v>
      </c>
      <c r="I30" s="53">
        <f t="shared" si="12"/>
        <v>159.72309999999999</v>
      </c>
      <c r="J30" s="53">
        <f t="shared" si="12"/>
        <v>211.93797000000001</v>
      </c>
      <c r="K30" s="53">
        <f t="shared" si="12"/>
        <v>174.43528200000003</v>
      </c>
      <c r="L30" s="53">
        <f t="shared" si="12"/>
        <v>180</v>
      </c>
      <c r="M30" s="53">
        <f t="shared" si="12"/>
        <v>232</v>
      </c>
      <c r="N30" s="53">
        <f t="shared" si="12"/>
        <v>247.35</v>
      </c>
      <c r="O30" s="53">
        <f t="shared" si="12"/>
        <v>258.35000000000002</v>
      </c>
      <c r="P30" s="66">
        <f t="shared" si="6"/>
        <v>2475.7678519999999</v>
      </c>
    </row>
    <row r="32" spans="2:16" hidden="1" x14ac:dyDescent="0.25">
      <c r="B32" s="58" t="s">
        <v>32</v>
      </c>
      <c r="C32" s="94" t="s">
        <v>33</v>
      </c>
    </row>
    <row r="33" spans="2:4" hidden="1" x14ac:dyDescent="0.25">
      <c r="B33" s="6" t="s">
        <v>34</v>
      </c>
      <c r="C33" s="95" t="s">
        <v>35</v>
      </c>
      <c r="D33" s="53" t="e">
        <f>#REF!</f>
        <v>#REF!</v>
      </c>
    </row>
    <row r="34" spans="2:4" hidden="1" x14ac:dyDescent="0.25">
      <c r="B34" s="6"/>
      <c r="C34" s="22" t="s">
        <v>36</v>
      </c>
      <c r="D34" s="53">
        <f>D4</f>
        <v>121.63</v>
      </c>
    </row>
    <row r="35" spans="2:4" hidden="1" x14ac:dyDescent="0.25">
      <c r="B35" s="6"/>
      <c r="C35" s="22" t="s">
        <v>37</v>
      </c>
      <c r="D35" s="53">
        <f>Dispatch!D4</f>
        <v>121.63</v>
      </c>
    </row>
    <row r="36" spans="2:4" hidden="1" x14ac:dyDescent="0.25">
      <c r="B36" s="6"/>
      <c r="C36" s="22" t="s">
        <v>38</v>
      </c>
      <c r="D36" s="53" t="e">
        <f>D33+D34-D35</f>
        <v>#REF!</v>
      </c>
    </row>
    <row r="37" spans="2:4" hidden="1" x14ac:dyDescent="0.25"/>
    <row r="38" spans="2:4" hidden="1" x14ac:dyDescent="0.25">
      <c r="B38" s="58" t="s">
        <v>32</v>
      </c>
      <c r="C38" s="94" t="s">
        <v>39</v>
      </c>
    </row>
    <row r="39" spans="2:4" hidden="1" x14ac:dyDescent="0.25">
      <c r="B39" s="6" t="s">
        <v>34</v>
      </c>
      <c r="C39" s="95" t="s">
        <v>35</v>
      </c>
      <c r="D39" s="96" t="e">
        <f>#REF!</f>
        <v>#REF!</v>
      </c>
    </row>
    <row r="40" spans="2:4" hidden="1" x14ac:dyDescent="0.25">
      <c r="B40" s="6"/>
      <c r="C40" s="22" t="s">
        <v>36</v>
      </c>
      <c r="D40" s="96">
        <f>D5+D12+D19</f>
        <v>47.896900000000002</v>
      </c>
    </row>
    <row r="41" spans="2:4" hidden="1" x14ac:dyDescent="0.25">
      <c r="B41" s="6"/>
      <c r="C41" s="22" t="s">
        <v>37</v>
      </c>
      <c r="D41" s="96">
        <f>Dispatch!D5+Dispatch!D12+Dispatch!D19</f>
        <v>47.896900000000002</v>
      </c>
    </row>
    <row r="42" spans="2:4" hidden="1" x14ac:dyDescent="0.25">
      <c r="B42" s="6"/>
      <c r="C42" s="22" t="s">
        <v>38</v>
      </c>
      <c r="D42" s="96" t="e">
        <f>D39+D40-D41</f>
        <v>#REF!</v>
      </c>
    </row>
    <row r="43" spans="2:4" hidden="1" x14ac:dyDescent="0.25"/>
    <row r="44" spans="2:4" hidden="1" x14ac:dyDescent="0.25">
      <c r="B44" s="58" t="s">
        <v>32</v>
      </c>
      <c r="C44" s="94" t="s">
        <v>39</v>
      </c>
    </row>
    <row r="45" spans="2:4" hidden="1" x14ac:dyDescent="0.25">
      <c r="B45" s="5" t="s">
        <v>40</v>
      </c>
      <c r="C45" s="95" t="s">
        <v>35</v>
      </c>
      <c r="D45" s="96" t="e">
        <f>#REF!</f>
        <v>#REF!</v>
      </c>
    </row>
    <row r="46" spans="2:4" hidden="1" x14ac:dyDescent="0.25">
      <c r="B46" s="5"/>
      <c r="C46" s="22" t="s">
        <v>36</v>
      </c>
      <c r="D46" s="53">
        <f>D6+D13+D20</f>
        <v>77.808000000000007</v>
      </c>
    </row>
    <row r="47" spans="2:4" hidden="1" x14ac:dyDescent="0.25">
      <c r="B47" s="5"/>
      <c r="C47" s="22" t="s">
        <v>37</v>
      </c>
      <c r="D47" s="53">
        <f>Dispatch!D6+Dispatch!D13+Dispatch!D20</f>
        <v>77.808000000000007</v>
      </c>
    </row>
    <row r="48" spans="2:4" hidden="1" x14ac:dyDescent="0.25">
      <c r="B48" s="5"/>
      <c r="C48" s="22" t="s">
        <v>38</v>
      </c>
      <c r="D48" s="96" t="e">
        <f>D45+D46-D47</f>
        <v>#REF!</v>
      </c>
    </row>
    <row r="49" spans="2:4" hidden="1" x14ac:dyDescent="0.25"/>
    <row r="50" spans="2:4" hidden="1" x14ac:dyDescent="0.25">
      <c r="B50" s="58" t="s">
        <v>32</v>
      </c>
      <c r="C50" s="94" t="s">
        <v>39</v>
      </c>
    </row>
    <row r="51" spans="2:4" hidden="1" x14ac:dyDescent="0.25">
      <c r="B51" s="4" t="s">
        <v>41</v>
      </c>
      <c r="C51" s="95" t="s">
        <v>35</v>
      </c>
      <c r="D51" s="96" t="e">
        <f>#REF!</f>
        <v>#REF!</v>
      </c>
    </row>
    <row r="52" spans="2:4" hidden="1" x14ac:dyDescent="0.25">
      <c r="B52" s="4"/>
      <c r="C52" s="22" t="s">
        <v>36</v>
      </c>
      <c r="D52" s="53">
        <f>D7+D14+D21</f>
        <v>8.173</v>
      </c>
    </row>
    <row r="53" spans="2:4" hidden="1" x14ac:dyDescent="0.25">
      <c r="B53" s="4"/>
      <c r="C53" s="22" t="s">
        <v>37</v>
      </c>
      <c r="D53" s="96">
        <f>Dispatch!D7+Dispatch!D14+Dispatch!D21</f>
        <v>8.173</v>
      </c>
    </row>
    <row r="54" spans="2:4" hidden="1" x14ac:dyDescent="0.25">
      <c r="B54" s="4"/>
      <c r="C54" s="22" t="s">
        <v>38</v>
      </c>
      <c r="D54" s="96" t="e">
        <f>D51+D52-D53</f>
        <v>#REF!</v>
      </c>
    </row>
    <row r="55" spans="2:4" hidden="1" x14ac:dyDescent="0.25"/>
    <row r="56" spans="2:4" hidden="1" x14ac:dyDescent="0.25">
      <c r="B56" s="58" t="s">
        <v>32</v>
      </c>
      <c r="C56" s="94" t="s">
        <v>39</v>
      </c>
    </row>
    <row r="57" spans="2:4" hidden="1" x14ac:dyDescent="0.25">
      <c r="B57" s="3" t="s">
        <v>42</v>
      </c>
      <c r="C57" s="95" t="s">
        <v>35</v>
      </c>
      <c r="D57" s="96" t="e">
        <f>#REF!</f>
        <v>#REF!</v>
      </c>
    </row>
    <row r="58" spans="2:4" hidden="1" x14ac:dyDescent="0.25">
      <c r="B58" s="3"/>
      <c r="C58" s="22" t="s">
        <v>36</v>
      </c>
      <c r="D58" s="96">
        <f>D8+D15</f>
        <v>0</v>
      </c>
    </row>
    <row r="59" spans="2:4" hidden="1" x14ac:dyDescent="0.25">
      <c r="B59" s="3"/>
      <c r="C59" s="22" t="s">
        <v>37</v>
      </c>
      <c r="D59" s="96">
        <f>Dispatch!D8+Dispatch!D15</f>
        <v>0</v>
      </c>
    </row>
    <row r="60" spans="2:4" hidden="1" x14ac:dyDescent="0.25">
      <c r="B60" s="3"/>
      <c r="C60" s="22" t="s">
        <v>38</v>
      </c>
      <c r="D60" s="96" t="e">
        <f>D57+D58-D59</f>
        <v>#REF!</v>
      </c>
    </row>
  </sheetData>
  <mergeCells count="9">
    <mergeCell ref="B39:B42"/>
    <mergeCell ref="B45:B48"/>
    <mergeCell ref="B51:B54"/>
    <mergeCell ref="B57:B60"/>
    <mergeCell ref="B5:B10"/>
    <mergeCell ref="B12:B17"/>
    <mergeCell ref="B19:B21"/>
    <mergeCell ref="B24:B30"/>
    <mergeCell ref="B33:B36"/>
  </mergeCells>
  <conditionalFormatting sqref="D11:O11">
    <cfRule type="cellIs" dxfId="2" priority="2" operator="greaterThanOrEqual">
      <formula>#REF!</formula>
    </cfRule>
  </conditionalFormatting>
  <conditionalFormatting sqref="D18:O18">
    <cfRule type="cellIs" dxfId="1" priority="3" operator="greaterThanOrEqual">
      <formula>#REF!</formula>
    </cfRule>
  </conditionalFormatting>
  <conditionalFormatting sqref="D22:O22">
    <cfRule type="cellIs" dxfId="0" priority="4" operator="greaterThanOrEqual">
      <formula>#REF!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286"/>
  <sheetViews>
    <sheetView showGridLines="0" tabSelected="1" zoomScale="85" zoomScaleNormal="85" workbookViewId="0">
      <pane xSplit="4" ySplit="3" topLeftCell="E86" activePane="bottomRight" state="frozen"/>
      <selection pane="topRight" activeCell="E1" sqref="E1"/>
      <selection pane="bottomLeft" activeCell="A86" sqref="A86"/>
      <selection pane="bottomRight" activeCell="F294" sqref="F294"/>
    </sheetView>
  </sheetViews>
  <sheetFormatPr defaultColWidth="8.5703125" defaultRowHeight="15" x14ac:dyDescent="0.25"/>
  <cols>
    <col min="1" max="1" width="6.28515625" customWidth="1"/>
    <col min="2" max="2" width="11.7109375" customWidth="1"/>
    <col min="3" max="3" width="16.5703125" customWidth="1"/>
    <col min="4" max="4" width="13.85546875" customWidth="1"/>
    <col min="5" max="5" width="8.7109375" customWidth="1"/>
    <col min="6" max="17" width="11" customWidth="1"/>
  </cols>
  <sheetData>
    <row r="2" spans="2:17" ht="17.25" x14ac:dyDescent="0.3">
      <c r="E2" s="97">
        <v>2020</v>
      </c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</row>
    <row r="3" spans="2:17" x14ac:dyDescent="0.25">
      <c r="B3" s="51" t="s">
        <v>0</v>
      </c>
      <c r="C3" s="52" t="s">
        <v>15</v>
      </c>
      <c r="D3" s="52"/>
      <c r="E3" s="52">
        <v>43831</v>
      </c>
      <c r="F3" s="52">
        <v>43862</v>
      </c>
      <c r="G3" s="52">
        <v>43891</v>
      </c>
      <c r="H3" s="52">
        <v>43922</v>
      </c>
      <c r="I3" s="52">
        <v>43952</v>
      </c>
      <c r="J3" s="52">
        <v>43983</v>
      </c>
      <c r="K3" s="52">
        <v>44013</v>
      </c>
      <c r="L3" s="52">
        <v>44044</v>
      </c>
      <c r="M3" s="52">
        <v>44075</v>
      </c>
      <c r="N3" s="52">
        <v>44105</v>
      </c>
      <c r="O3" s="52">
        <v>44136</v>
      </c>
      <c r="P3" s="52">
        <v>44166</v>
      </c>
      <c r="Q3" s="52" t="s">
        <v>16</v>
      </c>
    </row>
    <row r="4" spans="2:17" x14ac:dyDescent="0.25">
      <c r="B4" s="13" t="s">
        <v>2</v>
      </c>
      <c r="C4" s="13" t="s">
        <v>1</v>
      </c>
      <c r="D4" s="22" t="s">
        <v>43</v>
      </c>
      <c r="E4" s="56">
        <f>Production!D$4*'QA_Mix design'!D4</f>
        <v>78.208089999999999</v>
      </c>
      <c r="F4" s="56">
        <f>Production!E$4*'QA_Mix design'!E4</f>
        <v>74.327263500000001</v>
      </c>
      <c r="G4" s="56">
        <f>Production!F$4*'QA_Mix design'!F4</f>
        <v>78.403742039999997</v>
      </c>
      <c r="H4" s="56">
        <f>Production!G$4*'QA_Mix design'!G4</f>
        <v>18.755955</v>
      </c>
      <c r="I4" s="56">
        <f>Production!H$4*'QA_Mix design'!H4</f>
        <v>38.174647499999999</v>
      </c>
      <c r="J4" s="56">
        <f>Production!I$4*'QA_Mix design'!I4</f>
        <v>39.052395750000002</v>
      </c>
      <c r="K4" s="56">
        <f>Production!J$4*'QA_Mix design'!J4</f>
        <v>43.125989999999994</v>
      </c>
      <c r="L4" s="56">
        <f>Production!K$4*'QA_Mix design'!K4</f>
        <v>50.299627200000003</v>
      </c>
      <c r="M4" s="56">
        <f>Production!L$4*'QA_Mix design'!L4</f>
        <v>45.22</v>
      </c>
      <c r="N4" s="57">
        <f>Production!M$4*'QA_Mix design'!M4</f>
        <v>65.024999999999991</v>
      </c>
      <c r="O4" s="56">
        <f>Production!N$4*'QA_Mix design'!N4</f>
        <v>80.4315</v>
      </c>
      <c r="P4" s="56">
        <f>Production!O$4*'QA_Mix design'!O4</f>
        <v>73.659000000000006</v>
      </c>
      <c r="Q4" s="53">
        <f t="shared" ref="Q4:Q27" si="0">SUM(E4:P4)</f>
        <v>684.68321099000002</v>
      </c>
    </row>
    <row r="5" spans="2:17" x14ac:dyDescent="0.25">
      <c r="B5" s="13"/>
      <c r="C5" s="13"/>
      <c r="D5" s="22" t="s">
        <v>44</v>
      </c>
      <c r="E5" s="56">
        <f>Production!D$4*'QA_Mix design'!D5</f>
        <v>6.0450109999999997</v>
      </c>
      <c r="F5" s="56">
        <f>Production!E$4*'QA_Mix design'!E5</f>
        <v>5.7450466499999999</v>
      </c>
      <c r="G5" s="56">
        <f>Production!F$4*'QA_Mix design'!F5</f>
        <v>6.0601337160000002</v>
      </c>
      <c r="H5" s="56">
        <f>Production!G$4*'QA_Mix design'!G5</f>
        <v>1.4539500000000001</v>
      </c>
      <c r="I5" s="56">
        <f>Production!H$4*'QA_Mix design'!H5</f>
        <v>3.2552024999999998</v>
      </c>
      <c r="J5" s="56">
        <f>Production!I$4*'QA_Mix design'!I5</f>
        <v>3.3300492499999996</v>
      </c>
      <c r="K5" s="56">
        <f>Production!J$4*'QA_Mix design'!J5</f>
        <v>3.6774099999999996</v>
      </c>
      <c r="L5" s="56">
        <f>Production!K$4*'QA_Mix design'!K5</f>
        <v>4.2824759999999999</v>
      </c>
      <c r="M5" s="56">
        <f>Production!L$4*'QA_Mix design'!L5</f>
        <v>3.85</v>
      </c>
      <c r="N5" s="57">
        <f>Production!M$4*'QA_Mix design'!M5</f>
        <v>5.61</v>
      </c>
      <c r="O5" s="56">
        <f>Production!N$4*'QA_Mix design'!N5</f>
        <v>6.8585000000000003</v>
      </c>
      <c r="P5" s="56">
        <f>Production!O$4*'QA_Mix design'!O5</f>
        <v>6.2810000000000006</v>
      </c>
      <c r="Q5" s="53">
        <f t="shared" si="0"/>
        <v>56.448779115999997</v>
      </c>
    </row>
    <row r="6" spans="2:17" x14ac:dyDescent="0.25">
      <c r="B6" s="13"/>
      <c r="C6" s="13"/>
      <c r="D6" s="22" t="s">
        <v>45</v>
      </c>
      <c r="E6" s="56">
        <f>Production!D$4*'QA_Mix design'!D6</f>
        <v>6.2396189999999994</v>
      </c>
      <c r="F6" s="56">
        <f>Production!E$4*'QA_Mix design'!E6</f>
        <v>5.9299978499999995</v>
      </c>
      <c r="G6" s="56">
        <f>Production!F$4*'QA_Mix design'!F6</f>
        <v>6.2552285640000003</v>
      </c>
      <c r="H6" s="56">
        <f>Production!G$4*'QA_Mix design'!G6</f>
        <v>1.599345</v>
      </c>
      <c r="I6" s="56">
        <f>Production!H$4*'QA_Mix design'!H6</f>
        <v>3.2552024999999998</v>
      </c>
      <c r="J6" s="56">
        <f>Production!I$4*'QA_Mix design'!I6</f>
        <v>3.3300492499999996</v>
      </c>
      <c r="K6" s="56">
        <f>Production!J$4*'QA_Mix design'!J6</f>
        <v>3.6774099999999996</v>
      </c>
      <c r="L6" s="56">
        <f>Production!K$4*'QA_Mix design'!K6</f>
        <v>4.2824759999999999</v>
      </c>
      <c r="M6" s="56">
        <f>Production!L$4*'QA_Mix design'!L6</f>
        <v>3.85</v>
      </c>
      <c r="N6" s="57">
        <f>Production!M$4*'QA_Mix design'!M6</f>
        <v>5.61</v>
      </c>
      <c r="O6" s="56">
        <f>Production!N$4*'QA_Mix design'!N6</f>
        <v>6.8585000000000003</v>
      </c>
      <c r="P6" s="56">
        <f>Production!O$4*'QA_Mix design'!O6</f>
        <v>6.2810000000000006</v>
      </c>
      <c r="Q6" s="53">
        <f t="shared" si="0"/>
        <v>57.168828163999997</v>
      </c>
    </row>
    <row r="7" spans="2:17" x14ac:dyDescent="0.25">
      <c r="B7" s="13" t="s">
        <v>8</v>
      </c>
      <c r="C7" s="13" t="s">
        <v>1</v>
      </c>
      <c r="D7" s="22" t="str">
        <f>D4</f>
        <v>RM 1</v>
      </c>
      <c r="E7" s="56">
        <f>Production!D$5*'QA_Mix design'!D17</f>
        <v>15.06245</v>
      </c>
      <c r="F7" s="56">
        <f>Production!E$5*'QA_Mix design'!E17</f>
        <v>12.951744000000001</v>
      </c>
      <c r="G7" s="56">
        <f>Production!F$5*'QA_Mix design'!F17</f>
        <v>18.82048</v>
      </c>
      <c r="H7" s="56">
        <f>Production!G$5*'QA_Mix design'!G17</f>
        <v>8.8979199999999992</v>
      </c>
      <c r="I7" s="56">
        <f>Production!H$5*'QA_Mix design'!H17</f>
        <v>8.5345855999999998</v>
      </c>
      <c r="J7" s="56">
        <f>Production!I$5*'QA_Mix design'!I17</f>
        <v>8.6709695999999994</v>
      </c>
      <c r="K7" s="56">
        <f>Production!J$5*'QA_Mix design'!J17</f>
        <v>21.095660800000001</v>
      </c>
      <c r="L7" s="56">
        <f>Production!K$5*'QA_Mix design'!K17</f>
        <v>9.4994965000000011</v>
      </c>
      <c r="M7" s="56">
        <f>Production!L$5*'QA_Mix design'!L17</f>
        <v>9.75</v>
      </c>
      <c r="N7" s="57">
        <f>Production!M$5*'QA_Mix design'!M17</f>
        <v>15.600000000000001</v>
      </c>
      <c r="O7" s="56">
        <f>Production!N$5*'QA_Mix design'!N17</f>
        <v>13.824000000000002</v>
      </c>
      <c r="P7" s="56">
        <f>Production!O$5*'QA_Mix design'!O17</f>
        <v>12.415999999999999</v>
      </c>
      <c r="Q7" s="53">
        <f t="shared" si="0"/>
        <v>155.12330650000001</v>
      </c>
    </row>
    <row r="8" spans="2:17" x14ac:dyDescent="0.25">
      <c r="B8" s="13"/>
      <c r="C8" s="13"/>
      <c r="D8" s="22" t="str">
        <f>D5</f>
        <v>RM 2</v>
      </c>
      <c r="E8" s="56">
        <f>Production!D$5*'QA_Mix design'!D18</f>
        <v>1.15865</v>
      </c>
      <c r="F8" s="56">
        <f>Production!E$5*'QA_Mix design'!E18</f>
        <v>1.0118550000000002</v>
      </c>
      <c r="G8" s="56">
        <f>Production!F$5*'QA_Mix design'!F18</f>
        <v>1.47035</v>
      </c>
      <c r="H8" s="56">
        <f>Production!G$5*'QA_Mix design'!G18</f>
        <v>0.69514999999999993</v>
      </c>
      <c r="I8" s="56">
        <f>Production!H$5*'QA_Mix design'!H18</f>
        <v>0.66676450000000009</v>
      </c>
      <c r="J8" s="56">
        <f>Production!I$5*'QA_Mix design'!I18</f>
        <v>0.67741950000000006</v>
      </c>
      <c r="K8" s="56">
        <f>Production!J$5*'QA_Mix design'!J18</f>
        <v>1.6480985000000001</v>
      </c>
      <c r="L8" s="56">
        <f>Production!K$5*'QA_Mix design'!K18</f>
        <v>0.80380355000000003</v>
      </c>
      <c r="M8" s="56">
        <f>Production!L$5*'QA_Mix design'!L18</f>
        <v>0.67499999999999993</v>
      </c>
      <c r="N8" s="57">
        <f>Production!M$5*'QA_Mix design'!M18</f>
        <v>1.08</v>
      </c>
      <c r="O8" s="56">
        <f>Production!N$5*'QA_Mix design'!N18</f>
        <v>1.08</v>
      </c>
      <c r="P8" s="56">
        <f>Production!O$5*'QA_Mix design'!O18</f>
        <v>0.97</v>
      </c>
      <c r="Q8" s="53">
        <f t="shared" si="0"/>
        <v>11.937091050000001</v>
      </c>
    </row>
    <row r="9" spans="2:17" x14ac:dyDescent="0.25">
      <c r="B9" s="13"/>
      <c r="C9" s="13"/>
      <c r="D9" s="22" t="str">
        <f>D6</f>
        <v>RM 3</v>
      </c>
      <c r="E9" s="56">
        <f>Production!D$5*'QA_Mix design'!D19</f>
        <v>1.15865</v>
      </c>
      <c r="F9" s="56">
        <f>Production!E$5*'QA_Mix design'!E19</f>
        <v>1.0118550000000002</v>
      </c>
      <c r="G9" s="56">
        <f>Production!F$5*'QA_Mix design'!F19</f>
        <v>1.47035</v>
      </c>
      <c r="H9" s="56">
        <f>Production!G$5*'QA_Mix design'!G19</f>
        <v>0.69514999999999993</v>
      </c>
      <c r="I9" s="56">
        <f>Production!H$5*'QA_Mix design'!H19</f>
        <v>0.66676450000000009</v>
      </c>
      <c r="J9" s="56">
        <f>Production!I$5*'QA_Mix design'!I19</f>
        <v>0.67741950000000006</v>
      </c>
      <c r="K9" s="56">
        <f>Production!J$5*'QA_Mix design'!J19</f>
        <v>1.6480985000000001</v>
      </c>
      <c r="L9" s="56">
        <f>Production!K$5*'QA_Mix design'!K19</f>
        <v>0.80380355000000003</v>
      </c>
      <c r="M9" s="56">
        <f>Production!L$5*'QA_Mix design'!L19</f>
        <v>0.82499999999999996</v>
      </c>
      <c r="N9" s="57">
        <f>Production!M$5*'QA_Mix design'!M19</f>
        <v>1.32</v>
      </c>
      <c r="O9" s="56">
        <f>Production!N$5*'QA_Mix design'!N19</f>
        <v>1.08</v>
      </c>
      <c r="P9" s="56">
        <f>Production!O$5*'QA_Mix design'!O19</f>
        <v>0.97</v>
      </c>
      <c r="Q9" s="53">
        <f t="shared" si="0"/>
        <v>12.32709105</v>
      </c>
    </row>
    <row r="10" spans="2:17" x14ac:dyDescent="0.25">
      <c r="B10" s="13"/>
      <c r="C10" s="13"/>
      <c r="D10" s="22" t="s">
        <v>46</v>
      </c>
      <c r="E10" s="56">
        <f>Production!D$5*'QA_Mix design'!D20</f>
        <v>5.7932499999999996</v>
      </c>
      <c r="F10" s="56">
        <f>Production!E$5*'QA_Mix design'!E20</f>
        <v>5.2616460000000007</v>
      </c>
      <c r="G10" s="56">
        <f>Production!F$5*'QA_Mix design'!F20</f>
        <v>7.6458200000000005</v>
      </c>
      <c r="H10" s="56">
        <f>Production!G$5*'QA_Mix design'!G20</f>
        <v>3.6147799999999997</v>
      </c>
      <c r="I10" s="56">
        <f>Production!H$5*'QA_Mix design'!H20</f>
        <v>3.4671754000000004</v>
      </c>
      <c r="J10" s="56">
        <f>Production!I$5*'QA_Mix design'!I20</f>
        <v>3.5225814</v>
      </c>
      <c r="K10" s="56">
        <f>Production!J$5*'QA_Mix design'!J20</f>
        <v>8.5701122000000005</v>
      </c>
      <c r="L10" s="56">
        <f>Production!K$5*'QA_Mix design'!K20</f>
        <v>3.7267255500000003</v>
      </c>
      <c r="M10" s="56">
        <f>Production!L$5*'QA_Mix design'!L20</f>
        <v>3.75</v>
      </c>
      <c r="N10" s="57">
        <f>Production!M$5*'QA_Mix design'!M20</f>
        <v>6</v>
      </c>
      <c r="O10" s="56">
        <f>Production!N$5*'QA_Mix design'!N20</f>
        <v>5.6160000000000005</v>
      </c>
      <c r="P10" s="56">
        <f>Production!O$5*'QA_Mix design'!O20</f>
        <v>5.0439999999999996</v>
      </c>
      <c r="Q10" s="53">
        <f t="shared" si="0"/>
        <v>62.012090549999996</v>
      </c>
    </row>
    <row r="11" spans="2:17" x14ac:dyDescent="0.25">
      <c r="B11" s="13"/>
      <c r="C11" s="13" t="s">
        <v>7</v>
      </c>
      <c r="D11" s="22" t="str">
        <f t="shared" ref="D11:D18" si="1">D7</f>
        <v>RM 1</v>
      </c>
      <c r="E11" s="56">
        <f>Production!D$6*'QA_Mix design'!D10</f>
        <v>36.919350000000001</v>
      </c>
      <c r="F11" s="56">
        <f>Production!E$6*'QA_Mix design'!E10</f>
        <v>43.688072999999996</v>
      </c>
      <c r="G11" s="56">
        <f>Production!F$6*'QA_Mix design'!F10</f>
        <v>46.690150000000003</v>
      </c>
      <c r="H11" s="56">
        <f>Production!G$6*'QA_Mix design'!G10</f>
        <v>19.463307500000003</v>
      </c>
      <c r="I11" s="56">
        <f>Production!H$6*'QA_Mix design'!H10</f>
        <v>20.325376500000001</v>
      </c>
      <c r="J11" s="56">
        <f>Production!I$6*'QA_Mix design'!I10</f>
        <v>26.038675000000001</v>
      </c>
      <c r="K11" s="56">
        <f>Production!J$6*'QA_Mix design'!J10</f>
        <v>33.818291000000002</v>
      </c>
      <c r="L11" s="56">
        <f>Production!K$6*'QA_Mix design'!K10</f>
        <v>24.965860200000002</v>
      </c>
      <c r="M11" s="56">
        <f>Production!L$6*'QA_Mix design'!L10</f>
        <v>27.09</v>
      </c>
      <c r="N11" s="57">
        <f>Production!M$6*'QA_Mix design'!M10</f>
        <v>32.895000000000003</v>
      </c>
      <c r="O11" s="56">
        <f>Production!N$6*'QA_Mix design'!N10</f>
        <v>33.6875</v>
      </c>
      <c r="P11" s="56">
        <f>Production!O$6*'QA_Mix design'!O10</f>
        <v>40.25</v>
      </c>
      <c r="Q11" s="56">
        <f t="shared" si="0"/>
        <v>385.83158320000001</v>
      </c>
    </row>
    <row r="12" spans="2:17" x14ac:dyDescent="0.25">
      <c r="B12" s="13"/>
      <c r="C12" s="13"/>
      <c r="D12" s="22" t="str">
        <f t="shared" si="1"/>
        <v>RM 2</v>
      </c>
      <c r="E12" s="56">
        <f>Production!D$6*'QA_Mix design'!D11</f>
        <v>2.27196</v>
      </c>
      <c r="F12" s="56">
        <f>Production!E$6*'QA_Mix design'!E11</f>
        <v>4.7048693999999998</v>
      </c>
      <c r="G12" s="56">
        <f>Production!F$6*'QA_Mix design'!F11</f>
        <v>6.4647899999999998</v>
      </c>
      <c r="H12" s="56">
        <f>Production!G$6*'QA_Mix design'!G11</f>
        <v>2.3954840000000002</v>
      </c>
      <c r="I12" s="56">
        <f>Production!H$6*'QA_Mix design'!H11</f>
        <v>2.5015847999999998</v>
      </c>
      <c r="J12" s="56">
        <f>Production!I$6*'QA_Mix design'!I11</f>
        <v>2.2433320000000001</v>
      </c>
      <c r="K12" s="56">
        <f>Production!J$6*'QA_Mix design'!J11</f>
        <v>2.3412663</v>
      </c>
      <c r="L12" s="56">
        <f>Production!K$6*'QA_Mix design'!K11</f>
        <v>0.92896224000000005</v>
      </c>
      <c r="M12" s="56">
        <f>Production!L$6*'QA_Mix design'!L11</f>
        <v>0.63</v>
      </c>
      <c r="N12" s="57">
        <f>Production!M$6*'QA_Mix design'!M11</f>
        <v>0.76500000000000001</v>
      </c>
      <c r="O12" s="56">
        <f>Production!N$6*'QA_Mix design'!N11</f>
        <v>2.1560000000000001</v>
      </c>
      <c r="P12" s="56">
        <f>Production!O$6*'QA_Mix design'!O11</f>
        <v>5.7960000000000003</v>
      </c>
      <c r="Q12" s="56">
        <f t="shared" si="0"/>
        <v>33.199248740000002</v>
      </c>
    </row>
    <row r="13" spans="2:17" x14ac:dyDescent="0.25">
      <c r="B13" s="13"/>
      <c r="C13" s="13"/>
      <c r="D13" s="22" t="str">
        <f t="shared" si="1"/>
        <v>RM 3</v>
      </c>
      <c r="E13" s="56">
        <f>Production!D$6*'QA_Mix design'!D12</f>
        <v>2.83995</v>
      </c>
      <c r="F13" s="56">
        <f>Production!E$6*'QA_Mix design'!E12</f>
        <v>3.3606210000000001</v>
      </c>
      <c r="G13" s="56">
        <f>Production!F$6*'QA_Mix design'!F12</f>
        <v>3.5915500000000002</v>
      </c>
      <c r="H13" s="56">
        <f>Production!G$6*'QA_Mix design'!G12</f>
        <v>1.4971775000000003</v>
      </c>
      <c r="I13" s="56">
        <f>Production!H$6*'QA_Mix design'!H12</f>
        <v>1.5634905000000001</v>
      </c>
      <c r="J13" s="56">
        <f>Production!I$6*'QA_Mix design'!I12</f>
        <v>2.0029750000000002</v>
      </c>
      <c r="K13" s="56">
        <f>Production!J$6*'QA_Mix design'!J12</f>
        <v>2.70546328</v>
      </c>
      <c r="L13" s="56">
        <f>Production!K$6*'QA_Mix design'!K12</f>
        <v>2.1288718000000002</v>
      </c>
      <c r="M13" s="56">
        <f>Production!L$6*'QA_Mix design'!L12</f>
        <v>2.31</v>
      </c>
      <c r="N13" s="57">
        <f>Production!M$6*'QA_Mix design'!M12</f>
        <v>2.8050000000000002</v>
      </c>
      <c r="O13" s="56">
        <f>Production!N$6*'QA_Mix design'!N12</f>
        <v>2.6950000000000003</v>
      </c>
      <c r="P13" s="56">
        <f>Production!O$6*'QA_Mix design'!O12</f>
        <v>3.5420000000000003</v>
      </c>
      <c r="Q13" s="56">
        <f t="shared" si="0"/>
        <v>31.04209908</v>
      </c>
    </row>
    <row r="14" spans="2:17" x14ac:dyDescent="0.25">
      <c r="B14" s="13"/>
      <c r="C14" s="13"/>
      <c r="D14" s="22" t="str">
        <f t="shared" si="1"/>
        <v>RM 4</v>
      </c>
      <c r="E14" s="56">
        <f>Production!D$6*'QA_Mix design'!D13</f>
        <v>3.40794</v>
      </c>
      <c r="F14" s="56">
        <f>Production!E$6*'QA_Mix design'!E13</f>
        <v>2.6884967999999998</v>
      </c>
      <c r="G14" s="56">
        <f>Production!F$6*'QA_Mix design'!F13</f>
        <v>4.3098600000000005</v>
      </c>
      <c r="H14" s="56">
        <f>Production!G$6*'QA_Mix design'!G13</f>
        <v>2.0960485000000002</v>
      </c>
      <c r="I14" s="56">
        <f>Production!H$6*'QA_Mix design'!H13</f>
        <v>2.1888867000000003</v>
      </c>
      <c r="J14" s="56">
        <f>Production!I$6*'QA_Mix design'!I13</f>
        <v>2.8041650000000002</v>
      </c>
      <c r="K14" s="56">
        <f>Production!J$6*'QA_Mix design'!J13</f>
        <v>2.3412663</v>
      </c>
      <c r="L14" s="56">
        <f>Production!K$6*'QA_Mix design'!K13</f>
        <v>2.28369884</v>
      </c>
      <c r="M14" s="56">
        <f>Production!L$6*'QA_Mix design'!L13</f>
        <v>1.89</v>
      </c>
      <c r="N14" s="57">
        <f>Production!M$6*'QA_Mix design'!M13</f>
        <v>2.2949999999999999</v>
      </c>
      <c r="O14" s="56">
        <f>Production!N$6*'QA_Mix design'!N13</f>
        <v>3.5034999999999998</v>
      </c>
      <c r="P14" s="56">
        <f>Production!O$6*'QA_Mix design'!O13</f>
        <v>4.5080000000000009</v>
      </c>
      <c r="Q14" s="56">
        <f t="shared" si="0"/>
        <v>34.316862139999998</v>
      </c>
    </row>
    <row r="15" spans="2:17" x14ac:dyDescent="0.25">
      <c r="B15" s="13"/>
      <c r="C15" s="99" t="s">
        <v>10</v>
      </c>
      <c r="D15" s="22" t="str">
        <f t="shared" si="1"/>
        <v>RM 1</v>
      </c>
      <c r="E15" s="56">
        <f>Production!D$6*'QA_Mix design'!D14</f>
        <v>11.3598</v>
      </c>
      <c r="F15" s="56">
        <f>Production!E$6*'QA_Mix design'!E14</f>
        <v>13.066094447999998</v>
      </c>
      <c r="G15" s="56">
        <f>Production!F$6*'QA_Mix design'!F14</f>
        <v>10.774649999999999</v>
      </c>
      <c r="H15" s="56">
        <f>Production!G$6*'QA_Mix design'!G14</f>
        <v>4.4915324999999999</v>
      </c>
      <c r="I15" s="56">
        <f>Production!H$6*'QA_Mix design'!H14</f>
        <v>4.6904715000000001</v>
      </c>
      <c r="J15" s="56">
        <f>Production!I$6*'QA_Mix design'!I14</f>
        <v>7.2107099999999997</v>
      </c>
      <c r="K15" s="56">
        <f>Production!J$6*'QA_Mix design'!J14</f>
        <v>10.9259094</v>
      </c>
      <c r="L15" s="56">
        <f>Production!K$6*'QA_Mix design'!K14</f>
        <v>9.1735021200000002</v>
      </c>
      <c r="M15" s="56">
        <f>Production!L$6*'QA_Mix design'!L14</f>
        <v>10.08</v>
      </c>
      <c r="N15" s="57">
        <f>Production!M$6*'QA_Mix design'!M14</f>
        <v>12.24</v>
      </c>
      <c r="O15" s="56">
        <f>Production!N$6*'QA_Mix design'!N14</f>
        <v>11.858000000000001</v>
      </c>
      <c r="P15" s="56">
        <f>Production!O$6*'QA_Mix design'!O14</f>
        <v>10.304</v>
      </c>
      <c r="Q15" s="56">
        <f t="shared" si="0"/>
        <v>116.17466996799999</v>
      </c>
    </row>
    <row r="16" spans="2:17" x14ac:dyDescent="0.25">
      <c r="B16" s="13"/>
      <c r="C16" s="100"/>
      <c r="D16" s="22" t="str">
        <f t="shared" si="1"/>
        <v>RM 2</v>
      </c>
      <c r="E16" s="56">
        <f>Production!D$7*'QA_Mix design'!D23</f>
        <v>2.5933087758229405</v>
      </c>
      <c r="F16" s="56">
        <f>Production!E$7*'QA_Mix design'!E23</f>
        <v>2.4204060000000003</v>
      </c>
      <c r="G16" s="56">
        <f>Production!F$7*'QA_Mix design'!F23</f>
        <v>2.1285000000000003</v>
      </c>
      <c r="H16" s="56">
        <f>Production!G$7*'QA_Mix design'!G23</f>
        <v>0.27204300000000003</v>
      </c>
      <c r="I16" s="56">
        <f>Production!H$7*'QA_Mix design'!H23</f>
        <v>2.4132600000000002</v>
      </c>
      <c r="J16" s="56">
        <f>Production!I$7*'QA_Mix design'!I23</f>
        <v>2.3965110000000003</v>
      </c>
      <c r="K16" s="56">
        <f>Production!J$7*'QA_Mix design'!J23</f>
        <v>4.7100960000000001</v>
      </c>
      <c r="L16" s="56">
        <f>Production!K$7*'QA_Mix design'!K23</f>
        <v>6.6931246200000007</v>
      </c>
      <c r="M16" s="56">
        <f>Production!L$7*'QA_Mix design'!L23</f>
        <v>6.37</v>
      </c>
      <c r="N16" s="57">
        <f>Production!M$7*'QA_Mix design'!M23</f>
        <v>2.73</v>
      </c>
      <c r="O16" s="56">
        <f>Production!N$7*'QA_Mix design'!N23</f>
        <v>2.7</v>
      </c>
      <c r="P16" s="56">
        <f>Production!O$7*'QA_Mix design'!O23</f>
        <v>1.62</v>
      </c>
      <c r="Q16" s="56">
        <f t="shared" si="0"/>
        <v>37.047249395822945</v>
      </c>
    </row>
    <row r="17" spans="2:17" x14ac:dyDescent="0.25">
      <c r="B17" s="13"/>
      <c r="C17" s="100"/>
      <c r="D17" s="22" t="str">
        <f t="shared" si="1"/>
        <v>RM 3</v>
      </c>
      <c r="E17" s="56">
        <f>Production!D$7*'QA_Mix design'!D24</f>
        <v>0.1199527017686209</v>
      </c>
      <c r="F17" s="56">
        <f>Production!E$7*'QA_Mix design'!E24</f>
        <v>0.134467</v>
      </c>
      <c r="G17" s="56">
        <f>Production!F$7*'QA_Mix design'!F24</f>
        <v>0.11825000000000002</v>
      </c>
      <c r="H17" s="56">
        <f>Production!G$7*'QA_Mix design'!G24</f>
        <v>1.5113500000000002E-2</v>
      </c>
      <c r="I17" s="56">
        <f>Production!H$7*'QA_Mix design'!H24</f>
        <v>0.13406999999999999</v>
      </c>
      <c r="J17" s="56">
        <f>Production!I$7*'QA_Mix design'!I24</f>
        <v>0.13313950000000002</v>
      </c>
      <c r="K17" s="56">
        <f>Production!J$7*'QA_Mix design'!J24</f>
        <v>0.26167200000000002</v>
      </c>
      <c r="L17" s="56">
        <f>Production!K$7*'QA_Mix design'!K24</f>
        <v>0.36775410000000003</v>
      </c>
      <c r="M17" s="56">
        <f>Production!L$7*'QA_Mix design'!L24</f>
        <v>0.35000000000000003</v>
      </c>
      <c r="N17" s="57">
        <f>Production!M$7*'QA_Mix design'!M24</f>
        <v>0.15000000000000002</v>
      </c>
      <c r="O17" s="56">
        <f>Production!N$7*'QA_Mix design'!N24</f>
        <v>0.15000000000000002</v>
      </c>
      <c r="P17" s="56">
        <f>Production!O$7*'QA_Mix design'!O24</f>
        <v>9.0000000000000011E-2</v>
      </c>
      <c r="Q17" s="56">
        <f t="shared" si="0"/>
        <v>2.0244188017686211</v>
      </c>
    </row>
    <row r="18" spans="2:17" x14ac:dyDescent="0.25">
      <c r="B18" s="13"/>
      <c r="C18" s="100"/>
      <c r="D18" s="22" t="str">
        <f t="shared" si="1"/>
        <v>RM 4</v>
      </c>
      <c r="E18" s="56">
        <f>Production!D$7*'QA_Mix design'!D25</f>
        <v>0.14801541769225354</v>
      </c>
      <c r="F18" s="56">
        <f>Production!E$7*'QA_Mix design'!E25</f>
        <v>0.134467</v>
      </c>
      <c r="G18" s="56">
        <f>Production!F$7*'QA_Mix design'!F25</f>
        <v>0.11825000000000002</v>
      </c>
      <c r="H18" s="56">
        <f>Production!G$7*'QA_Mix design'!G25</f>
        <v>1.5113500000000002E-2</v>
      </c>
      <c r="I18" s="56">
        <f>Production!H$7*'QA_Mix design'!H25</f>
        <v>0.13406999999999999</v>
      </c>
      <c r="J18" s="56">
        <f>Production!I$7*'QA_Mix design'!I25</f>
        <v>0.13313950000000002</v>
      </c>
      <c r="K18" s="56">
        <f>Production!J$7*'QA_Mix design'!J25</f>
        <v>0.26167200000000002</v>
      </c>
      <c r="L18" s="56">
        <f>Production!K$7*'QA_Mix design'!K25</f>
        <v>0.40452951000000004</v>
      </c>
      <c r="M18" s="56">
        <f>Production!L$7*'QA_Mix design'!L25</f>
        <v>0.38500000000000001</v>
      </c>
      <c r="N18" s="57">
        <f>Production!M$7*'QA_Mix design'!M25</f>
        <v>0.16500000000000001</v>
      </c>
      <c r="O18" s="56">
        <f>Production!N$7*'QA_Mix design'!N25</f>
        <v>0.15000000000000002</v>
      </c>
      <c r="P18" s="56">
        <f>Production!O$7*'QA_Mix design'!O25</f>
        <v>9.0000000000000011E-2</v>
      </c>
      <c r="Q18" s="56">
        <f t="shared" si="0"/>
        <v>2.1392569276922537</v>
      </c>
    </row>
    <row r="19" spans="2:17" x14ac:dyDescent="0.25">
      <c r="B19" s="13"/>
      <c r="C19" s="101"/>
      <c r="D19" s="22" t="s">
        <v>47</v>
      </c>
      <c r="E19" s="56">
        <f>Production!D$7*'QA_Mix design'!D26</f>
        <v>4.5937075144583554E-2</v>
      </c>
      <c r="F19" s="56">
        <f>Production!E$7*'QA_Mix design'!E26</f>
        <v>0</v>
      </c>
      <c r="G19" s="56">
        <f>Production!F$7*'QA_Mix design'!F26</f>
        <v>0</v>
      </c>
      <c r="H19" s="56">
        <f>Production!G$7*'QA_Mix design'!G26</f>
        <v>0</v>
      </c>
      <c r="I19" s="56">
        <f>Production!H$7*'QA_Mix design'!H26</f>
        <v>0</v>
      </c>
      <c r="J19" s="56">
        <f>Production!I$7*'QA_Mix design'!I26</f>
        <v>0</v>
      </c>
      <c r="K19" s="56">
        <f>Production!J$7*'QA_Mix design'!J26</f>
        <v>0</v>
      </c>
      <c r="L19" s="56">
        <f>Production!K$7*'QA_Mix design'!K26</f>
        <v>3.6775410000000001E-2</v>
      </c>
      <c r="M19" s="56">
        <f>Production!L$7*'QA_Mix design'!L26</f>
        <v>3.5000000000000003E-2</v>
      </c>
      <c r="N19" s="57">
        <f>Production!M$7*'QA_Mix design'!M26</f>
        <v>1.4999999999999999E-2</v>
      </c>
      <c r="O19" s="56">
        <f>Production!N$7*'QA_Mix design'!N26</f>
        <v>0</v>
      </c>
      <c r="P19" s="56">
        <f>Production!O$7*'QA_Mix design'!O26</f>
        <v>0</v>
      </c>
      <c r="Q19" s="56">
        <f t="shared" si="0"/>
        <v>0.13271248514458356</v>
      </c>
    </row>
    <row r="20" spans="2:17" x14ac:dyDescent="0.25">
      <c r="B20" s="13"/>
      <c r="C20" s="99" t="s">
        <v>11</v>
      </c>
      <c r="D20" s="22" t="str">
        <f>D15</f>
        <v>RM 1</v>
      </c>
      <c r="E20" s="53">
        <f>Production!D$8*'QA_Mix design'!D29</f>
        <v>0</v>
      </c>
      <c r="F20" s="53">
        <f>Production!E$8*'QA_Mix design'!E29</f>
        <v>0</v>
      </c>
      <c r="G20" s="53">
        <f>Production!F$8*'QA_Mix design'!F29</f>
        <v>0</v>
      </c>
      <c r="H20" s="53">
        <f>Production!G$8*'QA_Mix design'!G29</f>
        <v>0</v>
      </c>
      <c r="I20" s="53">
        <f>Production!H$8*'QA_Mix design'!H29</f>
        <v>0</v>
      </c>
      <c r="J20" s="53">
        <f>Production!I$8*'QA_Mix design'!I29</f>
        <v>0</v>
      </c>
      <c r="K20" s="53">
        <f>Production!J$8*'QA_Mix design'!J29</f>
        <v>0</v>
      </c>
      <c r="L20" s="53">
        <f>Production!K$8*'QA_Mix design'!K29</f>
        <v>0</v>
      </c>
      <c r="M20" s="53">
        <f>Production!L$8*'QA_Mix design'!L29</f>
        <v>0</v>
      </c>
      <c r="N20" s="54">
        <f>Production!M$8*'QA_Mix design'!M29</f>
        <v>0</v>
      </c>
      <c r="O20" s="53">
        <f>Production!N$8*'QA_Mix design'!N29</f>
        <v>0</v>
      </c>
      <c r="P20" s="53">
        <f>Production!O$8*'QA_Mix design'!O29</f>
        <v>0</v>
      </c>
      <c r="Q20" s="56">
        <f t="shared" si="0"/>
        <v>0</v>
      </c>
    </row>
    <row r="21" spans="2:17" x14ac:dyDescent="0.25">
      <c r="B21" s="13"/>
      <c r="C21" s="100"/>
      <c r="D21" s="22" t="str">
        <f>D16</f>
        <v>RM 2</v>
      </c>
      <c r="E21" s="53">
        <f>Production!D$8*'QA_Mix design'!D30</f>
        <v>0</v>
      </c>
      <c r="F21" s="53">
        <f>Production!E$8*'QA_Mix design'!E30</f>
        <v>0</v>
      </c>
      <c r="G21" s="53">
        <f>Production!F$8*'QA_Mix design'!F30</f>
        <v>0</v>
      </c>
      <c r="H21" s="53">
        <f>Production!G$8*'QA_Mix design'!G30</f>
        <v>0</v>
      </c>
      <c r="I21" s="53">
        <f>Production!H$8*'QA_Mix design'!H30</f>
        <v>0</v>
      </c>
      <c r="J21" s="53">
        <f>Production!I$8*'QA_Mix design'!I30</f>
        <v>0</v>
      </c>
      <c r="K21" s="53">
        <f>Production!J$8*'QA_Mix design'!J30</f>
        <v>0</v>
      </c>
      <c r="L21" s="53">
        <f>Production!K$8*'QA_Mix design'!K30</f>
        <v>0</v>
      </c>
      <c r="M21" s="53">
        <f>Production!L$8*'QA_Mix design'!L30</f>
        <v>0</v>
      </c>
      <c r="N21" s="54">
        <f>Production!M$8*'QA_Mix design'!M30</f>
        <v>0</v>
      </c>
      <c r="O21" s="53">
        <f>Production!N$8*'QA_Mix design'!N30</f>
        <v>0</v>
      </c>
      <c r="P21" s="53">
        <f>Production!O$8*'QA_Mix design'!O30</f>
        <v>0</v>
      </c>
      <c r="Q21" s="56">
        <f t="shared" si="0"/>
        <v>0</v>
      </c>
    </row>
    <row r="22" spans="2:17" x14ac:dyDescent="0.25">
      <c r="B22" s="13"/>
      <c r="C22" s="100"/>
      <c r="D22" s="22" t="str">
        <f>D17</f>
        <v>RM 3</v>
      </c>
      <c r="E22" s="53">
        <f>Production!D$8*'QA_Mix design'!D31</f>
        <v>0</v>
      </c>
      <c r="F22" s="53">
        <f>Production!E$8*'QA_Mix design'!E31</f>
        <v>0</v>
      </c>
      <c r="G22" s="53">
        <f>Production!F$8*'QA_Mix design'!F31</f>
        <v>0</v>
      </c>
      <c r="H22" s="53">
        <f>Production!G$8*'QA_Mix design'!G31</f>
        <v>0</v>
      </c>
      <c r="I22" s="53">
        <f>Production!H$8*'QA_Mix design'!H31</f>
        <v>0</v>
      </c>
      <c r="J22" s="53">
        <f>Production!I$8*'QA_Mix design'!I31</f>
        <v>0</v>
      </c>
      <c r="K22" s="53">
        <f>Production!J$8*'QA_Mix design'!J31</f>
        <v>0</v>
      </c>
      <c r="L22" s="53">
        <f>Production!K$8*'QA_Mix design'!K31</f>
        <v>0</v>
      </c>
      <c r="M22" s="53">
        <f>Production!L$8*'QA_Mix design'!L31</f>
        <v>0</v>
      </c>
      <c r="N22" s="54">
        <f>Production!M$8*'QA_Mix design'!M31</f>
        <v>0</v>
      </c>
      <c r="O22" s="53">
        <f>Production!N$8*'QA_Mix design'!N31</f>
        <v>0</v>
      </c>
      <c r="P22" s="53">
        <f>Production!O$8*'QA_Mix design'!O31</f>
        <v>0</v>
      </c>
      <c r="Q22" s="56">
        <f t="shared" si="0"/>
        <v>0</v>
      </c>
    </row>
    <row r="23" spans="2:17" x14ac:dyDescent="0.25">
      <c r="B23" s="13"/>
      <c r="C23" s="101"/>
      <c r="D23" s="22" t="str">
        <f>D18</f>
        <v>RM 4</v>
      </c>
      <c r="E23" s="53"/>
      <c r="F23" s="53"/>
      <c r="G23" s="53"/>
      <c r="H23" s="53"/>
      <c r="I23" s="53"/>
      <c r="J23" s="53"/>
      <c r="K23" s="53"/>
      <c r="L23" s="53"/>
      <c r="M23" s="53"/>
      <c r="N23" s="54"/>
      <c r="O23" s="102"/>
      <c r="P23" s="102">
        <f>Production!O$9*'QA_Mix design'!O35</f>
        <v>1.9095000000000002</v>
      </c>
      <c r="Q23" s="56">
        <f t="shared" si="0"/>
        <v>1.9095000000000002</v>
      </c>
    </row>
    <row r="24" spans="2:17" x14ac:dyDescent="0.25">
      <c r="B24" s="13"/>
      <c r="C24" s="99" t="s">
        <v>12</v>
      </c>
      <c r="D24" s="22" t="str">
        <f>D20</f>
        <v>RM 1</v>
      </c>
      <c r="E24" s="53"/>
      <c r="F24" s="53"/>
      <c r="G24" s="53"/>
      <c r="H24" s="53"/>
      <c r="I24" s="53"/>
      <c r="J24" s="53"/>
      <c r="K24" s="53"/>
      <c r="L24" s="53"/>
      <c r="M24" s="53"/>
      <c r="N24" s="54"/>
      <c r="O24" s="102"/>
      <c r="P24" s="102">
        <f>Production!O$9*'QA_Mix design'!O36</f>
        <v>0.14250000000000002</v>
      </c>
      <c r="Q24" s="56">
        <f t="shared" si="0"/>
        <v>0.14250000000000002</v>
      </c>
    </row>
    <row r="25" spans="2:17" x14ac:dyDescent="0.25">
      <c r="B25" s="13"/>
      <c r="C25" s="100"/>
      <c r="D25" s="22" t="str">
        <f>D21</f>
        <v>RM 2</v>
      </c>
      <c r="E25" s="53"/>
      <c r="F25" s="53"/>
      <c r="G25" s="53"/>
      <c r="H25" s="53"/>
      <c r="I25" s="53"/>
      <c r="J25" s="53"/>
      <c r="K25" s="53"/>
      <c r="L25" s="53"/>
      <c r="M25" s="53"/>
      <c r="N25" s="54"/>
      <c r="O25" s="102"/>
      <c r="P25" s="102">
        <f>Production!O$9*'QA_Mix design'!O37</f>
        <v>0.14250000000000002</v>
      </c>
      <c r="Q25" s="56">
        <f t="shared" si="0"/>
        <v>0.14250000000000002</v>
      </c>
    </row>
    <row r="26" spans="2:17" x14ac:dyDescent="0.25">
      <c r="B26" s="13"/>
      <c r="C26" s="101"/>
      <c r="D26" s="22" t="str">
        <f>D22</f>
        <v>RM 3</v>
      </c>
      <c r="E26" s="53"/>
      <c r="F26" s="53"/>
      <c r="G26" s="53"/>
      <c r="H26" s="53"/>
      <c r="I26" s="53"/>
      <c r="J26" s="53"/>
      <c r="K26" s="53"/>
      <c r="L26" s="53"/>
      <c r="M26" s="53"/>
      <c r="N26" s="54"/>
      <c r="O26" s="102"/>
      <c r="P26" s="102">
        <f>Production!O$9*'QA_Mix design'!O38</f>
        <v>0.65550000000000008</v>
      </c>
      <c r="Q26" s="56">
        <f t="shared" si="0"/>
        <v>0.65550000000000008</v>
      </c>
    </row>
    <row r="27" spans="2:17" x14ac:dyDescent="0.25">
      <c r="B27" s="13"/>
      <c r="C27" s="13" t="str">
        <f>Sales!B9</f>
        <v>Product F</v>
      </c>
      <c r="D27" s="22" t="str">
        <f>D20</f>
        <v>RM 1</v>
      </c>
      <c r="E27" s="53">
        <f>Production!D$10*'QA_Mix design'!D35</f>
        <v>0</v>
      </c>
      <c r="F27" s="53">
        <f>Production!E$10*'QA_Mix design'!E35</f>
        <v>0</v>
      </c>
      <c r="G27" s="53">
        <f>Production!F$10*'QA_Mix design'!F35</f>
        <v>0</v>
      </c>
      <c r="H27" s="53">
        <f>Production!G$10*'QA_Mix design'!G35</f>
        <v>0</v>
      </c>
      <c r="I27" s="53">
        <f>Production!H$10*'QA_Mix design'!H35</f>
        <v>0</v>
      </c>
      <c r="J27" s="53">
        <f>Production!I$10*'QA_Mix design'!I35</f>
        <v>0</v>
      </c>
      <c r="K27" s="53">
        <f>Production!J$10*'QA_Mix design'!J35</f>
        <v>0</v>
      </c>
      <c r="L27" s="53">
        <f>Production!K$10*'QA_Mix design'!K35</f>
        <v>0</v>
      </c>
      <c r="M27" s="53">
        <f>Production!L$10*'QA_Mix design'!L35</f>
        <v>0</v>
      </c>
      <c r="N27" s="54">
        <f>Production!M$10*'QA_Mix design'!M35</f>
        <v>0</v>
      </c>
      <c r="O27" s="53">
        <f>Production!N$10*'QA_Mix design'!N35</f>
        <v>0</v>
      </c>
      <c r="P27" s="53">
        <f>Production!O$10*'QA_Mix design'!O35</f>
        <v>0</v>
      </c>
      <c r="Q27" s="56">
        <f t="shared" si="0"/>
        <v>0</v>
      </c>
    </row>
    <row r="28" spans="2:17" x14ac:dyDescent="0.25">
      <c r="B28" s="13"/>
      <c r="C28" s="13"/>
      <c r="D28" s="22" t="str">
        <f>D21</f>
        <v>RM 2</v>
      </c>
      <c r="E28" s="53"/>
      <c r="F28" s="53"/>
      <c r="G28" s="53"/>
      <c r="H28" s="53"/>
      <c r="I28" s="53"/>
      <c r="J28" s="53"/>
      <c r="K28" s="53"/>
      <c r="L28" s="53"/>
      <c r="M28" s="53"/>
      <c r="N28" s="54"/>
      <c r="O28" s="53"/>
      <c r="P28" s="53"/>
      <c r="Q28" s="56"/>
    </row>
    <row r="29" spans="2:17" x14ac:dyDescent="0.25">
      <c r="B29" s="13"/>
      <c r="C29" s="13"/>
      <c r="D29" s="22" t="str">
        <f>D22</f>
        <v>RM 3</v>
      </c>
      <c r="E29" s="53">
        <f>Production!D$10*'QA_Mix design'!D36</f>
        <v>0</v>
      </c>
      <c r="F29" s="53">
        <f>Production!E$10*'QA_Mix design'!E36</f>
        <v>0</v>
      </c>
      <c r="G29" s="53">
        <f>Production!F$10*'QA_Mix design'!F36</f>
        <v>0</v>
      </c>
      <c r="H29" s="53">
        <f>Production!G$10*'QA_Mix design'!G36</f>
        <v>0</v>
      </c>
      <c r="I29" s="53">
        <f>Production!H$10*'QA_Mix design'!H36</f>
        <v>0</v>
      </c>
      <c r="J29" s="53">
        <f>Production!I$10*'QA_Mix design'!I36</f>
        <v>0</v>
      </c>
      <c r="K29" s="53">
        <f>Production!J$10*'QA_Mix design'!J36</f>
        <v>0</v>
      </c>
      <c r="L29" s="53">
        <f>Production!K$10*'QA_Mix design'!K36</f>
        <v>0</v>
      </c>
      <c r="M29" s="53">
        <f>Production!L$10*'QA_Mix design'!L36</f>
        <v>0</v>
      </c>
      <c r="N29" s="54">
        <f>Production!M$10*'QA_Mix design'!M36</f>
        <v>0</v>
      </c>
      <c r="O29" s="53">
        <f>Production!N$10*'QA_Mix design'!N36</f>
        <v>0</v>
      </c>
      <c r="P29" s="53">
        <f>Production!O$10*'QA_Mix design'!O36</f>
        <v>0</v>
      </c>
      <c r="Q29" s="56">
        <f>SUM(E29:P29)</f>
        <v>0</v>
      </c>
    </row>
    <row r="30" spans="2:17" x14ac:dyDescent="0.25">
      <c r="B30" s="13"/>
      <c r="C30" s="13"/>
      <c r="D30" s="22" t="str">
        <f>D23</f>
        <v>RM 4</v>
      </c>
      <c r="E30" s="53">
        <f>Production!D$10*'QA_Mix design'!D37</f>
        <v>0</v>
      </c>
      <c r="F30" s="53">
        <f>Production!E$10*'QA_Mix design'!E37</f>
        <v>0</v>
      </c>
      <c r="G30" s="53">
        <f>Production!F$10*'QA_Mix design'!F37</f>
        <v>0</v>
      </c>
      <c r="H30" s="53">
        <f>Production!G$10*'QA_Mix design'!G37</f>
        <v>0</v>
      </c>
      <c r="I30" s="53">
        <f>Production!H$10*'QA_Mix design'!H37</f>
        <v>0</v>
      </c>
      <c r="J30" s="53">
        <f>Production!I$10*'QA_Mix design'!I37</f>
        <v>0</v>
      </c>
      <c r="K30" s="53">
        <f>Production!J$10*'QA_Mix design'!J37</f>
        <v>0</v>
      </c>
      <c r="L30" s="53">
        <f>Production!K$10*'QA_Mix design'!K37</f>
        <v>0</v>
      </c>
      <c r="M30" s="53">
        <f>Production!L$10*'QA_Mix design'!L37</f>
        <v>0</v>
      </c>
      <c r="N30" s="54">
        <f>Production!M$10*'QA_Mix design'!M37</f>
        <v>0</v>
      </c>
      <c r="O30" s="53">
        <f>Production!N$10*'QA_Mix design'!N37</f>
        <v>0</v>
      </c>
      <c r="P30" s="53">
        <f>Production!O$10*'QA_Mix design'!O37</f>
        <v>0</v>
      </c>
      <c r="Q30" s="56">
        <f>SUM(E30:P30)</f>
        <v>0</v>
      </c>
    </row>
    <row r="31" spans="2:17" s="58" customFormat="1" x14ac:dyDescent="0.25">
      <c r="B31" s="59"/>
      <c r="C31" s="60"/>
      <c r="D31" s="60"/>
      <c r="E31" s="61"/>
      <c r="F31" s="61"/>
      <c r="G31" s="61"/>
      <c r="H31" s="61"/>
      <c r="I31" s="61"/>
      <c r="J31" s="61"/>
      <c r="K31" s="61"/>
      <c r="L31" s="61"/>
      <c r="M31" s="61"/>
      <c r="N31" s="62"/>
      <c r="O31" s="61"/>
      <c r="P31" s="61"/>
      <c r="Q31" s="61"/>
    </row>
    <row r="32" spans="2:17" x14ac:dyDescent="0.25">
      <c r="B32" s="11" t="s">
        <v>21</v>
      </c>
      <c r="C32" s="13" t="s">
        <v>1</v>
      </c>
      <c r="D32" s="22" t="str">
        <f>D27</f>
        <v>RM 1</v>
      </c>
      <c r="E32" s="56">
        <f>Production!D$12*'QA_Mix design'!D17</f>
        <v>13.200135000000001</v>
      </c>
      <c r="F32" s="56">
        <f>Production!E$12*'QA_Mix design'!E17</f>
        <v>16.5066624</v>
      </c>
      <c r="G32" s="56">
        <f>Production!F$12*'QA_Mix design'!F17</f>
        <v>14.333440000000001</v>
      </c>
      <c r="H32" s="56">
        <f>Production!G$12*'QA_Mix design'!G17</f>
        <v>0.40881919999999999</v>
      </c>
      <c r="I32" s="56">
        <f>Production!H$12*'QA_Mix design'!H17</f>
        <v>0.61847679999999994</v>
      </c>
      <c r="J32" s="56">
        <f>Production!I$12*'QA_Mix design'!I17</f>
        <v>9.1373120000000014</v>
      </c>
      <c r="K32" s="56">
        <f>Production!J$12*'QA_Mix design'!J17</f>
        <v>17.102988799999999</v>
      </c>
      <c r="L32" s="56">
        <f>Production!K$12*'QA_Mix design'!K17</f>
        <v>9.2498445</v>
      </c>
      <c r="M32" s="56">
        <f>Production!L$12*'QA_Mix design'!L17</f>
        <v>11.700000000000001</v>
      </c>
      <c r="N32" s="57">
        <f>Production!M$12*'QA_Mix design'!M17</f>
        <v>14.3</v>
      </c>
      <c r="O32" s="56">
        <f>Production!N$12*'QA_Mix design'!N17</f>
        <v>7.4239999999999995</v>
      </c>
      <c r="P32" s="56">
        <f>Production!O$12*'QA_Mix design'!O17</f>
        <v>11.648000000000001</v>
      </c>
      <c r="Q32" s="56">
        <f t="shared" ref="Q32:Q47" si="2">SUM(E32:P32)</f>
        <v>125.6296787</v>
      </c>
    </row>
    <row r="33" spans="2:17" x14ac:dyDescent="0.25">
      <c r="B33" s="11"/>
      <c r="C33" s="13"/>
      <c r="D33" s="22" t="str">
        <f>D28</f>
        <v>RM 2</v>
      </c>
      <c r="E33" s="56">
        <f>Production!D$12*'QA_Mix design'!D18</f>
        <v>1.015395</v>
      </c>
      <c r="F33" s="56">
        <f>Production!E$12*'QA_Mix design'!E18</f>
        <v>1.2895830000000001</v>
      </c>
      <c r="G33" s="56">
        <f>Production!F$12*'QA_Mix design'!F18</f>
        <v>1.1198000000000001</v>
      </c>
      <c r="H33" s="56">
        <f>Production!G$12*'QA_Mix design'!G18</f>
        <v>3.1939000000000002E-2</v>
      </c>
      <c r="I33" s="56">
        <f>Production!H$12*'QA_Mix design'!H18</f>
        <v>4.83185E-2</v>
      </c>
      <c r="J33" s="56">
        <f>Production!I$12*'QA_Mix design'!I18</f>
        <v>0.71385250000000011</v>
      </c>
      <c r="K33" s="56">
        <f>Production!J$12*'QA_Mix design'!J18</f>
        <v>1.336171</v>
      </c>
      <c r="L33" s="56">
        <f>Production!K$12*'QA_Mix design'!K18</f>
        <v>0.78267914999999999</v>
      </c>
      <c r="M33" s="56">
        <f>Production!L$12*'QA_Mix design'!L18</f>
        <v>0.80999999999999994</v>
      </c>
      <c r="N33" s="57">
        <f>Production!M$12*'QA_Mix design'!M18</f>
        <v>0.99</v>
      </c>
      <c r="O33" s="56">
        <f>Production!N$12*'QA_Mix design'!N18</f>
        <v>0.57999999999999996</v>
      </c>
      <c r="P33" s="56">
        <f>Production!O$12*'QA_Mix design'!O18</f>
        <v>0.91000000000000014</v>
      </c>
      <c r="Q33" s="56">
        <f t="shared" si="2"/>
        <v>9.6277381500000008</v>
      </c>
    </row>
    <row r="34" spans="2:17" x14ac:dyDescent="0.25">
      <c r="B34" s="11"/>
      <c r="C34" s="13"/>
      <c r="D34" s="22" t="str">
        <f>D29</f>
        <v>RM 3</v>
      </c>
      <c r="E34" s="56">
        <f>Production!D$12*'QA_Mix design'!D19</f>
        <v>1.015395</v>
      </c>
      <c r="F34" s="56">
        <f>Production!E$12*'QA_Mix design'!E19</f>
        <v>1.2895830000000001</v>
      </c>
      <c r="G34" s="56">
        <f>Production!F$12*'QA_Mix design'!F19</f>
        <v>1.1198000000000001</v>
      </c>
      <c r="H34" s="56">
        <f>Production!G$12*'QA_Mix design'!G19</f>
        <v>3.1939000000000002E-2</v>
      </c>
      <c r="I34" s="56">
        <f>Production!H$12*'QA_Mix design'!H19</f>
        <v>4.83185E-2</v>
      </c>
      <c r="J34" s="56">
        <f>Production!I$12*'QA_Mix design'!I19</f>
        <v>0.71385250000000011</v>
      </c>
      <c r="K34" s="56">
        <f>Production!J$12*'QA_Mix design'!J19</f>
        <v>1.336171</v>
      </c>
      <c r="L34" s="56">
        <f>Production!K$12*'QA_Mix design'!K19</f>
        <v>0.78267914999999999</v>
      </c>
      <c r="M34" s="56">
        <f>Production!L$12*'QA_Mix design'!L19</f>
        <v>0.99</v>
      </c>
      <c r="N34" s="57">
        <f>Production!M$12*'QA_Mix design'!M19</f>
        <v>1.21</v>
      </c>
      <c r="O34" s="56">
        <f>Production!N$12*'QA_Mix design'!N19</f>
        <v>0.57999999999999996</v>
      </c>
      <c r="P34" s="56">
        <f>Production!O$12*'QA_Mix design'!O19</f>
        <v>0.91000000000000014</v>
      </c>
      <c r="Q34" s="56">
        <f t="shared" si="2"/>
        <v>10.027738150000001</v>
      </c>
    </row>
    <row r="35" spans="2:17" x14ac:dyDescent="0.25">
      <c r="B35" s="11"/>
      <c r="C35" s="13"/>
      <c r="D35" s="22" t="str">
        <f>D30</f>
        <v>RM 4</v>
      </c>
      <c r="E35" s="56">
        <f>Production!D$12*'QA_Mix design'!D20</f>
        <v>5.076975</v>
      </c>
      <c r="F35" s="56">
        <f>Production!E$12*'QA_Mix design'!E20</f>
        <v>6.7058316000000007</v>
      </c>
      <c r="G35" s="56">
        <f>Production!F$12*'QA_Mix design'!F20</f>
        <v>5.8229600000000001</v>
      </c>
      <c r="H35" s="56">
        <f>Production!G$12*'QA_Mix design'!G20</f>
        <v>0.1660828</v>
      </c>
      <c r="I35" s="56">
        <f>Production!H$12*'QA_Mix design'!H20</f>
        <v>0.25125619999999999</v>
      </c>
      <c r="J35" s="56">
        <f>Production!I$12*'QA_Mix design'!I20</f>
        <v>3.7120330000000004</v>
      </c>
      <c r="K35" s="56">
        <f>Production!J$12*'QA_Mix design'!J20</f>
        <v>6.9480891999999992</v>
      </c>
      <c r="L35" s="56">
        <f>Production!K$12*'QA_Mix design'!K20</f>
        <v>3.6287851500000001</v>
      </c>
      <c r="M35" s="56">
        <f>Production!L$12*'QA_Mix design'!L20</f>
        <v>4.5</v>
      </c>
      <c r="N35" s="57">
        <f>Production!M$12*'QA_Mix design'!M20</f>
        <v>5.5</v>
      </c>
      <c r="O35" s="56">
        <f>Production!N$12*'QA_Mix design'!N20</f>
        <v>3.016</v>
      </c>
      <c r="P35" s="56">
        <f>Production!O$12*'QA_Mix design'!O20</f>
        <v>4.7320000000000011</v>
      </c>
      <c r="Q35" s="56">
        <f t="shared" si="2"/>
        <v>50.060012950000001</v>
      </c>
    </row>
    <row r="36" spans="2:17" x14ac:dyDescent="0.25">
      <c r="B36" s="11"/>
      <c r="C36" s="13" t="s">
        <v>7</v>
      </c>
      <c r="D36" s="22" t="str">
        <f>D32</f>
        <v>RM 1</v>
      </c>
      <c r="E36" s="56">
        <f>Production!D$13*'QA_Mix design'!D10</f>
        <v>6.9680000000000009</v>
      </c>
      <c r="F36" s="56">
        <f>Production!E$13*'QA_Mix design'!E10</f>
        <v>8.0587975000000007</v>
      </c>
      <c r="G36" s="56">
        <f>Production!F$13*'QA_Mix design'!F10</f>
        <v>7.6160500000000004</v>
      </c>
      <c r="H36" s="56">
        <f>Production!G$13*'QA_Mix design'!G10</f>
        <v>1.0075000000000001E-2</v>
      </c>
      <c r="I36" s="56">
        <f>Production!H$13*'QA_Mix design'!H10</f>
        <v>0.95222400000000007</v>
      </c>
      <c r="J36" s="56">
        <f>Production!I$13*'QA_Mix design'!I10</f>
        <v>6.8646500000000001</v>
      </c>
      <c r="K36" s="56">
        <f>Production!J$13*'QA_Mix design'!J10</f>
        <v>5.1736750000000002</v>
      </c>
      <c r="L36" s="56">
        <f>Production!K$13*'QA_Mix design'!K10</f>
        <v>4.404318</v>
      </c>
      <c r="M36" s="56">
        <f>Production!L$13*'QA_Mix design'!L10</f>
        <v>6.45</v>
      </c>
      <c r="N36" s="57">
        <f>Production!M$13*'QA_Mix design'!M10</f>
        <v>6.45</v>
      </c>
      <c r="O36" s="56">
        <f>Production!N$13*'QA_Mix design'!N10</f>
        <v>8.0625</v>
      </c>
      <c r="P36" s="56">
        <f>Production!O$13*'QA_Mix design'!O10</f>
        <v>9.9375</v>
      </c>
      <c r="Q36" s="56">
        <f t="shared" si="2"/>
        <v>70.947789500000013</v>
      </c>
    </row>
    <row r="37" spans="2:17" x14ac:dyDescent="0.25">
      <c r="B37" s="11"/>
      <c r="C37" s="13"/>
      <c r="D37" s="22" t="str">
        <f>D33</f>
        <v>RM 2</v>
      </c>
      <c r="E37" s="56">
        <f>Production!D$13*'QA_Mix design'!D11</f>
        <v>0.42880000000000001</v>
      </c>
      <c r="F37" s="56">
        <f>Production!E$13*'QA_Mix design'!E11</f>
        <v>0.86787049999999999</v>
      </c>
      <c r="G37" s="56">
        <f>Production!F$13*'QA_Mix design'!F11</f>
        <v>1.05453</v>
      </c>
      <c r="H37" s="56">
        <f>Production!G$13*'QA_Mix design'!G11</f>
        <v>1.24E-3</v>
      </c>
      <c r="I37" s="56">
        <f>Production!H$13*'QA_Mix design'!H11</f>
        <v>0.1171968</v>
      </c>
      <c r="J37" s="56">
        <f>Production!I$13*'QA_Mix design'!I11</f>
        <v>0.59141600000000005</v>
      </c>
      <c r="K37" s="56">
        <f>Production!J$13*'QA_Mix design'!J11</f>
        <v>0.35817749999999998</v>
      </c>
      <c r="L37" s="56">
        <f>Production!K$13*'QA_Mix design'!K11</f>
        <v>0.16388160000000002</v>
      </c>
      <c r="M37" s="56">
        <f>Production!L$13*'QA_Mix design'!L11</f>
        <v>0.15</v>
      </c>
      <c r="N37" s="57">
        <f>Production!M$13*'QA_Mix design'!M11</f>
        <v>0.15</v>
      </c>
      <c r="O37" s="56">
        <f>Production!N$13*'QA_Mix design'!N11</f>
        <v>0.51600000000000001</v>
      </c>
      <c r="P37" s="56">
        <f>Production!O$13*'QA_Mix design'!O11</f>
        <v>1.431</v>
      </c>
      <c r="Q37" s="56">
        <f t="shared" si="2"/>
        <v>5.8301124</v>
      </c>
    </row>
    <row r="38" spans="2:17" x14ac:dyDescent="0.25">
      <c r="B38" s="11"/>
      <c r="C38" s="13"/>
      <c r="D38" s="22" t="str">
        <f>D34</f>
        <v>RM 3</v>
      </c>
      <c r="E38" s="56">
        <f>Production!D$13*'QA_Mix design'!D12</f>
        <v>0.53600000000000003</v>
      </c>
      <c r="F38" s="56">
        <f>Production!E$13*'QA_Mix design'!E12</f>
        <v>0.61990750000000006</v>
      </c>
      <c r="G38" s="56">
        <f>Production!F$13*'QA_Mix design'!F12</f>
        <v>0.58585000000000009</v>
      </c>
      <c r="H38" s="56">
        <f>Production!G$13*'QA_Mix design'!G12</f>
        <v>7.7500000000000008E-4</v>
      </c>
      <c r="I38" s="56">
        <f>Production!H$13*'QA_Mix design'!H12</f>
        <v>7.3248000000000008E-2</v>
      </c>
      <c r="J38" s="56">
        <f>Production!I$13*'QA_Mix design'!I12</f>
        <v>0.52805000000000002</v>
      </c>
      <c r="K38" s="56">
        <f>Production!J$13*'QA_Mix design'!J12</f>
        <v>0.41389399999999998</v>
      </c>
      <c r="L38" s="56">
        <f>Production!K$13*'QA_Mix design'!K12</f>
        <v>0.37556200000000001</v>
      </c>
      <c r="M38" s="56">
        <f>Production!L$13*'QA_Mix design'!L12</f>
        <v>0.55000000000000004</v>
      </c>
      <c r="N38" s="57">
        <f>Production!M$13*'QA_Mix design'!M12</f>
        <v>0.55000000000000004</v>
      </c>
      <c r="O38" s="56">
        <f>Production!N$13*'QA_Mix design'!N12</f>
        <v>0.64500000000000002</v>
      </c>
      <c r="P38" s="56">
        <f>Production!O$13*'QA_Mix design'!O12</f>
        <v>0.87450000000000006</v>
      </c>
      <c r="Q38" s="56">
        <f t="shared" si="2"/>
        <v>5.7527865</v>
      </c>
    </row>
    <row r="39" spans="2:17" x14ac:dyDescent="0.25">
      <c r="B39" s="11"/>
      <c r="C39" s="13"/>
      <c r="D39" s="22" t="str">
        <f>D35</f>
        <v>RM 4</v>
      </c>
      <c r="E39" s="56">
        <f>Production!D$13*'QA_Mix design'!D13</f>
        <v>0.64319999999999999</v>
      </c>
      <c r="F39" s="56">
        <f>Production!E$13*'QA_Mix design'!E13</f>
        <v>0.49592599999999998</v>
      </c>
      <c r="G39" s="56">
        <f>Production!F$13*'QA_Mix design'!F13</f>
        <v>0.70301999999999998</v>
      </c>
      <c r="H39" s="56">
        <f>Production!G$13*'QA_Mix design'!G13</f>
        <v>1.085E-3</v>
      </c>
      <c r="I39" s="56">
        <f>Production!H$13*'QA_Mix design'!H13</f>
        <v>0.10254720000000002</v>
      </c>
      <c r="J39" s="56">
        <f>Production!I$13*'QA_Mix design'!I13</f>
        <v>0.73927000000000009</v>
      </c>
      <c r="K39" s="56">
        <f>Production!J$13*'QA_Mix design'!J13</f>
        <v>0.35817749999999998</v>
      </c>
      <c r="L39" s="56">
        <f>Production!K$13*'QA_Mix design'!K13</f>
        <v>0.4028756</v>
      </c>
      <c r="M39" s="56">
        <f>Production!L$13*'QA_Mix design'!L13</f>
        <v>0.44999999999999996</v>
      </c>
      <c r="N39" s="57">
        <f>Production!M$13*'QA_Mix design'!M13</f>
        <v>0.44999999999999996</v>
      </c>
      <c r="O39" s="56">
        <f>Production!N$13*'QA_Mix design'!N13</f>
        <v>0.83850000000000002</v>
      </c>
      <c r="P39" s="56">
        <f>Production!O$13*'QA_Mix design'!O13</f>
        <v>1.1130000000000002</v>
      </c>
      <c r="Q39" s="56">
        <f t="shared" si="2"/>
        <v>6.2976013000000011</v>
      </c>
    </row>
    <row r="40" spans="2:17" x14ac:dyDescent="0.25">
      <c r="B40" s="11"/>
      <c r="C40" s="13"/>
      <c r="D40" s="22" t="s">
        <v>47</v>
      </c>
      <c r="E40" s="56">
        <f>Production!D$13*'QA_Mix design'!D14</f>
        <v>2.1440000000000001</v>
      </c>
      <c r="F40" s="56">
        <f>Production!E$13*'QA_Mix design'!E14</f>
        <v>2.4102003599999997</v>
      </c>
      <c r="G40" s="56">
        <f>Production!F$13*'QA_Mix design'!F14</f>
        <v>1.7575499999999999</v>
      </c>
      <c r="H40" s="56">
        <f>Production!G$13*'QA_Mix design'!G14</f>
        <v>2.3249999999999998E-3</v>
      </c>
      <c r="I40" s="56">
        <f>Production!H$13*'QA_Mix design'!H14</f>
        <v>0.21974399999999999</v>
      </c>
      <c r="J40" s="56">
        <f>Production!I$13*'QA_Mix design'!I14</f>
        <v>1.9009799999999999</v>
      </c>
      <c r="K40" s="56">
        <f>Production!J$13*'QA_Mix design'!J14</f>
        <v>1.671495</v>
      </c>
      <c r="L40" s="56">
        <f>Production!K$13*'QA_Mix design'!K14</f>
        <v>1.6183308000000001</v>
      </c>
      <c r="M40" s="56">
        <f>Production!L$13*'QA_Mix design'!L14</f>
        <v>2.4</v>
      </c>
      <c r="N40" s="57">
        <f>Production!M$13*'QA_Mix design'!M14</f>
        <v>2.4</v>
      </c>
      <c r="O40" s="56">
        <f>Production!N$13*'QA_Mix design'!N14</f>
        <v>2.8380000000000001</v>
      </c>
      <c r="P40" s="56">
        <f>Production!O$13*'QA_Mix design'!O14</f>
        <v>2.544</v>
      </c>
      <c r="Q40" s="56">
        <f t="shared" si="2"/>
        <v>21.906625160000001</v>
      </c>
    </row>
    <row r="41" spans="2:17" x14ac:dyDescent="0.25">
      <c r="B41" s="11"/>
      <c r="C41" s="13" t="s">
        <v>10</v>
      </c>
      <c r="D41" s="22" t="str">
        <f>D36</f>
        <v>RM 1</v>
      </c>
      <c r="E41" s="56">
        <f>Production!D$14*'QA_Mix design'!D23</f>
        <v>0</v>
      </c>
      <c r="F41" s="56">
        <f>Production!E$14*'QA_Mix design'!E23</f>
        <v>0</v>
      </c>
      <c r="G41" s="56">
        <f>Production!F$14*'QA_Mix design'!F23</f>
        <v>0</v>
      </c>
      <c r="H41" s="56">
        <f>Production!G$14*'QA_Mix design'!G23</f>
        <v>0</v>
      </c>
      <c r="I41" s="56">
        <f>Production!H$14*'QA_Mix design'!H23</f>
        <v>1.1475</v>
      </c>
      <c r="J41" s="56">
        <f>Production!I$14*'QA_Mix design'!I23</f>
        <v>0</v>
      </c>
      <c r="K41" s="56">
        <f>Production!J$14*'QA_Mix design'!J23</f>
        <v>0</v>
      </c>
      <c r="L41" s="56">
        <f>Production!K$14*'QA_Mix design'!K23</f>
        <v>0</v>
      </c>
      <c r="M41" s="56">
        <f>Production!L$14*'QA_Mix design'!L23</f>
        <v>0</v>
      </c>
      <c r="N41" s="57">
        <f>Production!M$14*'QA_Mix design'!M23</f>
        <v>0</v>
      </c>
      <c r="O41" s="56">
        <f>Production!N$14*'QA_Mix design'!N23</f>
        <v>0</v>
      </c>
      <c r="P41" s="56">
        <f>Production!O$14*'QA_Mix design'!O23</f>
        <v>0</v>
      </c>
      <c r="Q41" s="56">
        <f t="shared" si="2"/>
        <v>1.1475</v>
      </c>
    </row>
    <row r="42" spans="2:17" x14ac:dyDescent="0.25">
      <c r="B42" s="11"/>
      <c r="C42" s="13"/>
      <c r="D42" s="22" t="str">
        <f>D37</f>
        <v>RM 2</v>
      </c>
      <c r="E42" s="56">
        <f>Production!D$14*'QA_Mix design'!D24</f>
        <v>0</v>
      </c>
      <c r="F42" s="56">
        <f>Production!E$14*'QA_Mix design'!E24</f>
        <v>0</v>
      </c>
      <c r="G42" s="56">
        <f>Production!F$14*'QA_Mix design'!F24</f>
        <v>0</v>
      </c>
      <c r="H42" s="56">
        <f>Production!G$14*'QA_Mix design'!G24</f>
        <v>0</v>
      </c>
      <c r="I42" s="56">
        <f>Production!H$14*'QA_Mix design'!H24</f>
        <v>6.3750000000000001E-2</v>
      </c>
      <c r="J42" s="56">
        <f>Production!I$14*'QA_Mix design'!I24</f>
        <v>0</v>
      </c>
      <c r="K42" s="56">
        <f>Production!J$14*'QA_Mix design'!J24</f>
        <v>0</v>
      </c>
      <c r="L42" s="56">
        <f>Production!K$14*'QA_Mix design'!K24</f>
        <v>0</v>
      </c>
      <c r="M42" s="56">
        <f>Production!L$14*'QA_Mix design'!L24</f>
        <v>0</v>
      </c>
      <c r="N42" s="57">
        <f>Production!M$14*'QA_Mix design'!M24</f>
        <v>0</v>
      </c>
      <c r="O42" s="56">
        <f>Production!N$14*'QA_Mix design'!N24</f>
        <v>0</v>
      </c>
      <c r="P42" s="56">
        <f>Production!O$14*'QA_Mix design'!O24</f>
        <v>0</v>
      </c>
      <c r="Q42" s="56">
        <f t="shared" si="2"/>
        <v>6.3750000000000001E-2</v>
      </c>
    </row>
    <row r="43" spans="2:17" x14ac:dyDescent="0.25">
      <c r="B43" s="11"/>
      <c r="C43" s="13"/>
      <c r="D43" s="22" t="str">
        <f>D38</f>
        <v>RM 3</v>
      </c>
      <c r="E43" s="56">
        <f>Production!D$14*'QA_Mix design'!D25</f>
        <v>0</v>
      </c>
      <c r="F43" s="56">
        <f>Production!E$14*'QA_Mix design'!E25</f>
        <v>0</v>
      </c>
      <c r="G43" s="56">
        <f>Production!F$14*'QA_Mix design'!F25</f>
        <v>0</v>
      </c>
      <c r="H43" s="56">
        <f>Production!G$14*'QA_Mix design'!G25</f>
        <v>0</v>
      </c>
      <c r="I43" s="56">
        <f>Production!H$14*'QA_Mix design'!H25</f>
        <v>6.3750000000000001E-2</v>
      </c>
      <c r="J43" s="56">
        <f>Production!I$14*'QA_Mix design'!I25</f>
        <v>0</v>
      </c>
      <c r="K43" s="56">
        <f>Production!J$14*'QA_Mix design'!J25</f>
        <v>0</v>
      </c>
      <c r="L43" s="56">
        <f>Production!K$14*'QA_Mix design'!K25</f>
        <v>0</v>
      </c>
      <c r="M43" s="56">
        <f>Production!L$14*'QA_Mix design'!L25</f>
        <v>0</v>
      </c>
      <c r="N43" s="57">
        <f>Production!M$14*'QA_Mix design'!M25</f>
        <v>0</v>
      </c>
      <c r="O43" s="56">
        <f>Production!N$14*'QA_Mix design'!N25</f>
        <v>0</v>
      </c>
      <c r="P43" s="56">
        <f>Production!O$14*'QA_Mix design'!O25</f>
        <v>0</v>
      </c>
      <c r="Q43" s="56">
        <f t="shared" si="2"/>
        <v>6.3750000000000001E-2</v>
      </c>
    </row>
    <row r="44" spans="2:17" x14ac:dyDescent="0.25">
      <c r="B44" s="11"/>
      <c r="C44" s="13"/>
      <c r="D44" s="22" t="str">
        <f>D39</f>
        <v>RM 4</v>
      </c>
      <c r="E44" s="56">
        <f>Production!D$14*'QA_Mix design'!D26</f>
        <v>0</v>
      </c>
      <c r="F44" s="56">
        <f>Production!E$14*'QA_Mix design'!E26</f>
        <v>0</v>
      </c>
      <c r="G44" s="56">
        <f>Production!F$14*'QA_Mix design'!F26</f>
        <v>0</v>
      </c>
      <c r="H44" s="56">
        <f>Production!G$14*'QA_Mix design'!G26</f>
        <v>0</v>
      </c>
      <c r="I44" s="56">
        <f>Production!H$14*'QA_Mix design'!H26</f>
        <v>0</v>
      </c>
      <c r="J44" s="56">
        <f>Production!I$14*'QA_Mix design'!I26</f>
        <v>0</v>
      </c>
      <c r="K44" s="56">
        <f>Production!J$14*'QA_Mix design'!J26</f>
        <v>0</v>
      </c>
      <c r="L44" s="56">
        <f>Production!K$14*'QA_Mix design'!K26</f>
        <v>0</v>
      </c>
      <c r="M44" s="56">
        <f>Production!L$14*'QA_Mix design'!L26</f>
        <v>0</v>
      </c>
      <c r="N44" s="57">
        <f>Production!M$14*'QA_Mix design'!M26</f>
        <v>0</v>
      </c>
      <c r="O44" s="56">
        <f>Production!N$14*'QA_Mix design'!N26</f>
        <v>0</v>
      </c>
      <c r="P44" s="56">
        <f>Production!O$14*'QA_Mix design'!O26</f>
        <v>0</v>
      </c>
      <c r="Q44" s="56">
        <f t="shared" si="2"/>
        <v>0</v>
      </c>
    </row>
    <row r="45" spans="2:17" x14ac:dyDescent="0.25">
      <c r="B45" s="11"/>
      <c r="C45" s="13" t="s">
        <v>11</v>
      </c>
      <c r="D45" s="22" t="str">
        <f>D41</f>
        <v>RM 1</v>
      </c>
      <c r="E45" s="56">
        <f>Production!D$15*'QA_Mix design'!D29</f>
        <v>0</v>
      </c>
      <c r="F45" s="56">
        <f>Production!E$15*'QA_Mix design'!E29</f>
        <v>0</v>
      </c>
      <c r="G45" s="56">
        <f>Production!F$15*'QA_Mix design'!F29</f>
        <v>0</v>
      </c>
      <c r="H45" s="56">
        <f>Production!G$15*'QA_Mix design'!G29</f>
        <v>0</v>
      </c>
      <c r="I45" s="56">
        <f>Production!H$15*'QA_Mix design'!H29</f>
        <v>0</v>
      </c>
      <c r="J45" s="56">
        <f>Production!I$15*'QA_Mix design'!I29</f>
        <v>0</v>
      </c>
      <c r="K45" s="56">
        <f>Production!J$15*'QA_Mix design'!J29</f>
        <v>0</v>
      </c>
      <c r="L45" s="56">
        <f>Production!K$15*'QA_Mix design'!K29</f>
        <v>0</v>
      </c>
      <c r="M45" s="56">
        <f>Production!L$15*'QA_Mix design'!L29</f>
        <v>0</v>
      </c>
      <c r="N45" s="57">
        <f>Production!M$15*'QA_Mix design'!M29</f>
        <v>0</v>
      </c>
      <c r="O45" s="56">
        <f>Production!N$15*'QA_Mix design'!N29</f>
        <v>0</v>
      </c>
      <c r="P45" s="56">
        <f>Production!O$15*'QA_Mix design'!O29</f>
        <v>0</v>
      </c>
      <c r="Q45" s="56">
        <f t="shared" si="2"/>
        <v>0</v>
      </c>
    </row>
    <row r="46" spans="2:17" x14ac:dyDescent="0.25">
      <c r="B46" s="11"/>
      <c r="C46" s="13"/>
      <c r="D46" s="22" t="str">
        <f>D42</f>
        <v>RM 2</v>
      </c>
      <c r="E46" s="56">
        <f>Production!D$15*'QA_Mix design'!D30</f>
        <v>0</v>
      </c>
      <c r="F46" s="56">
        <f>Production!E$15*'QA_Mix design'!E30</f>
        <v>0</v>
      </c>
      <c r="G46" s="56">
        <f>Production!F$15*'QA_Mix design'!F30</f>
        <v>0</v>
      </c>
      <c r="H46" s="56">
        <f>Production!G$15*'QA_Mix design'!G30</f>
        <v>0</v>
      </c>
      <c r="I46" s="56">
        <f>Production!H$15*'QA_Mix design'!H30</f>
        <v>0</v>
      </c>
      <c r="J46" s="56">
        <f>Production!I$15*'QA_Mix design'!I30</f>
        <v>0</v>
      </c>
      <c r="K46" s="56">
        <f>Production!J$15*'QA_Mix design'!J30</f>
        <v>0</v>
      </c>
      <c r="L46" s="56">
        <f>Production!K$15*'QA_Mix design'!K30</f>
        <v>0</v>
      </c>
      <c r="M46" s="56">
        <f>Production!L$15*'QA_Mix design'!L30</f>
        <v>0</v>
      </c>
      <c r="N46" s="57">
        <f>Production!M$15*'QA_Mix design'!M30</f>
        <v>0</v>
      </c>
      <c r="O46" s="56">
        <f>Production!N$15*'QA_Mix design'!N30</f>
        <v>0</v>
      </c>
      <c r="P46" s="56">
        <f>Production!O$15*'QA_Mix design'!O30</f>
        <v>0</v>
      </c>
      <c r="Q46" s="56">
        <f t="shared" si="2"/>
        <v>0</v>
      </c>
    </row>
    <row r="47" spans="2:17" x14ac:dyDescent="0.25">
      <c r="B47" s="11"/>
      <c r="C47" s="13"/>
      <c r="D47" s="22" t="str">
        <f>D43</f>
        <v>RM 3</v>
      </c>
      <c r="E47" s="56">
        <f>Production!D$15*'QA_Mix design'!D31</f>
        <v>0</v>
      </c>
      <c r="F47" s="56">
        <f>Production!E$15*'QA_Mix design'!E31</f>
        <v>0</v>
      </c>
      <c r="G47" s="56">
        <f>Production!F$15*'QA_Mix design'!F31</f>
        <v>0</v>
      </c>
      <c r="H47" s="56">
        <f>Production!G$15*'QA_Mix design'!G31</f>
        <v>0</v>
      </c>
      <c r="I47" s="56">
        <f>Production!H$15*'QA_Mix design'!H31</f>
        <v>0</v>
      </c>
      <c r="J47" s="56">
        <f>Production!I$15*'QA_Mix design'!I31</f>
        <v>0</v>
      </c>
      <c r="K47" s="56">
        <f>Production!J$15*'QA_Mix design'!J31</f>
        <v>0</v>
      </c>
      <c r="L47" s="56">
        <f>Production!K$15*'QA_Mix design'!K31</f>
        <v>0</v>
      </c>
      <c r="M47" s="56">
        <f>Production!L$15*'QA_Mix design'!L31</f>
        <v>0</v>
      </c>
      <c r="N47" s="57">
        <f>Production!M$15*'QA_Mix design'!M31</f>
        <v>0</v>
      </c>
      <c r="O47" s="56">
        <f>Production!N$15*'QA_Mix design'!N31</f>
        <v>0</v>
      </c>
      <c r="P47" s="56">
        <f>Production!O$15*'QA_Mix design'!O31</f>
        <v>0</v>
      </c>
      <c r="Q47" s="56">
        <f t="shared" si="2"/>
        <v>0</v>
      </c>
    </row>
    <row r="48" spans="2:17" x14ac:dyDescent="0.25">
      <c r="B48" s="11"/>
      <c r="C48" s="13" t="s">
        <v>12</v>
      </c>
      <c r="D48" s="22" t="str">
        <f>D36</f>
        <v>RM 1</v>
      </c>
      <c r="E48" s="56"/>
      <c r="F48" s="56"/>
      <c r="G48" s="56"/>
      <c r="H48" s="56"/>
      <c r="I48" s="56"/>
      <c r="J48" s="56"/>
      <c r="K48" s="56"/>
      <c r="L48" s="56"/>
      <c r="M48" s="56"/>
      <c r="N48" s="57"/>
      <c r="O48" s="56"/>
      <c r="P48" s="56"/>
      <c r="Q48" s="56"/>
    </row>
    <row r="49" spans="2:17" x14ac:dyDescent="0.25">
      <c r="B49" s="11"/>
      <c r="C49" s="13"/>
      <c r="D49" s="22" t="str">
        <f>D37</f>
        <v>RM 2</v>
      </c>
      <c r="E49" s="56"/>
      <c r="F49" s="56"/>
      <c r="G49" s="56"/>
      <c r="H49" s="56"/>
      <c r="I49" s="56"/>
      <c r="J49" s="56"/>
      <c r="K49" s="56"/>
      <c r="L49" s="56"/>
      <c r="M49" s="56"/>
      <c r="N49" s="57"/>
      <c r="O49" s="56"/>
      <c r="P49" s="56"/>
      <c r="Q49" s="56"/>
    </row>
    <row r="50" spans="2:17" x14ac:dyDescent="0.25">
      <c r="B50" s="11"/>
      <c r="C50" s="13"/>
      <c r="D50" s="22" t="str">
        <f>D38</f>
        <v>RM 3</v>
      </c>
      <c r="E50" s="56"/>
      <c r="F50" s="56"/>
      <c r="G50" s="56"/>
      <c r="H50" s="56"/>
      <c r="I50" s="56"/>
      <c r="J50" s="56"/>
      <c r="K50" s="56"/>
      <c r="L50" s="56"/>
      <c r="M50" s="56"/>
      <c r="N50" s="57"/>
      <c r="O50" s="56"/>
      <c r="P50" s="56"/>
      <c r="Q50" s="56"/>
    </row>
    <row r="51" spans="2:17" x14ac:dyDescent="0.25">
      <c r="B51" s="11"/>
      <c r="C51" s="13"/>
      <c r="D51" s="22" t="str">
        <f>D39</f>
        <v>RM 4</v>
      </c>
      <c r="E51" s="56"/>
      <c r="F51" s="56"/>
      <c r="G51" s="56"/>
      <c r="H51" s="56"/>
      <c r="I51" s="56"/>
      <c r="J51" s="56"/>
      <c r="K51" s="56"/>
      <c r="L51" s="56"/>
      <c r="M51" s="56"/>
      <c r="N51" s="57"/>
      <c r="O51" s="56"/>
      <c r="P51" s="56"/>
      <c r="Q51" s="56"/>
    </row>
    <row r="52" spans="2:17" x14ac:dyDescent="0.25">
      <c r="B52" s="11"/>
      <c r="C52" s="13" t="s">
        <v>13</v>
      </c>
      <c r="D52" s="22" t="str">
        <f>D48</f>
        <v>RM 1</v>
      </c>
      <c r="E52" s="56">
        <f>Production!D$17*'QA_Mix design'!D35</f>
        <v>0</v>
      </c>
      <c r="F52" s="56">
        <f>Production!E$17*'QA_Mix design'!E35</f>
        <v>0</v>
      </c>
      <c r="G52" s="56">
        <f>Production!F$17*'QA_Mix design'!F35</f>
        <v>0</v>
      </c>
      <c r="H52" s="56">
        <f>Production!G$17*'QA_Mix design'!G35</f>
        <v>0</v>
      </c>
      <c r="I52" s="56">
        <f>Production!H$17*'QA_Mix design'!H35</f>
        <v>0</v>
      </c>
      <c r="J52" s="56">
        <f>Production!I$17*'QA_Mix design'!I35</f>
        <v>0</v>
      </c>
      <c r="K52" s="56">
        <f>Production!J$17*'QA_Mix design'!J35</f>
        <v>0</v>
      </c>
      <c r="L52" s="56">
        <f>Production!K$17*'QA_Mix design'!K35</f>
        <v>0</v>
      </c>
      <c r="M52" s="56">
        <f>Production!L$17*'QA_Mix design'!L35</f>
        <v>0</v>
      </c>
      <c r="N52" s="57">
        <f>Production!M$17*'QA_Mix design'!M35</f>
        <v>0</v>
      </c>
      <c r="O52" s="56">
        <f>Production!N$17*'QA_Mix design'!N35</f>
        <v>0</v>
      </c>
      <c r="P52" s="56">
        <f>Production!O$17*'QA_Mix design'!O35</f>
        <v>0</v>
      </c>
      <c r="Q52" s="56">
        <f>SUM(E52:P52)</f>
        <v>0</v>
      </c>
    </row>
    <row r="53" spans="2:17" x14ac:dyDescent="0.25">
      <c r="B53" s="11"/>
      <c r="C53" s="13"/>
      <c r="D53" s="22" t="str">
        <f>D49</f>
        <v>RM 2</v>
      </c>
      <c r="E53" s="56"/>
      <c r="F53" s="56"/>
      <c r="G53" s="56"/>
      <c r="H53" s="56"/>
      <c r="I53" s="56"/>
      <c r="J53" s="56"/>
      <c r="K53" s="56"/>
      <c r="L53" s="56"/>
      <c r="M53" s="56"/>
      <c r="N53" s="57"/>
      <c r="O53" s="56"/>
      <c r="P53" s="56"/>
      <c r="Q53" s="56"/>
    </row>
    <row r="54" spans="2:17" x14ac:dyDescent="0.25">
      <c r="B54" s="11"/>
      <c r="C54" s="13"/>
      <c r="D54" s="22" t="str">
        <f>D50</f>
        <v>RM 3</v>
      </c>
      <c r="E54" s="56">
        <f>Production!D$17*'QA_Mix design'!D36</f>
        <v>0</v>
      </c>
      <c r="F54" s="56">
        <f>Production!E$17*'QA_Mix design'!E36</f>
        <v>0</v>
      </c>
      <c r="G54" s="56">
        <f>Production!F$17*'QA_Mix design'!F36</f>
        <v>0</v>
      </c>
      <c r="H54" s="56">
        <f>Production!G$17*'QA_Mix design'!G36</f>
        <v>0</v>
      </c>
      <c r="I54" s="56">
        <f>Production!H$17*'QA_Mix design'!H36</f>
        <v>0</v>
      </c>
      <c r="J54" s="56">
        <f>Production!I$17*'QA_Mix design'!I36</f>
        <v>0</v>
      </c>
      <c r="K54" s="56">
        <f>Production!J$17*'QA_Mix design'!J36</f>
        <v>0</v>
      </c>
      <c r="L54" s="56">
        <f>Production!K$17*'QA_Mix design'!K36</f>
        <v>0</v>
      </c>
      <c r="M54" s="56">
        <f>Production!L$17*'QA_Mix design'!L36</f>
        <v>0</v>
      </c>
      <c r="N54" s="57">
        <f>Production!M$17*'QA_Mix design'!M36</f>
        <v>0</v>
      </c>
      <c r="O54" s="56">
        <f>Production!N$17*'QA_Mix design'!N36</f>
        <v>0</v>
      </c>
      <c r="P54" s="56">
        <f>Production!O$17*'QA_Mix design'!O36</f>
        <v>0</v>
      </c>
      <c r="Q54" s="56">
        <f>SUM(E54:P54)</f>
        <v>0</v>
      </c>
    </row>
    <row r="55" spans="2:17" x14ac:dyDescent="0.25">
      <c r="B55" s="11"/>
      <c r="C55" s="13"/>
      <c r="D55" s="22" t="str">
        <f>D51</f>
        <v>RM 4</v>
      </c>
      <c r="E55" s="56">
        <f>Production!D$17*'QA_Mix design'!D37</f>
        <v>0</v>
      </c>
      <c r="F55" s="56">
        <f>Production!E$17*'QA_Mix design'!E37</f>
        <v>0</v>
      </c>
      <c r="G55" s="56">
        <f>Production!F$17*'QA_Mix design'!F37</f>
        <v>0</v>
      </c>
      <c r="H55" s="56">
        <f>Production!G$17*'QA_Mix design'!G37</f>
        <v>0</v>
      </c>
      <c r="I55" s="56">
        <f>Production!H$17*'QA_Mix design'!H37</f>
        <v>0</v>
      </c>
      <c r="J55" s="56">
        <f>Production!I$17*'QA_Mix design'!I37</f>
        <v>0</v>
      </c>
      <c r="K55" s="56">
        <f>Production!J$17*'QA_Mix design'!J37</f>
        <v>0</v>
      </c>
      <c r="L55" s="56">
        <f>Production!K$17*'QA_Mix design'!K37</f>
        <v>0</v>
      </c>
      <c r="M55" s="56">
        <f>Production!L$17*'QA_Mix design'!L37</f>
        <v>0</v>
      </c>
      <c r="N55" s="57">
        <f>Production!M$17*'QA_Mix design'!M37</f>
        <v>0</v>
      </c>
      <c r="O55" s="56">
        <f>Production!N$17*'QA_Mix design'!N37</f>
        <v>0</v>
      </c>
      <c r="P55" s="56">
        <f>Production!O$17*'QA_Mix design'!O37</f>
        <v>0</v>
      </c>
      <c r="Q55" s="56">
        <f>SUM(E55:P55)</f>
        <v>0</v>
      </c>
    </row>
    <row r="56" spans="2:17" s="58" customFormat="1" x14ac:dyDescent="0.25">
      <c r="B56" s="63"/>
      <c r="C56" s="64"/>
      <c r="D56" s="64"/>
      <c r="E56" s="61"/>
      <c r="F56" s="61"/>
      <c r="G56" s="61"/>
      <c r="H56" s="61"/>
      <c r="I56" s="61"/>
      <c r="J56" s="61"/>
      <c r="K56" s="61"/>
      <c r="L56" s="61"/>
      <c r="M56" s="61"/>
      <c r="N56" s="62"/>
      <c r="O56" s="61"/>
      <c r="P56" s="61"/>
      <c r="Q56" s="61"/>
    </row>
    <row r="57" spans="2:17" x14ac:dyDescent="0.25">
      <c r="B57" s="13" t="s">
        <v>22</v>
      </c>
      <c r="C57" s="13" t="str">
        <f>C32</f>
        <v>Product A</v>
      </c>
      <c r="D57" s="22" t="str">
        <f>D52</f>
        <v>RM 1</v>
      </c>
      <c r="E57" s="56">
        <f>Production!D$19*'QA_Mix design'!D17</f>
        <v>2.8704000000000005</v>
      </c>
      <c r="F57" s="56">
        <f>Production!E$19*'QA_Mix design'!E17</f>
        <v>3.8580159999999997</v>
      </c>
      <c r="G57" s="56">
        <f>Production!F$19*'QA_Mix design'!F17</f>
        <v>2.07552</v>
      </c>
      <c r="H57" s="56">
        <f>Production!G$19*'QA_Mix design'!G17</f>
        <v>2.057312</v>
      </c>
      <c r="I57" s="56">
        <f>Production!H$19*'QA_Mix design'!H17</f>
        <v>2.0300159999999998</v>
      </c>
      <c r="J57" s="56">
        <f>Production!I$19*'QA_Mix design'!I17</f>
        <v>2.318848</v>
      </c>
      <c r="K57" s="56">
        <f>Production!J$19*'QA_Mix design'!J17</f>
        <v>3.329056</v>
      </c>
      <c r="L57" s="56">
        <f>Production!K$19*'QA_Mix design'!K17</f>
        <v>1.9445725</v>
      </c>
      <c r="M57" s="56">
        <f>Production!L$19*'QA_Mix design'!L17</f>
        <v>1.625</v>
      </c>
      <c r="N57" s="57">
        <f>Production!M$19*'QA_Mix design'!M17</f>
        <v>2.6</v>
      </c>
      <c r="O57" s="56">
        <f>Production!N$19*'QA_Mix design'!N17</f>
        <v>2.2080000000000002</v>
      </c>
      <c r="P57" s="56">
        <f>Production!O$19*'QA_Mix design'!O17</f>
        <v>1.92</v>
      </c>
      <c r="Q57" s="56">
        <f t="shared" ref="Q57:Q69" si="3">SUM(E57:P57)</f>
        <v>28.836740500000005</v>
      </c>
    </row>
    <row r="58" spans="2:17" x14ac:dyDescent="0.25">
      <c r="B58" s="13"/>
      <c r="C58" s="13"/>
      <c r="D58" s="22" t="str">
        <f>D53</f>
        <v>RM 2</v>
      </c>
      <c r="E58" s="56">
        <f>Production!D$19*'QA_Mix design'!D18</f>
        <v>0.22080000000000002</v>
      </c>
      <c r="F58" s="56">
        <f>Production!E$19*'QA_Mix design'!E18</f>
        <v>0.30140749999999999</v>
      </c>
      <c r="G58" s="56">
        <f>Production!F$19*'QA_Mix design'!F18</f>
        <v>0.16215000000000002</v>
      </c>
      <c r="H58" s="56">
        <f>Production!G$19*'QA_Mix design'!G18</f>
        <v>0.16072750000000002</v>
      </c>
      <c r="I58" s="56">
        <f>Production!H$19*'QA_Mix design'!H18</f>
        <v>0.15859500000000001</v>
      </c>
      <c r="J58" s="56">
        <f>Production!I$19*'QA_Mix design'!I18</f>
        <v>0.18115999999999999</v>
      </c>
      <c r="K58" s="56">
        <f>Production!J$19*'QA_Mix design'!J18</f>
        <v>0.26008249999999999</v>
      </c>
      <c r="L58" s="56">
        <f>Production!K$19*'QA_Mix design'!K18</f>
        <v>0.16454074999999999</v>
      </c>
      <c r="M58" s="56">
        <f>Production!L$19*'QA_Mix design'!L18</f>
        <v>0.11249999999999999</v>
      </c>
      <c r="N58" s="57">
        <f>Production!M$19*'QA_Mix design'!M18</f>
        <v>0.18</v>
      </c>
      <c r="O58" s="56">
        <f>Production!N$19*'QA_Mix design'!N18</f>
        <v>0.17250000000000001</v>
      </c>
      <c r="P58" s="56">
        <f>Production!O$19*'QA_Mix design'!O18</f>
        <v>0.15000000000000002</v>
      </c>
      <c r="Q58" s="56">
        <f t="shared" si="3"/>
        <v>2.2244632499999999</v>
      </c>
    </row>
    <row r="59" spans="2:17" x14ac:dyDescent="0.25">
      <c r="B59" s="13"/>
      <c r="C59" s="13"/>
      <c r="D59" s="22" t="str">
        <f>D54</f>
        <v>RM 3</v>
      </c>
      <c r="E59" s="56">
        <f>Production!D$19*'QA_Mix design'!D19</f>
        <v>0.22080000000000002</v>
      </c>
      <c r="F59" s="56">
        <f>Production!E$19*'QA_Mix design'!E19</f>
        <v>0.30140749999999999</v>
      </c>
      <c r="G59" s="56">
        <f>Production!F$19*'QA_Mix design'!F19</f>
        <v>0.16215000000000002</v>
      </c>
      <c r="H59" s="56">
        <f>Production!G$19*'QA_Mix design'!G19</f>
        <v>0.16072750000000002</v>
      </c>
      <c r="I59" s="56">
        <f>Production!H$19*'QA_Mix design'!H19</f>
        <v>0.15859500000000001</v>
      </c>
      <c r="J59" s="56">
        <f>Production!I$19*'QA_Mix design'!I19</f>
        <v>0.18115999999999999</v>
      </c>
      <c r="K59" s="56">
        <f>Production!J$19*'QA_Mix design'!J19</f>
        <v>0.26008249999999999</v>
      </c>
      <c r="L59" s="56">
        <f>Production!K$19*'QA_Mix design'!K19</f>
        <v>0.16454074999999999</v>
      </c>
      <c r="M59" s="56">
        <f>Production!L$19*'QA_Mix design'!L19</f>
        <v>0.13750000000000001</v>
      </c>
      <c r="N59" s="57">
        <f>Production!M$19*'QA_Mix design'!M19</f>
        <v>0.22</v>
      </c>
      <c r="O59" s="56">
        <f>Production!N$19*'QA_Mix design'!N19</f>
        <v>0.17250000000000001</v>
      </c>
      <c r="P59" s="56">
        <f>Production!O$19*'QA_Mix design'!O19</f>
        <v>0.15000000000000002</v>
      </c>
      <c r="Q59" s="56">
        <f t="shared" si="3"/>
        <v>2.2894632499999998</v>
      </c>
    </row>
    <row r="60" spans="2:17" x14ac:dyDescent="0.25">
      <c r="B60" s="13"/>
      <c r="C60" s="13"/>
      <c r="D60" s="22" t="str">
        <f>D55</f>
        <v>RM 4</v>
      </c>
      <c r="E60" s="56">
        <f>Production!D$19*'QA_Mix design'!D20</f>
        <v>1.1040000000000001</v>
      </c>
      <c r="F60" s="56">
        <f>Production!E$19*'QA_Mix design'!E20</f>
        <v>1.5673189999999999</v>
      </c>
      <c r="G60" s="56">
        <f>Production!F$19*'QA_Mix design'!F20</f>
        <v>0.84318000000000004</v>
      </c>
      <c r="H60" s="56">
        <f>Production!G$19*'QA_Mix design'!G20</f>
        <v>0.83578300000000005</v>
      </c>
      <c r="I60" s="56">
        <f>Production!H$19*'QA_Mix design'!H20</f>
        <v>0.82469400000000004</v>
      </c>
      <c r="J60" s="56">
        <f>Production!I$19*'QA_Mix design'!I20</f>
        <v>0.94203199999999998</v>
      </c>
      <c r="K60" s="56">
        <f>Production!J$19*'QA_Mix design'!J20</f>
        <v>1.3524290000000001</v>
      </c>
      <c r="L60" s="56">
        <f>Production!K$19*'QA_Mix design'!K20</f>
        <v>0.76287075000000004</v>
      </c>
      <c r="M60" s="56">
        <f>Production!L$19*'QA_Mix design'!L20</f>
        <v>0.625</v>
      </c>
      <c r="N60" s="57">
        <f>Production!M$19*'QA_Mix design'!M20</f>
        <v>1</v>
      </c>
      <c r="O60" s="56">
        <f>Production!N$19*'QA_Mix design'!N20</f>
        <v>0.89700000000000013</v>
      </c>
      <c r="P60" s="56">
        <f>Production!O$19*'QA_Mix design'!O20</f>
        <v>0.78</v>
      </c>
      <c r="Q60" s="56">
        <f t="shared" si="3"/>
        <v>11.53430775</v>
      </c>
    </row>
    <row r="61" spans="2:17" x14ac:dyDescent="0.25">
      <c r="B61" s="13"/>
      <c r="C61" s="13" t="str">
        <f>C36</f>
        <v>Product B</v>
      </c>
      <c r="D61" s="22" t="str">
        <f>D57</f>
        <v>RM 1</v>
      </c>
      <c r="E61" s="56">
        <f>Production!D$20*'QA_Mix design'!D10</f>
        <v>6.6878500000000001</v>
      </c>
      <c r="F61" s="56">
        <f>Production!E$20*'QA_Mix design'!E10</f>
        <v>7.3274499999999998</v>
      </c>
      <c r="G61" s="56">
        <f>Production!F$20*'QA_Mix design'!F10</f>
        <v>9.4419000000000004</v>
      </c>
      <c r="H61" s="56">
        <f>Production!G$20*'QA_Mix design'!G10</f>
        <v>6.1236499999999996</v>
      </c>
      <c r="I61" s="56">
        <f>Production!H$20*'QA_Mix design'!H10</f>
        <v>7.3526050000000005</v>
      </c>
      <c r="J61" s="56">
        <f>Production!I$20*'QA_Mix design'!I10</f>
        <v>9.1623999999999999</v>
      </c>
      <c r="K61" s="56">
        <f>Production!J$20*'QA_Mix design'!J10</f>
        <v>9.1475799999999996</v>
      </c>
      <c r="L61" s="56">
        <f>Production!K$20*'QA_Mix design'!K10</f>
        <v>7.293369750000001</v>
      </c>
      <c r="M61" s="56">
        <f>Production!L$20*'QA_Mix design'!L10</f>
        <v>9.6750000000000007</v>
      </c>
      <c r="N61" s="57">
        <f>Production!M$20*'QA_Mix design'!M10</f>
        <v>9.6750000000000007</v>
      </c>
      <c r="O61" s="56">
        <f>Production!N$20*'QA_Mix design'!N10</f>
        <v>9.5</v>
      </c>
      <c r="P61" s="56">
        <f>Production!O$20*'QA_Mix design'!O10</f>
        <v>8.5625</v>
      </c>
      <c r="Q61" s="56">
        <f t="shared" si="3"/>
        <v>99.949304749999996</v>
      </c>
    </row>
    <row r="62" spans="2:17" x14ac:dyDescent="0.25">
      <c r="B62" s="13"/>
      <c r="C62" s="13"/>
      <c r="D62" s="22" t="str">
        <f>D58</f>
        <v>RM 2</v>
      </c>
      <c r="E62" s="56">
        <f>Production!D$20*'QA_Mix design'!D11</f>
        <v>0.41155999999999998</v>
      </c>
      <c r="F62" s="56">
        <f>Production!E$20*'QA_Mix design'!E11</f>
        <v>0.78911000000000009</v>
      </c>
      <c r="G62" s="56">
        <f>Production!F$20*'QA_Mix design'!F11</f>
        <v>1.3073399999999999</v>
      </c>
      <c r="H62" s="56">
        <f>Production!G$20*'QA_Mix design'!G11</f>
        <v>0.75368000000000002</v>
      </c>
      <c r="I62" s="56">
        <f>Production!H$20*'QA_Mix design'!H11</f>
        <v>0.90493600000000007</v>
      </c>
      <c r="J62" s="56">
        <f>Production!I$20*'QA_Mix design'!I11</f>
        <v>0.78937599999999997</v>
      </c>
      <c r="K62" s="56">
        <f>Production!J$20*'QA_Mix design'!J11</f>
        <v>0.63329400000000002</v>
      </c>
      <c r="L62" s="56">
        <f>Production!K$20*'QA_Mix design'!K11</f>
        <v>0.27138120000000004</v>
      </c>
      <c r="M62" s="56">
        <f>Production!L$20*'QA_Mix design'!L11</f>
        <v>0.22499999999999998</v>
      </c>
      <c r="N62" s="57">
        <f>Production!M$20*'QA_Mix design'!M11</f>
        <v>0.22499999999999998</v>
      </c>
      <c r="O62" s="56">
        <f>Production!N$20*'QA_Mix design'!N11</f>
        <v>0.60799999999999998</v>
      </c>
      <c r="P62" s="56">
        <f>Production!O$20*'QA_Mix design'!O11</f>
        <v>1.2329999999999999</v>
      </c>
      <c r="Q62" s="56">
        <f t="shared" si="3"/>
        <v>8.1516772</v>
      </c>
    </row>
    <row r="63" spans="2:17" x14ac:dyDescent="0.25">
      <c r="B63" s="13"/>
      <c r="C63" s="13"/>
      <c r="D63" s="22" t="str">
        <f>D59</f>
        <v>RM 3</v>
      </c>
      <c r="E63" s="56">
        <f>Production!D$20*'QA_Mix design'!D12</f>
        <v>0.51444999999999996</v>
      </c>
      <c r="F63" s="56">
        <f>Production!E$20*'QA_Mix design'!E12</f>
        <v>0.56364999999999998</v>
      </c>
      <c r="G63" s="56">
        <f>Production!F$20*'QA_Mix design'!F12</f>
        <v>0.72630000000000006</v>
      </c>
      <c r="H63" s="56">
        <f>Production!G$20*'QA_Mix design'!G12</f>
        <v>0.47104999999999997</v>
      </c>
      <c r="I63" s="56">
        <f>Production!H$20*'QA_Mix design'!H12</f>
        <v>0.565585</v>
      </c>
      <c r="J63" s="56">
        <f>Production!I$20*'QA_Mix design'!I12</f>
        <v>0.70480000000000009</v>
      </c>
      <c r="K63" s="56">
        <f>Production!J$20*'QA_Mix design'!J12</f>
        <v>0.73180639999999997</v>
      </c>
      <c r="L63" s="56">
        <f>Production!K$20*'QA_Mix design'!K12</f>
        <v>0.62191525000000003</v>
      </c>
      <c r="M63" s="56">
        <f>Production!L$20*'QA_Mix design'!L12</f>
        <v>0.82499999999999996</v>
      </c>
      <c r="N63" s="57">
        <f>Production!M$20*'QA_Mix design'!M12</f>
        <v>0.82499999999999996</v>
      </c>
      <c r="O63" s="56">
        <f>Production!N$20*'QA_Mix design'!N12</f>
        <v>0.76</v>
      </c>
      <c r="P63" s="56">
        <f>Production!O$20*'QA_Mix design'!O12</f>
        <v>0.75349999999999995</v>
      </c>
      <c r="Q63" s="56">
        <f t="shared" si="3"/>
        <v>8.06305665</v>
      </c>
    </row>
    <row r="64" spans="2:17" x14ac:dyDescent="0.25">
      <c r="B64" s="13"/>
      <c r="C64" s="13"/>
      <c r="D64" s="22" t="str">
        <f>D60</f>
        <v>RM 4</v>
      </c>
      <c r="E64" s="56">
        <f>Production!D$20*'QA_Mix design'!D13</f>
        <v>0.61734</v>
      </c>
      <c r="F64" s="56">
        <f>Production!E$20*'QA_Mix design'!E13</f>
        <v>0.45091999999999999</v>
      </c>
      <c r="G64" s="56">
        <f>Production!F$20*'QA_Mix design'!F13</f>
        <v>0.87156</v>
      </c>
      <c r="H64" s="56">
        <f>Production!G$20*'QA_Mix design'!G13</f>
        <v>0.65947</v>
      </c>
      <c r="I64" s="56">
        <f>Production!H$20*'QA_Mix design'!H13</f>
        <v>0.79181900000000005</v>
      </c>
      <c r="J64" s="56">
        <f>Production!I$20*'QA_Mix design'!I13</f>
        <v>0.98672000000000015</v>
      </c>
      <c r="K64" s="56">
        <f>Production!J$20*'QA_Mix design'!J13</f>
        <v>0.63329400000000002</v>
      </c>
      <c r="L64" s="56">
        <f>Production!K$20*'QA_Mix design'!K13</f>
        <v>0.66714545000000003</v>
      </c>
      <c r="M64" s="56">
        <f>Production!L$20*'QA_Mix design'!L13</f>
        <v>0.67499999999999993</v>
      </c>
      <c r="N64" s="57">
        <f>Production!M$20*'QA_Mix design'!M13</f>
        <v>0.67499999999999993</v>
      </c>
      <c r="O64" s="56">
        <f>Production!N$20*'QA_Mix design'!N13</f>
        <v>0.98799999999999999</v>
      </c>
      <c r="P64" s="56">
        <f>Production!O$20*'QA_Mix design'!O13</f>
        <v>0.95900000000000007</v>
      </c>
      <c r="Q64" s="56">
        <f t="shared" si="3"/>
        <v>8.9752684499999997</v>
      </c>
    </row>
    <row r="65" spans="1:17" x14ac:dyDescent="0.25">
      <c r="B65" s="13"/>
      <c r="C65" s="13"/>
      <c r="D65" s="22" t="s">
        <v>47</v>
      </c>
      <c r="E65" s="56">
        <f>Production!D$20*'QA_Mix design'!D14</f>
        <v>2.0577999999999999</v>
      </c>
      <c r="F65" s="56">
        <f>Production!E$20*'QA_Mix design'!E14</f>
        <v>2.1914711999999996</v>
      </c>
      <c r="G65" s="56">
        <f>Production!F$20*'QA_Mix design'!F14</f>
        <v>2.1789000000000001</v>
      </c>
      <c r="H65" s="56">
        <f>Production!G$20*'QA_Mix design'!G14</f>
        <v>1.4131499999999999</v>
      </c>
      <c r="I65" s="56">
        <f>Production!H$20*'QA_Mix design'!H14</f>
        <v>1.696755</v>
      </c>
      <c r="J65" s="56">
        <f>Production!I$20*'QA_Mix design'!I14</f>
        <v>2.53728</v>
      </c>
      <c r="K65" s="56">
        <f>Production!J$20*'QA_Mix design'!J14</f>
        <v>2.9553719999999997</v>
      </c>
      <c r="L65" s="56">
        <f>Production!K$20*'QA_Mix design'!K14</f>
        <v>2.6798893500000003</v>
      </c>
      <c r="M65" s="56">
        <f>Production!L$20*'QA_Mix design'!L14</f>
        <v>3.5999999999999996</v>
      </c>
      <c r="N65" s="57">
        <f>Production!M$20*'QA_Mix design'!M14</f>
        <v>3.5999999999999996</v>
      </c>
      <c r="O65" s="56">
        <f>Production!N$20*'QA_Mix design'!N14</f>
        <v>3.3439999999999999</v>
      </c>
      <c r="P65" s="56">
        <f>Production!O$20*'QA_Mix design'!O14</f>
        <v>2.1919999999999997</v>
      </c>
      <c r="Q65" s="56">
        <f t="shared" si="3"/>
        <v>30.446617549999999</v>
      </c>
    </row>
    <row r="66" spans="1:17" x14ac:dyDescent="0.25">
      <c r="B66" s="13"/>
      <c r="C66" s="13" t="str">
        <f>C41</f>
        <v>Product C</v>
      </c>
      <c r="D66" s="22" t="str">
        <f>D61</f>
        <v>RM 1</v>
      </c>
      <c r="E66" s="56">
        <f>Production!D$21*'QA_Mix design'!D23</f>
        <v>4.7814694513172453</v>
      </c>
      <c r="F66" s="56">
        <f>Production!E$21*'QA_Mix design'!E23</f>
        <v>3.3323130000000001</v>
      </c>
      <c r="G66" s="56">
        <f>Production!F$21*'QA_Mix design'!F23</f>
        <v>2.2787999999999999</v>
      </c>
      <c r="H66" s="56">
        <f>Production!G$21*'QA_Mix design'!G23</f>
        <v>0</v>
      </c>
      <c r="I66" s="56">
        <f>Production!H$21*'QA_Mix design'!H23</f>
        <v>0.36526500000000006</v>
      </c>
      <c r="J66" s="56">
        <f>Production!I$21*'QA_Mix design'!I23</f>
        <v>0.31393800000000005</v>
      </c>
      <c r="K66" s="56">
        <f>Production!J$21*'QA_Mix design'!J23</f>
        <v>0.80518499999999993</v>
      </c>
      <c r="L66" s="56">
        <f>Production!K$21*'QA_Mix design'!K23</f>
        <v>0.48912499999999998</v>
      </c>
      <c r="M66" s="56">
        <f>Production!L$21*'QA_Mix design'!L23</f>
        <v>0.45500000000000002</v>
      </c>
      <c r="N66" s="57">
        <f>Production!M$21*'QA_Mix design'!M23</f>
        <v>0.91</v>
      </c>
      <c r="O66" s="56">
        <f>Production!N$21*'QA_Mix design'!N23</f>
        <v>0.9</v>
      </c>
      <c r="P66" s="56">
        <f>Production!O$21*'QA_Mix design'!O23</f>
        <v>4.41</v>
      </c>
      <c r="Q66" s="56">
        <f t="shared" si="3"/>
        <v>19.041095451317247</v>
      </c>
    </row>
    <row r="67" spans="1:17" x14ac:dyDescent="0.25">
      <c r="B67" s="13"/>
      <c r="C67" s="13"/>
      <c r="D67" s="22" t="str">
        <f>D62</f>
        <v>RM 2</v>
      </c>
      <c r="E67" s="56">
        <f>Production!D$21*'QA_Mix design'!D24</f>
        <v>0.22116540246065489</v>
      </c>
      <c r="F67" s="56">
        <f>Production!E$21*'QA_Mix design'!E24</f>
        <v>0.18512850000000003</v>
      </c>
      <c r="G67" s="56">
        <f>Production!F$21*'QA_Mix design'!F24</f>
        <v>0.12660000000000002</v>
      </c>
      <c r="H67" s="56">
        <f>Production!G$21*'QA_Mix design'!G24</f>
        <v>0</v>
      </c>
      <c r="I67" s="56">
        <f>Production!H$21*'QA_Mix design'!H24</f>
        <v>2.0292500000000005E-2</v>
      </c>
      <c r="J67" s="56">
        <f>Production!I$21*'QA_Mix design'!I24</f>
        <v>1.7441000000000002E-2</v>
      </c>
      <c r="K67" s="56">
        <f>Production!J$21*'QA_Mix design'!J24</f>
        <v>4.4732500000000001E-2</v>
      </c>
      <c r="L67" s="56">
        <f>Production!K$21*'QA_Mix design'!K24</f>
        <v>2.6875E-2</v>
      </c>
      <c r="M67" s="56">
        <f>Production!L$21*'QA_Mix design'!L24</f>
        <v>2.5000000000000001E-2</v>
      </c>
      <c r="N67" s="57">
        <f>Production!M$21*'QA_Mix design'!M24</f>
        <v>0.05</v>
      </c>
      <c r="O67" s="56">
        <f>Production!N$21*'QA_Mix design'!N24</f>
        <v>0.05</v>
      </c>
      <c r="P67" s="56">
        <f>Production!O$21*'QA_Mix design'!O24</f>
        <v>0.24500000000000002</v>
      </c>
      <c r="Q67" s="56">
        <f t="shared" si="3"/>
        <v>1.0122349024606552</v>
      </c>
    </row>
    <row r="68" spans="1:17" x14ac:dyDescent="0.25">
      <c r="B68" s="13"/>
      <c r="C68" s="13"/>
      <c r="D68" s="22" t="str">
        <f>D63</f>
        <v>RM 3</v>
      </c>
      <c r="E68" s="56">
        <f>Production!D$21*'QA_Mix design'!D25</f>
        <v>0.2729066452161627</v>
      </c>
      <c r="F68" s="56">
        <f>Production!E$21*'QA_Mix design'!E25</f>
        <v>0.18512850000000003</v>
      </c>
      <c r="G68" s="56">
        <f>Production!F$21*'QA_Mix design'!F25</f>
        <v>0.12660000000000002</v>
      </c>
      <c r="H68" s="56">
        <f>Production!G$21*'QA_Mix design'!G25</f>
        <v>0</v>
      </c>
      <c r="I68" s="56">
        <f>Production!H$21*'QA_Mix design'!H25</f>
        <v>2.0292500000000005E-2</v>
      </c>
      <c r="J68" s="56">
        <f>Production!I$21*'QA_Mix design'!I25</f>
        <v>1.7441000000000002E-2</v>
      </c>
      <c r="K68" s="56">
        <f>Production!J$21*'QA_Mix design'!J25</f>
        <v>4.4732500000000001E-2</v>
      </c>
      <c r="L68" s="56">
        <f>Production!K$21*'QA_Mix design'!K25</f>
        <v>2.9562499999999999E-2</v>
      </c>
      <c r="M68" s="56">
        <f>Production!L$21*'QA_Mix design'!L25</f>
        <v>2.75E-2</v>
      </c>
      <c r="N68" s="57">
        <f>Production!M$21*'QA_Mix design'!M25</f>
        <v>5.5E-2</v>
      </c>
      <c r="O68" s="56">
        <f>Production!N$21*'QA_Mix design'!N25</f>
        <v>0.05</v>
      </c>
      <c r="P68" s="56">
        <f>Production!O$21*'QA_Mix design'!O25</f>
        <v>0.24500000000000002</v>
      </c>
      <c r="Q68" s="56">
        <f t="shared" si="3"/>
        <v>1.0741636452161629</v>
      </c>
    </row>
    <row r="69" spans="1:17" x14ac:dyDescent="0.25">
      <c r="B69" s="13"/>
      <c r="C69" s="13"/>
      <c r="D69" s="22" t="str">
        <f>D64</f>
        <v>RM 4</v>
      </c>
      <c r="E69" s="56">
        <f>Production!D$21*'QA_Mix design'!D26</f>
        <v>8.4697481277365441E-2</v>
      </c>
      <c r="F69" s="56">
        <f>Production!E$21*'QA_Mix design'!E26</f>
        <v>0</v>
      </c>
      <c r="G69" s="56">
        <f>Production!F$21*'QA_Mix design'!F26</f>
        <v>0</v>
      </c>
      <c r="H69" s="56">
        <f>Production!G$21*'QA_Mix design'!G26</f>
        <v>0</v>
      </c>
      <c r="I69" s="56">
        <f>Production!H$21*'QA_Mix design'!H26</f>
        <v>0</v>
      </c>
      <c r="J69" s="56">
        <f>Production!I$21*'QA_Mix design'!I26</f>
        <v>0</v>
      </c>
      <c r="K69" s="56">
        <f>Production!J$21*'QA_Mix design'!J26</f>
        <v>0</v>
      </c>
      <c r="L69" s="56">
        <f>Production!K$21*'QA_Mix design'!K26</f>
        <v>2.6874999999999998E-3</v>
      </c>
      <c r="M69" s="56">
        <f>Production!L$21*'QA_Mix design'!L26</f>
        <v>2.5000000000000001E-3</v>
      </c>
      <c r="N69" s="57">
        <f>Production!M$21*'QA_Mix design'!M26</f>
        <v>5.0000000000000001E-3</v>
      </c>
      <c r="O69" s="56">
        <f>Production!N$21*'QA_Mix design'!N26</f>
        <v>0</v>
      </c>
      <c r="P69" s="56">
        <f>Production!O$21*'QA_Mix design'!O26</f>
        <v>0</v>
      </c>
      <c r="Q69" s="56">
        <f t="shared" si="3"/>
        <v>9.4884981277365443E-2</v>
      </c>
    </row>
    <row r="70" spans="1:17" s="58" customFormat="1" x14ac:dyDescent="0.25">
      <c r="B70" s="63"/>
      <c r="C70" s="64"/>
      <c r="D70" s="64"/>
      <c r="E70" s="61"/>
      <c r="F70" s="61"/>
      <c r="G70" s="61"/>
      <c r="H70" s="61"/>
      <c r="I70" s="61"/>
      <c r="J70" s="61"/>
      <c r="K70" s="61"/>
      <c r="L70" s="61"/>
      <c r="M70" s="61"/>
      <c r="N70" s="62"/>
      <c r="O70" s="61"/>
      <c r="P70" s="61"/>
      <c r="Q70" s="61"/>
    </row>
    <row r="72" spans="1:17" x14ac:dyDescent="0.25">
      <c r="C72" s="58" t="s">
        <v>48</v>
      </c>
    </row>
    <row r="73" spans="1:17" x14ac:dyDescent="0.25">
      <c r="C73" s="2" t="s">
        <v>2</v>
      </c>
      <c r="D73" s="22" t="str">
        <f>D66</f>
        <v>RM 1</v>
      </c>
      <c r="E73" s="53">
        <f t="shared" ref="E73:P73" si="4">E4</f>
        <v>78.208089999999999</v>
      </c>
      <c r="F73" s="53">
        <f t="shared" si="4"/>
        <v>74.327263500000001</v>
      </c>
      <c r="G73" s="53">
        <f t="shared" si="4"/>
        <v>78.403742039999997</v>
      </c>
      <c r="H73" s="53">
        <f t="shared" si="4"/>
        <v>18.755955</v>
      </c>
      <c r="I73" s="53">
        <f t="shared" si="4"/>
        <v>38.174647499999999</v>
      </c>
      <c r="J73" s="53">
        <f t="shared" si="4"/>
        <v>39.052395750000002</v>
      </c>
      <c r="K73" s="53">
        <f t="shared" si="4"/>
        <v>43.125989999999994</v>
      </c>
      <c r="L73" s="53">
        <f t="shared" si="4"/>
        <v>50.299627200000003</v>
      </c>
      <c r="M73" s="53">
        <f t="shared" si="4"/>
        <v>45.22</v>
      </c>
      <c r="N73" s="54">
        <f t="shared" si="4"/>
        <v>65.024999999999991</v>
      </c>
      <c r="O73" s="53">
        <f t="shared" si="4"/>
        <v>80.4315</v>
      </c>
      <c r="P73" s="53">
        <f t="shared" si="4"/>
        <v>73.659000000000006</v>
      </c>
      <c r="Q73" s="53">
        <f>SUM(E73:P73)</f>
        <v>684.68321099000002</v>
      </c>
    </row>
    <row r="74" spans="1:17" x14ac:dyDescent="0.25">
      <c r="C74" s="2"/>
      <c r="D74" s="22" t="str">
        <f>D67</f>
        <v>RM 2</v>
      </c>
      <c r="E74" s="53">
        <f t="shared" ref="E74:P74" si="5">E5</f>
        <v>6.0450109999999997</v>
      </c>
      <c r="F74" s="53">
        <f t="shared" si="5"/>
        <v>5.7450466499999999</v>
      </c>
      <c r="G74" s="53">
        <f t="shared" si="5"/>
        <v>6.0601337160000002</v>
      </c>
      <c r="H74" s="53">
        <f t="shared" si="5"/>
        <v>1.4539500000000001</v>
      </c>
      <c r="I74" s="53">
        <f t="shared" si="5"/>
        <v>3.2552024999999998</v>
      </c>
      <c r="J74" s="53">
        <f t="shared" si="5"/>
        <v>3.3300492499999996</v>
      </c>
      <c r="K74" s="53">
        <f t="shared" si="5"/>
        <v>3.6774099999999996</v>
      </c>
      <c r="L74" s="53">
        <f t="shared" si="5"/>
        <v>4.2824759999999999</v>
      </c>
      <c r="M74" s="53">
        <f t="shared" si="5"/>
        <v>3.85</v>
      </c>
      <c r="N74" s="54">
        <f t="shared" si="5"/>
        <v>5.61</v>
      </c>
      <c r="O74" s="53">
        <f t="shared" si="5"/>
        <v>6.8585000000000003</v>
      </c>
      <c r="P74" s="53">
        <f t="shared" si="5"/>
        <v>6.2810000000000006</v>
      </c>
      <c r="Q74" s="53">
        <f>SUM(E74:P74)</f>
        <v>56.448779115999997</v>
      </c>
    </row>
    <row r="75" spans="1:17" x14ac:dyDescent="0.25">
      <c r="C75" s="2"/>
      <c r="D75" s="22" t="str">
        <f>D68</f>
        <v>RM 3</v>
      </c>
      <c r="E75" s="53">
        <f t="shared" ref="E75:P75" si="6">E6</f>
        <v>6.2396189999999994</v>
      </c>
      <c r="F75" s="53">
        <f t="shared" si="6"/>
        <v>5.9299978499999995</v>
      </c>
      <c r="G75" s="53">
        <f t="shared" si="6"/>
        <v>6.2552285640000003</v>
      </c>
      <c r="H75" s="53">
        <f t="shared" si="6"/>
        <v>1.599345</v>
      </c>
      <c r="I75" s="53">
        <f t="shared" si="6"/>
        <v>3.2552024999999998</v>
      </c>
      <c r="J75" s="53">
        <f t="shared" si="6"/>
        <v>3.3300492499999996</v>
      </c>
      <c r="K75" s="53">
        <f t="shared" si="6"/>
        <v>3.6774099999999996</v>
      </c>
      <c r="L75" s="53">
        <f t="shared" si="6"/>
        <v>4.2824759999999999</v>
      </c>
      <c r="M75" s="53">
        <f t="shared" si="6"/>
        <v>3.85</v>
      </c>
      <c r="N75" s="54">
        <f t="shared" si="6"/>
        <v>5.61</v>
      </c>
      <c r="O75" s="53">
        <f t="shared" si="6"/>
        <v>6.8585000000000003</v>
      </c>
      <c r="P75" s="53">
        <f t="shared" si="6"/>
        <v>6.2810000000000006</v>
      </c>
      <c r="Q75" s="53">
        <f>SUM(E75:P75)</f>
        <v>57.168828163999997</v>
      </c>
    </row>
    <row r="76" spans="1:17" x14ac:dyDescent="0.25">
      <c r="A76">
        <v>1000</v>
      </c>
      <c r="E76" s="55"/>
    </row>
    <row r="77" spans="1:17" x14ac:dyDescent="0.25">
      <c r="C77" s="58" t="s">
        <v>48</v>
      </c>
      <c r="E77" s="48"/>
      <c r="F77" s="48"/>
      <c r="G77" s="48"/>
    </row>
    <row r="78" spans="1:17" x14ac:dyDescent="0.25">
      <c r="B78" s="55">
        <f>(N78/31)*1000</f>
        <v>1652.4193548387098</v>
      </c>
      <c r="C78" s="3" t="s">
        <v>8</v>
      </c>
      <c r="D78" s="22" t="str">
        <f>D66</f>
        <v>RM 1</v>
      </c>
      <c r="E78" s="53">
        <f t="shared" ref="E78:O78" si="7">E7+E11+E16+E20+E27</f>
        <v>54.57510877582294</v>
      </c>
      <c r="F78" s="53">
        <f t="shared" si="7"/>
        <v>59.060222999999993</v>
      </c>
      <c r="G78" s="53">
        <f t="shared" si="7"/>
        <v>67.639130000000009</v>
      </c>
      <c r="H78" s="53">
        <f t="shared" si="7"/>
        <v>28.633270500000002</v>
      </c>
      <c r="I78" s="53">
        <f t="shared" si="7"/>
        <v>31.273222100000002</v>
      </c>
      <c r="J78" s="53">
        <f t="shared" si="7"/>
        <v>37.106155600000008</v>
      </c>
      <c r="K78" s="53">
        <f t="shared" si="7"/>
        <v>59.624047800000007</v>
      </c>
      <c r="L78" s="53">
        <f t="shared" si="7"/>
        <v>41.15848132</v>
      </c>
      <c r="M78" s="53">
        <f t="shared" si="7"/>
        <v>43.21</v>
      </c>
      <c r="N78" s="54">
        <f t="shared" si="7"/>
        <v>51.225000000000001</v>
      </c>
      <c r="O78" s="53">
        <f t="shared" si="7"/>
        <v>50.211500000000001</v>
      </c>
      <c r="P78" s="53">
        <f>P7+P11+P16+P20+P27+P23</f>
        <v>56.195499999999996</v>
      </c>
      <c r="Q78" s="53">
        <f>SUM(E78:P78)</f>
        <v>579.91163909582303</v>
      </c>
    </row>
    <row r="79" spans="1:17" x14ac:dyDescent="0.25">
      <c r="B79" s="55">
        <f>(N79/31)*1000</f>
        <v>64.354838709677423</v>
      </c>
      <c r="C79" s="3"/>
      <c r="D79" s="22" t="str">
        <f>D67</f>
        <v>RM 2</v>
      </c>
      <c r="E79" s="53">
        <f t="shared" ref="E79:O79" si="8">E8+E12+E17+E21</f>
        <v>3.5505627017686208</v>
      </c>
      <c r="F79" s="53">
        <f t="shared" si="8"/>
        <v>5.8511914000000003</v>
      </c>
      <c r="G79" s="53">
        <f t="shared" si="8"/>
        <v>8.0533900000000003</v>
      </c>
      <c r="H79" s="53">
        <f t="shared" si="8"/>
        <v>3.1057475000000001</v>
      </c>
      <c r="I79" s="53">
        <f t="shared" si="8"/>
        <v>3.3024192999999999</v>
      </c>
      <c r="J79" s="53">
        <f t="shared" si="8"/>
        <v>3.0538910000000001</v>
      </c>
      <c r="K79" s="53">
        <f t="shared" si="8"/>
        <v>4.2510368000000005</v>
      </c>
      <c r="L79" s="53">
        <f t="shared" si="8"/>
        <v>2.1005198900000002</v>
      </c>
      <c r="M79" s="53">
        <f t="shared" si="8"/>
        <v>1.655</v>
      </c>
      <c r="N79" s="54">
        <f t="shared" si="8"/>
        <v>1.9950000000000001</v>
      </c>
      <c r="O79" s="53">
        <f t="shared" si="8"/>
        <v>3.3860000000000001</v>
      </c>
      <c r="P79" s="53">
        <f>P8+P12+P17+P21+P24</f>
        <v>6.9984999999999999</v>
      </c>
      <c r="Q79" s="53">
        <f>SUM(E79:P79)</f>
        <v>47.303258591768625</v>
      </c>
    </row>
    <row r="80" spans="1:17" x14ac:dyDescent="0.25">
      <c r="B80" s="55">
        <f>(N80/31)*1000</f>
        <v>138.38709677419357</v>
      </c>
      <c r="C80" s="3"/>
      <c r="D80" s="22" t="str">
        <f>D68</f>
        <v>RM 3</v>
      </c>
      <c r="E80" s="53">
        <f t="shared" ref="E80:O80" si="9">E9+E13+E18+E22+E29</f>
        <v>4.1466154176922529</v>
      </c>
      <c r="F80" s="53">
        <f t="shared" si="9"/>
        <v>4.5069430000000006</v>
      </c>
      <c r="G80" s="53">
        <f t="shared" si="9"/>
        <v>5.1801500000000003</v>
      </c>
      <c r="H80" s="53">
        <f t="shared" si="9"/>
        <v>2.2074410000000002</v>
      </c>
      <c r="I80" s="53">
        <f t="shared" si="9"/>
        <v>2.364325</v>
      </c>
      <c r="J80" s="53">
        <f t="shared" si="9"/>
        <v>2.8135340000000002</v>
      </c>
      <c r="K80" s="53">
        <f t="shared" si="9"/>
        <v>4.6152337799999996</v>
      </c>
      <c r="L80" s="53">
        <f t="shared" si="9"/>
        <v>3.3372048600000004</v>
      </c>
      <c r="M80" s="53">
        <f t="shared" si="9"/>
        <v>3.5199999999999996</v>
      </c>
      <c r="N80" s="54">
        <f t="shared" si="9"/>
        <v>4.29</v>
      </c>
      <c r="O80" s="53">
        <f t="shared" si="9"/>
        <v>3.9250000000000003</v>
      </c>
      <c r="P80" s="53">
        <f>P9+P13+P18+P22+P29+P25</f>
        <v>4.7445000000000004</v>
      </c>
      <c r="Q80" s="53">
        <f>SUM(E80:P80)</f>
        <v>45.650947057692257</v>
      </c>
    </row>
    <row r="81" spans="2:17" x14ac:dyDescent="0.25">
      <c r="B81" s="55">
        <f>(N81/31)*1000</f>
        <v>268.06451612903226</v>
      </c>
      <c r="C81" s="3"/>
      <c r="D81" s="22" t="str">
        <f>D69</f>
        <v>RM 4</v>
      </c>
      <c r="E81" s="56">
        <f t="shared" ref="E81:P81" si="10">+E10+E14+E19+E30</f>
        <v>9.2471270751445847</v>
      </c>
      <c r="F81" s="56">
        <f t="shared" si="10"/>
        <v>7.9501428000000001</v>
      </c>
      <c r="G81" s="56">
        <f t="shared" si="10"/>
        <v>11.955680000000001</v>
      </c>
      <c r="H81" s="56">
        <f t="shared" si="10"/>
        <v>5.7108284999999999</v>
      </c>
      <c r="I81" s="56">
        <f t="shared" si="10"/>
        <v>5.6560621000000006</v>
      </c>
      <c r="J81" s="56">
        <f t="shared" si="10"/>
        <v>6.3267464000000002</v>
      </c>
      <c r="K81" s="56">
        <f t="shared" si="10"/>
        <v>10.911378500000001</v>
      </c>
      <c r="L81" s="56">
        <f t="shared" si="10"/>
        <v>6.0471998000000005</v>
      </c>
      <c r="M81" s="56">
        <f t="shared" si="10"/>
        <v>5.6749999999999998</v>
      </c>
      <c r="N81" s="57">
        <f t="shared" si="10"/>
        <v>8.31</v>
      </c>
      <c r="O81" s="56">
        <f t="shared" si="10"/>
        <v>9.1195000000000004</v>
      </c>
      <c r="P81" s="56">
        <f t="shared" si="10"/>
        <v>9.5519999999999996</v>
      </c>
      <c r="Q81" s="53">
        <f>SUM(E81:P81)</f>
        <v>96.461665175144589</v>
      </c>
    </row>
    <row r="82" spans="2:17" x14ac:dyDescent="0.25">
      <c r="B82" s="55">
        <f>(N82/31)*1000</f>
        <v>394.83870967741933</v>
      </c>
      <c r="C82" s="3"/>
      <c r="D82" s="22" t="s">
        <v>47</v>
      </c>
      <c r="E82" s="56">
        <f t="shared" ref="E82:O82" si="11">E15</f>
        <v>11.3598</v>
      </c>
      <c r="F82" s="56">
        <f t="shared" si="11"/>
        <v>13.066094447999998</v>
      </c>
      <c r="G82" s="56">
        <f t="shared" si="11"/>
        <v>10.774649999999999</v>
      </c>
      <c r="H82" s="56">
        <f t="shared" si="11"/>
        <v>4.4915324999999999</v>
      </c>
      <c r="I82" s="56">
        <f t="shared" si="11"/>
        <v>4.6904715000000001</v>
      </c>
      <c r="J82" s="56">
        <f t="shared" si="11"/>
        <v>7.2107099999999997</v>
      </c>
      <c r="K82" s="56">
        <f t="shared" si="11"/>
        <v>10.9259094</v>
      </c>
      <c r="L82" s="56">
        <f t="shared" si="11"/>
        <v>9.1735021200000002</v>
      </c>
      <c r="M82" s="56">
        <f t="shared" si="11"/>
        <v>10.08</v>
      </c>
      <c r="N82" s="57">
        <f t="shared" si="11"/>
        <v>12.24</v>
      </c>
      <c r="O82" s="56">
        <f t="shared" si="11"/>
        <v>11.858000000000001</v>
      </c>
      <c r="P82" s="56">
        <f>P15+P26</f>
        <v>10.9595</v>
      </c>
      <c r="Q82" s="53">
        <f>SUM(E82:P82)</f>
        <v>116.83016996799999</v>
      </c>
    </row>
    <row r="84" spans="2:17" x14ac:dyDescent="0.25">
      <c r="C84" s="58" t="s">
        <v>48</v>
      </c>
    </row>
    <row r="85" spans="2:17" x14ac:dyDescent="0.25">
      <c r="B85" s="55">
        <f>(N85/31)*1000</f>
        <v>669.35483870967732</v>
      </c>
      <c r="C85" s="3" t="s">
        <v>21</v>
      </c>
      <c r="D85" s="22" t="str">
        <f>D78</f>
        <v>RM 1</v>
      </c>
      <c r="E85" s="53">
        <f t="shared" ref="E85:P85" si="12">E32+E36+E41+E45+E52</f>
        <v>20.168135000000003</v>
      </c>
      <c r="F85" s="53">
        <f t="shared" si="12"/>
        <v>24.5654599</v>
      </c>
      <c r="G85" s="53">
        <f t="shared" si="12"/>
        <v>21.949490000000001</v>
      </c>
      <c r="H85" s="53">
        <f t="shared" si="12"/>
        <v>0.41889419999999999</v>
      </c>
      <c r="I85" s="53">
        <f t="shared" si="12"/>
        <v>2.7182008</v>
      </c>
      <c r="J85" s="53">
        <f t="shared" si="12"/>
        <v>16.001962000000002</v>
      </c>
      <c r="K85" s="53">
        <f t="shared" si="12"/>
        <v>22.276663799999998</v>
      </c>
      <c r="L85" s="53">
        <f t="shared" si="12"/>
        <v>13.6541625</v>
      </c>
      <c r="M85" s="53">
        <f t="shared" si="12"/>
        <v>18.150000000000002</v>
      </c>
      <c r="N85" s="54">
        <f t="shared" si="12"/>
        <v>20.75</v>
      </c>
      <c r="O85" s="53">
        <f t="shared" si="12"/>
        <v>15.486499999999999</v>
      </c>
      <c r="P85" s="53">
        <f t="shared" si="12"/>
        <v>21.585500000000003</v>
      </c>
      <c r="Q85" s="53">
        <f>SUM(E85:P85)</f>
        <v>197.72496820000001</v>
      </c>
    </row>
    <row r="86" spans="2:17" x14ac:dyDescent="0.25">
      <c r="B86" s="55">
        <f>(N86/31)*1000</f>
        <v>36.774193548387096</v>
      </c>
      <c r="C86" s="3"/>
      <c r="D86" s="22" t="str">
        <f>D79</f>
        <v>RM 2</v>
      </c>
      <c r="E86" s="53">
        <f t="shared" ref="E86:P86" si="13">E33+E37+E42+E46</f>
        <v>1.4441950000000001</v>
      </c>
      <c r="F86" s="53">
        <f t="shared" si="13"/>
        <v>2.1574534999999999</v>
      </c>
      <c r="G86" s="53">
        <f t="shared" si="13"/>
        <v>2.1743300000000003</v>
      </c>
      <c r="H86" s="53">
        <f t="shared" si="13"/>
        <v>3.3179E-2</v>
      </c>
      <c r="I86" s="53">
        <f t="shared" si="13"/>
        <v>0.22926530000000001</v>
      </c>
      <c r="J86" s="53">
        <f t="shared" si="13"/>
        <v>1.3052685000000002</v>
      </c>
      <c r="K86" s="53">
        <f t="shared" si="13"/>
        <v>1.6943485</v>
      </c>
      <c r="L86" s="53">
        <f t="shared" si="13"/>
        <v>0.94656074999999995</v>
      </c>
      <c r="M86" s="53">
        <f t="shared" si="13"/>
        <v>0.96</v>
      </c>
      <c r="N86" s="54">
        <f t="shared" si="13"/>
        <v>1.1399999999999999</v>
      </c>
      <c r="O86" s="53">
        <f t="shared" si="13"/>
        <v>1.0960000000000001</v>
      </c>
      <c r="P86" s="53">
        <f t="shared" si="13"/>
        <v>2.3410000000000002</v>
      </c>
      <c r="Q86" s="53">
        <f>SUM(E86:P86)</f>
        <v>15.521600550000002</v>
      </c>
    </row>
    <row r="87" spans="2:17" x14ac:dyDescent="0.25">
      <c r="B87" s="55">
        <f>(N87/31)*1000</f>
        <v>56.774193548387103</v>
      </c>
      <c r="C87" s="3"/>
      <c r="D87" s="22" t="str">
        <f>D80</f>
        <v>RM 3</v>
      </c>
      <c r="E87" s="53">
        <f t="shared" ref="E87:P87" si="14">E34+E38+E43+E47+E54</f>
        <v>1.5513950000000001</v>
      </c>
      <c r="F87" s="53">
        <f t="shared" si="14"/>
        <v>1.9094905000000002</v>
      </c>
      <c r="G87" s="53">
        <f t="shared" si="14"/>
        <v>1.7056500000000003</v>
      </c>
      <c r="H87" s="53">
        <f t="shared" si="14"/>
        <v>3.2714E-2</v>
      </c>
      <c r="I87" s="53">
        <f t="shared" si="14"/>
        <v>0.1853165</v>
      </c>
      <c r="J87" s="53">
        <f t="shared" si="14"/>
        <v>1.2419025000000001</v>
      </c>
      <c r="K87" s="53">
        <f t="shared" si="14"/>
        <v>1.750065</v>
      </c>
      <c r="L87" s="53">
        <f t="shared" si="14"/>
        <v>1.1582411500000001</v>
      </c>
      <c r="M87" s="53">
        <f t="shared" si="14"/>
        <v>1.54</v>
      </c>
      <c r="N87" s="54">
        <f t="shared" si="14"/>
        <v>1.76</v>
      </c>
      <c r="O87" s="53">
        <f t="shared" si="14"/>
        <v>1.2250000000000001</v>
      </c>
      <c r="P87" s="53">
        <f t="shared" si="14"/>
        <v>1.7845000000000002</v>
      </c>
      <c r="Q87" s="53">
        <f>SUM(E87:P87)</f>
        <v>15.844274650000001</v>
      </c>
    </row>
    <row r="88" spans="2:17" x14ac:dyDescent="0.25">
      <c r="B88" s="55">
        <f>(N88/31)*1000</f>
        <v>191.93548387096777</v>
      </c>
      <c r="C88" s="3"/>
      <c r="D88" s="22" t="str">
        <f>D81</f>
        <v>RM 4</v>
      </c>
      <c r="E88" s="56">
        <f t="shared" ref="E88:P88" si="15">E35+E39+E44+E55</f>
        <v>5.7201750000000002</v>
      </c>
      <c r="F88" s="56">
        <f t="shared" si="15"/>
        <v>7.2017576000000005</v>
      </c>
      <c r="G88" s="56">
        <f t="shared" si="15"/>
        <v>6.5259800000000006</v>
      </c>
      <c r="H88" s="56">
        <f t="shared" si="15"/>
        <v>0.16716780000000001</v>
      </c>
      <c r="I88" s="56">
        <f t="shared" si="15"/>
        <v>0.35380339999999999</v>
      </c>
      <c r="J88" s="56">
        <f t="shared" si="15"/>
        <v>4.4513030000000002</v>
      </c>
      <c r="K88" s="56">
        <f t="shared" si="15"/>
        <v>7.3062666999999992</v>
      </c>
      <c r="L88" s="56">
        <f t="shared" si="15"/>
        <v>4.0316607500000003</v>
      </c>
      <c r="M88" s="56">
        <f t="shared" si="15"/>
        <v>4.95</v>
      </c>
      <c r="N88" s="57">
        <f t="shared" si="15"/>
        <v>5.95</v>
      </c>
      <c r="O88" s="56">
        <f t="shared" si="15"/>
        <v>3.8544999999999998</v>
      </c>
      <c r="P88" s="56">
        <f t="shared" si="15"/>
        <v>5.8450000000000015</v>
      </c>
      <c r="Q88" s="53">
        <f>SUM(E88:P88)</f>
        <v>56.357614250000012</v>
      </c>
    </row>
    <row r="89" spans="2:17" x14ac:dyDescent="0.25">
      <c r="B89" s="55">
        <f>(N89/31)*1000</f>
        <v>77.41935483870968</v>
      </c>
      <c r="C89" s="3"/>
      <c r="D89" s="22" t="str">
        <f>D82</f>
        <v>RM 5</v>
      </c>
      <c r="E89" s="56">
        <f t="shared" ref="E89:P89" si="16">E40</f>
        <v>2.1440000000000001</v>
      </c>
      <c r="F89" s="56">
        <f t="shared" si="16"/>
        <v>2.4102003599999997</v>
      </c>
      <c r="G89" s="56">
        <f t="shared" si="16"/>
        <v>1.7575499999999999</v>
      </c>
      <c r="H89" s="56">
        <f t="shared" si="16"/>
        <v>2.3249999999999998E-3</v>
      </c>
      <c r="I89" s="56">
        <f t="shared" si="16"/>
        <v>0.21974399999999999</v>
      </c>
      <c r="J89" s="56">
        <f t="shared" si="16"/>
        <v>1.9009799999999999</v>
      </c>
      <c r="K89" s="56">
        <f t="shared" si="16"/>
        <v>1.671495</v>
      </c>
      <c r="L89" s="56">
        <f t="shared" si="16"/>
        <v>1.6183308000000001</v>
      </c>
      <c r="M89" s="56">
        <f t="shared" si="16"/>
        <v>2.4</v>
      </c>
      <c r="N89" s="57">
        <f t="shared" si="16"/>
        <v>2.4</v>
      </c>
      <c r="O89" s="56">
        <f t="shared" si="16"/>
        <v>2.8380000000000001</v>
      </c>
      <c r="P89" s="56">
        <f t="shared" si="16"/>
        <v>2.544</v>
      </c>
      <c r="Q89" s="53">
        <f>SUM(E89:P89)</f>
        <v>21.906625160000001</v>
      </c>
    </row>
    <row r="91" spans="2:17" x14ac:dyDescent="0.25">
      <c r="C91" s="58" t="s">
        <v>48</v>
      </c>
      <c r="E91" s="104"/>
      <c r="F91" s="104"/>
      <c r="G91" s="104"/>
    </row>
    <row r="92" spans="2:17" x14ac:dyDescent="0.25">
      <c r="B92" s="55">
        <f>(N92/31)*1000</f>
        <v>425.32258064516134</v>
      </c>
      <c r="C92" s="3" t="s">
        <v>22</v>
      </c>
      <c r="D92" s="22" t="str">
        <f>D85</f>
        <v>RM 1</v>
      </c>
      <c r="E92" s="53">
        <f t="shared" ref="E92:P92" si="17">E57+E61+E66</f>
        <v>14.339719451317247</v>
      </c>
      <c r="F92" s="53">
        <f t="shared" si="17"/>
        <v>14.517779000000001</v>
      </c>
      <c r="G92" s="53">
        <f t="shared" si="17"/>
        <v>13.796220000000002</v>
      </c>
      <c r="H92" s="53">
        <f t="shared" si="17"/>
        <v>8.1809619999999992</v>
      </c>
      <c r="I92" s="53">
        <f t="shared" si="17"/>
        <v>9.7478860000000012</v>
      </c>
      <c r="J92" s="53">
        <f t="shared" si="17"/>
        <v>11.795186000000001</v>
      </c>
      <c r="K92" s="53">
        <f t="shared" si="17"/>
        <v>13.281820999999999</v>
      </c>
      <c r="L92" s="53">
        <f t="shared" si="17"/>
        <v>9.7270672500000011</v>
      </c>
      <c r="M92" s="53">
        <f t="shared" si="17"/>
        <v>11.755000000000001</v>
      </c>
      <c r="N92" s="54">
        <f t="shared" si="17"/>
        <v>13.185</v>
      </c>
      <c r="O92" s="53">
        <f t="shared" si="17"/>
        <v>12.608000000000001</v>
      </c>
      <c r="P92" s="53">
        <f t="shared" si="17"/>
        <v>14.8925</v>
      </c>
      <c r="Q92" s="53">
        <f>SUM(E92:P92)</f>
        <v>147.82714070131726</v>
      </c>
    </row>
    <row r="93" spans="2:17" x14ac:dyDescent="0.25">
      <c r="B93" s="55">
        <f>(N93/31)*1000</f>
        <v>14.677419354838708</v>
      </c>
      <c r="C93" s="3"/>
      <c r="D93" s="22" t="str">
        <f>D86</f>
        <v>RM 2</v>
      </c>
      <c r="E93" s="53">
        <f t="shared" ref="E93:P93" si="18">E58+E62+E67</f>
        <v>0.85352540246065489</v>
      </c>
      <c r="F93" s="53">
        <f t="shared" si="18"/>
        <v>1.2756460000000001</v>
      </c>
      <c r="G93" s="53">
        <f t="shared" si="18"/>
        <v>1.59609</v>
      </c>
      <c r="H93" s="53">
        <f t="shared" si="18"/>
        <v>0.91440750000000004</v>
      </c>
      <c r="I93" s="53">
        <f t="shared" si="18"/>
        <v>1.0838235000000001</v>
      </c>
      <c r="J93" s="53">
        <f t="shared" si="18"/>
        <v>0.98797699999999999</v>
      </c>
      <c r="K93" s="53">
        <f t="shared" si="18"/>
        <v>0.93810899999999997</v>
      </c>
      <c r="L93" s="53">
        <f t="shared" si="18"/>
        <v>0.46279694999999998</v>
      </c>
      <c r="M93" s="53">
        <f t="shared" si="18"/>
        <v>0.36249999999999999</v>
      </c>
      <c r="N93" s="54">
        <f t="shared" si="18"/>
        <v>0.45499999999999996</v>
      </c>
      <c r="O93" s="53">
        <f t="shared" si="18"/>
        <v>0.83050000000000002</v>
      </c>
      <c r="P93" s="53">
        <f t="shared" si="18"/>
        <v>1.6280000000000001</v>
      </c>
      <c r="Q93" s="53">
        <f>SUM(E93:P93)</f>
        <v>11.388375352460656</v>
      </c>
    </row>
    <row r="94" spans="2:17" x14ac:dyDescent="0.25">
      <c r="B94" s="55">
        <f>(N94/31)*1000</f>
        <v>35.483870967741929</v>
      </c>
      <c r="C94" s="3"/>
      <c r="D94" s="22" t="str">
        <f>D87</f>
        <v>RM 3</v>
      </c>
      <c r="E94" s="53">
        <f t="shared" ref="E94:P94" si="19">E59+E63+E68</f>
        <v>1.0081566452161628</v>
      </c>
      <c r="F94" s="53">
        <f t="shared" si="19"/>
        <v>1.0501860000000001</v>
      </c>
      <c r="G94" s="53">
        <f t="shared" si="19"/>
        <v>1.01505</v>
      </c>
      <c r="H94" s="53">
        <f t="shared" si="19"/>
        <v>0.63177749999999999</v>
      </c>
      <c r="I94" s="53">
        <f t="shared" si="19"/>
        <v>0.74447250000000009</v>
      </c>
      <c r="J94" s="53">
        <f t="shared" si="19"/>
        <v>0.90340100000000012</v>
      </c>
      <c r="K94" s="53">
        <f t="shared" si="19"/>
        <v>1.0366214</v>
      </c>
      <c r="L94" s="53">
        <f t="shared" si="19"/>
        <v>0.81601850000000009</v>
      </c>
      <c r="M94" s="53">
        <f t="shared" si="19"/>
        <v>0.98999999999999988</v>
      </c>
      <c r="N94" s="54">
        <f t="shared" si="19"/>
        <v>1.0999999999999999</v>
      </c>
      <c r="O94" s="53">
        <f t="shared" si="19"/>
        <v>0.98250000000000004</v>
      </c>
      <c r="P94" s="53">
        <f t="shared" si="19"/>
        <v>1.1485000000000001</v>
      </c>
      <c r="Q94" s="53">
        <f>SUM(E94:P94)</f>
        <v>11.426683545216163</v>
      </c>
    </row>
    <row r="95" spans="2:17" x14ac:dyDescent="0.25">
      <c r="B95" s="55">
        <f>(N95/31)*1000</f>
        <v>54.193548387096769</v>
      </c>
      <c r="C95" s="3"/>
      <c r="D95" s="22" t="str">
        <f>D88</f>
        <v>RM 4</v>
      </c>
      <c r="E95" s="56">
        <f t="shared" ref="E95:P95" si="20">E60+E64+E69</f>
        <v>1.8060374812773656</v>
      </c>
      <c r="F95" s="56">
        <f t="shared" si="20"/>
        <v>2.0182389999999999</v>
      </c>
      <c r="G95" s="56">
        <f t="shared" si="20"/>
        <v>1.7147399999999999</v>
      </c>
      <c r="H95" s="56">
        <f t="shared" si="20"/>
        <v>1.4952529999999999</v>
      </c>
      <c r="I95" s="56">
        <f t="shared" si="20"/>
        <v>1.6165130000000001</v>
      </c>
      <c r="J95" s="56">
        <f t="shared" si="20"/>
        <v>1.9287520000000002</v>
      </c>
      <c r="K95" s="56">
        <f t="shared" si="20"/>
        <v>1.9857230000000001</v>
      </c>
      <c r="L95" s="56">
        <f t="shared" si="20"/>
        <v>1.4327037</v>
      </c>
      <c r="M95" s="56">
        <f t="shared" si="20"/>
        <v>1.3024999999999998</v>
      </c>
      <c r="N95" s="57">
        <f t="shared" si="20"/>
        <v>1.6799999999999997</v>
      </c>
      <c r="O95" s="56">
        <f t="shared" si="20"/>
        <v>1.8850000000000002</v>
      </c>
      <c r="P95" s="56">
        <f t="shared" si="20"/>
        <v>1.7390000000000001</v>
      </c>
      <c r="Q95" s="53">
        <f>SUM(E95:P95)</f>
        <v>20.604461181277369</v>
      </c>
    </row>
    <row r="96" spans="2:17" x14ac:dyDescent="0.25">
      <c r="B96" s="55">
        <f>(N96/31)*1000</f>
        <v>116.12903225806451</v>
      </c>
      <c r="C96" s="3"/>
      <c r="D96" s="22" t="str">
        <f>D89</f>
        <v>RM 5</v>
      </c>
      <c r="E96" s="53">
        <f t="shared" ref="E96:P96" si="21">E65+0</f>
        <v>2.0577999999999999</v>
      </c>
      <c r="F96" s="53">
        <f t="shared" si="21"/>
        <v>2.1914711999999996</v>
      </c>
      <c r="G96" s="53">
        <f t="shared" si="21"/>
        <v>2.1789000000000001</v>
      </c>
      <c r="H96" s="53">
        <f t="shared" si="21"/>
        <v>1.4131499999999999</v>
      </c>
      <c r="I96" s="53">
        <f t="shared" si="21"/>
        <v>1.696755</v>
      </c>
      <c r="J96" s="53">
        <f t="shared" si="21"/>
        <v>2.53728</v>
      </c>
      <c r="K96" s="53">
        <f t="shared" si="21"/>
        <v>2.9553719999999997</v>
      </c>
      <c r="L96" s="53">
        <f t="shared" si="21"/>
        <v>2.6798893500000003</v>
      </c>
      <c r="M96" s="53">
        <f t="shared" si="21"/>
        <v>3.5999999999999996</v>
      </c>
      <c r="N96" s="54">
        <f t="shared" si="21"/>
        <v>3.5999999999999996</v>
      </c>
      <c r="O96" s="53">
        <f t="shared" si="21"/>
        <v>3.3439999999999999</v>
      </c>
      <c r="P96" s="53">
        <f t="shared" si="21"/>
        <v>2.1919999999999997</v>
      </c>
    </row>
    <row r="97" spans="2:17" x14ac:dyDescent="0.25">
      <c r="N97" s="103"/>
      <c r="Q97" s="52" t="str">
        <f>Q3</f>
        <v>Total 2020</v>
      </c>
    </row>
    <row r="98" spans="2:17" x14ac:dyDescent="0.25">
      <c r="B98" s="55">
        <f>(N98/31)*1000</f>
        <v>4844.677419354839</v>
      </c>
      <c r="C98" s="11" t="s">
        <v>23</v>
      </c>
      <c r="D98" s="22" t="str">
        <f>D92</f>
        <v>RM 1</v>
      </c>
      <c r="E98" s="53">
        <f t="shared" ref="E98:P98" si="22">E73+E78+E85+E92</f>
        <v>167.2910532271402</v>
      </c>
      <c r="F98" s="53">
        <f t="shared" si="22"/>
        <v>172.47072539999999</v>
      </c>
      <c r="G98" s="53">
        <f t="shared" si="22"/>
        <v>181.78858204000002</v>
      </c>
      <c r="H98" s="53">
        <f t="shared" si="22"/>
        <v>55.9890817</v>
      </c>
      <c r="I98" s="53">
        <f t="shared" si="22"/>
        <v>81.913956400000018</v>
      </c>
      <c r="J98" s="53">
        <f t="shared" si="22"/>
        <v>103.95569935000002</v>
      </c>
      <c r="K98" s="53">
        <f t="shared" si="22"/>
        <v>138.3085226</v>
      </c>
      <c r="L98" s="53">
        <f t="shared" si="22"/>
        <v>114.83933827</v>
      </c>
      <c r="M98" s="53">
        <f t="shared" si="22"/>
        <v>118.33500000000001</v>
      </c>
      <c r="N98" s="54">
        <f t="shared" si="22"/>
        <v>150.185</v>
      </c>
      <c r="O98" s="53">
        <f t="shared" si="22"/>
        <v>158.73750000000001</v>
      </c>
      <c r="P98" s="53">
        <f t="shared" si="22"/>
        <v>166.33250000000001</v>
      </c>
      <c r="Q98" s="53">
        <f>SUM(E98:P98)</f>
        <v>1610.1469589871401</v>
      </c>
    </row>
    <row r="99" spans="2:17" x14ac:dyDescent="0.25">
      <c r="B99" s="55">
        <f>(N99/31)*1000</f>
        <v>296.77419354838713</v>
      </c>
      <c r="C99" s="11"/>
      <c r="D99" s="22" t="str">
        <f>D93</f>
        <v>RM 2</v>
      </c>
      <c r="E99" s="53">
        <f t="shared" ref="E99:P99" si="23">E74+E79+E86+E93</f>
        <v>11.893294104229275</v>
      </c>
      <c r="F99" s="53">
        <f t="shared" si="23"/>
        <v>15.029337549999999</v>
      </c>
      <c r="G99" s="53">
        <f t="shared" si="23"/>
        <v>17.883943716000001</v>
      </c>
      <c r="H99" s="53">
        <f t="shared" si="23"/>
        <v>5.5072840000000003</v>
      </c>
      <c r="I99" s="53">
        <f t="shared" si="23"/>
        <v>7.8707105999999998</v>
      </c>
      <c r="J99" s="53">
        <f t="shared" si="23"/>
        <v>8.6771857500000014</v>
      </c>
      <c r="K99" s="53">
        <f t="shared" si="23"/>
        <v>10.560904300000001</v>
      </c>
      <c r="L99" s="53">
        <f t="shared" si="23"/>
        <v>7.7923535899999994</v>
      </c>
      <c r="M99" s="53">
        <f t="shared" si="23"/>
        <v>6.8274999999999997</v>
      </c>
      <c r="N99" s="54">
        <f t="shared" si="23"/>
        <v>9.2000000000000011</v>
      </c>
      <c r="O99" s="53">
        <f t="shared" si="23"/>
        <v>12.171000000000001</v>
      </c>
      <c r="P99" s="53">
        <f t="shared" si="23"/>
        <v>17.2485</v>
      </c>
      <c r="Q99" s="53">
        <f>SUM(E99:P99)</f>
        <v>130.66201361022931</v>
      </c>
    </row>
    <row r="100" spans="2:17" x14ac:dyDescent="0.25">
      <c r="B100" s="55">
        <f>(N100/31)*1000</f>
        <v>411.61290322580646</v>
      </c>
      <c r="C100" s="11"/>
      <c r="D100" s="22" t="str">
        <f>D94</f>
        <v>RM 3</v>
      </c>
      <c r="E100" s="53">
        <f t="shared" ref="E100:P100" si="24">E75+E80+E87+E94</f>
        <v>12.945786062908414</v>
      </c>
      <c r="F100" s="53">
        <f t="shared" si="24"/>
        <v>13.39661735</v>
      </c>
      <c r="G100" s="53">
        <f t="shared" si="24"/>
        <v>14.156078564000001</v>
      </c>
      <c r="H100" s="53">
        <f t="shared" si="24"/>
        <v>4.4712775000000002</v>
      </c>
      <c r="I100" s="53">
        <f t="shared" si="24"/>
        <v>6.5493164999999998</v>
      </c>
      <c r="J100" s="53">
        <f t="shared" si="24"/>
        <v>8.2888867499999996</v>
      </c>
      <c r="K100" s="53">
        <f t="shared" si="24"/>
        <v>11.079330179999998</v>
      </c>
      <c r="L100" s="53">
        <f t="shared" si="24"/>
        <v>9.5939405100000013</v>
      </c>
      <c r="M100" s="53">
        <f t="shared" si="24"/>
        <v>9.9</v>
      </c>
      <c r="N100" s="54">
        <f t="shared" si="24"/>
        <v>12.76</v>
      </c>
      <c r="O100" s="53">
        <f t="shared" si="24"/>
        <v>12.991</v>
      </c>
      <c r="P100" s="53">
        <f t="shared" si="24"/>
        <v>13.958500000000001</v>
      </c>
      <c r="Q100" s="53">
        <f>SUM(E100:P100)</f>
        <v>130.09073341690842</v>
      </c>
    </row>
    <row r="101" spans="2:17" x14ac:dyDescent="0.25">
      <c r="B101" s="55">
        <f>(N101/31)*1000</f>
        <v>514.19354838709683</v>
      </c>
      <c r="C101" s="11"/>
      <c r="D101" s="22" t="str">
        <f>D95</f>
        <v>RM 4</v>
      </c>
      <c r="E101" s="53">
        <f t="shared" ref="E101:P101" si="25">E81+E88+E95</f>
        <v>16.773339556421949</v>
      </c>
      <c r="F101" s="53">
        <f t="shared" si="25"/>
        <v>17.1701394</v>
      </c>
      <c r="G101" s="53">
        <f t="shared" si="25"/>
        <v>20.196400000000001</v>
      </c>
      <c r="H101" s="53">
        <f t="shared" si="25"/>
        <v>7.3732492999999995</v>
      </c>
      <c r="I101" s="53">
        <f t="shared" si="25"/>
        <v>7.6263785000000013</v>
      </c>
      <c r="J101" s="53">
        <f t="shared" si="25"/>
        <v>12.7068014</v>
      </c>
      <c r="K101" s="53">
        <f t="shared" si="25"/>
        <v>20.2033682</v>
      </c>
      <c r="L101" s="53">
        <f t="shared" si="25"/>
        <v>11.511564250000001</v>
      </c>
      <c r="M101" s="53">
        <f t="shared" si="25"/>
        <v>11.9275</v>
      </c>
      <c r="N101" s="54">
        <f t="shared" si="25"/>
        <v>15.940000000000001</v>
      </c>
      <c r="O101" s="53">
        <f t="shared" si="25"/>
        <v>14.859</v>
      </c>
      <c r="P101" s="53">
        <f t="shared" si="25"/>
        <v>17.136000000000003</v>
      </c>
      <c r="Q101" s="53">
        <f>SUM(E101:P101)</f>
        <v>173.42374060642197</v>
      </c>
    </row>
    <row r="102" spans="2:17" x14ac:dyDescent="0.25">
      <c r="B102" s="55">
        <f>(N102/31)*1000</f>
        <v>588.38709677419365</v>
      </c>
      <c r="C102" s="11"/>
      <c r="D102" s="22" t="str">
        <f>D96</f>
        <v>RM 5</v>
      </c>
      <c r="E102" s="53">
        <f t="shared" ref="E102:P102" si="26">E82+E89+E96</f>
        <v>15.5616</v>
      </c>
      <c r="F102" s="53">
        <f t="shared" si="26"/>
        <v>17.667766007999997</v>
      </c>
      <c r="G102" s="53">
        <f t="shared" si="26"/>
        <v>14.7111</v>
      </c>
      <c r="H102" s="53">
        <f t="shared" si="26"/>
        <v>5.9070074999999997</v>
      </c>
      <c r="I102" s="53">
        <f t="shared" si="26"/>
        <v>6.606970500000001</v>
      </c>
      <c r="J102" s="53">
        <f t="shared" si="26"/>
        <v>11.648969999999998</v>
      </c>
      <c r="K102" s="53">
        <f t="shared" si="26"/>
        <v>15.552776399999999</v>
      </c>
      <c r="L102" s="53">
        <f t="shared" si="26"/>
        <v>13.471722270000001</v>
      </c>
      <c r="M102" s="53">
        <f t="shared" si="26"/>
        <v>16.079999999999998</v>
      </c>
      <c r="N102" s="54">
        <f t="shared" si="26"/>
        <v>18.240000000000002</v>
      </c>
      <c r="O102" s="53">
        <f t="shared" si="26"/>
        <v>18.040000000000003</v>
      </c>
      <c r="P102" s="53">
        <f t="shared" si="26"/>
        <v>15.695500000000001</v>
      </c>
      <c r="Q102" s="53">
        <f>SUM(E102:P102)</f>
        <v>169.183412678</v>
      </c>
    </row>
    <row r="103" spans="2:17" x14ac:dyDescent="0.25">
      <c r="D103" s="105"/>
      <c r="E103" s="106">
        <f t="shared" ref="E103:Q103" si="27">E98-E73</f>
        <v>89.082963227140198</v>
      </c>
      <c r="F103" s="106">
        <f t="shared" si="27"/>
        <v>98.143461899999991</v>
      </c>
      <c r="G103" s="106">
        <f t="shared" si="27"/>
        <v>103.38484000000003</v>
      </c>
      <c r="H103" s="106">
        <f t="shared" si="27"/>
        <v>37.2331267</v>
      </c>
      <c r="I103" s="106">
        <f t="shared" si="27"/>
        <v>43.739308900000019</v>
      </c>
      <c r="J103" s="106">
        <f t="shared" si="27"/>
        <v>64.903303600000015</v>
      </c>
      <c r="K103" s="106">
        <f t="shared" si="27"/>
        <v>95.182532600000002</v>
      </c>
      <c r="L103" s="106">
        <f t="shared" si="27"/>
        <v>64.539711069999996</v>
      </c>
      <c r="M103" s="106">
        <f t="shared" si="27"/>
        <v>73.115000000000009</v>
      </c>
      <c r="N103" s="107">
        <f t="shared" si="27"/>
        <v>85.160000000000011</v>
      </c>
      <c r="O103" s="106">
        <f t="shared" si="27"/>
        <v>78.306000000000012</v>
      </c>
      <c r="P103" s="106">
        <f t="shared" si="27"/>
        <v>92.673500000000004</v>
      </c>
      <c r="Q103" s="106">
        <f t="shared" si="27"/>
        <v>925.4637479971401</v>
      </c>
    </row>
    <row r="104" spans="2:17" hidden="1" x14ac:dyDescent="0.25">
      <c r="B104" s="13" t="s">
        <v>49</v>
      </c>
      <c r="C104" s="13" t="s">
        <v>34</v>
      </c>
      <c r="D104" s="22" t="s">
        <v>50</v>
      </c>
      <c r="E104" s="56" t="e">
        <f>Production!#REF!*'QA_Mix design'!D4</f>
        <v>#REF!</v>
      </c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53" t="e">
        <f t="shared" ref="Q104:Q125" si="28">SUM(E104:P104)</f>
        <v>#REF!</v>
      </c>
    </row>
    <row r="105" spans="2:17" hidden="1" x14ac:dyDescent="0.25">
      <c r="B105" s="13"/>
      <c r="C105" s="13"/>
      <c r="D105" s="22" t="s">
        <v>51</v>
      </c>
      <c r="E105" s="56" t="e">
        <f>Production!#REF!*'QA_Mix design'!D5</f>
        <v>#REF!</v>
      </c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53" t="e">
        <f t="shared" si="28"/>
        <v>#REF!</v>
      </c>
    </row>
    <row r="106" spans="2:17" hidden="1" x14ac:dyDescent="0.25">
      <c r="B106" s="13"/>
      <c r="C106" s="13"/>
      <c r="D106" s="22" t="s">
        <v>52</v>
      </c>
      <c r="E106" s="56" t="e">
        <f>Production!#REF!*'QA_Mix design'!D6</f>
        <v>#REF!</v>
      </c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53" t="e">
        <f t="shared" si="28"/>
        <v>#REF!</v>
      </c>
    </row>
    <row r="107" spans="2:17" hidden="1" x14ac:dyDescent="0.25">
      <c r="B107" s="13" t="s">
        <v>53</v>
      </c>
      <c r="C107" s="13" t="s">
        <v>34</v>
      </c>
      <c r="D107" s="22" t="s">
        <v>50</v>
      </c>
      <c r="E107" s="56" t="e">
        <f>Production!#REF!*'QA_Mix design'!D17</f>
        <v>#REF!</v>
      </c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53" t="e">
        <f t="shared" si="28"/>
        <v>#REF!</v>
      </c>
    </row>
    <row r="108" spans="2:17" hidden="1" x14ac:dyDescent="0.25">
      <c r="B108" s="13"/>
      <c r="C108" s="13"/>
      <c r="D108" s="22" t="s">
        <v>51</v>
      </c>
      <c r="E108" s="56" t="e">
        <f>Production!#REF!*'QA_Mix design'!D18</f>
        <v>#REF!</v>
      </c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53" t="e">
        <f t="shared" si="28"/>
        <v>#REF!</v>
      </c>
    </row>
    <row r="109" spans="2:17" hidden="1" x14ac:dyDescent="0.25">
      <c r="B109" s="13"/>
      <c r="C109" s="13"/>
      <c r="D109" s="22" t="s">
        <v>52</v>
      </c>
      <c r="E109" s="56" t="e">
        <f>Production!#REF!*'QA_Mix design'!D19</f>
        <v>#REF!</v>
      </c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53" t="e">
        <f t="shared" si="28"/>
        <v>#REF!</v>
      </c>
    </row>
    <row r="110" spans="2:17" hidden="1" x14ac:dyDescent="0.25">
      <c r="B110" s="13"/>
      <c r="C110" s="13"/>
      <c r="D110" s="22" t="s">
        <v>54</v>
      </c>
      <c r="E110" s="56" t="e">
        <f>Production!#REF!*'QA_Mix design'!D20</f>
        <v>#REF!</v>
      </c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53" t="e">
        <f t="shared" si="28"/>
        <v>#REF!</v>
      </c>
    </row>
    <row r="111" spans="2:17" hidden="1" x14ac:dyDescent="0.25">
      <c r="B111" s="13"/>
      <c r="C111" s="13" t="s">
        <v>40</v>
      </c>
      <c r="D111" s="22" t="s">
        <v>50</v>
      </c>
      <c r="E111" s="56" t="e">
        <f>Production!#REF!*'QA_Mix design'!D10</f>
        <v>#REF!</v>
      </c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56" t="e">
        <f t="shared" si="28"/>
        <v>#REF!</v>
      </c>
    </row>
    <row r="112" spans="2:17" hidden="1" x14ac:dyDescent="0.25">
      <c r="B112" s="13"/>
      <c r="C112" s="13"/>
      <c r="D112" s="22" t="s">
        <v>51</v>
      </c>
      <c r="E112" s="56" t="e">
        <f>Production!#REF!*'QA_Mix design'!D11</f>
        <v>#REF!</v>
      </c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56" t="e">
        <f t="shared" si="28"/>
        <v>#REF!</v>
      </c>
    </row>
    <row r="113" spans="2:17" hidden="1" x14ac:dyDescent="0.25">
      <c r="B113" s="13"/>
      <c r="C113" s="13"/>
      <c r="D113" s="22" t="s">
        <v>52</v>
      </c>
      <c r="E113" s="56" t="e">
        <f>Production!#REF!*'QA_Mix design'!D12</f>
        <v>#REF!</v>
      </c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56" t="e">
        <f t="shared" si="28"/>
        <v>#REF!</v>
      </c>
    </row>
    <row r="114" spans="2:17" hidden="1" x14ac:dyDescent="0.25">
      <c r="B114" s="13"/>
      <c r="C114" s="13"/>
      <c r="D114" s="22" t="s">
        <v>54</v>
      </c>
      <c r="E114" s="56" t="e">
        <f>Production!#REF!*'QA_Mix design'!D13</f>
        <v>#REF!</v>
      </c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56" t="e">
        <f t="shared" si="28"/>
        <v>#REF!</v>
      </c>
    </row>
    <row r="115" spans="2:17" hidden="1" x14ac:dyDescent="0.25">
      <c r="B115" s="13"/>
      <c r="C115" s="13"/>
      <c r="D115" s="22" t="s">
        <v>55</v>
      </c>
      <c r="E115" s="56" t="e">
        <f>Production!#REF!*'QA_Mix design'!D14</f>
        <v>#REF!</v>
      </c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56" t="e">
        <f t="shared" si="28"/>
        <v>#REF!</v>
      </c>
    </row>
    <row r="116" spans="2:17" hidden="1" x14ac:dyDescent="0.25">
      <c r="B116" s="13"/>
      <c r="C116" s="13" t="s">
        <v>41</v>
      </c>
      <c r="D116" s="22" t="s">
        <v>50</v>
      </c>
      <c r="E116" s="56" t="e">
        <f>Production!#REF!*'QA_Mix design'!D23</f>
        <v>#REF!</v>
      </c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56" t="e">
        <f t="shared" si="28"/>
        <v>#REF!</v>
      </c>
    </row>
    <row r="117" spans="2:17" hidden="1" x14ac:dyDescent="0.25">
      <c r="B117" s="13"/>
      <c r="C117" s="13"/>
      <c r="D117" s="22" t="s">
        <v>51</v>
      </c>
      <c r="E117" s="56" t="e">
        <f>Production!#REF!*'QA_Mix design'!D24</f>
        <v>#REF!</v>
      </c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56" t="e">
        <f t="shared" si="28"/>
        <v>#REF!</v>
      </c>
    </row>
    <row r="118" spans="2:17" hidden="1" x14ac:dyDescent="0.25">
      <c r="B118" s="13"/>
      <c r="C118" s="13"/>
      <c r="D118" s="22" t="s">
        <v>52</v>
      </c>
      <c r="E118" s="56" t="e">
        <f>Production!#REF!*'QA_Mix design'!D25</f>
        <v>#REF!</v>
      </c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56" t="e">
        <f t="shared" si="28"/>
        <v>#REF!</v>
      </c>
    </row>
    <row r="119" spans="2:17" hidden="1" x14ac:dyDescent="0.25">
      <c r="B119" s="13"/>
      <c r="C119" s="13"/>
      <c r="D119" s="22" t="s">
        <v>54</v>
      </c>
      <c r="E119" s="56" t="e">
        <f>Production!#REF!*'QA_Mix design'!D26</f>
        <v>#REF!</v>
      </c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56" t="e">
        <f t="shared" si="28"/>
        <v>#REF!</v>
      </c>
    </row>
    <row r="120" spans="2:17" hidden="1" x14ac:dyDescent="0.25">
      <c r="B120" s="13"/>
      <c r="C120" s="13" t="s">
        <v>42</v>
      </c>
      <c r="D120" s="22" t="s">
        <v>50</v>
      </c>
      <c r="E120" s="53" t="e">
        <f>Production!#REF!*'QA_Mix design'!D29</f>
        <v>#REF!</v>
      </c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56" t="e">
        <f t="shared" si="28"/>
        <v>#REF!</v>
      </c>
    </row>
    <row r="121" spans="2:17" hidden="1" x14ac:dyDescent="0.25">
      <c r="B121" s="13"/>
      <c r="C121" s="13"/>
      <c r="D121" s="22" t="s">
        <v>51</v>
      </c>
      <c r="E121" s="53" t="e">
        <f>Production!#REF!*'QA_Mix design'!D30</f>
        <v>#REF!</v>
      </c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56" t="e">
        <f t="shared" si="28"/>
        <v>#REF!</v>
      </c>
    </row>
    <row r="122" spans="2:17" hidden="1" x14ac:dyDescent="0.25">
      <c r="B122" s="13"/>
      <c r="C122" s="13"/>
      <c r="D122" s="22" t="s">
        <v>52</v>
      </c>
      <c r="E122" s="53" t="e">
        <f>Production!#REF!*'QA_Mix design'!D31</f>
        <v>#REF!</v>
      </c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56" t="e">
        <f t="shared" si="28"/>
        <v>#REF!</v>
      </c>
    </row>
    <row r="123" spans="2:17" hidden="1" x14ac:dyDescent="0.25">
      <c r="B123" s="13"/>
      <c r="C123" s="13" t="s">
        <v>56</v>
      </c>
      <c r="D123" s="22" t="s">
        <v>50</v>
      </c>
      <c r="E123" s="53" t="e">
        <f>Production!#REF!*'QA_Mix design'!D35</f>
        <v>#REF!</v>
      </c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56" t="e">
        <f t="shared" si="28"/>
        <v>#REF!</v>
      </c>
    </row>
    <row r="124" spans="2:17" hidden="1" x14ac:dyDescent="0.25">
      <c r="B124" s="13"/>
      <c r="C124" s="13"/>
      <c r="D124" s="22" t="s">
        <v>52</v>
      </c>
      <c r="E124" s="53" t="e">
        <f>Production!#REF!*'QA_Mix design'!D36</f>
        <v>#REF!</v>
      </c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56" t="e">
        <f t="shared" si="28"/>
        <v>#REF!</v>
      </c>
    </row>
    <row r="125" spans="2:17" hidden="1" x14ac:dyDescent="0.25">
      <c r="B125" s="13"/>
      <c r="C125" s="13"/>
      <c r="D125" s="22" t="s">
        <v>54</v>
      </c>
      <c r="E125" s="53" t="e">
        <f>Production!#REF!*'QA_Mix design'!D37</f>
        <v>#REF!</v>
      </c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56" t="e">
        <f t="shared" si="28"/>
        <v>#REF!</v>
      </c>
    </row>
    <row r="126" spans="2:17" s="58" customFormat="1" hidden="1" x14ac:dyDescent="0.25">
      <c r="B126" s="59"/>
      <c r="C126" s="60"/>
      <c r="D126" s="60"/>
      <c r="E126" s="61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61"/>
    </row>
    <row r="127" spans="2:17" hidden="1" x14ac:dyDescent="0.25">
      <c r="B127" s="11" t="s">
        <v>57</v>
      </c>
      <c r="C127" s="13" t="s">
        <v>34</v>
      </c>
      <c r="D127" s="22" t="s">
        <v>50</v>
      </c>
      <c r="E127" s="56" t="e">
        <f>Production!#REF!*'QA_Mix design'!D17</f>
        <v>#REF!</v>
      </c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56" t="e">
        <f t="shared" ref="Q127:Q145" si="29">SUM(E127:P127)</f>
        <v>#REF!</v>
      </c>
    </row>
    <row r="128" spans="2:17" hidden="1" x14ac:dyDescent="0.25">
      <c r="B128" s="11"/>
      <c r="C128" s="13"/>
      <c r="D128" s="22" t="s">
        <v>51</v>
      </c>
      <c r="E128" s="56" t="e">
        <f>Production!#REF!*'QA_Mix design'!D18</f>
        <v>#REF!</v>
      </c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56" t="e">
        <f t="shared" si="29"/>
        <v>#REF!</v>
      </c>
    </row>
    <row r="129" spans="2:17" hidden="1" x14ac:dyDescent="0.25">
      <c r="B129" s="11"/>
      <c r="C129" s="13"/>
      <c r="D129" s="22" t="s">
        <v>52</v>
      </c>
      <c r="E129" s="56" t="e">
        <f>Production!#REF!*'QA_Mix design'!D19</f>
        <v>#REF!</v>
      </c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56" t="e">
        <f t="shared" si="29"/>
        <v>#REF!</v>
      </c>
    </row>
    <row r="130" spans="2:17" hidden="1" x14ac:dyDescent="0.25">
      <c r="B130" s="11"/>
      <c r="C130" s="13"/>
      <c r="D130" s="22" t="s">
        <v>54</v>
      </c>
      <c r="E130" s="56" t="e">
        <f>Production!#REF!*'QA_Mix design'!D20</f>
        <v>#REF!</v>
      </c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56" t="e">
        <f t="shared" si="29"/>
        <v>#REF!</v>
      </c>
    </row>
    <row r="131" spans="2:17" hidden="1" x14ac:dyDescent="0.25">
      <c r="B131" s="11"/>
      <c r="C131" s="13" t="s">
        <v>40</v>
      </c>
      <c r="D131" s="22" t="s">
        <v>50</v>
      </c>
      <c r="E131" s="56" t="e">
        <f>Production!#REF!*'QA_Mix design'!D10</f>
        <v>#REF!</v>
      </c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56" t="e">
        <f t="shared" si="29"/>
        <v>#REF!</v>
      </c>
    </row>
    <row r="132" spans="2:17" hidden="1" x14ac:dyDescent="0.25">
      <c r="B132" s="11"/>
      <c r="C132" s="13"/>
      <c r="D132" s="22" t="s">
        <v>51</v>
      </c>
      <c r="E132" s="56" t="e">
        <f>Production!#REF!*'QA_Mix design'!D11</f>
        <v>#REF!</v>
      </c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56" t="e">
        <f t="shared" si="29"/>
        <v>#REF!</v>
      </c>
    </row>
    <row r="133" spans="2:17" hidden="1" x14ac:dyDescent="0.25">
      <c r="B133" s="11"/>
      <c r="C133" s="13"/>
      <c r="D133" s="22" t="s">
        <v>52</v>
      </c>
      <c r="E133" s="56" t="e">
        <f>Production!#REF!*'QA_Mix design'!D12</f>
        <v>#REF!</v>
      </c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56" t="e">
        <f t="shared" si="29"/>
        <v>#REF!</v>
      </c>
    </row>
    <row r="134" spans="2:17" hidden="1" x14ac:dyDescent="0.25">
      <c r="B134" s="11"/>
      <c r="C134" s="13"/>
      <c r="D134" s="22" t="s">
        <v>54</v>
      </c>
      <c r="E134" s="56" t="e">
        <f>Production!#REF!*'QA_Mix design'!D13</f>
        <v>#REF!</v>
      </c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56" t="e">
        <f t="shared" si="29"/>
        <v>#REF!</v>
      </c>
    </row>
    <row r="135" spans="2:17" hidden="1" x14ac:dyDescent="0.25">
      <c r="B135" s="11"/>
      <c r="C135" s="13"/>
      <c r="D135" s="22" t="s">
        <v>55</v>
      </c>
      <c r="E135" s="56" t="e">
        <f>Production!#REF!*'QA_Mix design'!D14</f>
        <v>#REF!</v>
      </c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56" t="e">
        <f t="shared" si="29"/>
        <v>#REF!</v>
      </c>
    </row>
    <row r="136" spans="2:17" hidden="1" x14ac:dyDescent="0.25">
      <c r="B136" s="11"/>
      <c r="C136" s="13" t="s">
        <v>41</v>
      </c>
      <c r="D136" s="22" t="s">
        <v>50</v>
      </c>
      <c r="E136" s="56" t="e">
        <f>Production!#REF!*'QA_Mix design'!D23</f>
        <v>#REF!</v>
      </c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56" t="e">
        <f t="shared" si="29"/>
        <v>#REF!</v>
      </c>
    </row>
    <row r="137" spans="2:17" hidden="1" x14ac:dyDescent="0.25">
      <c r="B137" s="11"/>
      <c r="C137" s="13"/>
      <c r="D137" s="22" t="s">
        <v>51</v>
      </c>
      <c r="E137" s="56" t="e">
        <f>Production!#REF!*'QA_Mix design'!D24</f>
        <v>#REF!</v>
      </c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56" t="e">
        <f t="shared" si="29"/>
        <v>#REF!</v>
      </c>
    </row>
    <row r="138" spans="2:17" hidden="1" x14ac:dyDescent="0.25">
      <c r="B138" s="11"/>
      <c r="C138" s="13"/>
      <c r="D138" s="22" t="s">
        <v>52</v>
      </c>
      <c r="E138" s="56" t="e">
        <f>Production!#REF!*'QA_Mix design'!D25</f>
        <v>#REF!</v>
      </c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56" t="e">
        <f t="shared" si="29"/>
        <v>#REF!</v>
      </c>
    </row>
    <row r="139" spans="2:17" hidden="1" x14ac:dyDescent="0.25">
      <c r="B139" s="11"/>
      <c r="C139" s="13"/>
      <c r="D139" s="22" t="s">
        <v>54</v>
      </c>
      <c r="E139" s="56" t="e">
        <f>Production!#REF!*'QA_Mix design'!D26</f>
        <v>#REF!</v>
      </c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56" t="e">
        <f t="shared" si="29"/>
        <v>#REF!</v>
      </c>
    </row>
    <row r="140" spans="2:17" hidden="1" x14ac:dyDescent="0.25">
      <c r="B140" s="11"/>
      <c r="C140" s="13" t="s">
        <v>42</v>
      </c>
      <c r="D140" s="22" t="s">
        <v>50</v>
      </c>
      <c r="E140" s="56" t="e">
        <f>Production!#REF!*'QA_Mix design'!D29</f>
        <v>#REF!</v>
      </c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56" t="e">
        <f t="shared" si="29"/>
        <v>#REF!</v>
      </c>
    </row>
    <row r="141" spans="2:17" hidden="1" x14ac:dyDescent="0.25">
      <c r="B141" s="11"/>
      <c r="C141" s="13"/>
      <c r="D141" s="22" t="s">
        <v>51</v>
      </c>
      <c r="E141" s="56" t="e">
        <f>Production!#REF!*'QA_Mix design'!D30</f>
        <v>#REF!</v>
      </c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56" t="e">
        <f t="shared" si="29"/>
        <v>#REF!</v>
      </c>
    </row>
    <row r="142" spans="2:17" hidden="1" x14ac:dyDescent="0.25">
      <c r="B142" s="11"/>
      <c r="C142" s="13"/>
      <c r="D142" s="22" t="s">
        <v>52</v>
      </c>
      <c r="E142" s="56" t="e">
        <f>Production!#REF!*'QA_Mix design'!D31</f>
        <v>#REF!</v>
      </c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56" t="e">
        <f t="shared" si="29"/>
        <v>#REF!</v>
      </c>
    </row>
    <row r="143" spans="2:17" hidden="1" x14ac:dyDescent="0.25">
      <c r="B143" s="11"/>
      <c r="C143" s="13" t="s">
        <v>56</v>
      </c>
      <c r="D143" s="22" t="s">
        <v>50</v>
      </c>
      <c r="E143" s="56" t="e">
        <f>Production!#REF!*'QA_Mix design'!D35</f>
        <v>#REF!</v>
      </c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56" t="e">
        <f t="shared" si="29"/>
        <v>#REF!</v>
      </c>
    </row>
    <row r="144" spans="2:17" hidden="1" x14ac:dyDescent="0.25">
      <c r="B144" s="11"/>
      <c r="C144" s="13"/>
      <c r="D144" s="22" t="s">
        <v>52</v>
      </c>
      <c r="E144" s="56" t="e">
        <f>Production!#REF!*'QA_Mix design'!D36</f>
        <v>#REF!</v>
      </c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56" t="e">
        <f t="shared" si="29"/>
        <v>#REF!</v>
      </c>
    </row>
    <row r="145" spans="2:17" hidden="1" x14ac:dyDescent="0.25">
      <c r="B145" s="11"/>
      <c r="C145" s="13"/>
      <c r="D145" s="22" t="s">
        <v>54</v>
      </c>
      <c r="E145" s="56" t="e">
        <f>Production!#REF!*'QA_Mix design'!D37</f>
        <v>#REF!</v>
      </c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56" t="e">
        <f t="shared" si="29"/>
        <v>#REF!</v>
      </c>
    </row>
    <row r="146" spans="2:17" s="58" customFormat="1" hidden="1" x14ac:dyDescent="0.25">
      <c r="B146" s="63"/>
      <c r="C146" s="64"/>
      <c r="D146" s="64"/>
      <c r="E146" s="61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61"/>
    </row>
    <row r="147" spans="2:17" hidden="1" x14ac:dyDescent="0.25">
      <c r="B147" s="13" t="s">
        <v>31</v>
      </c>
      <c r="C147" s="13" t="s">
        <v>34</v>
      </c>
      <c r="D147" s="22" t="s">
        <v>50</v>
      </c>
      <c r="E147" s="56" t="e">
        <f>Production!#REF!*'QA_Mix design'!D17</f>
        <v>#REF!</v>
      </c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56" t="e">
        <f t="shared" ref="Q147:Q159" si="30">SUM(E147:P147)</f>
        <v>#REF!</v>
      </c>
    </row>
    <row r="148" spans="2:17" hidden="1" x14ac:dyDescent="0.25">
      <c r="B148" s="13"/>
      <c r="C148" s="13"/>
      <c r="D148" s="22" t="s">
        <v>51</v>
      </c>
      <c r="E148" s="56" t="e">
        <f>Production!#REF!*'QA_Mix design'!D18</f>
        <v>#REF!</v>
      </c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56" t="e">
        <f t="shared" si="30"/>
        <v>#REF!</v>
      </c>
    </row>
    <row r="149" spans="2:17" hidden="1" x14ac:dyDescent="0.25">
      <c r="B149" s="13"/>
      <c r="C149" s="13"/>
      <c r="D149" s="22" t="s">
        <v>52</v>
      </c>
      <c r="E149" s="56" t="e">
        <f>Production!#REF!*'QA_Mix design'!D19</f>
        <v>#REF!</v>
      </c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56" t="e">
        <f t="shared" si="30"/>
        <v>#REF!</v>
      </c>
    </row>
    <row r="150" spans="2:17" hidden="1" x14ac:dyDescent="0.25">
      <c r="B150" s="13"/>
      <c r="C150" s="13"/>
      <c r="D150" s="22" t="s">
        <v>54</v>
      </c>
      <c r="E150" s="56" t="e">
        <f>Production!#REF!*'QA_Mix design'!D20</f>
        <v>#REF!</v>
      </c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56" t="e">
        <f t="shared" si="30"/>
        <v>#REF!</v>
      </c>
    </row>
    <row r="151" spans="2:17" hidden="1" x14ac:dyDescent="0.25">
      <c r="B151" s="13"/>
      <c r="C151" s="13" t="s">
        <v>40</v>
      </c>
      <c r="D151" s="22" t="s">
        <v>50</v>
      </c>
      <c r="E151" s="56" t="e">
        <f>Production!#REF!*'QA_Mix design'!D10</f>
        <v>#REF!</v>
      </c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56" t="e">
        <f t="shared" si="30"/>
        <v>#REF!</v>
      </c>
    </row>
    <row r="152" spans="2:17" hidden="1" x14ac:dyDescent="0.25">
      <c r="B152" s="13"/>
      <c r="C152" s="13"/>
      <c r="D152" s="22" t="s">
        <v>51</v>
      </c>
      <c r="E152" s="56" t="e">
        <f>Production!#REF!*'QA_Mix design'!D11</f>
        <v>#REF!</v>
      </c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56" t="e">
        <f t="shared" si="30"/>
        <v>#REF!</v>
      </c>
    </row>
    <row r="153" spans="2:17" hidden="1" x14ac:dyDescent="0.25">
      <c r="B153" s="13"/>
      <c r="C153" s="13"/>
      <c r="D153" s="22" t="s">
        <v>52</v>
      </c>
      <c r="E153" s="56" t="e">
        <f>Production!#REF!*'QA_Mix design'!D12</f>
        <v>#REF!</v>
      </c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56" t="e">
        <f t="shared" si="30"/>
        <v>#REF!</v>
      </c>
    </row>
    <row r="154" spans="2:17" hidden="1" x14ac:dyDescent="0.25">
      <c r="B154" s="13"/>
      <c r="C154" s="13"/>
      <c r="D154" s="22" t="s">
        <v>54</v>
      </c>
      <c r="E154" s="56" t="e">
        <f>Production!#REF!*'QA_Mix design'!D13</f>
        <v>#REF!</v>
      </c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56" t="e">
        <f t="shared" si="30"/>
        <v>#REF!</v>
      </c>
    </row>
    <row r="155" spans="2:17" hidden="1" x14ac:dyDescent="0.25">
      <c r="B155" s="13"/>
      <c r="C155" s="13"/>
      <c r="D155" s="22" t="s">
        <v>55</v>
      </c>
      <c r="E155" s="56" t="e">
        <f>Production!#REF!*'QA_Mix design'!D14</f>
        <v>#REF!</v>
      </c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56" t="e">
        <f t="shared" si="30"/>
        <v>#REF!</v>
      </c>
    </row>
    <row r="156" spans="2:17" hidden="1" x14ac:dyDescent="0.25">
      <c r="B156" s="13"/>
      <c r="C156" s="13" t="s">
        <v>41</v>
      </c>
      <c r="D156" s="22" t="s">
        <v>50</v>
      </c>
      <c r="E156" s="56" t="e">
        <f>Production!#REF!*'QA_Mix design'!D23</f>
        <v>#REF!</v>
      </c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56" t="e">
        <f t="shared" si="30"/>
        <v>#REF!</v>
      </c>
    </row>
    <row r="157" spans="2:17" hidden="1" x14ac:dyDescent="0.25">
      <c r="B157" s="13"/>
      <c r="C157" s="13"/>
      <c r="D157" s="22" t="s">
        <v>51</v>
      </c>
      <c r="E157" s="56" t="e">
        <f>Production!#REF!*'QA_Mix design'!D24</f>
        <v>#REF!</v>
      </c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56" t="e">
        <f t="shared" si="30"/>
        <v>#REF!</v>
      </c>
    </row>
    <row r="158" spans="2:17" hidden="1" x14ac:dyDescent="0.25">
      <c r="B158" s="13"/>
      <c r="C158" s="13"/>
      <c r="D158" s="22" t="s">
        <v>52</v>
      </c>
      <c r="E158" s="56" t="e">
        <f>Production!#REF!*'QA_Mix design'!D25</f>
        <v>#REF!</v>
      </c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56" t="e">
        <f t="shared" si="30"/>
        <v>#REF!</v>
      </c>
    </row>
    <row r="159" spans="2:17" hidden="1" x14ac:dyDescent="0.25">
      <c r="B159" s="13"/>
      <c r="C159" s="13"/>
      <c r="D159" s="22" t="s">
        <v>54</v>
      </c>
      <c r="E159" s="56" t="e">
        <f>Production!#REF!*'QA_Mix design'!D26</f>
        <v>#REF!</v>
      </c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56" t="e">
        <f t="shared" si="30"/>
        <v>#REF!</v>
      </c>
    </row>
    <row r="160" spans="2:17" s="58" customFormat="1" hidden="1" x14ac:dyDescent="0.25">
      <c r="B160" s="63"/>
      <c r="C160" s="64"/>
      <c r="D160" s="64"/>
      <c r="E160" s="61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61"/>
    </row>
    <row r="161" spans="3:5" hidden="1" x14ac:dyDescent="0.25"/>
    <row r="162" spans="3:5" hidden="1" x14ac:dyDescent="0.25">
      <c r="C162" s="58" t="s">
        <v>48</v>
      </c>
    </row>
    <row r="163" spans="3:5" hidden="1" x14ac:dyDescent="0.25">
      <c r="C163" s="2" t="s">
        <v>33</v>
      </c>
      <c r="D163" s="22" t="s">
        <v>50</v>
      </c>
      <c r="E163" s="53" t="e">
        <f>E104</f>
        <v>#REF!</v>
      </c>
    </row>
    <row r="164" spans="3:5" hidden="1" x14ac:dyDescent="0.25">
      <c r="C164" s="2"/>
      <c r="D164" s="22" t="s">
        <v>51</v>
      </c>
      <c r="E164" s="53" t="e">
        <f>E105</f>
        <v>#REF!</v>
      </c>
    </row>
    <row r="165" spans="3:5" hidden="1" x14ac:dyDescent="0.25">
      <c r="C165" s="2"/>
      <c r="D165" s="22" t="s">
        <v>52</v>
      </c>
      <c r="E165" s="53" t="e">
        <f>E106</f>
        <v>#REF!</v>
      </c>
    </row>
    <row r="166" spans="3:5" hidden="1" x14ac:dyDescent="0.25"/>
    <row r="167" spans="3:5" hidden="1" x14ac:dyDescent="0.25">
      <c r="C167" s="58" t="s">
        <v>48</v>
      </c>
    </row>
    <row r="168" spans="3:5" hidden="1" x14ac:dyDescent="0.25">
      <c r="C168" s="3" t="s">
        <v>58</v>
      </c>
      <c r="D168" s="22" t="s">
        <v>50</v>
      </c>
      <c r="E168" s="53" t="e">
        <f>E107+E111+E116+E120+E123</f>
        <v>#REF!</v>
      </c>
    </row>
    <row r="169" spans="3:5" hidden="1" x14ac:dyDescent="0.25">
      <c r="C169" s="3"/>
      <c r="D169" s="22" t="s">
        <v>51</v>
      </c>
      <c r="E169" s="53" t="e">
        <f>E108+E112+E117+E121</f>
        <v>#REF!</v>
      </c>
    </row>
    <row r="170" spans="3:5" hidden="1" x14ac:dyDescent="0.25">
      <c r="C170" s="3"/>
      <c r="D170" s="22" t="s">
        <v>52</v>
      </c>
      <c r="E170" s="53" t="e">
        <f>E109+E113+E118+E122+E124</f>
        <v>#REF!</v>
      </c>
    </row>
    <row r="171" spans="3:5" hidden="1" x14ac:dyDescent="0.25">
      <c r="C171" s="3"/>
      <c r="D171" s="22" t="s">
        <v>54</v>
      </c>
      <c r="E171" s="56" t="e">
        <f>+E110+E114+E119+E125</f>
        <v>#REF!</v>
      </c>
    </row>
    <row r="172" spans="3:5" hidden="1" x14ac:dyDescent="0.25">
      <c r="C172" s="3"/>
      <c r="D172" s="22" t="s">
        <v>55</v>
      </c>
      <c r="E172" s="56" t="e">
        <f>E115</f>
        <v>#REF!</v>
      </c>
    </row>
    <row r="173" spans="3:5" hidden="1" x14ac:dyDescent="0.25"/>
    <row r="174" spans="3:5" hidden="1" x14ac:dyDescent="0.25">
      <c r="C174" s="58" t="s">
        <v>48</v>
      </c>
    </row>
    <row r="175" spans="3:5" hidden="1" x14ac:dyDescent="0.25">
      <c r="C175" s="3" t="s">
        <v>59</v>
      </c>
      <c r="D175" s="22" t="s">
        <v>50</v>
      </c>
      <c r="E175" s="53" t="e">
        <f>E127+E131+E136+E140+E143</f>
        <v>#REF!</v>
      </c>
    </row>
    <row r="176" spans="3:5" hidden="1" x14ac:dyDescent="0.25">
      <c r="C176" s="3"/>
      <c r="D176" s="22" t="s">
        <v>51</v>
      </c>
      <c r="E176" s="53" t="e">
        <f>E128+E132+E137+E141</f>
        <v>#REF!</v>
      </c>
    </row>
    <row r="177" spans="3:17" hidden="1" x14ac:dyDescent="0.25">
      <c r="C177" s="3"/>
      <c r="D177" s="22" t="s">
        <v>52</v>
      </c>
      <c r="E177" s="53" t="e">
        <f>E129+E133+E138+E142+E144</f>
        <v>#REF!</v>
      </c>
    </row>
    <row r="178" spans="3:17" hidden="1" x14ac:dyDescent="0.25">
      <c r="C178" s="3"/>
      <c r="D178" s="22" t="s">
        <v>54</v>
      </c>
      <c r="E178" s="56" t="e">
        <f>E130+E134+E139+E145</f>
        <v>#REF!</v>
      </c>
    </row>
    <row r="179" spans="3:17" hidden="1" x14ac:dyDescent="0.25">
      <c r="C179" s="3"/>
      <c r="D179" s="22" t="s">
        <v>55</v>
      </c>
      <c r="E179" s="56" t="e">
        <f>E135</f>
        <v>#REF!</v>
      </c>
    </row>
    <row r="180" spans="3:17" hidden="1" x14ac:dyDescent="0.25"/>
    <row r="181" spans="3:17" hidden="1" x14ac:dyDescent="0.25">
      <c r="C181" s="58" t="s">
        <v>48</v>
      </c>
    </row>
    <row r="182" spans="3:17" hidden="1" x14ac:dyDescent="0.25">
      <c r="C182" s="3" t="s">
        <v>60</v>
      </c>
      <c r="D182" s="22" t="s">
        <v>50</v>
      </c>
      <c r="E182" s="53" t="e">
        <f>E147+E151+E156</f>
        <v>#REF!</v>
      </c>
    </row>
    <row r="183" spans="3:17" hidden="1" x14ac:dyDescent="0.25">
      <c r="C183" s="3"/>
      <c r="D183" s="22" t="s">
        <v>51</v>
      </c>
      <c r="E183" s="53" t="e">
        <f>E148+E152+E157</f>
        <v>#REF!</v>
      </c>
    </row>
    <row r="184" spans="3:17" hidden="1" x14ac:dyDescent="0.25">
      <c r="C184" s="3"/>
      <c r="D184" s="22" t="s">
        <v>52</v>
      </c>
      <c r="E184" s="53" t="e">
        <f>E149+E153+E158</f>
        <v>#REF!</v>
      </c>
    </row>
    <row r="185" spans="3:17" hidden="1" x14ac:dyDescent="0.25">
      <c r="C185" s="3"/>
      <c r="D185" s="22" t="s">
        <v>54</v>
      </c>
      <c r="E185" s="56" t="e">
        <f>E150+E154+E159</f>
        <v>#REF!</v>
      </c>
    </row>
    <row r="186" spans="3:17" hidden="1" x14ac:dyDescent="0.25">
      <c r="C186" s="3"/>
      <c r="D186" s="22" t="s">
        <v>55</v>
      </c>
      <c r="E186" s="53" t="e">
        <f>E155+0</f>
        <v>#REF!</v>
      </c>
    </row>
    <row r="187" spans="3:17" hidden="1" x14ac:dyDescent="0.25"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52" t="e">
        <f>#REF!</f>
        <v>#REF!</v>
      </c>
    </row>
    <row r="188" spans="3:17" hidden="1" x14ac:dyDescent="0.25">
      <c r="C188" s="11" t="s">
        <v>23</v>
      </c>
      <c r="D188" s="22" t="s">
        <v>50</v>
      </c>
      <c r="E188" s="53" t="e">
        <f>E163+E168+E175+E182</f>
        <v>#REF!</v>
      </c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53" t="e">
        <f>SUM(E188:P188)</f>
        <v>#REF!</v>
      </c>
    </row>
    <row r="189" spans="3:17" hidden="1" x14ac:dyDescent="0.25">
      <c r="C189" s="11"/>
      <c r="D189" s="22" t="s">
        <v>51</v>
      </c>
      <c r="E189" s="53" t="e">
        <f>E164+E169+E176+E183</f>
        <v>#REF!</v>
      </c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53" t="e">
        <f>SUM(E189:P189)</f>
        <v>#REF!</v>
      </c>
    </row>
    <row r="190" spans="3:17" hidden="1" x14ac:dyDescent="0.25">
      <c r="C190" s="11"/>
      <c r="D190" s="22" t="s">
        <v>52</v>
      </c>
      <c r="E190" s="53" t="e">
        <f>E165+E170+E177+E184</f>
        <v>#REF!</v>
      </c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53" t="e">
        <f>SUM(E190:P190)</f>
        <v>#REF!</v>
      </c>
    </row>
    <row r="191" spans="3:17" hidden="1" x14ac:dyDescent="0.25">
      <c r="C191" s="11"/>
      <c r="D191" s="22" t="s">
        <v>54</v>
      </c>
      <c r="E191" s="53" t="e">
        <f>E171+E178+E185</f>
        <v>#REF!</v>
      </c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53" t="e">
        <f>SUM(E191:P191)</f>
        <v>#REF!</v>
      </c>
    </row>
    <row r="192" spans="3:17" hidden="1" x14ac:dyDescent="0.25">
      <c r="C192" s="11"/>
      <c r="D192" s="22" t="s">
        <v>55</v>
      </c>
      <c r="E192" s="53" t="e">
        <f>E172+E179+E186</f>
        <v>#REF!</v>
      </c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53" t="e">
        <f>SUM(E192:P192)</f>
        <v>#REF!</v>
      </c>
    </row>
    <row r="193" spans="2:17" hidden="1" x14ac:dyDescent="0.25"/>
    <row r="194" spans="2:17" hidden="1" x14ac:dyDescent="0.25">
      <c r="B194" s="111" t="e">
        <f>Production!#REF!</f>
        <v>#REF!</v>
      </c>
      <c r="C194" s="111"/>
      <c r="D194" s="111"/>
    </row>
    <row r="195" spans="2:17" hidden="1" x14ac:dyDescent="0.25">
      <c r="B195" s="51" t="s">
        <v>0</v>
      </c>
      <c r="C195" s="52" t="s">
        <v>15</v>
      </c>
      <c r="D195" s="52"/>
      <c r="E195" s="52">
        <v>43807</v>
      </c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52" t="s">
        <v>61</v>
      </c>
    </row>
    <row r="196" spans="2:17" hidden="1" x14ac:dyDescent="0.25">
      <c r="B196" s="13" t="s">
        <v>49</v>
      </c>
      <c r="C196" s="13" t="s">
        <v>34</v>
      </c>
      <c r="D196" s="22" t="s">
        <v>50</v>
      </c>
      <c r="E196" s="56" t="e">
        <f>Production!#REF!*'QA_Mix design'!D4</f>
        <v>#REF!</v>
      </c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53" t="e">
        <f t="shared" ref="Q196:Q217" si="31">SUM(E196:P196)</f>
        <v>#REF!</v>
      </c>
    </row>
    <row r="197" spans="2:17" hidden="1" x14ac:dyDescent="0.25">
      <c r="B197" s="13"/>
      <c r="C197" s="13"/>
      <c r="D197" s="22" t="s">
        <v>51</v>
      </c>
      <c r="E197" s="56" t="e">
        <f>Production!#REF!*'QA_Mix design'!D5</f>
        <v>#REF!</v>
      </c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53" t="e">
        <f t="shared" si="31"/>
        <v>#REF!</v>
      </c>
    </row>
    <row r="198" spans="2:17" hidden="1" x14ac:dyDescent="0.25">
      <c r="B198" s="13"/>
      <c r="C198" s="13"/>
      <c r="D198" s="22" t="s">
        <v>52</v>
      </c>
      <c r="E198" s="56" t="e">
        <f>Production!#REF!*'QA_Mix design'!D6</f>
        <v>#REF!</v>
      </c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53" t="e">
        <f t="shared" si="31"/>
        <v>#REF!</v>
      </c>
    </row>
    <row r="199" spans="2:17" hidden="1" x14ac:dyDescent="0.25">
      <c r="B199" s="13" t="s">
        <v>53</v>
      </c>
      <c r="C199" s="13" t="s">
        <v>34</v>
      </c>
      <c r="D199" s="22" t="s">
        <v>50</v>
      </c>
      <c r="E199" s="56" t="e">
        <f>Production!#REF!*'QA_Mix design'!D17</f>
        <v>#REF!</v>
      </c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53" t="e">
        <f t="shared" si="31"/>
        <v>#REF!</v>
      </c>
    </row>
    <row r="200" spans="2:17" hidden="1" x14ac:dyDescent="0.25">
      <c r="B200" s="13"/>
      <c r="C200" s="13"/>
      <c r="D200" s="22" t="s">
        <v>51</v>
      </c>
      <c r="E200" s="56" t="e">
        <f>Production!#REF!*'QA_Mix design'!D18</f>
        <v>#REF!</v>
      </c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53" t="e">
        <f t="shared" si="31"/>
        <v>#REF!</v>
      </c>
    </row>
    <row r="201" spans="2:17" hidden="1" x14ac:dyDescent="0.25">
      <c r="B201" s="13"/>
      <c r="C201" s="13"/>
      <c r="D201" s="22" t="s">
        <v>52</v>
      </c>
      <c r="E201" s="56" t="e">
        <f>Production!#REF!*'QA_Mix design'!D19</f>
        <v>#REF!</v>
      </c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53" t="e">
        <f t="shared" si="31"/>
        <v>#REF!</v>
      </c>
    </row>
    <row r="202" spans="2:17" hidden="1" x14ac:dyDescent="0.25">
      <c r="B202" s="13"/>
      <c r="C202" s="13"/>
      <c r="D202" s="22" t="s">
        <v>54</v>
      </c>
      <c r="E202" s="56" t="e">
        <f>Production!#REF!*'QA_Mix design'!D20</f>
        <v>#REF!</v>
      </c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53" t="e">
        <f t="shared" si="31"/>
        <v>#REF!</v>
      </c>
    </row>
    <row r="203" spans="2:17" hidden="1" x14ac:dyDescent="0.25">
      <c r="B203" s="13"/>
      <c r="C203" s="13" t="s">
        <v>40</v>
      </c>
      <c r="D203" s="22" t="s">
        <v>50</v>
      </c>
      <c r="E203" s="56" t="e">
        <f>Production!#REF!*'QA_Mix design'!D10</f>
        <v>#REF!</v>
      </c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56" t="e">
        <f t="shared" si="31"/>
        <v>#REF!</v>
      </c>
    </row>
    <row r="204" spans="2:17" hidden="1" x14ac:dyDescent="0.25">
      <c r="B204" s="13"/>
      <c r="C204" s="13"/>
      <c r="D204" s="22" t="s">
        <v>51</v>
      </c>
      <c r="E204" s="56" t="e">
        <f>Production!#REF!*'QA_Mix design'!D11</f>
        <v>#REF!</v>
      </c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56" t="e">
        <f t="shared" si="31"/>
        <v>#REF!</v>
      </c>
    </row>
    <row r="205" spans="2:17" hidden="1" x14ac:dyDescent="0.25">
      <c r="B205" s="13"/>
      <c r="C205" s="13"/>
      <c r="D205" s="22" t="s">
        <v>52</v>
      </c>
      <c r="E205" s="56" t="e">
        <f>Production!#REF!*'QA_Mix design'!D12</f>
        <v>#REF!</v>
      </c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56" t="e">
        <f t="shared" si="31"/>
        <v>#REF!</v>
      </c>
    </row>
    <row r="206" spans="2:17" hidden="1" x14ac:dyDescent="0.25">
      <c r="B206" s="13"/>
      <c r="C206" s="13"/>
      <c r="D206" s="22" t="s">
        <v>54</v>
      </c>
      <c r="E206" s="56" t="e">
        <f>Production!#REF!*'QA_Mix design'!D13</f>
        <v>#REF!</v>
      </c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56" t="e">
        <f t="shared" si="31"/>
        <v>#REF!</v>
      </c>
    </row>
    <row r="207" spans="2:17" hidden="1" x14ac:dyDescent="0.25">
      <c r="B207" s="13"/>
      <c r="C207" s="13"/>
      <c r="D207" s="22" t="s">
        <v>55</v>
      </c>
      <c r="E207" s="56" t="e">
        <f>Production!#REF!*'QA_Mix design'!D14</f>
        <v>#REF!</v>
      </c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56" t="e">
        <f t="shared" si="31"/>
        <v>#REF!</v>
      </c>
    </row>
    <row r="208" spans="2:17" hidden="1" x14ac:dyDescent="0.25">
      <c r="B208" s="13"/>
      <c r="C208" s="13" t="s">
        <v>41</v>
      </c>
      <c r="D208" s="22" t="s">
        <v>50</v>
      </c>
      <c r="E208" s="56" t="e">
        <f>Production!#REF!*'QA_Mix design'!D23</f>
        <v>#REF!</v>
      </c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56" t="e">
        <f t="shared" si="31"/>
        <v>#REF!</v>
      </c>
    </row>
    <row r="209" spans="2:17" hidden="1" x14ac:dyDescent="0.25">
      <c r="B209" s="13"/>
      <c r="C209" s="13"/>
      <c r="D209" s="22" t="s">
        <v>51</v>
      </c>
      <c r="E209" s="56" t="e">
        <f>Production!#REF!*'QA_Mix design'!D24</f>
        <v>#REF!</v>
      </c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56" t="e">
        <f t="shared" si="31"/>
        <v>#REF!</v>
      </c>
    </row>
    <row r="210" spans="2:17" hidden="1" x14ac:dyDescent="0.25">
      <c r="B210" s="13"/>
      <c r="C210" s="13"/>
      <c r="D210" s="22" t="s">
        <v>52</v>
      </c>
      <c r="E210" s="56" t="e">
        <f>Production!#REF!*'QA_Mix design'!D25</f>
        <v>#REF!</v>
      </c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56" t="e">
        <f t="shared" si="31"/>
        <v>#REF!</v>
      </c>
    </row>
    <row r="211" spans="2:17" hidden="1" x14ac:dyDescent="0.25">
      <c r="B211" s="13"/>
      <c r="C211" s="13"/>
      <c r="D211" s="22" t="s">
        <v>54</v>
      </c>
      <c r="E211" s="56" t="e">
        <f>Production!#REF!*'QA_Mix design'!D26</f>
        <v>#REF!</v>
      </c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56" t="e">
        <f t="shared" si="31"/>
        <v>#REF!</v>
      </c>
    </row>
    <row r="212" spans="2:17" hidden="1" x14ac:dyDescent="0.25">
      <c r="B212" s="13"/>
      <c r="C212" s="13" t="s">
        <v>42</v>
      </c>
      <c r="D212" s="22" t="s">
        <v>50</v>
      </c>
      <c r="E212" s="53" t="e">
        <f>Production!#REF!*'QA_Mix design'!D29</f>
        <v>#REF!</v>
      </c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56" t="e">
        <f t="shared" si="31"/>
        <v>#REF!</v>
      </c>
    </row>
    <row r="213" spans="2:17" hidden="1" x14ac:dyDescent="0.25">
      <c r="B213" s="13"/>
      <c r="C213" s="13"/>
      <c r="D213" s="22" t="s">
        <v>51</v>
      </c>
      <c r="E213" s="53" t="e">
        <f>Production!#REF!*'QA_Mix design'!D30</f>
        <v>#REF!</v>
      </c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56" t="e">
        <f t="shared" si="31"/>
        <v>#REF!</v>
      </c>
    </row>
    <row r="214" spans="2:17" hidden="1" x14ac:dyDescent="0.25">
      <c r="B214" s="13"/>
      <c r="C214" s="13"/>
      <c r="D214" s="22" t="s">
        <v>52</v>
      </c>
      <c r="E214" s="53" t="e">
        <f>Production!#REF!*'QA_Mix design'!D31</f>
        <v>#REF!</v>
      </c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56" t="e">
        <f t="shared" si="31"/>
        <v>#REF!</v>
      </c>
    </row>
    <row r="215" spans="2:17" hidden="1" x14ac:dyDescent="0.25">
      <c r="B215" s="13"/>
      <c r="C215" s="13" t="s">
        <v>56</v>
      </c>
      <c r="D215" s="22" t="s">
        <v>50</v>
      </c>
      <c r="E215" s="53" t="e">
        <f>Production!#REF!*'QA_Mix design'!D35</f>
        <v>#REF!</v>
      </c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56" t="e">
        <f t="shared" si="31"/>
        <v>#REF!</v>
      </c>
    </row>
    <row r="216" spans="2:17" hidden="1" x14ac:dyDescent="0.25">
      <c r="B216" s="13"/>
      <c r="C216" s="13"/>
      <c r="D216" s="22" t="s">
        <v>52</v>
      </c>
      <c r="E216" s="53" t="e">
        <f>Production!#REF!*'QA_Mix design'!D36</f>
        <v>#REF!</v>
      </c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56" t="e">
        <f t="shared" si="31"/>
        <v>#REF!</v>
      </c>
    </row>
    <row r="217" spans="2:17" hidden="1" x14ac:dyDescent="0.25">
      <c r="B217" s="13"/>
      <c r="C217" s="13"/>
      <c r="D217" s="22" t="s">
        <v>54</v>
      </c>
      <c r="E217" s="53" t="e">
        <f>Production!#REF!*'QA_Mix design'!D37</f>
        <v>#REF!</v>
      </c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56" t="e">
        <f t="shared" si="31"/>
        <v>#REF!</v>
      </c>
    </row>
    <row r="218" spans="2:17" s="58" customFormat="1" hidden="1" x14ac:dyDescent="0.25">
      <c r="B218" s="59"/>
      <c r="C218" s="60"/>
      <c r="D218" s="60"/>
      <c r="E218" s="61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61"/>
    </row>
    <row r="219" spans="2:17" hidden="1" x14ac:dyDescent="0.25">
      <c r="B219" s="11" t="s">
        <v>57</v>
      </c>
      <c r="C219" s="13" t="s">
        <v>34</v>
      </c>
      <c r="D219" s="22" t="s">
        <v>50</v>
      </c>
      <c r="E219" s="56" t="e">
        <f>Production!#REF!*'QA_Mix design'!D17</f>
        <v>#REF!</v>
      </c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56" t="e">
        <f t="shared" ref="Q219:Q237" si="32">SUM(E219:P219)</f>
        <v>#REF!</v>
      </c>
    </row>
    <row r="220" spans="2:17" hidden="1" x14ac:dyDescent="0.25">
      <c r="B220" s="11"/>
      <c r="C220" s="13"/>
      <c r="D220" s="22" t="s">
        <v>51</v>
      </c>
      <c r="E220" s="56" t="e">
        <f>Production!#REF!*'QA_Mix design'!D18</f>
        <v>#REF!</v>
      </c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56" t="e">
        <f t="shared" si="32"/>
        <v>#REF!</v>
      </c>
    </row>
    <row r="221" spans="2:17" hidden="1" x14ac:dyDescent="0.25">
      <c r="B221" s="11"/>
      <c r="C221" s="13"/>
      <c r="D221" s="22" t="s">
        <v>52</v>
      </c>
      <c r="E221" s="56" t="e">
        <f>Production!#REF!*'QA_Mix design'!D19</f>
        <v>#REF!</v>
      </c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56" t="e">
        <f t="shared" si="32"/>
        <v>#REF!</v>
      </c>
    </row>
    <row r="222" spans="2:17" hidden="1" x14ac:dyDescent="0.25">
      <c r="B222" s="11"/>
      <c r="C222" s="13"/>
      <c r="D222" s="22" t="s">
        <v>54</v>
      </c>
      <c r="E222" s="56" t="e">
        <f>Production!#REF!*'QA_Mix design'!D20</f>
        <v>#REF!</v>
      </c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56" t="e">
        <f t="shared" si="32"/>
        <v>#REF!</v>
      </c>
    </row>
    <row r="223" spans="2:17" hidden="1" x14ac:dyDescent="0.25">
      <c r="B223" s="11"/>
      <c r="C223" s="13" t="s">
        <v>40</v>
      </c>
      <c r="D223" s="22" t="s">
        <v>50</v>
      </c>
      <c r="E223" s="56" t="e">
        <f>Production!#REF!*'QA_Mix design'!D10</f>
        <v>#REF!</v>
      </c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56" t="e">
        <f t="shared" si="32"/>
        <v>#REF!</v>
      </c>
    </row>
    <row r="224" spans="2:17" hidden="1" x14ac:dyDescent="0.25">
      <c r="B224" s="11"/>
      <c r="C224" s="13"/>
      <c r="D224" s="22" t="s">
        <v>51</v>
      </c>
      <c r="E224" s="56" t="e">
        <f>Production!#REF!*'QA_Mix design'!D11</f>
        <v>#REF!</v>
      </c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56" t="e">
        <f t="shared" si="32"/>
        <v>#REF!</v>
      </c>
    </row>
    <row r="225" spans="2:17" hidden="1" x14ac:dyDescent="0.25">
      <c r="B225" s="11"/>
      <c r="C225" s="13"/>
      <c r="D225" s="22" t="s">
        <v>52</v>
      </c>
      <c r="E225" s="56" t="e">
        <f>Production!#REF!*'QA_Mix design'!D12</f>
        <v>#REF!</v>
      </c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56" t="e">
        <f t="shared" si="32"/>
        <v>#REF!</v>
      </c>
    </row>
    <row r="226" spans="2:17" hidden="1" x14ac:dyDescent="0.25">
      <c r="B226" s="11"/>
      <c r="C226" s="13"/>
      <c r="D226" s="22" t="s">
        <v>54</v>
      </c>
      <c r="E226" s="56" t="e">
        <f>Production!#REF!*'QA_Mix design'!D13</f>
        <v>#REF!</v>
      </c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56" t="e">
        <f t="shared" si="32"/>
        <v>#REF!</v>
      </c>
    </row>
    <row r="227" spans="2:17" hidden="1" x14ac:dyDescent="0.25">
      <c r="B227" s="11"/>
      <c r="C227" s="13"/>
      <c r="D227" s="22" t="s">
        <v>55</v>
      </c>
      <c r="E227" s="56" t="e">
        <f>Production!#REF!*'QA_Mix design'!D14</f>
        <v>#REF!</v>
      </c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56" t="e">
        <f t="shared" si="32"/>
        <v>#REF!</v>
      </c>
    </row>
    <row r="228" spans="2:17" hidden="1" x14ac:dyDescent="0.25">
      <c r="B228" s="11"/>
      <c r="C228" s="13" t="s">
        <v>41</v>
      </c>
      <c r="D228" s="22" t="s">
        <v>50</v>
      </c>
      <c r="E228" s="56" t="e">
        <f>Production!#REF!*'QA_Mix design'!D23</f>
        <v>#REF!</v>
      </c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56" t="e">
        <f t="shared" si="32"/>
        <v>#REF!</v>
      </c>
    </row>
    <row r="229" spans="2:17" hidden="1" x14ac:dyDescent="0.25">
      <c r="B229" s="11"/>
      <c r="C229" s="13"/>
      <c r="D229" s="22" t="s">
        <v>51</v>
      </c>
      <c r="E229" s="56" t="e">
        <f>Production!#REF!*'QA_Mix design'!D24</f>
        <v>#REF!</v>
      </c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56" t="e">
        <f t="shared" si="32"/>
        <v>#REF!</v>
      </c>
    </row>
    <row r="230" spans="2:17" hidden="1" x14ac:dyDescent="0.25">
      <c r="B230" s="11"/>
      <c r="C230" s="13"/>
      <c r="D230" s="22" t="s">
        <v>52</v>
      </c>
      <c r="E230" s="56" t="e">
        <f>Production!#REF!*'QA_Mix design'!D25</f>
        <v>#REF!</v>
      </c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56" t="e">
        <f t="shared" si="32"/>
        <v>#REF!</v>
      </c>
    </row>
    <row r="231" spans="2:17" hidden="1" x14ac:dyDescent="0.25">
      <c r="B231" s="11"/>
      <c r="C231" s="13"/>
      <c r="D231" s="22" t="s">
        <v>54</v>
      </c>
      <c r="E231" s="56" t="e">
        <f>Production!#REF!*'QA_Mix design'!D26</f>
        <v>#REF!</v>
      </c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56" t="e">
        <f t="shared" si="32"/>
        <v>#REF!</v>
      </c>
    </row>
    <row r="232" spans="2:17" hidden="1" x14ac:dyDescent="0.25">
      <c r="B232" s="11"/>
      <c r="C232" s="13" t="s">
        <v>42</v>
      </c>
      <c r="D232" s="22" t="s">
        <v>50</v>
      </c>
      <c r="E232" s="56" t="e">
        <f>Production!#REF!*'QA_Mix design'!D29</f>
        <v>#REF!</v>
      </c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56" t="e">
        <f t="shared" si="32"/>
        <v>#REF!</v>
      </c>
    </row>
    <row r="233" spans="2:17" hidden="1" x14ac:dyDescent="0.25">
      <c r="B233" s="11"/>
      <c r="C233" s="13"/>
      <c r="D233" s="22" t="s">
        <v>51</v>
      </c>
      <c r="E233" s="56" t="e">
        <f>Production!#REF!*'QA_Mix design'!D30</f>
        <v>#REF!</v>
      </c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56" t="e">
        <f t="shared" si="32"/>
        <v>#REF!</v>
      </c>
    </row>
    <row r="234" spans="2:17" hidden="1" x14ac:dyDescent="0.25">
      <c r="B234" s="11"/>
      <c r="C234" s="13"/>
      <c r="D234" s="22" t="s">
        <v>52</v>
      </c>
      <c r="E234" s="56" t="e">
        <f>Production!#REF!*'QA_Mix design'!D31</f>
        <v>#REF!</v>
      </c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56" t="e">
        <f t="shared" si="32"/>
        <v>#REF!</v>
      </c>
    </row>
    <row r="235" spans="2:17" hidden="1" x14ac:dyDescent="0.25">
      <c r="B235" s="11"/>
      <c r="C235" s="13" t="s">
        <v>56</v>
      </c>
      <c r="D235" s="22" t="s">
        <v>50</v>
      </c>
      <c r="E235" s="56" t="e">
        <f>Production!#REF!*'QA_Mix design'!D35</f>
        <v>#REF!</v>
      </c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56" t="e">
        <f t="shared" si="32"/>
        <v>#REF!</v>
      </c>
    </row>
    <row r="236" spans="2:17" hidden="1" x14ac:dyDescent="0.25">
      <c r="B236" s="11"/>
      <c r="C236" s="13"/>
      <c r="D236" s="22" t="s">
        <v>52</v>
      </c>
      <c r="E236" s="56" t="e">
        <f>Production!#REF!*'QA_Mix design'!D36</f>
        <v>#REF!</v>
      </c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56" t="e">
        <f t="shared" si="32"/>
        <v>#REF!</v>
      </c>
    </row>
    <row r="237" spans="2:17" hidden="1" x14ac:dyDescent="0.25">
      <c r="B237" s="11"/>
      <c r="C237" s="13"/>
      <c r="D237" s="22" t="s">
        <v>54</v>
      </c>
      <c r="E237" s="56" t="e">
        <f>Production!#REF!*'QA_Mix design'!D37</f>
        <v>#REF!</v>
      </c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56" t="e">
        <f t="shared" si="32"/>
        <v>#REF!</v>
      </c>
    </row>
    <row r="238" spans="2:17" s="58" customFormat="1" hidden="1" x14ac:dyDescent="0.25">
      <c r="B238" s="63"/>
      <c r="C238" s="64"/>
      <c r="D238" s="64"/>
      <c r="E238" s="61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61"/>
    </row>
    <row r="239" spans="2:17" hidden="1" x14ac:dyDescent="0.25">
      <c r="B239" s="13" t="s">
        <v>31</v>
      </c>
      <c r="C239" s="13" t="s">
        <v>34</v>
      </c>
      <c r="D239" s="22" t="s">
        <v>50</v>
      </c>
      <c r="E239" s="56" t="e">
        <f>Production!#REF!*'QA_Mix design'!D17</f>
        <v>#REF!</v>
      </c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56" t="e">
        <f t="shared" ref="Q239:Q251" si="33">SUM(E239:P239)</f>
        <v>#REF!</v>
      </c>
    </row>
    <row r="240" spans="2:17" hidden="1" x14ac:dyDescent="0.25">
      <c r="B240" s="13"/>
      <c r="C240" s="13"/>
      <c r="D240" s="22" t="s">
        <v>51</v>
      </c>
      <c r="E240" s="56" t="e">
        <f>Production!#REF!*'QA_Mix design'!D18</f>
        <v>#REF!</v>
      </c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56" t="e">
        <f t="shared" si="33"/>
        <v>#REF!</v>
      </c>
    </row>
    <row r="241" spans="2:17" hidden="1" x14ac:dyDescent="0.25">
      <c r="B241" s="13"/>
      <c r="C241" s="13"/>
      <c r="D241" s="22" t="s">
        <v>52</v>
      </c>
      <c r="E241" s="56" t="e">
        <f>Production!#REF!*'QA_Mix design'!D19</f>
        <v>#REF!</v>
      </c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56" t="e">
        <f t="shared" si="33"/>
        <v>#REF!</v>
      </c>
    </row>
    <row r="242" spans="2:17" hidden="1" x14ac:dyDescent="0.25">
      <c r="B242" s="13"/>
      <c r="C242" s="13"/>
      <c r="D242" s="22" t="s">
        <v>54</v>
      </c>
      <c r="E242" s="56" t="e">
        <f>Production!#REF!*'QA_Mix design'!D20</f>
        <v>#REF!</v>
      </c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56" t="e">
        <f t="shared" si="33"/>
        <v>#REF!</v>
      </c>
    </row>
    <row r="243" spans="2:17" hidden="1" x14ac:dyDescent="0.25">
      <c r="B243" s="13"/>
      <c r="C243" s="13" t="s">
        <v>40</v>
      </c>
      <c r="D243" s="22" t="s">
        <v>50</v>
      </c>
      <c r="E243" s="56" t="e">
        <f>Production!#REF!*'QA_Mix design'!D10</f>
        <v>#REF!</v>
      </c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56" t="e">
        <f t="shared" si="33"/>
        <v>#REF!</v>
      </c>
    </row>
    <row r="244" spans="2:17" hidden="1" x14ac:dyDescent="0.25">
      <c r="B244" s="13"/>
      <c r="C244" s="13"/>
      <c r="D244" s="22" t="s">
        <v>51</v>
      </c>
      <c r="E244" s="56" t="e">
        <f>Production!#REF!*'QA_Mix design'!D11</f>
        <v>#REF!</v>
      </c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56" t="e">
        <f t="shared" si="33"/>
        <v>#REF!</v>
      </c>
    </row>
    <row r="245" spans="2:17" hidden="1" x14ac:dyDescent="0.25">
      <c r="B245" s="13"/>
      <c r="C245" s="13"/>
      <c r="D245" s="22" t="s">
        <v>52</v>
      </c>
      <c r="E245" s="56" t="e">
        <f>Production!#REF!*'QA_Mix design'!D12</f>
        <v>#REF!</v>
      </c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56" t="e">
        <f t="shared" si="33"/>
        <v>#REF!</v>
      </c>
    </row>
    <row r="246" spans="2:17" hidden="1" x14ac:dyDescent="0.25">
      <c r="B246" s="13"/>
      <c r="C246" s="13"/>
      <c r="D246" s="22" t="s">
        <v>54</v>
      </c>
      <c r="E246" s="56" t="e">
        <f>Production!#REF!*'QA_Mix design'!D13</f>
        <v>#REF!</v>
      </c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56" t="e">
        <f t="shared" si="33"/>
        <v>#REF!</v>
      </c>
    </row>
    <row r="247" spans="2:17" hidden="1" x14ac:dyDescent="0.25">
      <c r="B247" s="13"/>
      <c r="C247" s="13"/>
      <c r="D247" s="22" t="s">
        <v>55</v>
      </c>
      <c r="E247" s="56" t="e">
        <f>Production!#REF!*'QA_Mix design'!D14</f>
        <v>#REF!</v>
      </c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56" t="e">
        <f t="shared" si="33"/>
        <v>#REF!</v>
      </c>
    </row>
    <row r="248" spans="2:17" hidden="1" x14ac:dyDescent="0.25">
      <c r="B248" s="13"/>
      <c r="C248" s="13" t="s">
        <v>41</v>
      </c>
      <c r="D248" s="22" t="s">
        <v>50</v>
      </c>
      <c r="E248" s="56" t="e">
        <f>Production!#REF!*'QA_Mix design'!D23</f>
        <v>#REF!</v>
      </c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56" t="e">
        <f t="shared" si="33"/>
        <v>#REF!</v>
      </c>
    </row>
    <row r="249" spans="2:17" hidden="1" x14ac:dyDescent="0.25">
      <c r="B249" s="13"/>
      <c r="C249" s="13"/>
      <c r="D249" s="22" t="s">
        <v>51</v>
      </c>
      <c r="E249" s="56" t="e">
        <f>Production!#REF!*'QA_Mix design'!D24</f>
        <v>#REF!</v>
      </c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56" t="e">
        <f t="shared" si="33"/>
        <v>#REF!</v>
      </c>
    </row>
    <row r="250" spans="2:17" hidden="1" x14ac:dyDescent="0.25">
      <c r="B250" s="13"/>
      <c r="C250" s="13"/>
      <c r="D250" s="22" t="s">
        <v>52</v>
      </c>
      <c r="E250" s="56" t="e">
        <f>Production!#REF!*'QA_Mix design'!D25</f>
        <v>#REF!</v>
      </c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56" t="e">
        <f t="shared" si="33"/>
        <v>#REF!</v>
      </c>
    </row>
    <row r="251" spans="2:17" hidden="1" x14ac:dyDescent="0.25">
      <c r="B251" s="13"/>
      <c r="C251" s="13"/>
      <c r="D251" s="22" t="s">
        <v>54</v>
      </c>
      <c r="E251" s="56" t="e">
        <f>Production!#REF!*'QA_Mix design'!D26</f>
        <v>#REF!</v>
      </c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56" t="e">
        <f t="shared" si="33"/>
        <v>#REF!</v>
      </c>
    </row>
    <row r="252" spans="2:17" s="58" customFormat="1" hidden="1" x14ac:dyDescent="0.25">
      <c r="B252" s="63"/>
      <c r="C252" s="64"/>
      <c r="D252" s="64"/>
      <c r="E252" s="61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61"/>
    </row>
    <row r="253" spans="2:17" hidden="1" x14ac:dyDescent="0.25"/>
    <row r="254" spans="2:17" hidden="1" x14ac:dyDescent="0.25">
      <c r="C254" s="58" t="s">
        <v>48</v>
      </c>
    </row>
    <row r="255" spans="2:17" hidden="1" x14ac:dyDescent="0.25">
      <c r="C255" s="2" t="s">
        <v>33</v>
      </c>
      <c r="D255" s="22" t="s">
        <v>50</v>
      </c>
      <c r="E255" s="53" t="e">
        <f>E196</f>
        <v>#REF!</v>
      </c>
    </row>
    <row r="256" spans="2:17" hidden="1" x14ac:dyDescent="0.25">
      <c r="C256" s="2"/>
      <c r="D256" s="22" t="s">
        <v>51</v>
      </c>
      <c r="E256" s="53" t="e">
        <f>E197</f>
        <v>#REF!</v>
      </c>
    </row>
    <row r="257" spans="3:5" hidden="1" x14ac:dyDescent="0.25">
      <c r="C257" s="2"/>
      <c r="D257" s="22" t="s">
        <v>52</v>
      </c>
      <c r="E257" s="53" t="e">
        <f>E198</f>
        <v>#REF!</v>
      </c>
    </row>
    <row r="258" spans="3:5" hidden="1" x14ac:dyDescent="0.25"/>
    <row r="259" spans="3:5" hidden="1" x14ac:dyDescent="0.25">
      <c r="C259" s="58" t="s">
        <v>48</v>
      </c>
    </row>
    <row r="260" spans="3:5" hidden="1" x14ac:dyDescent="0.25">
      <c r="C260" s="3" t="s">
        <v>58</v>
      </c>
      <c r="D260" s="22" t="s">
        <v>50</v>
      </c>
      <c r="E260" s="53" t="e">
        <f>E199+E203+E208+E212+E215</f>
        <v>#REF!</v>
      </c>
    </row>
    <row r="261" spans="3:5" hidden="1" x14ac:dyDescent="0.25">
      <c r="C261" s="3"/>
      <c r="D261" s="22" t="s">
        <v>51</v>
      </c>
      <c r="E261" s="53" t="e">
        <f>E200+E204+E209+E213</f>
        <v>#REF!</v>
      </c>
    </row>
    <row r="262" spans="3:5" hidden="1" x14ac:dyDescent="0.25">
      <c r="C262" s="3"/>
      <c r="D262" s="22" t="s">
        <v>52</v>
      </c>
      <c r="E262" s="53" t="e">
        <f>E201+E205+E210+E214+E216</f>
        <v>#REF!</v>
      </c>
    </row>
    <row r="263" spans="3:5" hidden="1" x14ac:dyDescent="0.25">
      <c r="C263" s="3"/>
      <c r="D263" s="22" t="s">
        <v>54</v>
      </c>
      <c r="E263" s="53" t="e">
        <f>+E202+E206+E211+E217</f>
        <v>#REF!</v>
      </c>
    </row>
    <row r="264" spans="3:5" hidden="1" x14ac:dyDescent="0.25">
      <c r="C264" s="3"/>
      <c r="D264" s="22" t="s">
        <v>55</v>
      </c>
      <c r="E264" s="53" t="e">
        <f>E207</f>
        <v>#REF!</v>
      </c>
    </row>
    <row r="265" spans="3:5" hidden="1" x14ac:dyDescent="0.25"/>
    <row r="266" spans="3:5" hidden="1" x14ac:dyDescent="0.25">
      <c r="C266" s="58" t="s">
        <v>48</v>
      </c>
    </row>
    <row r="267" spans="3:5" hidden="1" x14ac:dyDescent="0.25">
      <c r="C267" s="3" t="s">
        <v>59</v>
      </c>
      <c r="D267" s="22" t="s">
        <v>50</v>
      </c>
      <c r="E267" s="53" t="e">
        <f>E219+E223+E228+E232+E235</f>
        <v>#REF!</v>
      </c>
    </row>
    <row r="268" spans="3:5" hidden="1" x14ac:dyDescent="0.25">
      <c r="C268" s="3"/>
      <c r="D268" s="22" t="s">
        <v>51</v>
      </c>
      <c r="E268" s="53" t="e">
        <f>E220+E224+E229+E233</f>
        <v>#REF!</v>
      </c>
    </row>
    <row r="269" spans="3:5" hidden="1" x14ac:dyDescent="0.25">
      <c r="C269" s="3"/>
      <c r="D269" s="22" t="s">
        <v>52</v>
      </c>
      <c r="E269" s="53" t="e">
        <f>E221+E225+E230+E234+E236</f>
        <v>#REF!</v>
      </c>
    </row>
    <row r="270" spans="3:5" hidden="1" x14ac:dyDescent="0.25">
      <c r="C270" s="3"/>
      <c r="D270" s="22" t="s">
        <v>54</v>
      </c>
      <c r="E270" s="56" t="e">
        <f>E222+E226+E231+E237</f>
        <v>#REF!</v>
      </c>
    </row>
    <row r="271" spans="3:5" hidden="1" x14ac:dyDescent="0.25">
      <c r="C271" s="3"/>
      <c r="D271" s="22" t="s">
        <v>55</v>
      </c>
      <c r="E271" s="56" t="e">
        <f>E227</f>
        <v>#REF!</v>
      </c>
    </row>
    <row r="272" spans="3:5" hidden="1" x14ac:dyDescent="0.25"/>
    <row r="273" spans="3:17" hidden="1" x14ac:dyDescent="0.25">
      <c r="C273" s="58" t="s">
        <v>48</v>
      </c>
    </row>
    <row r="274" spans="3:17" hidden="1" x14ac:dyDescent="0.25">
      <c r="C274" s="3" t="s">
        <v>60</v>
      </c>
      <c r="D274" s="22" t="s">
        <v>50</v>
      </c>
      <c r="E274" s="53" t="e">
        <f>E239+E243+E248</f>
        <v>#REF!</v>
      </c>
    </row>
    <row r="275" spans="3:17" hidden="1" x14ac:dyDescent="0.25">
      <c r="C275" s="3"/>
      <c r="D275" s="22" t="s">
        <v>51</v>
      </c>
      <c r="E275" s="53" t="e">
        <f>E240+E244+E249</f>
        <v>#REF!</v>
      </c>
    </row>
    <row r="276" spans="3:17" hidden="1" x14ac:dyDescent="0.25">
      <c r="C276" s="3"/>
      <c r="D276" s="22" t="s">
        <v>52</v>
      </c>
      <c r="E276" s="53" t="e">
        <f>E241+E245+E250</f>
        <v>#REF!</v>
      </c>
    </row>
    <row r="277" spans="3:17" hidden="1" x14ac:dyDescent="0.25">
      <c r="C277" s="3"/>
      <c r="D277" s="22" t="s">
        <v>54</v>
      </c>
      <c r="E277" s="56" t="e">
        <f>E242+E246+E251</f>
        <v>#REF!</v>
      </c>
    </row>
    <row r="278" spans="3:17" hidden="1" x14ac:dyDescent="0.25">
      <c r="C278" s="3"/>
      <c r="D278" s="22" t="s">
        <v>55</v>
      </c>
      <c r="E278" s="53" t="e">
        <f>E247+0</f>
        <v>#REF!</v>
      </c>
    </row>
    <row r="279" spans="3:17" hidden="1" x14ac:dyDescent="0.25"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52" t="str">
        <f>Q195</f>
        <v>TOTAL 2019</v>
      </c>
    </row>
    <row r="280" spans="3:17" hidden="1" x14ac:dyDescent="0.25">
      <c r="C280" s="11" t="s">
        <v>23</v>
      </c>
      <c r="D280" s="22" t="s">
        <v>50</v>
      </c>
      <c r="E280" s="53" t="e">
        <f>E255+E260+E267+E274</f>
        <v>#REF!</v>
      </c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53" t="e">
        <f>SUM(E280:P280)</f>
        <v>#REF!</v>
      </c>
    </row>
    <row r="281" spans="3:17" hidden="1" x14ac:dyDescent="0.25">
      <c r="C281" s="11"/>
      <c r="D281" s="22" t="s">
        <v>51</v>
      </c>
      <c r="E281" s="53" t="e">
        <f>E256+E261+E268+E275</f>
        <v>#REF!</v>
      </c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53" t="e">
        <f>SUM(E281:P281)</f>
        <v>#REF!</v>
      </c>
    </row>
    <row r="282" spans="3:17" hidden="1" x14ac:dyDescent="0.25">
      <c r="C282" s="11"/>
      <c r="D282" s="22" t="s">
        <v>52</v>
      </c>
      <c r="E282" s="53" t="e">
        <f>E257+E262+E269+E276</f>
        <v>#REF!</v>
      </c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53" t="e">
        <f>SUM(E282:P282)</f>
        <v>#REF!</v>
      </c>
    </row>
    <row r="283" spans="3:17" hidden="1" x14ac:dyDescent="0.25">
      <c r="C283" s="11"/>
      <c r="D283" s="22" t="s">
        <v>54</v>
      </c>
      <c r="E283" s="53" t="e">
        <f>E263+E270+E277</f>
        <v>#REF!</v>
      </c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53" t="e">
        <f>SUM(E283:P283)</f>
        <v>#REF!</v>
      </c>
    </row>
    <row r="284" spans="3:17" hidden="1" x14ac:dyDescent="0.25">
      <c r="C284" s="11"/>
      <c r="D284" s="22" t="s">
        <v>55</v>
      </c>
      <c r="E284" s="53" t="e">
        <f>E264+E271+E278</f>
        <v>#REF!</v>
      </c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53" t="e">
        <f>SUM(E284:P284)</f>
        <v>#REF!</v>
      </c>
    </row>
    <row r="286" spans="3:17" x14ac:dyDescent="0.25">
      <c r="E286" s="50"/>
    </row>
  </sheetData>
  <mergeCells count="68">
    <mergeCell ref="C260:C264"/>
    <mergeCell ref="C267:C271"/>
    <mergeCell ref="C274:C278"/>
    <mergeCell ref="C280:C284"/>
    <mergeCell ref="B239:B251"/>
    <mergeCell ref="C239:C242"/>
    <mergeCell ref="C243:C247"/>
    <mergeCell ref="C248:C251"/>
    <mergeCell ref="C255:C257"/>
    <mergeCell ref="B219:B237"/>
    <mergeCell ref="C219:C222"/>
    <mergeCell ref="C223:C227"/>
    <mergeCell ref="C228:C231"/>
    <mergeCell ref="C232:C234"/>
    <mergeCell ref="C235:C237"/>
    <mergeCell ref="B199:B217"/>
    <mergeCell ref="C199:C202"/>
    <mergeCell ref="C203:C207"/>
    <mergeCell ref="C208:C211"/>
    <mergeCell ref="C212:C214"/>
    <mergeCell ref="C215:C217"/>
    <mergeCell ref="C168:C172"/>
    <mergeCell ref="C175:C179"/>
    <mergeCell ref="C182:C186"/>
    <mergeCell ref="C188:C192"/>
    <mergeCell ref="B196:B198"/>
    <mergeCell ref="C196:C198"/>
    <mergeCell ref="B147:B159"/>
    <mergeCell ref="C147:C150"/>
    <mergeCell ref="C151:C155"/>
    <mergeCell ref="C156:C159"/>
    <mergeCell ref="C163:C165"/>
    <mergeCell ref="B127:B145"/>
    <mergeCell ref="C127:C130"/>
    <mergeCell ref="C131:C135"/>
    <mergeCell ref="C136:C139"/>
    <mergeCell ref="C140:C142"/>
    <mergeCell ref="C143:C145"/>
    <mergeCell ref="B107:B125"/>
    <mergeCell ref="C107:C110"/>
    <mergeCell ref="C111:C115"/>
    <mergeCell ref="C116:C119"/>
    <mergeCell ref="C120:C122"/>
    <mergeCell ref="C123:C125"/>
    <mergeCell ref="C78:C82"/>
    <mergeCell ref="C85:C89"/>
    <mergeCell ref="C92:C96"/>
    <mergeCell ref="C98:C102"/>
    <mergeCell ref="B104:B106"/>
    <mergeCell ref="C104:C106"/>
    <mergeCell ref="B57:B69"/>
    <mergeCell ref="C57:C60"/>
    <mergeCell ref="C61:C65"/>
    <mergeCell ref="C66:C69"/>
    <mergeCell ref="C73:C75"/>
    <mergeCell ref="B32:B55"/>
    <mergeCell ref="C32:C35"/>
    <mergeCell ref="C36:C40"/>
    <mergeCell ref="C41:C44"/>
    <mergeCell ref="C45:C47"/>
    <mergeCell ref="C48:C51"/>
    <mergeCell ref="C52:C55"/>
    <mergeCell ref="B4:B6"/>
    <mergeCell ref="C4:C6"/>
    <mergeCell ref="B7:B30"/>
    <mergeCell ref="C7:C10"/>
    <mergeCell ref="C11:C14"/>
    <mergeCell ref="C27:C30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2"/>
  <sheetViews>
    <sheetView topLeftCell="A7" zoomScaleNormal="100" workbookViewId="0">
      <selection activeCell="M20" sqref="M20"/>
    </sheetView>
  </sheetViews>
  <sheetFormatPr defaultColWidth="8.5703125" defaultRowHeight="15" x14ac:dyDescent="0.25"/>
  <cols>
    <col min="1" max="1" width="21.28515625" customWidth="1"/>
    <col min="3" max="4" width="5.7109375" customWidth="1"/>
    <col min="5" max="5" width="6.28515625" customWidth="1"/>
    <col min="6" max="8" width="5.7109375" customWidth="1"/>
    <col min="12" max="12" width="10.5703125" customWidth="1"/>
    <col min="13" max="13" width="10.7109375" customWidth="1"/>
  </cols>
  <sheetData>
    <row r="2" spans="1:16" x14ac:dyDescent="0.25">
      <c r="A2" s="58"/>
    </row>
    <row r="3" spans="1:16" x14ac:dyDescent="0.25">
      <c r="A3" s="58" t="s">
        <v>50</v>
      </c>
      <c r="B3" s="58"/>
      <c r="C3" s="58" t="s">
        <v>62</v>
      </c>
      <c r="D3" s="58" t="s">
        <v>63</v>
      </c>
      <c r="E3" s="58" t="s">
        <v>64</v>
      </c>
      <c r="F3" s="58" t="s">
        <v>65</v>
      </c>
      <c r="G3" s="58" t="s">
        <v>66</v>
      </c>
      <c r="H3" s="58" t="s">
        <v>67</v>
      </c>
      <c r="M3" s="112" t="s">
        <v>64</v>
      </c>
      <c r="N3">
        <f>18+19+18</f>
        <v>55</v>
      </c>
      <c r="O3" s="112">
        <v>43839</v>
      </c>
    </row>
    <row r="4" spans="1:16" x14ac:dyDescent="0.25">
      <c r="A4" t="s">
        <v>68</v>
      </c>
      <c r="E4" s="50">
        <v>220.41176999999999</v>
      </c>
      <c r="F4" s="50">
        <v>256.86309999999997</v>
      </c>
      <c r="G4" s="50">
        <v>282.69727999999998</v>
      </c>
      <c r="H4" s="50">
        <v>233.28209000000001</v>
      </c>
      <c r="M4" t="s">
        <v>65</v>
      </c>
      <c r="N4">
        <f>52.22+20</f>
        <v>72.22</v>
      </c>
      <c r="O4" s="112">
        <v>43863</v>
      </c>
      <c r="P4" s="112">
        <v>43870</v>
      </c>
    </row>
    <row r="5" spans="1:16" x14ac:dyDescent="0.25">
      <c r="A5" t="s">
        <v>69</v>
      </c>
      <c r="B5" s="113">
        <v>1</v>
      </c>
      <c r="C5" s="49" t="e">
        <f>Sales!#REF!</f>
        <v>#REF!</v>
      </c>
      <c r="D5" s="49" t="e">
        <f>Sales!#REF!</f>
        <v>#REF!</v>
      </c>
      <c r="E5" s="49">
        <f>Sales!C10</f>
        <v>244.18962999999999</v>
      </c>
      <c r="F5" s="49">
        <f>Sales!D10</f>
        <v>272.38139000000001</v>
      </c>
      <c r="G5" s="49">
        <f>Sales!E10</f>
        <v>283.74694999999997</v>
      </c>
      <c r="H5" s="49">
        <f>Sales!F10</f>
        <v>101.22336</v>
      </c>
      <c r="M5" t="s">
        <v>66</v>
      </c>
      <c r="N5">
        <f>53.101</f>
        <v>53.100999999999999</v>
      </c>
      <c r="O5" s="112">
        <v>43887</v>
      </c>
    </row>
    <row r="6" spans="1:16" x14ac:dyDescent="0.25">
      <c r="A6" t="s">
        <v>69</v>
      </c>
      <c r="B6" s="113">
        <v>0.9</v>
      </c>
      <c r="C6" s="49" t="e">
        <f t="shared" ref="C6:H6" si="0">C5*$B$6</f>
        <v>#REF!</v>
      </c>
      <c r="D6" s="49" t="e">
        <f t="shared" si="0"/>
        <v>#REF!</v>
      </c>
      <c r="E6" s="49">
        <f t="shared" si="0"/>
        <v>219.770667</v>
      </c>
      <c r="F6" s="49">
        <f t="shared" si="0"/>
        <v>245.14325100000002</v>
      </c>
      <c r="G6" s="49">
        <f t="shared" si="0"/>
        <v>255.37225499999997</v>
      </c>
      <c r="H6" s="49">
        <f t="shared" si="0"/>
        <v>91.101023999999995</v>
      </c>
    </row>
    <row r="7" spans="1:16" x14ac:dyDescent="0.25">
      <c r="A7" t="s">
        <v>70</v>
      </c>
      <c r="B7" s="113">
        <v>1</v>
      </c>
      <c r="E7" s="114">
        <f>(E5-E4)/E4</f>
        <v>0.10787926615715669</v>
      </c>
      <c r="F7" s="114">
        <f>(F5-F4)/F4</f>
        <v>6.0414633320239601E-2</v>
      </c>
      <c r="G7" s="114">
        <f>(G5-G4)/G4</f>
        <v>3.7130530580272722E-3</v>
      </c>
      <c r="H7" s="114">
        <f>(H5-H4)/H4</f>
        <v>-0.56609030723275855</v>
      </c>
    </row>
    <row r="8" spans="1:16" x14ac:dyDescent="0.25">
      <c r="A8" t="s">
        <v>70</v>
      </c>
      <c r="B8" s="113">
        <v>0.9</v>
      </c>
      <c r="E8" s="114">
        <f>(E6-E4)/E4</f>
        <v>-2.9086604585589369E-3</v>
      </c>
      <c r="F8" s="114">
        <f>(F6-F4)/F4</f>
        <v>-4.562683001178431E-2</v>
      </c>
      <c r="G8" s="114">
        <f>(G6-G4)/G4</f>
        <v>-9.6658252247775481E-2</v>
      </c>
      <c r="H8" s="114">
        <f>(H6-H4)/H4</f>
        <v>-0.60948127650948258</v>
      </c>
    </row>
    <row r="9" spans="1:16" x14ac:dyDescent="0.25">
      <c r="B9" s="113"/>
      <c r="E9" s="114"/>
    </row>
    <row r="10" spans="1:16" x14ac:dyDescent="0.25">
      <c r="A10" t="s">
        <v>71</v>
      </c>
      <c r="C10" s="50" t="e">
        <f>'[1]rm shipment'!#REF!</f>
        <v>#REF!</v>
      </c>
      <c r="D10" s="50" t="e">
        <f>'[1]rm shipment'!#REF!</f>
        <v>#REF!</v>
      </c>
      <c r="E10" s="50" t="e">
        <f>#REF!</f>
        <v>#REF!</v>
      </c>
      <c r="F10" s="50" t="e">
        <f>#REF!</f>
        <v>#REF!</v>
      </c>
      <c r="G10" s="50" t="e">
        <f>#REF!</f>
        <v>#REF!</v>
      </c>
      <c r="H10" s="50" t="e">
        <f>#REF!</f>
        <v>#REF!</v>
      </c>
    </row>
    <row r="11" spans="1:16" ht="6.75" customHeight="1" x14ac:dyDescent="0.25">
      <c r="C11" s="50"/>
      <c r="D11" s="50"/>
      <c r="E11" s="50"/>
      <c r="F11" s="50"/>
    </row>
    <row r="12" spans="1:16" x14ac:dyDescent="0.25">
      <c r="A12" t="s">
        <v>72</v>
      </c>
      <c r="B12" s="113">
        <v>1</v>
      </c>
      <c r="C12" s="50" t="e">
        <f>'[1]rm shipment'!#REF!</f>
        <v>#REF!</v>
      </c>
      <c r="D12" s="50" t="e">
        <f>'[1]rm shipment'!#REF!</f>
        <v>#REF!</v>
      </c>
      <c r="E12" s="50" t="e">
        <f>#REF!</f>
        <v>#REF!</v>
      </c>
      <c r="F12" s="50" t="e">
        <f>#REF!</f>
        <v>#REF!</v>
      </c>
      <c r="G12" s="50" t="e">
        <f>#REF!</f>
        <v>#REF!</v>
      </c>
      <c r="H12" s="50" t="e">
        <f>#REF!</f>
        <v>#REF!</v>
      </c>
    </row>
    <row r="13" spans="1:16" x14ac:dyDescent="0.25">
      <c r="A13" t="s">
        <v>72</v>
      </c>
      <c r="B13" s="113">
        <v>0.9</v>
      </c>
      <c r="C13" s="50" t="e">
        <f>'[1]rm shipment'!#REF!</f>
        <v>#REF!</v>
      </c>
      <c r="D13" s="50" t="e">
        <f>'[1]rm shipment'!#REF!</f>
        <v>#REF!</v>
      </c>
      <c r="E13" s="50" t="e">
        <f>'[1]rm shipment'!#REF!</f>
        <v>#REF!</v>
      </c>
      <c r="F13" s="50" t="e">
        <f>'[1]rm shipment'!#REF!</f>
        <v>#REF!</v>
      </c>
      <c r="G13" s="50" t="e">
        <f>'[1]rm shipment'!#REF!</f>
        <v>#REF!</v>
      </c>
      <c r="H13" s="50" t="e">
        <f>'[1]rm shipment'!#REF!</f>
        <v>#REF!</v>
      </c>
    </row>
    <row r="14" spans="1:16" x14ac:dyDescent="0.25">
      <c r="B14" s="113"/>
      <c r="C14" s="50"/>
      <c r="D14" s="50"/>
      <c r="E14" s="50"/>
      <c r="F14" s="50"/>
      <c r="G14" s="50"/>
    </row>
    <row r="15" spans="1:16" x14ac:dyDescent="0.25">
      <c r="A15" t="s">
        <v>73</v>
      </c>
      <c r="C15" s="50" t="e">
        <f>'[1]rm shipment'!#REF!</f>
        <v>#REF!</v>
      </c>
      <c r="D15" s="50" t="e">
        <f>'[1]rm shipment'!#REF!</f>
        <v>#REF!</v>
      </c>
      <c r="E15" s="50" t="e">
        <f>#REF!</f>
        <v>#REF!</v>
      </c>
      <c r="F15" s="50" t="e">
        <f>#REF!</f>
        <v>#REF!</v>
      </c>
      <c r="G15" s="50" t="e">
        <f>#REF!</f>
        <v>#REF!</v>
      </c>
      <c r="H15" s="50" t="e">
        <f>#REF!</f>
        <v>#REF!</v>
      </c>
    </row>
    <row r="17" spans="1:14" x14ac:dyDescent="0.25">
      <c r="A17" t="s">
        <v>74</v>
      </c>
      <c r="B17" s="113">
        <v>1</v>
      </c>
      <c r="C17" s="50" t="e">
        <f>'[1]rm shipment'!#REF!</f>
        <v>#REF!</v>
      </c>
      <c r="D17" s="50" t="e">
        <f>'[1]rm shipment'!#REF!</f>
        <v>#REF!</v>
      </c>
      <c r="E17" s="50" t="e">
        <f>#REF!</f>
        <v>#REF!</v>
      </c>
      <c r="F17" s="50" t="e">
        <f>#REF!</f>
        <v>#REF!</v>
      </c>
      <c r="G17" s="50" t="e">
        <f>#REF!</f>
        <v>#REF!</v>
      </c>
      <c r="H17" s="50" t="e">
        <f>#REF!</f>
        <v>#REF!</v>
      </c>
    </row>
    <row r="18" spans="1:14" x14ac:dyDescent="0.25">
      <c r="A18" t="s">
        <v>74</v>
      </c>
      <c r="B18" s="113">
        <v>0.9</v>
      </c>
      <c r="C18" s="50" t="e">
        <f>'[1]rm shipment'!#REF!</f>
        <v>#REF!</v>
      </c>
      <c r="D18" s="50" t="e">
        <f>'[1]rm shipment'!#REF!</f>
        <v>#REF!</v>
      </c>
      <c r="E18" s="50" t="e">
        <f>'[1]rm shipment'!#REF!</f>
        <v>#REF!</v>
      </c>
      <c r="F18" s="50" t="e">
        <f>'[1]rm shipment'!#REF!</f>
        <v>#REF!</v>
      </c>
      <c r="G18" s="50" t="e">
        <f>'[1]rm shipment'!#REF!</f>
        <v>#REF!</v>
      </c>
      <c r="H18" s="50" t="e">
        <f>'[1]rm shipment'!#REF!</f>
        <v>#REF!</v>
      </c>
    </row>
    <row r="19" spans="1:14" x14ac:dyDescent="0.25">
      <c r="B19" s="113"/>
      <c r="C19" s="50"/>
      <c r="D19" s="50"/>
      <c r="E19" s="50"/>
      <c r="F19" s="50"/>
      <c r="G19" s="50"/>
      <c r="H19" s="50"/>
      <c r="L19" s="115" t="s">
        <v>75</v>
      </c>
      <c r="M19" s="115" t="s">
        <v>76</v>
      </c>
      <c r="N19" s="115" t="s">
        <v>77</v>
      </c>
    </row>
    <row r="20" spans="1:14" x14ac:dyDescent="0.25">
      <c r="A20" s="58" t="s">
        <v>78</v>
      </c>
      <c r="L20" s="116" t="s">
        <v>79</v>
      </c>
      <c r="M20" s="117">
        <v>34</v>
      </c>
      <c r="N20" s="117">
        <v>34</v>
      </c>
    </row>
    <row r="21" spans="1:14" x14ac:dyDescent="0.25">
      <c r="A21" t="s">
        <v>50</v>
      </c>
      <c r="C21" s="50" t="e">
        <f t="shared" ref="C21:H21" si="1">C10+C15</f>
        <v>#REF!</v>
      </c>
      <c r="D21" s="50" t="e">
        <f t="shared" si="1"/>
        <v>#REF!</v>
      </c>
      <c r="E21" s="50" t="e">
        <f t="shared" si="1"/>
        <v>#REF!</v>
      </c>
      <c r="F21" s="50" t="e">
        <f t="shared" si="1"/>
        <v>#REF!</v>
      </c>
      <c r="G21" s="50" t="e">
        <f t="shared" si="1"/>
        <v>#REF!</v>
      </c>
      <c r="H21" s="50" t="e">
        <f t="shared" si="1"/>
        <v>#REF!</v>
      </c>
      <c r="L21" s="116" t="s">
        <v>80</v>
      </c>
      <c r="M21" s="117">
        <v>17</v>
      </c>
      <c r="N21" s="117">
        <v>34</v>
      </c>
    </row>
    <row r="22" spans="1:14" x14ac:dyDescent="0.25">
      <c r="A22" t="s">
        <v>52</v>
      </c>
      <c r="C22" s="118" t="e">
        <f>'[1]rm shipment'!#REF!</f>
        <v>#REF!</v>
      </c>
      <c r="D22" s="118" t="e">
        <f>'[1]rm shipment'!#REF!</f>
        <v>#REF!</v>
      </c>
      <c r="E22" s="118" t="e">
        <f>#REF!</f>
        <v>#REF!</v>
      </c>
      <c r="F22" s="118" t="e">
        <f>#REF!</f>
        <v>#REF!</v>
      </c>
      <c r="G22" s="118" t="e">
        <f>#REF!</f>
        <v>#REF!</v>
      </c>
      <c r="H22" s="118" t="e">
        <f>#REF!</f>
        <v>#REF!</v>
      </c>
      <c r="L22" s="116" t="s">
        <v>81</v>
      </c>
      <c r="M22" s="117">
        <v>58</v>
      </c>
      <c r="N22" s="117">
        <v>3</v>
      </c>
    </row>
    <row r="23" spans="1:14" x14ac:dyDescent="0.25">
      <c r="A23" t="s">
        <v>51</v>
      </c>
      <c r="C23" s="118" t="e">
        <f>'[1]rm shipment'!#REF!</f>
        <v>#REF!</v>
      </c>
      <c r="D23" s="118" t="e">
        <f>'[1]rm shipment'!#REF!</f>
        <v>#REF!</v>
      </c>
      <c r="E23" s="118" t="e">
        <f>#REF!</f>
        <v>#REF!</v>
      </c>
      <c r="F23" s="118" t="e">
        <f>#REF!</f>
        <v>#REF!</v>
      </c>
      <c r="G23" s="118" t="e">
        <f>#REF!</f>
        <v>#REF!</v>
      </c>
      <c r="H23" s="118" t="e">
        <f>#REF!</f>
        <v>#REF!</v>
      </c>
      <c r="L23" s="116" t="s">
        <v>82</v>
      </c>
      <c r="M23" s="117">
        <v>18</v>
      </c>
      <c r="N23" s="117">
        <v>11</v>
      </c>
    </row>
    <row r="24" spans="1:14" x14ac:dyDescent="0.25">
      <c r="A24" t="s">
        <v>54</v>
      </c>
      <c r="C24" s="118" t="e">
        <f>'[1]rm shipment'!#REF!</f>
        <v>#REF!</v>
      </c>
      <c r="D24" s="118" t="e">
        <f>'[1]rm shipment'!#REF!</f>
        <v>#REF!</v>
      </c>
      <c r="E24" s="118" t="e">
        <f>#REF!</f>
        <v>#REF!</v>
      </c>
      <c r="F24" s="118" t="e">
        <f>#REF!</f>
        <v>#REF!</v>
      </c>
      <c r="G24" s="118" t="e">
        <f>#REF!</f>
        <v>#REF!</v>
      </c>
      <c r="H24" s="118" t="e">
        <f>#REF!</f>
        <v>#REF!</v>
      </c>
      <c r="L24" s="116" t="s">
        <v>83</v>
      </c>
      <c r="M24" s="117">
        <v>18</v>
      </c>
      <c r="N24" s="117">
        <v>8</v>
      </c>
    </row>
    <row r="25" spans="1:14" x14ac:dyDescent="0.25">
      <c r="A25" s="58" t="s">
        <v>20</v>
      </c>
      <c r="B25" s="58"/>
      <c r="C25" s="119" t="e">
        <f t="shared" ref="C25:H25" si="2">SUM(C21:C24)</f>
        <v>#REF!</v>
      </c>
      <c r="D25" s="119" t="e">
        <f t="shared" si="2"/>
        <v>#REF!</v>
      </c>
      <c r="E25" s="119" t="e">
        <f t="shared" si="2"/>
        <v>#REF!</v>
      </c>
      <c r="F25" s="119" t="e">
        <f t="shared" si="2"/>
        <v>#REF!</v>
      </c>
      <c r="G25" s="119" t="e">
        <f t="shared" si="2"/>
        <v>#REF!</v>
      </c>
      <c r="H25" s="119" t="e">
        <f t="shared" si="2"/>
        <v>#REF!</v>
      </c>
      <c r="L25" s="116" t="s">
        <v>84</v>
      </c>
      <c r="M25" s="117">
        <v>40</v>
      </c>
      <c r="N25" s="117">
        <v>14</v>
      </c>
    </row>
    <row r="26" spans="1:14" x14ac:dyDescent="0.25">
      <c r="L26" s="116" t="s">
        <v>85</v>
      </c>
      <c r="M26" s="117">
        <v>0</v>
      </c>
      <c r="N26" s="117">
        <v>3</v>
      </c>
    </row>
    <row r="27" spans="1:14" x14ac:dyDescent="0.25">
      <c r="A27" s="58" t="s">
        <v>86</v>
      </c>
      <c r="L27" s="116" t="s">
        <v>87</v>
      </c>
      <c r="M27" s="117">
        <v>0</v>
      </c>
      <c r="N27" s="117">
        <v>4.5</v>
      </c>
    </row>
    <row r="28" spans="1:14" x14ac:dyDescent="0.25">
      <c r="A28" t="s">
        <v>88</v>
      </c>
      <c r="C28" s="50" t="e">
        <f t="shared" ref="C28:H28" si="3">C25-C29</f>
        <v>#REF!</v>
      </c>
      <c r="D28" s="50" t="e">
        <f t="shared" si="3"/>
        <v>#REF!</v>
      </c>
      <c r="E28" s="50" t="e">
        <f t="shared" si="3"/>
        <v>#REF!</v>
      </c>
      <c r="F28" s="50" t="e">
        <f t="shared" si="3"/>
        <v>#REF!</v>
      </c>
      <c r="G28" s="50" t="e">
        <f t="shared" si="3"/>
        <v>#REF!</v>
      </c>
      <c r="H28" s="50" t="e">
        <f t="shared" si="3"/>
        <v>#REF!</v>
      </c>
      <c r="L28" s="120" t="s">
        <v>20</v>
      </c>
      <c r="M28" s="121">
        <f>SUM(M20:M27)</f>
        <v>185</v>
      </c>
      <c r="N28" s="121">
        <f>SUM(N20:N27)</f>
        <v>111.5</v>
      </c>
    </row>
    <row r="29" spans="1:14" x14ac:dyDescent="0.25">
      <c r="A29" t="s">
        <v>31</v>
      </c>
      <c r="C29">
        <v>20</v>
      </c>
      <c r="D29">
        <v>20</v>
      </c>
      <c r="E29">
        <v>20</v>
      </c>
      <c r="F29">
        <v>20</v>
      </c>
      <c r="G29">
        <v>20</v>
      </c>
      <c r="H29">
        <v>20</v>
      </c>
    </row>
    <row r="32" spans="1:14" x14ac:dyDescent="0.25">
      <c r="A32" s="58"/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X22"/>
  <sheetViews>
    <sheetView showGridLines="0" zoomScaleNormal="100" workbookViewId="0">
      <selection activeCell="AY6" sqref="AY6"/>
    </sheetView>
  </sheetViews>
  <sheetFormatPr defaultColWidth="8.5703125" defaultRowHeight="15" x14ac:dyDescent="0.25"/>
  <cols>
    <col min="1" max="1" width="3.85546875" customWidth="1"/>
    <col min="4" max="40" width="11.5703125" hidden="1" customWidth="1"/>
    <col min="41" max="100" width="3.7109375" customWidth="1"/>
    <col min="102" max="102" width="6.42578125" customWidth="1"/>
  </cols>
  <sheetData>
    <row r="2" spans="2:102" ht="18.75" x14ac:dyDescent="0.3">
      <c r="AB2" s="122" t="s">
        <v>89</v>
      </c>
      <c r="AC2" s="123"/>
      <c r="AD2" s="123"/>
      <c r="AE2" s="123"/>
      <c r="AF2" s="123"/>
      <c r="AG2" s="123"/>
      <c r="AH2" s="123"/>
      <c r="AI2" s="123"/>
      <c r="AJ2" s="123"/>
      <c r="AK2" s="123"/>
      <c r="AL2" s="124"/>
    </row>
    <row r="3" spans="2:102" x14ac:dyDescent="0.25">
      <c r="B3" s="1" t="s">
        <v>90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25"/>
      <c r="AV3" s="125"/>
      <c r="AW3" s="125"/>
      <c r="AX3" s="125"/>
      <c r="AY3" s="125"/>
      <c r="AZ3" s="125"/>
    </row>
    <row r="4" spans="2:102" ht="15" customHeight="1" x14ac:dyDescent="0.25">
      <c r="B4" s="126"/>
      <c r="C4" s="127"/>
      <c r="D4" s="127"/>
      <c r="E4" s="127"/>
      <c r="F4" s="127"/>
      <c r="G4" s="127"/>
      <c r="H4" s="127"/>
      <c r="I4" s="127"/>
      <c r="J4" s="127"/>
      <c r="K4" s="127"/>
      <c r="L4" s="128" t="s">
        <v>91</v>
      </c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330" t="s">
        <v>91</v>
      </c>
      <c r="Y4" s="330"/>
      <c r="Z4" s="330"/>
      <c r="AA4" s="330"/>
      <c r="AB4" s="330"/>
      <c r="AC4" s="330"/>
      <c r="AD4" s="330"/>
      <c r="AE4" s="330"/>
      <c r="AF4" s="330"/>
      <c r="AG4" s="330"/>
      <c r="AH4" s="330"/>
      <c r="AI4" s="330"/>
      <c r="AJ4" s="330"/>
      <c r="AK4" s="330"/>
      <c r="AL4" s="330"/>
      <c r="AM4" s="330"/>
      <c r="AN4" s="330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126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  <c r="CS4" s="127"/>
      <c r="CT4" s="127"/>
      <c r="CU4" s="127"/>
      <c r="CV4" s="127"/>
      <c r="CW4" s="332" t="s">
        <v>92</v>
      </c>
      <c r="CX4" s="332"/>
    </row>
    <row r="5" spans="2:102" ht="30" x14ac:dyDescent="0.25">
      <c r="B5" s="333"/>
      <c r="C5" s="333"/>
      <c r="D5" s="334">
        <v>43101</v>
      </c>
      <c r="E5" s="334"/>
      <c r="F5" s="334"/>
      <c r="G5" s="334"/>
      <c r="H5" s="334">
        <v>43132</v>
      </c>
      <c r="I5" s="334"/>
      <c r="J5" s="334"/>
      <c r="K5" s="334"/>
      <c r="L5" s="335">
        <v>43160</v>
      </c>
      <c r="M5" s="335"/>
      <c r="N5" s="335"/>
      <c r="O5" s="335"/>
      <c r="P5" s="335">
        <v>43191</v>
      </c>
      <c r="Q5" s="335"/>
      <c r="R5" s="335"/>
      <c r="S5" s="335"/>
      <c r="T5" s="336">
        <v>43221</v>
      </c>
      <c r="U5" s="336"/>
      <c r="V5" s="336"/>
      <c r="W5" s="336"/>
      <c r="X5" s="336">
        <v>43252</v>
      </c>
      <c r="Y5" s="336"/>
      <c r="Z5" s="336"/>
      <c r="AA5" s="336"/>
      <c r="AB5" s="130"/>
      <c r="AC5" s="337">
        <v>43282</v>
      </c>
      <c r="AD5" s="337"/>
      <c r="AE5" s="337"/>
      <c r="AF5" s="337"/>
      <c r="AG5" s="337">
        <v>43313</v>
      </c>
      <c r="AH5" s="337"/>
      <c r="AI5" s="337"/>
      <c r="AJ5" s="337"/>
      <c r="AK5" s="337">
        <v>43344</v>
      </c>
      <c r="AL5" s="337"/>
      <c r="AM5" s="337"/>
      <c r="AN5" s="337"/>
      <c r="AO5" s="338">
        <v>43374</v>
      </c>
      <c r="AP5" s="338"/>
      <c r="AQ5" s="338"/>
      <c r="AR5" s="338"/>
      <c r="AS5" s="339">
        <v>43405</v>
      </c>
      <c r="AT5" s="339"/>
      <c r="AU5" s="339"/>
      <c r="AV5" s="339"/>
      <c r="AW5" s="340">
        <v>43435</v>
      </c>
      <c r="AX5" s="340"/>
      <c r="AY5" s="340"/>
      <c r="AZ5" s="340"/>
      <c r="BA5" s="338">
        <v>43466</v>
      </c>
      <c r="BB5" s="338"/>
      <c r="BC5" s="338"/>
      <c r="BD5" s="338"/>
      <c r="BE5" s="339">
        <v>43497</v>
      </c>
      <c r="BF5" s="339"/>
      <c r="BG5" s="339"/>
      <c r="BH5" s="339"/>
      <c r="BI5" s="339">
        <v>43525</v>
      </c>
      <c r="BJ5" s="339"/>
      <c r="BK5" s="339"/>
      <c r="BL5" s="339"/>
      <c r="BM5" s="341">
        <v>43556</v>
      </c>
      <c r="BN5" s="341"/>
      <c r="BO5" s="341"/>
      <c r="BP5" s="341"/>
      <c r="BQ5" s="338">
        <v>43586</v>
      </c>
      <c r="BR5" s="338"/>
      <c r="BS5" s="338"/>
      <c r="BT5" s="338"/>
      <c r="BU5" s="339">
        <v>43617</v>
      </c>
      <c r="BV5" s="339"/>
      <c r="BW5" s="339"/>
      <c r="BX5" s="339"/>
      <c r="BY5" s="339">
        <v>43647</v>
      </c>
      <c r="BZ5" s="339"/>
      <c r="CA5" s="339"/>
      <c r="CB5" s="339"/>
      <c r="CC5" s="339">
        <v>43678</v>
      </c>
      <c r="CD5" s="339"/>
      <c r="CE5" s="339"/>
      <c r="CF5" s="339"/>
      <c r="CG5" s="339">
        <v>43709</v>
      </c>
      <c r="CH5" s="339"/>
      <c r="CI5" s="339"/>
      <c r="CJ5" s="339"/>
      <c r="CK5" s="339">
        <v>43739</v>
      </c>
      <c r="CL5" s="339"/>
      <c r="CM5" s="339"/>
      <c r="CN5" s="339"/>
      <c r="CO5" s="339">
        <v>43770</v>
      </c>
      <c r="CP5" s="339"/>
      <c r="CQ5" s="339"/>
      <c r="CR5" s="339"/>
      <c r="CS5" s="339">
        <v>43800</v>
      </c>
      <c r="CT5" s="339"/>
      <c r="CU5" s="339"/>
      <c r="CV5" s="339"/>
      <c r="CW5" s="131" t="s">
        <v>93</v>
      </c>
      <c r="CX5" s="131" t="s">
        <v>94</v>
      </c>
    </row>
    <row r="6" spans="2:102" x14ac:dyDescent="0.25">
      <c r="B6" s="342"/>
      <c r="C6" s="342"/>
      <c r="D6" s="132" t="s">
        <v>95</v>
      </c>
      <c r="E6" s="133" t="s">
        <v>96</v>
      </c>
      <c r="F6" s="133" t="s">
        <v>97</v>
      </c>
      <c r="G6" s="134" t="s">
        <v>98</v>
      </c>
      <c r="H6" s="132" t="s">
        <v>95</v>
      </c>
      <c r="I6" s="133" t="s">
        <v>96</v>
      </c>
      <c r="J6" s="133" t="s">
        <v>97</v>
      </c>
      <c r="K6" s="134" t="s">
        <v>98</v>
      </c>
      <c r="L6" s="132" t="s">
        <v>95</v>
      </c>
      <c r="M6" s="133" t="s">
        <v>96</v>
      </c>
      <c r="N6" s="133" t="s">
        <v>97</v>
      </c>
      <c r="O6" s="134" t="s">
        <v>98</v>
      </c>
      <c r="P6" s="132" t="s">
        <v>95</v>
      </c>
      <c r="Q6" s="133" t="s">
        <v>96</v>
      </c>
      <c r="R6" s="133" t="s">
        <v>97</v>
      </c>
      <c r="S6" s="134" t="s">
        <v>98</v>
      </c>
      <c r="T6" s="132" t="s">
        <v>95</v>
      </c>
      <c r="U6" s="133" t="s">
        <v>96</v>
      </c>
      <c r="V6" s="133" t="s">
        <v>97</v>
      </c>
      <c r="W6" s="135" t="s">
        <v>98</v>
      </c>
      <c r="X6" s="132" t="s">
        <v>95</v>
      </c>
      <c r="Y6" s="133" t="s">
        <v>96</v>
      </c>
      <c r="Z6" s="133" t="s">
        <v>97</v>
      </c>
      <c r="AA6" s="135" t="s">
        <v>98</v>
      </c>
      <c r="AB6" s="136"/>
      <c r="AC6" s="132" t="s">
        <v>95</v>
      </c>
      <c r="AD6" s="133" t="s">
        <v>96</v>
      </c>
      <c r="AE6" s="133" t="s">
        <v>97</v>
      </c>
      <c r="AF6" s="134" t="s">
        <v>98</v>
      </c>
      <c r="AG6" s="132" t="s">
        <v>95</v>
      </c>
      <c r="AH6" s="133" t="s">
        <v>96</v>
      </c>
      <c r="AI6" s="133" t="s">
        <v>97</v>
      </c>
      <c r="AJ6" s="134" t="s">
        <v>98</v>
      </c>
      <c r="AK6" s="137" t="s">
        <v>95</v>
      </c>
      <c r="AL6" s="133" t="s">
        <v>96</v>
      </c>
      <c r="AM6" s="133" t="s">
        <v>97</v>
      </c>
      <c r="AN6" s="134" t="s">
        <v>98</v>
      </c>
      <c r="AO6" s="132" t="s">
        <v>95</v>
      </c>
      <c r="AP6" s="133" t="s">
        <v>96</v>
      </c>
      <c r="AQ6" s="133" t="s">
        <v>97</v>
      </c>
      <c r="AR6" s="135" t="s">
        <v>98</v>
      </c>
      <c r="AS6" s="132" t="s">
        <v>95</v>
      </c>
      <c r="AT6" s="133" t="s">
        <v>96</v>
      </c>
      <c r="AU6" s="133" t="s">
        <v>97</v>
      </c>
      <c r="AV6" s="134" t="s">
        <v>98</v>
      </c>
      <c r="AW6" s="137" t="s">
        <v>95</v>
      </c>
      <c r="AX6" s="133" t="s">
        <v>96</v>
      </c>
      <c r="AY6" s="133" t="s">
        <v>97</v>
      </c>
      <c r="AZ6" s="135" t="s">
        <v>98</v>
      </c>
      <c r="BA6" s="132" t="s">
        <v>95</v>
      </c>
      <c r="BB6" s="133" t="s">
        <v>96</v>
      </c>
      <c r="BC6" s="133" t="s">
        <v>97</v>
      </c>
      <c r="BD6" s="135" t="s">
        <v>98</v>
      </c>
      <c r="BE6" s="132" t="s">
        <v>95</v>
      </c>
      <c r="BF6" s="133" t="s">
        <v>96</v>
      </c>
      <c r="BG6" s="133" t="s">
        <v>97</v>
      </c>
      <c r="BH6" s="134" t="s">
        <v>98</v>
      </c>
      <c r="BI6" s="132" t="s">
        <v>95</v>
      </c>
      <c r="BJ6" s="133" t="s">
        <v>96</v>
      </c>
      <c r="BK6" s="133" t="s">
        <v>97</v>
      </c>
      <c r="BL6" s="134" t="s">
        <v>98</v>
      </c>
      <c r="BM6" s="132" t="s">
        <v>95</v>
      </c>
      <c r="BN6" s="133" t="s">
        <v>96</v>
      </c>
      <c r="BO6" s="133" t="s">
        <v>97</v>
      </c>
      <c r="BP6" s="134" t="s">
        <v>98</v>
      </c>
      <c r="BQ6" s="132" t="s">
        <v>95</v>
      </c>
      <c r="BR6" s="133" t="s">
        <v>96</v>
      </c>
      <c r="BS6" s="133" t="s">
        <v>97</v>
      </c>
      <c r="BT6" s="134" t="s">
        <v>98</v>
      </c>
      <c r="BU6" s="132" t="s">
        <v>95</v>
      </c>
      <c r="BV6" s="133" t="s">
        <v>96</v>
      </c>
      <c r="BW6" s="133" t="s">
        <v>97</v>
      </c>
      <c r="BX6" s="134" t="s">
        <v>98</v>
      </c>
      <c r="BY6" s="132" t="s">
        <v>95</v>
      </c>
      <c r="BZ6" s="133" t="s">
        <v>96</v>
      </c>
      <c r="CA6" s="133" t="s">
        <v>97</v>
      </c>
      <c r="CB6" s="134" t="s">
        <v>98</v>
      </c>
      <c r="CC6" s="132" t="s">
        <v>95</v>
      </c>
      <c r="CD6" s="133" t="s">
        <v>96</v>
      </c>
      <c r="CE6" s="133" t="s">
        <v>97</v>
      </c>
      <c r="CF6" s="134" t="s">
        <v>98</v>
      </c>
      <c r="CG6" s="132" t="s">
        <v>95</v>
      </c>
      <c r="CH6" s="133" t="s">
        <v>96</v>
      </c>
      <c r="CI6" s="133" t="s">
        <v>97</v>
      </c>
      <c r="CJ6" s="134" t="s">
        <v>98</v>
      </c>
      <c r="CK6" s="132" t="s">
        <v>95</v>
      </c>
      <c r="CL6" s="133" t="s">
        <v>96</v>
      </c>
      <c r="CM6" s="133" t="s">
        <v>97</v>
      </c>
      <c r="CN6" s="134" t="s">
        <v>98</v>
      </c>
      <c r="CO6" s="132" t="s">
        <v>95</v>
      </c>
      <c r="CP6" s="133" t="s">
        <v>96</v>
      </c>
      <c r="CQ6" s="133" t="s">
        <v>97</v>
      </c>
      <c r="CR6" s="134" t="s">
        <v>98</v>
      </c>
      <c r="CS6" s="132" t="s">
        <v>95</v>
      </c>
      <c r="CT6" s="133" t="s">
        <v>96</v>
      </c>
      <c r="CU6" s="133" t="s">
        <v>97</v>
      </c>
      <c r="CV6" s="134" t="s">
        <v>98</v>
      </c>
      <c r="CW6" s="138"/>
      <c r="CX6" s="139"/>
    </row>
    <row r="7" spans="2:102" x14ac:dyDescent="0.25">
      <c r="B7" s="343" t="s">
        <v>50</v>
      </c>
      <c r="C7" s="141" t="s">
        <v>99</v>
      </c>
      <c r="D7" s="142"/>
      <c r="E7" s="143"/>
      <c r="F7" s="143"/>
      <c r="G7" s="144">
        <v>5.5</v>
      </c>
      <c r="H7" s="142"/>
      <c r="I7" s="145">
        <v>55</v>
      </c>
      <c r="J7" s="143"/>
      <c r="K7" s="146">
        <v>55</v>
      </c>
      <c r="L7" s="142"/>
      <c r="M7" s="147"/>
      <c r="N7" s="148">
        <v>35</v>
      </c>
      <c r="O7" s="146">
        <f>55+55</f>
        <v>110</v>
      </c>
      <c r="P7" s="142"/>
      <c r="Q7" s="149">
        <v>55</v>
      </c>
      <c r="R7" s="143"/>
      <c r="S7" s="150"/>
      <c r="T7" s="151">
        <v>55</v>
      </c>
      <c r="U7" s="143"/>
      <c r="V7" s="149">
        <v>55</v>
      </c>
      <c r="W7" s="152"/>
      <c r="X7" s="142"/>
      <c r="Y7" s="143"/>
      <c r="Z7" s="143"/>
      <c r="AA7" s="152"/>
      <c r="AB7" s="153"/>
      <c r="AC7" s="154"/>
      <c r="AD7" s="155"/>
      <c r="AE7" s="156"/>
      <c r="AF7" s="157"/>
      <c r="AG7" s="158"/>
      <c r="AH7" s="156"/>
      <c r="AI7" s="156"/>
      <c r="AJ7" s="157"/>
      <c r="AK7" s="159"/>
      <c r="AL7" s="156"/>
      <c r="AM7" s="156"/>
      <c r="AN7" s="160"/>
      <c r="AO7" s="161">
        <v>55</v>
      </c>
      <c r="AP7" s="162"/>
      <c r="AQ7" s="161">
        <v>22</v>
      </c>
      <c r="AR7" s="163"/>
      <c r="AS7" s="161">
        <v>55</v>
      </c>
      <c r="AT7" s="164"/>
      <c r="AU7" s="165"/>
      <c r="AV7" s="166"/>
      <c r="AX7" s="167"/>
      <c r="AY7" s="168"/>
      <c r="AZ7" s="21"/>
      <c r="BA7" s="169"/>
      <c r="BB7" s="165"/>
      <c r="BC7" s="170">
        <v>55</v>
      </c>
      <c r="BD7" s="171"/>
      <c r="BE7" s="172"/>
      <c r="BF7" s="170">
        <v>55</v>
      </c>
      <c r="BG7" s="173"/>
      <c r="BH7" s="174">
        <v>55</v>
      </c>
      <c r="BI7" s="175"/>
      <c r="BJ7" s="170">
        <v>55</v>
      </c>
      <c r="BL7" s="174">
        <v>55</v>
      </c>
      <c r="BM7" s="172"/>
      <c r="BN7" s="176">
        <v>55</v>
      </c>
      <c r="BP7" s="177">
        <v>55</v>
      </c>
      <c r="BR7" s="177">
        <v>55</v>
      </c>
      <c r="BS7" s="162"/>
      <c r="BT7" s="177">
        <v>25</v>
      </c>
      <c r="BU7" s="116"/>
      <c r="BV7" s="177">
        <v>55</v>
      </c>
      <c r="BW7" s="162"/>
      <c r="BX7" s="178"/>
      <c r="BY7" s="179">
        <v>55</v>
      </c>
      <c r="BZ7" s="156"/>
      <c r="CA7" s="156"/>
      <c r="CB7" s="157"/>
      <c r="CC7" s="180"/>
      <c r="CD7" s="179">
        <v>50</v>
      </c>
      <c r="CE7" s="116"/>
      <c r="CF7" s="157"/>
      <c r="CG7" s="179">
        <v>50</v>
      </c>
      <c r="CH7" s="116"/>
      <c r="CI7" s="116"/>
      <c r="CJ7" s="157"/>
      <c r="CK7" s="181">
        <v>50</v>
      </c>
      <c r="CM7" s="181">
        <v>20</v>
      </c>
      <c r="CN7" s="157"/>
      <c r="CP7" s="181">
        <v>55</v>
      </c>
      <c r="CQ7" s="182"/>
      <c r="CR7" s="157"/>
      <c r="CS7" s="179">
        <v>50</v>
      </c>
      <c r="CT7" s="156"/>
      <c r="CU7" s="181">
        <v>50</v>
      </c>
      <c r="CV7" s="157"/>
      <c r="CW7" s="183">
        <f>SUM(BA7:CV7)</f>
        <v>900</v>
      </c>
      <c r="CX7" s="184">
        <f>CW7</f>
        <v>900</v>
      </c>
    </row>
    <row r="8" spans="2:102" x14ac:dyDescent="0.25">
      <c r="B8" s="343"/>
      <c r="C8" s="141" t="s">
        <v>31</v>
      </c>
      <c r="D8" s="142"/>
      <c r="E8" s="143"/>
      <c r="F8" s="143"/>
      <c r="G8" s="144"/>
      <c r="H8" s="142"/>
      <c r="I8" s="145"/>
      <c r="J8" s="143"/>
      <c r="K8" s="146"/>
      <c r="L8" s="142"/>
      <c r="M8" s="147"/>
      <c r="N8" s="148"/>
      <c r="O8" s="146"/>
      <c r="P8" s="142"/>
      <c r="Q8" s="149"/>
      <c r="R8" s="143"/>
      <c r="S8" s="150"/>
      <c r="T8" s="151"/>
      <c r="U8" s="143"/>
      <c r="V8" s="149"/>
      <c r="W8" s="152"/>
      <c r="X8" s="142"/>
      <c r="Y8" s="143"/>
      <c r="Z8" s="143"/>
      <c r="AA8" s="152"/>
      <c r="AB8" s="153"/>
      <c r="AC8" s="154"/>
      <c r="AD8" s="155"/>
      <c r="AE8" s="185"/>
      <c r="AF8" s="157"/>
      <c r="AG8" s="158"/>
      <c r="AH8" s="156"/>
      <c r="AI8" s="156"/>
      <c r="AJ8" s="157"/>
      <c r="AK8" s="159"/>
      <c r="AL8" s="156"/>
      <c r="AM8" s="156"/>
      <c r="AN8" s="157"/>
      <c r="AO8" s="186"/>
      <c r="AP8" s="162"/>
      <c r="AQ8" s="187"/>
      <c r="AR8" s="188"/>
      <c r="AS8" s="189"/>
      <c r="AT8" s="164"/>
      <c r="AU8" s="190"/>
      <c r="AV8" s="191"/>
      <c r="AW8" s="192"/>
      <c r="AX8" s="162"/>
      <c r="AY8" s="188"/>
      <c r="AZ8" s="193"/>
      <c r="BA8" s="172"/>
      <c r="BB8" s="162"/>
      <c r="BC8" s="194"/>
      <c r="BD8" s="193"/>
      <c r="BE8" s="172"/>
      <c r="BF8" s="187"/>
      <c r="BG8" s="165"/>
      <c r="BH8" s="178"/>
      <c r="BI8" s="172"/>
      <c r="BJ8" s="194"/>
      <c r="BK8" s="165"/>
      <c r="BL8" s="195"/>
      <c r="BM8" s="172"/>
      <c r="BN8" s="165"/>
      <c r="BO8" s="162"/>
      <c r="BP8" s="178"/>
      <c r="BQ8" s="196"/>
      <c r="BR8" s="177"/>
      <c r="BS8" s="162"/>
      <c r="BT8" s="178"/>
      <c r="BV8" s="177"/>
      <c r="BW8" s="162"/>
      <c r="BX8" s="178"/>
      <c r="BY8" s="180"/>
      <c r="BZ8" s="156"/>
      <c r="CA8" s="156"/>
      <c r="CB8" s="157"/>
      <c r="CC8" s="180"/>
      <c r="CD8" s="156"/>
      <c r="CE8" s="116"/>
      <c r="CF8" s="157"/>
      <c r="CG8" s="179"/>
      <c r="CH8" s="116"/>
      <c r="CI8" s="116"/>
      <c r="CJ8" s="157"/>
      <c r="CK8" s="197"/>
      <c r="CM8" s="156"/>
      <c r="CN8" s="157"/>
      <c r="CO8" s="198"/>
      <c r="CQ8" s="156"/>
      <c r="CR8" s="157"/>
      <c r="CS8" s="179"/>
      <c r="CT8" s="156"/>
      <c r="CU8" s="156"/>
      <c r="CV8" s="157"/>
      <c r="CW8" s="183"/>
      <c r="CX8" s="184"/>
    </row>
    <row r="9" spans="2:102" x14ac:dyDescent="0.25">
      <c r="B9" s="344" t="s">
        <v>52</v>
      </c>
      <c r="C9" s="199" t="s">
        <v>100</v>
      </c>
      <c r="D9" s="142"/>
      <c r="E9" s="147"/>
      <c r="F9" s="147"/>
      <c r="G9" s="200"/>
      <c r="H9" s="201">
        <v>10</v>
      </c>
      <c r="I9" s="147"/>
      <c r="J9" s="143"/>
      <c r="K9" s="200"/>
      <c r="L9" s="142"/>
      <c r="M9" s="147"/>
      <c r="N9" s="147"/>
      <c r="O9" s="200"/>
      <c r="P9" s="142"/>
      <c r="Q9" s="147"/>
      <c r="R9" s="148">
        <v>13.1</v>
      </c>
      <c r="S9" s="200"/>
      <c r="T9" s="142"/>
      <c r="U9" s="156"/>
      <c r="V9" s="147"/>
      <c r="W9" s="202"/>
      <c r="X9" s="142"/>
      <c r="Y9" s="148">
        <v>5</v>
      </c>
      <c r="Z9" s="147"/>
      <c r="AA9" s="202"/>
      <c r="AB9" s="203"/>
      <c r="AC9" s="204">
        <v>15</v>
      </c>
      <c r="AD9" s="156"/>
      <c r="AE9" s="185"/>
      <c r="AF9" s="200"/>
      <c r="AG9" s="142"/>
      <c r="AH9" s="156"/>
      <c r="AI9" s="147"/>
      <c r="AJ9" s="157"/>
      <c r="AK9" s="205">
        <v>25</v>
      </c>
      <c r="AL9" s="156"/>
      <c r="AM9" s="147"/>
      <c r="AN9" s="200"/>
      <c r="AO9" s="206"/>
      <c r="AP9" s="162"/>
      <c r="AQ9" s="190"/>
      <c r="AR9" s="207"/>
      <c r="AS9" s="208"/>
      <c r="AT9" s="209">
        <v>8</v>
      </c>
      <c r="AU9" s="210"/>
      <c r="AV9" s="191"/>
      <c r="AW9" s="211"/>
      <c r="AX9" s="116"/>
      <c r="AY9" s="162"/>
      <c r="AZ9" s="209">
        <v>8</v>
      </c>
      <c r="BA9" s="208"/>
      <c r="BB9" s="162"/>
      <c r="BC9" s="192"/>
      <c r="BD9" s="193"/>
      <c r="BE9" s="206"/>
      <c r="BF9" s="212">
        <v>5</v>
      </c>
      <c r="BG9" s="162"/>
      <c r="BH9" s="178"/>
      <c r="BI9" s="212">
        <v>5</v>
      </c>
      <c r="BJ9" s="162"/>
      <c r="BK9" s="164"/>
      <c r="BL9" s="178"/>
      <c r="BM9" s="206"/>
      <c r="BN9" s="212">
        <v>5</v>
      </c>
      <c r="BO9" s="162"/>
      <c r="BP9" s="178"/>
      <c r="BQ9" s="213">
        <v>10</v>
      </c>
      <c r="BR9" s="164"/>
      <c r="BS9" s="162"/>
      <c r="BT9" s="178"/>
      <c r="BU9" s="212">
        <v>5</v>
      </c>
      <c r="BV9" s="116"/>
      <c r="BW9" s="164"/>
      <c r="BX9" s="178"/>
      <c r="BY9" s="197"/>
      <c r="BZ9" s="214">
        <v>10</v>
      </c>
      <c r="CA9" s="156"/>
      <c r="CB9" s="157"/>
      <c r="CC9" s="197"/>
      <c r="CD9" s="156"/>
      <c r="CE9" s="214"/>
      <c r="CF9" s="157"/>
      <c r="CG9" s="198"/>
      <c r="CH9" s="214">
        <v>10</v>
      </c>
      <c r="CI9" s="156"/>
      <c r="CJ9" s="157"/>
      <c r="CL9" s="215">
        <v>10</v>
      </c>
      <c r="CM9" s="156"/>
      <c r="CN9" s="157"/>
      <c r="CO9" s="215"/>
      <c r="CP9" s="116"/>
      <c r="CQ9" s="156"/>
      <c r="CR9" s="157"/>
      <c r="CS9" s="197"/>
      <c r="CT9" s="215">
        <v>10</v>
      </c>
      <c r="CU9" s="156"/>
      <c r="CV9" s="157"/>
      <c r="CW9" s="183">
        <f>SUM(BA9:CV9)</f>
        <v>70</v>
      </c>
      <c r="CX9" s="345">
        <f>CW9+CW10</f>
        <v>159</v>
      </c>
    </row>
    <row r="10" spans="2:102" x14ac:dyDescent="0.25">
      <c r="B10" s="344"/>
      <c r="C10" s="199" t="s">
        <v>101</v>
      </c>
      <c r="D10" s="197"/>
      <c r="E10" s="156"/>
      <c r="F10" s="156"/>
      <c r="G10" s="157"/>
      <c r="H10" s="201">
        <v>15</v>
      </c>
      <c r="I10" s="156"/>
      <c r="J10" s="143"/>
      <c r="K10" s="157"/>
      <c r="L10" s="197"/>
      <c r="M10" s="156"/>
      <c r="N10" s="156"/>
      <c r="O10" s="157"/>
      <c r="P10" s="197"/>
      <c r="Q10" s="156"/>
      <c r="R10" s="148">
        <v>16.5</v>
      </c>
      <c r="S10" s="157"/>
      <c r="T10" s="197"/>
      <c r="U10" s="156"/>
      <c r="V10" s="156"/>
      <c r="W10" s="160"/>
      <c r="X10" s="197"/>
      <c r="Y10" s="156"/>
      <c r="Z10" s="156"/>
      <c r="AA10" s="160"/>
      <c r="AB10" s="216"/>
      <c r="AC10" s="204">
        <v>15</v>
      </c>
      <c r="AD10" s="156"/>
      <c r="AE10" s="185"/>
      <c r="AF10" s="157"/>
      <c r="AG10" s="217"/>
      <c r="AH10" s="156"/>
      <c r="AI10" s="156"/>
      <c r="AJ10" s="157"/>
      <c r="AK10" s="205">
        <v>15</v>
      </c>
      <c r="AL10" s="155"/>
      <c r="AM10" s="156"/>
      <c r="AN10" s="157"/>
      <c r="AO10" s="206"/>
      <c r="AP10" s="162"/>
      <c r="AQ10" s="162"/>
      <c r="AR10" s="21"/>
      <c r="AS10" s="208"/>
      <c r="AT10" s="209">
        <v>12</v>
      </c>
      <c r="AU10" s="192"/>
      <c r="AV10" s="178"/>
      <c r="AW10" s="188"/>
      <c r="AX10" s="116"/>
      <c r="AY10" s="162"/>
      <c r="AZ10" s="209">
        <v>7</v>
      </c>
      <c r="BA10" s="208"/>
      <c r="BB10" s="162"/>
      <c r="BC10" s="192"/>
      <c r="BD10" s="193"/>
      <c r="BE10" s="206"/>
      <c r="BF10" s="212">
        <v>10</v>
      </c>
      <c r="BG10" s="162"/>
      <c r="BH10" s="178"/>
      <c r="BI10" s="212">
        <v>8</v>
      </c>
      <c r="BJ10" s="162"/>
      <c r="BK10" s="21"/>
      <c r="BL10" s="178"/>
      <c r="BM10" s="206"/>
      <c r="BN10" s="212">
        <v>6</v>
      </c>
      <c r="BO10" s="162"/>
      <c r="BP10" s="178"/>
      <c r="BQ10" s="213">
        <v>5</v>
      </c>
      <c r="BR10" s="164"/>
      <c r="BS10" s="162"/>
      <c r="BT10" s="178"/>
      <c r="BU10" s="212">
        <v>10</v>
      </c>
      <c r="BW10" s="21"/>
      <c r="BX10" s="178"/>
      <c r="BY10" s="197"/>
      <c r="BZ10" s="214">
        <v>10</v>
      </c>
      <c r="CA10" s="156"/>
      <c r="CB10" s="157"/>
      <c r="CC10" s="197"/>
      <c r="CD10" s="156"/>
      <c r="CE10" s="214">
        <v>10</v>
      </c>
      <c r="CF10" s="157"/>
      <c r="CG10" s="198"/>
      <c r="CH10" s="214">
        <v>5</v>
      </c>
      <c r="CI10" s="156"/>
      <c r="CJ10" s="157"/>
      <c r="CL10" s="215">
        <v>10</v>
      </c>
      <c r="CM10" s="156"/>
      <c r="CN10" s="157"/>
      <c r="CO10" s="215">
        <v>10</v>
      </c>
      <c r="CP10" s="116"/>
      <c r="CQ10" s="156"/>
      <c r="CR10" s="157"/>
      <c r="CS10" s="197"/>
      <c r="CT10" s="215">
        <v>5</v>
      </c>
      <c r="CU10" s="156"/>
      <c r="CV10" s="157"/>
      <c r="CW10" s="183">
        <f>SUM(BA10:CV10)</f>
        <v>89</v>
      </c>
      <c r="CX10" s="345"/>
    </row>
    <row r="11" spans="2:102" x14ac:dyDescent="0.25">
      <c r="B11" s="346" t="s">
        <v>51</v>
      </c>
      <c r="C11" s="199" t="s">
        <v>100</v>
      </c>
      <c r="D11" s="197"/>
      <c r="E11" s="156"/>
      <c r="F11" s="156"/>
      <c r="G11" s="157"/>
      <c r="H11" s="197"/>
      <c r="I11" s="218">
        <v>5</v>
      </c>
      <c r="J11" s="156"/>
      <c r="K11" s="157"/>
      <c r="L11" s="197"/>
      <c r="M11" s="156"/>
      <c r="N11" s="156"/>
      <c r="O11" s="347">
        <v>10</v>
      </c>
      <c r="P11" s="347"/>
      <c r="Q11" s="156"/>
      <c r="R11" s="156"/>
      <c r="S11" s="347">
        <v>11</v>
      </c>
      <c r="T11" s="347"/>
      <c r="U11" s="156"/>
      <c r="V11" s="156"/>
      <c r="W11" s="160"/>
      <c r="X11" s="197"/>
      <c r="Y11" s="156"/>
      <c r="Z11" s="156"/>
      <c r="AA11" s="219"/>
      <c r="AB11" s="220"/>
      <c r="AC11" s="197"/>
      <c r="AD11" s="170">
        <v>15</v>
      </c>
      <c r="AE11" s="185"/>
      <c r="AF11" s="157"/>
      <c r="AG11" s="221"/>
      <c r="AH11" s="170">
        <v>1</v>
      </c>
      <c r="AI11" s="156"/>
      <c r="AJ11" s="222">
        <v>1</v>
      </c>
      <c r="AK11" s="223"/>
      <c r="AL11" s="170">
        <v>1</v>
      </c>
      <c r="AM11" s="224"/>
      <c r="AN11" s="157"/>
      <c r="AO11" s="206"/>
      <c r="AP11" s="225">
        <v>10</v>
      </c>
      <c r="AQ11" s="162"/>
      <c r="AR11" s="193"/>
      <c r="AS11" s="140"/>
      <c r="AT11" s="162"/>
      <c r="AU11" s="116"/>
      <c r="AV11" s="178"/>
      <c r="AW11" s="226"/>
      <c r="AX11" s="226"/>
      <c r="AY11" s="226"/>
      <c r="AZ11" s="227"/>
      <c r="BA11" s="206"/>
      <c r="BB11" s="162"/>
      <c r="BC11" s="228">
        <v>10</v>
      </c>
      <c r="BD11" s="229"/>
      <c r="BE11" s="228">
        <v>5</v>
      </c>
      <c r="BF11" s="199"/>
      <c r="BG11" s="162"/>
      <c r="BH11" s="178"/>
      <c r="BI11" s="196"/>
      <c r="BJ11" s="230">
        <v>5</v>
      </c>
      <c r="BK11" s="162"/>
      <c r="BL11" s="207"/>
      <c r="BM11" s="206"/>
      <c r="BN11" s="162"/>
      <c r="BO11" s="230">
        <v>10</v>
      </c>
      <c r="BP11" s="207"/>
      <c r="BQ11" s="206"/>
      <c r="BR11" s="162"/>
      <c r="BS11" s="162"/>
      <c r="BT11" s="231">
        <v>5</v>
      </c>
      <c r="BU11" s="206"/>
      <c r="BV11" s="162"/>
      <c r="BW11" s="231">
        <v>15</v>
      </c>
      <c r="BX11" s="232"/>
      <c r="BY11" s="233"/>
      <c r="BZ11" s="156"/>
      <c r="CA11" s="234">
        <v>5</v>
      </c>
      <c r="CB11" s="235"/>
      <c r="CC11" s="236">
        <v>5</v>
      </c>
      <c r="CD11" s="116"/>
      <c r="CE11" s="116"/>
      <c r="CF11" s="157"/>
      <c r="CG11" s="197"/>
      <c r="CH11" s="156"/>
      <c r="CI11" s="237">
        <v>5</v>
      </c>
      <c r="CJ11" s="235"/>
      <c r="CK11" s="197"/>
      <c r="CL11" s="156"/>
      <c r="CM11" s="237">
        <v>10</v>
      </c>
      <c r="CN11" s="157"/>
      <c r="CO11" s="197"/>
      <c r="CP11" s="156"/>
      <c r="CQ11" s="234"/>
      <c r="CS11" s="197"/>
      <c r="CT11" s="156"/>
      <c r="CU11" s="237">
        <v>10</v>
      </c>
      <c r="CV11" s="235"/>
      <c r="CW11" s="183">
        <f>SUM(BA11:CU11)</f>
        <v>85</v>
      </c>
      <c r="CX11" s="348">
        <f>CW11+CW12</f>
        <v>205</v>
      </c>
    </row>
    <row r="12" spans="2:102" x14ac:dyDescent="0.25">
      <c r="B12" s="346"/>
      <c r="C12" s="238" t="s">
        <v>101</v>
      </c>
      <c r="D12" s="239"/>
      <c r="E12" s="240"/>
      <c r="F12" s="240"/>
      <c r="G12" s="241"/>
      <c r="H12" s="239"/>
      <c r="I12" s="242">
        <v>5</v>
      </c>
      <c r="J12" s="240"/>
      <c r="K12" s="241"/>
      <c r="L12" s="239"/>
      <c r="M12" s="240"/>
      <c r="N12" s="240"/>
      <c r="O12" s="349">
        <v>10</v>
      </c>
      <c r="P12" s="349"/>
      <c r="Q12" s="240"/>
      <c r="R12" s="240"/>
      <c r="S12" s="349">
        <v>15.1</v>
      </c>
      <c r="T12" s="349"/>
      <c r="U12" s="240"/>
      <c r="V12" s="240"/>
      <c r="W12" s="243"/>
      <c r="X12" s="244"/>
      <c r="Y12" s="240"/>
      <c r="Z12" s="240"/>
      <c r="AA12" s="245"/>
      <c r="AB12" s="246"/>
      <c r="AC12" s="239"/>
      <c r="AD12" s="205">
        <v>15</v>
      </c>
      <c r="AE12" s="247"/>
      <c r="AF12" s="241"/>
      <c r="AG12" s="248"/>
      <c r="AH12" s="249">
        <v>2</v>
      </c>
      <c r="AI12" s="240"/>
      <c r="AJ12" s="250">
        <v>2</v>
      </c>
      <c r="AK12" s="251"/>
      <c r="AL12" s="205">
        <v>5</v>
      </c>
      <c r="AM12" s="252"/>
      <c r="AN12" s="241"/>
      <c r="AO12" s="253"/>
      <c r="AP12" s="225">
        <v>15</v>
      </c>
      <c r="AQ12" s="254"/>
      <c r="AR12" s="255"/>
      <c r="AS12" s="256"/>
      <c r="AT12" s="254"/>
      <c r="AU12" s="257"/>
      <c r="AV12" s="258"/>
      <c r="AW12" s="259"/>
      <c r="AX12" s="259"/>
      <c r="AY12" s="259"/>
      <c r="AZ12" s="260"/>
      <c r="BA12" s="253"/>
      <c r="BB12" s="254"/>
      <c r="BC12" s="261">
        <v>7</v>
      </c>
      <c r="BD12" s="262"/>
      <c r="BE12" s="261">
        <v>8</v>
      </c>
      <c r="BF12" s="238"/>
      <c r="BG12" s="254"/>
      <c r="BH12" s="258"/>
      <c r="BI12" s="263"/>
      <c r="BJ12" s="264">
        <v>5</v>
      </c>
      <c r="BK12" s="254"/>
      <c r="BL12" s="265"/>
      <c r="BM12" s="253"/>
      <c r="BN12" s="254"/>
      <c r="BO12" s="264">
        <v>10</v>
      </c>
      <c r="BP12" s="265"/>
      <c r="BQ12" s="253"/>
      <c r="BR12" s="254"/>
      <c r="BS12" s="254"/>
      <c r="BT12" s="266">
        <v>15</v>
      </c>
      <c r="BU12" s="253"/>
      <c r="BV12" s="254"/>
      <c r="BW12" s="266">
        <v>10</v>
      </c>
      <c r="BX12" s="267"/>
      <c r="BY12" s="268"/>
      <c r="BZ12" s="240"/>
      <c r="CA12" s="269">
        <v>10</v>
      </c>
      <c r="CB12" s="270"/>
      <c r="CC12" s="271">
        <v>10</v>
      </c>
      <c r="CD12" s="272"/>
      <c r="CE12" s="272"/>
      <c r="CF12" s="241"/>
      <c r="CG12" s="239"/>
      <c r="CH12" s="240"/>
      <c r="CI12" s="273">
        <v>10</v>
      </c>
      <c r="CJ12" s="270"/>
      <c r="CK12" s="239"/>
      <c r="CL12" s="240"/>
      <c r="CM12" s="273">
        <v>10</v>
      </c>
      <c r="CN12" s="241"/>
      <c r="CO12" s="239"/>
      <c r="CP12" s="240"/>
      <c r="CQ12" s="269">
        <v>15</v>
      </c>
      <c r="CR12" s="257"/>
      <c r="CS12" s="239"/>
      <c r="CT12" s="240"/>
      <c r="CU12" s="273">
        <v>10</v>
      </c>
      <c r="CV12" s="270"/>
      <c r="CW12" s="274">
        <f>SUM(BA12:CU12)</f>
        <v>120</v>
      </c>
      <c r="CX12" s="348"/>
    </row>
    <row r="13" spans="2:102" x14ac:dyDescent="0.25">
      <c r="B13" s="275"/>
      <c r="C13" s="276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277"/>
      <c r="X13" s="275"/>
      <c r="Y13" s="278"/>
      <c r="Z13" s="278"/>
      <c r="AA13" s="278"/>
      <c r="AB13" s="278"/>
      <c r="AC13" s="278"/>
      <c r="AD13" s="278"/>
      <c r="AE13" s="278"/>
      <c r="AF13" s="278"/>
      <c r="AG13" s="278"/>
      <c r="AH13" s="278"/>
      <c r="AI13" s="278"/>
      <c r="AJ13" s="278"/>
      <c r="AK13" s="278"/>
      <c r="AL13" s="278"/>
      <c r="AM13" s="278"/>
      <c r="AN13" s="278"/>
      <c r="AO13" s="278"/>
      <c r="AP13" s="278"/>
      <c r="AQ13" s="278"/>
      <c r="AR13" s="278"/>
      <c r="AS13" s="278"/>
      <c r="AT13" s="278"/>
      <c r="AU13" s="278"/>
      <c r="AV13" s="278"/>
      <c r="AW13" s="278"/>
      <c r="AX13" s="278"/>
      <c r="AY13" s="278"/>
      <c r="AZ13" s="276"/>
      <c r="BA13" s="279"/>
      <c r="BB13" s="277"/>
      <c r="BC13" s="277"/>
      <c r="BD13" s="277"/>
      <c r="BE13" s="277"/>
      <c r="BF13" s="277"/>
      <c r="BG13" s="277"/>
      <c r="BH13" s="277"/>
      <c r="BI13" s="277"/>
      <c r="BJ13" s="277"/>
      <c r="BK13" s="277"/>
      <c r="BL13" s="277"/>
      <c r="BM13" s="277"/>
      <c r="BN13" s="277"/>
      <c r="BO13" s="277"/>
      <c r="BP13" s="277"/>
      <c r="BQ13" s="277"/>
      <c r="BR13" s="277"/>
      <c r="BS13" s="277"/>
      <c r="BT13" s="277"/>
      <c r="BU13" s="277"/>
      <c r="BV13" s="277"/>
      <c r="BW13" s="277"/>
      <c r="BX13" s="277"/>
      <c r="BY13" s="277"/>
      <c r="BZ13" s="277"/>
      <c r="CA13" s="277"/>
      <c r="CB13" s="277"/>
      <c r="CC13" s="277"/>
      <c r="CD13" s="277"/>
      <c r="CE13" s="277"/>
      <c r="CF13" s="277"/>
      <c r="CG13" s="277"/>
      <c r="CH13" s="277"/>
      <c r="CI13" s="277"/>
      <c r="CJ13" s="277"/>
      <c r="CK13" s="277"/>
      <c r="CL13" s="277"/>
      <c r="CM13" s="277"/>
      <c r="CN13" s="277"/>
      <c r="CO13" s="277"/>
      <c r="CP13" s="277"/>
      <c r="CQ13" s="277"/>
      <c r="CR13" s="277"/>
      <c r="CS13" s="277"/>
      <c r="CT13" s="277"/>
      <c r="CU13" s="277"/>
      <c r="CV13" s="277"/>
      <c r="CW13" s="277"/>
    </row>
    <row r="14" spans="2:102" x14ac:dyDescent="0.25">
      <c r="AO14" s="350">
        <f>SUM(AO7:AR13)</f>
        <v>102</v>
      </c>
      <c r="AP14" s="350"/>
      <c r="AQ14" s="350"/>
      <c r="AR14" s="350"/>
      <c r="AS14" s="350">
        <f>SUM(AS7:AV13)</f>
        <v>75</v>
      </c>
      <c r="AT14" s="350"/>
      <c r="AU14" s="350"/>
      <c r="AV14" s="350"/>
      <c r="AW14" s="350">
        <f>SUM(AW7:AZ13)</f>
        <v>15</v>
      </c>
      <c r="AX14" s="350"/>
      <c r="AY14" s="350"/>
      <c r="AZ14" s="350"/>
      <c r="BA14" s="350">
        <f>SUM(BA7:BD13)</f>
        <v>72</v>
      </c>
      <c r="BB14" s="350"/>
      <c r="BC14" s="350"/>
      <c r="BD14" s="350"/>
      <c r="BE14" s="350">
        <f>SUM(BE7:BH13)</f>
        <v>138</v>
      </c>
      <c r="BF14" s="350"/>
      <c r="BG14" s="350"/>
      <c r="BH14" s="350"/>
      <c r="BI14" s="350">
        <f>SUM(BI7:BL13)</f>
        <v>133</v>
      </c>
      <c r="BJ14" s="350"/>
      <c r="BK14" s="350"/>
      <c r="BL14" s="350"/>
      <c r="BM14" s="350">
        <f>SUM(BM7:BP13)</f>
        <v>141</v>
      </c>
      <c r="BN14" s="350"/>
      <c r="BO14" s="350"/>
      <c r="BP14" s="350"/>
      <c r="BQ14" s="350">
        <f>SUM(BQ7:BT13)</f>
        <v>115</v>
      </c>
      <c r="BR14" s="350"/>
      <c r="BS14" s="350"/>
      <c r="BT14" s="350"/>
      <c r="BU14" s="350">
        <f>SUM(BU7:BX13)</f>
        <v>95</v>
      </c>
      <c r="BV14" s="350"/>
      <c r="BW14" s="350"/>
      <c r="BX14" s="350"/>
      <c r="BY14" s="350">
        <f>SUM(BY7:CB13)</f>
        <v>90</v>
      </c>
      <c r="BZ14" s="350"/>
      <c r="CA14" s="350"/>
      <c r="CB14" s="350"/>
      <c r="CC14" s="350">
        <f>SUM(CC7:CF13)</f>
        <v>75</v>
      </c>
      <c r="CD14" s="350"/>
      <c r="CE14" s="350"/>
      <c r="CF14" s="350"/>
      <c r="CG14" s="350">
        <f>SUM(CG7:CJ13)</f>
        <v>80</v>
      </c>
      <c r="CH14" s="350"/>
      <c r="CI14" s="350"/>
      <c r="CJ14" s="350"/>
      <c r="CK14" s="350">
        <f>SUM(CK7:CN13)</f>
        <v>110</v>
      </c>
      <c r="CL14" s="350"/>
      <c r="CM14" s="350"/>
      <c r="CN14" s="350"/>
      <c r="CO14" s="350">
        <f>SUM(CO7:CR13)</f>
        <v>80</v>
      </c>
      <c r="CP14" s="350"/>
      <c r="CQ14" s="350"/>
      <c r="CR14" s="350"/>
      <c r="CS14" s="350">
        <f>SUM(CS7:CV13)</f>
        <v>135</v>
      </c>
      <c r="CT14" s="350"/>
      <c r="CU14" s="350"/>
      <c r="CV14" s="350"/>
      <c r="CW14" s="116"/>
    </row>
    <row r="15" spans="2:102" x14ac:dyDescent="0.25">
      <c r="AD15" s="205"/>
      <c r="AF15" t="s">
        <v>102</v>
      </c>
    </row>
    <row r="17" spans="43:50" x14ac:dyDescent="0.25">
      <c r="AQ17" s="205"/>
      <c r="AS17" t="s">
        <v>102</v>
      </c>
    </row>
    <row r="19" spans="43:50" x14ac:dyDescent="0.25">
      <c r="AQ19" t="s">
        <v>103</v>
      </c>
    </row>
    <row r="20" spans="43:50" x14ac:dyDescent="0.25">
      <c r="AQ20">
        <v>1</v>
      </c>
      <c r="AR20" t="s">
        <v>104</v>
      </c>
      <c r="AT20" t="s">
        <v>105</v>
      </c>
    </row>
    <row r="21" spans="43:50" x14ac:dyDescent="0.25">
      <c r="AQ21">
        <v>2</v>
      </c>
      <c r="AR21" t="s">
        <v>106</v>
      </c>
      <c r="AT21" t="s">
        <v>107</v>
      </c>
      <c r="AX21" t="s">
        <v>108</v>
      </c>
    </row>
    <row r="22" spans="43:50" x14ac:dyDescent="0.25">
      <c r="AQ22">
        <v>3</v>
      </c>
      <c r="AR22" t="s">
        <v>109</v>
      </c>
      <c r="AT22" t="s">
        <v>110</v>
      </c>
      <c r="AX22" t="s">
        <v>108</v>
      </c>
    </row>
  </sheetData>
  <mergeCells count="54">
    <mergeCell ref="CC14:CF14"/>
    <mergeCell ref="CG14:CJ14"/>
    <mergeCell ref="CK14:CN14"/>
    <mergeCell ref="CO14:CR14"/>
    <mergeCell ref="CS14:CV14"/>
    <mergeCell ref="BI14:BL14"/>
    <mergeCell ref="BM14:BP14"/>
    <mergeCell ref="BQ14:BT14"/>
    <mergeCell ref="BU14:BX14"/>
    <mergeCell ref="BY14:CB14"/>
    <mergeCell ref="AO14:AR14"/>
    <mergeCell ref="AS14:AV14"/>
    <mergeCell ref="AW14:AZ14"/>
    <mergeCell ref="BA14:BD14"/>
    <mergeCell ref="BE14:BH14"/>
    <mergeCell ref="B9:B10"/>
    <mergeCell ref="CX9:CX10"/>
    <mergeCell ref="B11:B12"/>
    <mergeCell ref="O11:P11"/>
    <mergeCell ref="S11:T11"/>
    <mergeCell ref="CX11:CX12"/>
    <mergeCell ref="O12:P12"/>
    <mergeCell ref="S12:T12"/>
    <mergeCell ref="CK5:CN5"/>
    <mergeCell ref="CO5:CR5"/>
    <mergeCell ref="CS5:CV5"/>
    <mergeCell ref="B6:C6"/>
    <mergeCell ref="B7:B8"/>
    <mergeCell ref="BQ5:BT5"/>
    <mergeCell ref="BU5:BX5"/>
    <mergeCell ref="BY5:CB5"/>
    <mergeCell ref="CC5:CF5"/>
    <mergeCell ref="CG5:CJ5"/>
    <mergeCell ref="AW5:AZ5"/>
    <mergeCell ref="BA5:BD5"/>
    <mergeCell ref="BE5:BH5"/>
    <mergeCell ref="BI5:BL5"/>
    <mergeCell ref="BM5:BP5"/>
    <mergeCell ref="B3:AT3"/>
    <mergeCell ref="X4:AN4"/>
    <mergeCell ref="AO4:AZ4"/>
    <mergeCell ref="CW4:CX4"/>
    <mergeCell ref="B5:C5"/>
    <mergeCell ref="D5:G5"/>
    <mergeCell ref="H5:K5"/>
    <mergeCell ref="L5:O5"/>
    <mergeCell ref="P5:S5"/>
    <mergeCell ref="T5:W5"/>
    <mergeCell ref="X5:AA5"/>
    <mergeCell ref="AC5:AF5"/>
    <mergeCell ref="AG5:AJ5"/>
    <mergeCell ref="AK5:AN5"/>
    <mergeCell ref="AO5:AR5"/>
    <mergeCell ref="AS5:AV5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S23"/>
  <sheetViews>
    <sheetView zoomScale="80" zoomScaleNormal="80" workbookViewId="0">
      <selection activeCell="BK4" sqref="BK4"/>
    </sheetView>
  </sheetViews>
  <sheetFormatPr defaultColWidth="8.5703125" defaultRowHeight="15" x14ac:dyDescent="0.25"/>
  <cols>
    <col min="3" max="3" width="12.42578125" customWidth="1"/>
    <col min="7" max="7" width="9.42578125" customWidth="1"/>
    <col min="8" max="8" width="9.7109375" customWidth="1"/>
    <col min="9" max="9" width="9.42578125" customWidth="1"/>
    <col min="10" max="10" width="9.5703125" customWidth="1"/>
    <col min="12" max="12" width="10" customWidth="1"/>
    <col min="13" max="14" width="9.5703125" customWidth="1"/>
    <col min="15" max="15" width="9.42578125" customWidth="1"/>
    <col min="16" max="16" width="10.85546875" customWidth="1"/>
  </cols>
  <sheetData>
    <row r="2" spans="2:19" x14ac:dyDescent="0.25">
      <c r="B2" s="280" t="s">
        <v>111</v>
      </c>
    </row>
    <row r="3" spans="2:19" ht="30" x14ac:dyDescent="0.25">
      <c r="C3" s="281" t="s">
        <v>112</v>
      </c>
      <c r="D3" s="282" t="s">
        <v>113</v>
      </c>
      <c r="E3" s="282" t="s">
        <v>114</v>
      </c>
      <c r="F3" s="282" t="s">
        <v>115</v>
      </c>
      <c r="G3" s="282" t="s">
        <v>116</v>
      </c>
      <c r="H3" s="282" t="s">
        <v>117</v>
      </c>
      <c r="I3" s="282" t="s">
        <v>118</v>
      </c>
      <c r="J3" s="282" t="s">
        <v>119</v>
      </c>
      <c r="K3" s="282" t="s">
        <v>120</v>
      </c>
      <c r="L3" s="282" t="s">
        <v>121</v>
      </c>
      <c r="M3" s="283" t="s">
        <v>122</v>
      </c>
    </row>
    <row r="4" spans="2:19" x14ac:dyDescent="0.25">
      <c r="C4" s="284" t="s">
        <v>79</v>
      </c>
      <c r="D4" s="285">
        <f t="shared" ref="D4:D11" si="0">SUM(E4:M4)</f>
        <v>31.5</v>
      </c>
      <c r="E4" s="285">
        <v>20.5</v>
      </c>
      <c r="F4" s="285"/>
      <c r="G4" s="285">
        <v>9</v>
      </c>
      <c r="H4" s="285"/>
      <c r="I4" s="285"/>
      <c r="J4" s="285"/>
      <c r="K4" s="285">
        <v>2</v>
      </c>
      <c r="L4" s="285"/>
      <c r="M4" s="286"/>
    </row>
    <row r="5" spans="2:19" x14ac:dyDescent="0.25">
      <c r="C5" s="284" t="s">
        <v>81</v>
      </c>
      <c r="D5" s="285">
        <f t="shared" si="0"/>
        <v>3</v>
      </c>
      <c r="E5" s="285">
        <v>2.5</v>
      </c>
      <c r="F5" s="285"/>
      <c r="G5" s="285">
        <v>0.5</v>
      </c>
      <c r="H5" s="285"/>
      <c r="I5" s="285"/>
      <c r="J5" s="285"/>
      <c r="K5" s="285"/>
      <c r="L5" s="285"/>
      <c r="M5" s="286"/>
    </row>
    <row r="6" spans="2:19" x14ac:dyDescent="0.25">
      <c r="C6" s="284" t="s">
        <v>80</v>
      </c>
      <c r="D6" s="285">
        <f t="shared" si="0"/>
        <v>29.5</v>
      </c>
      <c r="E6" s="285">
        <v>23.5</v>
      </c>
      <c r="F6" s="285"/>
      <c r="G6" s="285">
        <v>3</v>
      </c>
      <c r="H6" s="285"/>
      <c r="I6" s="285"/>
      <c r="J6" s="285"/>
      <c r="K6" s="285"/>
      <c r="L6" s="285"/>
      <c r="M6" s="286">
        <v>3</v>
      </c>
    </row>
    <row r="7" spans="2:19" x14ac:dyDescent="0.25">
      <c r="C7" s="284" t="s">
        <v>82</v>
      </c>
      <c r="D7" s="285">
        <f t="shared" si="0"/>
        <v>11</v>
      </c>
      <c r="E7" s="285">
        <v>8</v>
      </c>
      <c r="F7" s="285"/>
      <c r="G7" s="285"/>
      <c r="H7" s="285">
        <v>3</v>
      </c>
      <c r="I7" s="285"/>
      <c r="J7" s="285"/>
      <c r="K7" s="285"/>
      <c r="L7" s="285"/>
      <c r="M7" s="286"/>
    </row>
    <row r="8" spans="2:19" x14ac:dyDescent="0.25">
      <c r="C8" s="284" t="s">
        <v>83</v>
      </c>
      <c r="D8" s="285">
        <f t="shared" si="0"/>
        <v>9</v>
      </c>
      <c r="E8" s="285"/>
      <c r="F8" s="285"/>
      <c r="G8" s="285">
        <v>1</v>
      </c>
      <c r="H8" s="285">
        <v>8</v>
      </c>
      <c r="I8" s="285"/>
      <c r="J8" s="285"/>
      <c r="K8" s="285"/>
      <c r="L8" s="285"/>
      <c r="M8" s="286"/>
    </row>
    <row r="9" spans="2:19" x14ac:dyDescent="0.25">
      <c r="C9" s="284" t="s">
        <v>123</v>
      </c>
      <c r="D9" s="285">
        <f t="shared" si="0"/>
        <v>15</v>
      </c>
      <c r="E9" s="285">
        <v>15</v>
      </c>
      <c r="F9" s="285"/>
      <c r="G9" s="285"/>
      <c r="H9" s="285"/>
      <c r="I9" s="285"/>
      <c r="J9" s="285"/>
      <c r="K9" s="285"/>
      <c r="L9" s="285"/>
      <c r="M9" s="286"/>
    </row>
    <row r="10" spans="2:19" x14ac:dyDescent="0.25">
      <c r="C10" s="284" t="s">
        <v>124</v>
      </c>
      <c r="D10" s="285">
        <f t="shared" si="0"/>
        <v>5</v>
      </c>
      <c r="E10" s="285"/>
      <c r="F10" s="285"/>
      <c r="G10" s="285"/>
      <c r="H10" s="285">
        <v>5</v>
      </c>
      <c r="I10" s="285"/>
      <c r="J10" s="285"/>
      <c r="K10" s="285"/>
      <c r="L10" s="285"/>
      <c r="M10" s="286"/>
    </row>
    <row r="11" spans="2:19" x14ac:dyDescent="0.25">
      <c r="C11" s="284" t="s">
        <v>85</v>
      </c>
      <c r="D11" s="285">
        <f t="shared" si="0"/>
        <v>5.75</v>
      </c>
      <c r="E11" s="285">
        <v>5.75</v>
      </c>
      <c r="F11" s="285"/>
      <c r="G11" s="285"/>
      <c r="H11" s="285"/>
      <c r="I11" s="285"/>
      <c r="J11" s="285"/>
      <c r="K11" s="285"/>
      <c r="L11" s="285"/>
      <c r="M11" s="286"/>
    </row>
    <row r="12" spans="2:19" x14ac:dyDescent="0.25">
      <c r="C12" s="287" t="s">
        <v>20</v>
      </c>
      <c r="D12" s="288">
        <f t="shared" ref="D12:M12" si="1">SUM(D4:D11)</f>
        <v>109.75</v>
      </c>
      <c r="E12" s="288">
        <f t="shared" si="1"/>
        <v>75.25</v>
      </c>
      <c r="F12" s="288">
        <f t="shared" si="1"/>
        <v>0</v>
      </c>
      <c r="G12" s="288">
        <f t="shared" si="1"/>
        <v>13.5</v>
      </c>
      <c r="H12" s="288">
        <f t="shared" si="1"/>
        <v>16</v>
      </c>
      <c r="I12" s="288">
        <f t="shared" si="1"/>
        <v>0</v>
      </c>
      <c r="J12" s="288">
        <f t="shared" si="1"/>
        <v>0</v>
      </c>
      <c r="K12" s="288">
        <f t="shared" si="1"/>
        <v>2</v>
      </c>
      <c r="L12" s="288">
        <f t="shared" si="1"/>
        <v>0</v>
      </c>
      <c r="M12" s="289">
        <f t="shared" si="1"/>
        <v>3</v>
      </c>
    </row>
    <row r="15" spans="2:19" x14ac:dyDescent="0.25">
      <c r="B15" s="290" t="s">
        <v>125</v>
      </c>
    </row>
    <row r="16" spans="2:19" ht="30" x14ac:dyDescent="0.25">
      <c r="C16" s="291" t="s">
        <v>112</v>
      </c>
      <c r="D16" s="292" t="s">
        <v>113</v>
      </c>
      <c r="E16" s="293" t="s">
        <v>126</v>
      </c>
      <c r="F16" s="293" t="s">
        <v>127</v>
      </c>
      <c r="G16" s="293" t="s">
        <v>128</v>
      </c>
      <c r="H16" s="293" t="s">
        <v>129</v>
      </c>
      <c r="I16" s="293" t="s">
        <v>130</v>
      </c>
      <c r="J16" s="293" t="s">
        <v>131</v>
      </c>
      <c r="K16" s="293" t="s">
        <v>132</v>
      </c>
      <c r="L16" s="293" t="s">
        <v>81</v>
      </c>
      <c r="M16" s="293" t="s">
        <v>133</v>
      </c>
      <c r="N16" s="293" t="s">
        <v>121</v>
      </c>
      <c r="O16" s="293" t="s">
        <v>119</v>
      </c>
      <c r="P16" s="293" t="s">
        <v>80</v>
      </c>
      <c r="Q16" s="293" t="s">
        <v>120</v>
      </c>
      <c r="R16" s="293" t="s">
        <v>134</v>
      </c>
      <c r="S16" s="294" t="s">
        <v>60</v>
      </c>
    </row>
    <row r="17" spans="3:19" x14ac:dyDescent="0.25">
      <c r="C17" s="284" t="s">
        <v>79</v>
      </c>
      <c r="D17" s="285">
        <f t="shared" ref="D17:D22" si="2">SUM(E17:S17)</f>
        <v>33</v>
      </c>
      <c r="E17" s="285">
        <v>12</v>
      </c>
      <c r="F17" s="285"/>
      <c r="G17" s="285"/>
      <c r="H17" s="285">
        <v>4</v>
      </c>
      <c r="I17" s="285"/>
      <c r="J17" s="285">
        <v>2</v>
      </c>
      <c r="K17" s="285">
        <v>7</v>
      </c>
      <c r="L17" s="285"/>
      <c r="M17" s="285"/>
      <c r="N17" s="285"/>
      <c r="O17" s="285"/>
      <c r="P17" s="285"/>
      <c r="Q17" s="285">
        <v>2</v>
      </c>
      <c r="R17" s="285">
        <v>6</v>
      </c>
      <c r="S17" s="286"/>
    </row>
    <row r="18" spans="3:19" x14ac:dyDescent="0.25">
      <c r="C18" s="284" t="s">
        <v>81</v>
      </c>
      <c r="D18" s="285">
        <f t="shared" si="2"/>
        <v>58</v>
      </c>
      <c r="E18" s="285">
        <v>14</v>
      </c>
      <c r="F18" s="285">
        <v>21.5</v>
      </c>
      <c r="G18" s="285"/>
      <c r="H18" s="285"/>
      <c r="I18" s="285"/>
      <c r="J18" s="285"/>
      <c r="K18" s="285"/>
      <c r="L18" s="285">
        <v>12</v>
      </c>
      <c r="M18" s="285">
        <v>8</v>
      </c>
      <c r="N18" s="285"/>
      <c r="O18" s="285"/>
      <c r="P18" s="285"/>
      <c r="Q18" s="285"/>
      <c r="R18" s="285">
        <v>2.5</v>
      </c>
      <c r="S18" s="286"/>
    </row>
    <row r="19" spans="3:19" x14ac:dyDescent="0.25">
      <c r="C19" s="284" t="s">
        <v>80</v>
      </c>
      <c r="D19" s="285">
        <f t="shared" si="2"/>
        <v>19</v>
      </c>
      <c r="E19" s="285">
        <v>1.5</v>
      </c>
      <c r="F19" s="285"/>
      <c r="G19" s="285"/>
      <c r="H19" s="285"/>
      <c r="I19" s="285">
        <v>2</v>
      </c>
      <c r="J19" s="285">
        <v>1</v>
      </c>
      <c r="K19" s="285"/>
      <c r="L19" s="285"/>
      <c r="M19" s="285"/>
      <c r="N19" s="285"/>
      <c r="O19" s="285"/>
      <c r="P19" s="285">
        <v>8</v>
      </c>
      <c r="Q19" s="285"/>
      <c r="R19" s="285">
        <v>6.5</v>
      </c>
      <c r="S19" s="286"/>
    </row>
    <row r="20" spans="3:19" x14ac:dyDescent="0.25">
      <c r="C20" s="284" t="s">
        <v>82</v>
      </c>
      <c r="D20" s="285">
        <f t="shared" si="2"/>
        <v>16</v>
      </c>
      <c r="E20" s="285">
        <v>1.5</v>
      </c>
      <c r="F20" s="285" t="s">
        <v>135</v>
      </c>
      <c r="G20" s="285"/>
      <c r="H20" s="285"/>
      <c r="I20" s="285"/>
      <c r="J20" s="285"/>
      <c r="K20" s="285">
        <v>0.3</v>
      </c>
      <c r="L20" s="285"/>
      <c r="M20" s="285"/>
      <c r="N20" s="285">
        <v>1</v>
      </c>
      <c r="O20" s="285">
        <v>9.5</v>
      </c>
      <c r="P20" s="285"/>
      <c r="Q20" s="285"/>
      <c r="R20" s="285">
        <v>2.2000000000000002</v>
      </c>
      <c r="S20" s="286">
        <v>1.5</v>
      </c>
    </row>
    <row r="21" spans="3:19" x14ac:dyDescent="0.25">
      <c r="C21" s="284" t="s">
        <v>83</v>
      </c>
      <c r="D21" s="285">
        <f t="shared" si="2"/>
        <v>14</v>
      </c>
      <c r="E21" s="285"/>
      <c r="F21" s="285"/>
      <c r="G21" s="285">
        <v>7.5</v>
      </c>
      <c r="H21" s="285"/>
      <c r="I21" s="285">
        <v>0.9</v>
      </c>
      <c r="J21" s="285"/>
      <c r="K21" s="285"/>
      <c r="L21" s="285"/>
      <c r="M21" s="285"/>
      <c r="N21" s="285">
        <v>5.3</v>
      </c>
      <c r="O21" s="285"/>
      <c r="P21" s="285"/>
      <c r="Q21" s="285"/>
      <c r="R21" s="285"/>
      <c r="S21" s="286">
        <v>0.3</v>
      </c>
    </row>
    <row r="22" spans="3:19" x14ac:dyDescent="0.25">
      <c r="C22" s="284" t="s">
        <v>123</v>
      </c>
      <c r="D22" s="285">
        <f t="shared" si="2"/>
        <v>39</v>
      </c>
      <c r="E22" s="285">
        <v>1</v>
      </c>
      <c r="F22" s="285">
        <v>1</v>
      </c>
      <c r="G22" s="285">
        <v>1.5</v>
      </c>
      <c r="H22" s="285">
        <v>10</v>
      </c>
      <c r="I22" s="285"/>
      <c r="J22" s="285"/>
      <c r="K22" s="285">
        <v>7</v>
      </c>
      <c r="L22" s="285"/>
      <c r="M22" s="285"/>
      <c r="N22" s="285">
        <v>3</v>
      </c>
      <c r="O22" s="285">
        <v>3</v>
      </c>
      <c r="P22" s="285">
        <v>1</v>
      </c>
      <c r="Q22" s="285">
        <v>1.5</v>
      </c>
      <c r="R22" s="285">
        <v>10</v>
      </c>
      <c r="S22" s="286"/>
    </row>
    <row r="23" spans="3:19" x14ac:dyDescent="0.25">
      <c r="C23" s="295" t="s">
        <v>20</v>
      </c>
      <c r="D23" s="296">
        <f t="shared" ref="D23:S23" si="3">SUM(D17:D22)</f>
        <v>179</v>
      </c>
      <c r="E23" s="296">
        <f t="shared" si="3"/>
        <v>30</v>
      </c>
      <c r="F23" s="296">
        <f t="shared" si="3"/>
        <v>22.5</v>
      </c>
      <c r="G23" s="296">
        <f t="shared" si="3"/>
        <v>9</v>
      </c>
      <c r="H23" s="296">
        <f t="shared" si="3"/>
        <v>14</v>
      </c>
      <c r="I23" s="296">
        <f t="shared" si="3"/>
        <v>2.9</v>
      </c>
      <c r="J23" s="296">
        <f t="shared" si="3"/>
        <v>3</v>
      </c>
      <c r="K23" s="296">
        <f t="shared" si="3"/>
        <v>14.3</v>
      </c>
      <c r="L23" s="296">
        <f t="shared" si="3"/>
        <v>12</v>
      </c>
      <c r="M23" s="296">
        <f t="shared" si="3"/>
        <v>8</v>
      </c>
      <c r="N23" s="296">
        <f t="shared" si="3"/>
        <v>9.3000000000000007</v>
      </c>
      <c r="O23" s="296">
        <f t="shared" si="3"/>
        <v>12.5</v>
      </c>
      <c r="P23" s="296">
        <f t="shared" si="3"/>
        <v>9</v>
      </c>
      <c r="Q23" s="296">
        <f t="shared" si="3"/>
        <v>3.5</v>
      </c>
      <c r="R23" s="296">
        <f t="shared" si="3"/>
        <v>27.2</v>
      </c>
      <c r="S23" s="297">
        <f t="shared" si="3"/>
        <v>1.8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15"/>
  <sheetViews>
    <sheetView zoomScaleNormal="100" workbookViewId="0">
      <selection activeCell="BK4" sqref="BK4"/>
    </sheetView>
  </sheetViews>
  <sheetFormatPr defaultColWidth="8.5703125" defaultRowHeight="15" x14ac:dyDescent="0.25"/>
  <cols>
    <col min="1" max="1" width="5.85546875" customWidth="1"/>
    <col min="2" max="2" width="22" customWidth="1"/>
    <col min="3" max="4" width="9" customWidth="1"/>
    <col min="5" max="5" width="6.85546875" customWidth="1"/>
    <col min="6" max="6" width="6.5703125" customWidth="1"/>
    <col min="7" max="7" width="7.5703125" customWidth="1"/>
    <col min="8" max="8" width="10.85546875" customWidth="1"/>
    <col min="9" max="9" width="5.7109375" customWidth="1"/>
    <col min="10" max="10" width="14.140625" customWidth="1"/>
  </cols>
  <sheetData>
    <row r="2" spans="1:12" x14ac:dyDescent="0.25">
      <c r="B2" t="s">
        <v>136</v>
      </c>
    </row>
    <row r="3" spans="1:12" x14ac:dyDescent="0.25">
      <c r="A3" s="298"/>
      <c r="B3" s="299" t="s">
        <v>137</v>
      </c>
      <c r="C3" s="300">
        <v>43573</v>
      </c>
      <c r="D3" s="298"/>
      <c r="E3" s="298"/>
      <c r="F3" s="298"/>
      <c r="G3" s="298"/>
      <c r="H3" s="298"/>
      <c r="I3" s="298"/>
      <c r="J3" s="301"/>
    </row>
    <row r="4" spans="1:12" x14ac:dyDescent="0.25">
      <c r="A4" s="298"/>
      <c r="B4" s="302" t="s">
        <v>138</v>
      </c>
      <c r="C4" s="303" t="s">
        <v>50</v>
      </c>
      <c r="D4" s="303" t="s">
        <v>52</v>
      </c>
      <c r="E4" s="303" t="s">
        <v>51</v>
      </c>
      <c r="F4" s="303" t="s">
        <v>139</v>
      </c>
      <c r="G4" s="303" t="s">
        <v>20</v>
      </c>
      <c r="H4" s="303" t="s">
        <v>140</v>
      </c>
      <c r="I4" s="303" t="s">
        <v>141</v>
      </c>
      <c r="J4" s="304" t="s">
        <v>142</v>
      </c>
    </row>
    <row r="5" spans="1:12" x14ac:dyDescent="0.25">
      <c r="A5" s="298"/>
      <c r="B5" s="305" t="s">
        <v>143</v>
      </c>
      <c r="C5" s="306">
        <v>32505</v>
      </c>
      <c r="D5" s="306">
        <v>4705</v>
      </c>
      <c r="E5" s="307">
        <v>880</v>
      </c>
      <c r="F5" s="306">
        <v>3519</v>
      </c>
      <c r="G5" s="306">
        <f t="shared" ref="G5:G12" si="0">C5+D5+E5+F5</f>
        <v>41609</v>
      </c>
      <c r="H5" s="351">
        <v>3800</v>
      </c>
      <c r="I5" s="308">
        <f t="shared" ref="I5:I12" si="1">G5/$H$5</f>
        <v>10.949736842105263</v>
      </c>
      <c r="J5" s="309">
        <f>C3+I5</f>
        <v>43583.949736842107</v>
      </c>
    </row>
    <row r="6" spans="1:12" x14ac:dyDescent="0.25">
      <c r="A6" s="298"/>
      <c r="B6" s="310" t="s">
        <v>144</v>
      </c>
      <c r="C6" s="311">
        <v>16500</v>
      </c>
      <c r="D6" s="311">
        <v>2010</v>
      </c>
      <c r="E6" s="310"/>
      <c r="F6" s="311">
        <v>3519</v>
      </c>
      <c r="G6" s="306">
        <f t="shared" si="0"/>
        <v>22029</v>
      </c>
      <c r="H6" s="351"/>
      <c r="I6" s="308">
        <f t="shared" si="1"/>
        <v>5.7971052631578948</v>
      </c>
      <c r="J6" s="312">
        <f t="shared" ref="J6:J12" si="2">J5+I6</f>
        <v>43589.746842105262</v>
      </c>
    </row>
    <row r="7" spans="1:12" x14ac:dyDescent="0.25">
      <c r="A7" s="298"/>
      <c r="B7" s="313" t="s">
        <v>145</v>
      </c>
      <c r="C7" s="310"/>
      <c r="D7" s="310"/>
      <c r="E7" s="314">
        <v>11000</v>
      </c>
      <c r="F7" s="310"/>
      <c r="G7" s="306">
        <f t="shared" si="0"/>
        <v>11000</v>
      </c>
      <c r="H7" s="351"/>
      <c r="I7" s="308">
        <f t="shared" si="1"/>
        <v>2.8947368421052633</v>
      </c>
      <c r="J7" s="312">
        <f t="shared" si="2"/>
        <v>43592.641578947369</v>
      </c>
    </row>
    <row r="8" spans="1:12" x14ac:dyDescent="0.25">
      <c r="A8" s="298"/>
      <c r="B8" s="313" t="s">
        <v>146</v>
      </c>
      <c r="C8" s="310"/>
      <c r="D8" s="314">
        <v>6000</v>
      </c>
      <c r="E8" s="310"/>
      <c r="F8" s="310"/>
      <c r="G8" s="306">
        <f t="shared" si="0"/>
        <v>6000</v>
      </c>
      <c r="H8" s="351"/>
      <c r="I8" s="308">
        <f t="shared" si="1"/>
        <v>1.5789473684210527</v>
      </c>
      <c r="J8" s="312">
        <f t="shared" si="2"/>
        <v>43594.220526315788</v>
      </c>
    </row>
    <row r="9" spans="1:12" x14ac:dyDescent="0.25">
      <c r="A9" s="298"/>
      <c r="B9" s="310" t="s">
        <v>147</v>
      </c>
      <c r="C9" s="310">
        <v>2000</v>
      </c>
      <c r="D9" s="310"/>
      <c r="E9" s="310"/>
      <c r="F9" s="315">
        <v>6000</v>
      </c>
      <c r="G9" s="306">
        <f t="shared" si="0"/>
        <v>8000</v>
      </c>
      <c r="H9" s="351"/>
      <c r="I9" s="308">
        <f t="shared" si="1"/>
        <v>2.1052631578947367</v>
      </c>
      <c r="J9" s="312">
        <f t="shared" si="2"/>
        <v>43596.325789473682</v>
      </c>
    </row>
    <row r="10" spans="1:12" x14ac:dyDescent="0.25">
      <c r="A10" s="298"/>
      <c r="B10" s="313" t="s">
        <v>148</v>
      </c>
      <c r="C10" s="315">
        <f>40000-20000</f>
        <v>20000</v>
      </c>
      <c r="D10" s="310"/>
      <c r="E10" s="310"/>
      <c r="F10" s="310"/>
      <c r="G10" s="306">
        <f t="shared" si="0"/>
        <v>20000</v>
      </c>
      <c r="H10" s="351"/>
      <c r="I10" s="308">
        <f t="shared" si="1"/>
        <v>5.2631578947368425</v>
      </c>
      <c r="J10" s="312">
        <f t="shared" si="2"/>
        <v>43601.588947368422</v>
      </c>
    </row>
    <row r="11" spans="1:12" x14ac:dyDescent="0.25">
      <c r="A11" s="298"/>
      <c r="B11" s="313" t="s">
        <v>149</v>
      </c>
      <c r="C11" s="314">
        <v>55000</v>
      </c>
      <c r="D11" s="310"/>
      <c r="E11" s="310"/>
      <c r="F11" s="310"/>
      <c r="G11" s="306">
        <f t="shared" si="0"/>
        <v>55000</v>
      </c>
      <c r="H11" s="351"/>
      <c r="I11" s="308">
        <f t="shared" si="1"/>
        <v>14.473684210526315</v>
      </c>
      <c r="J11" s="312">
        <f t="shared" si="2"/>
        <v>43616.062631578949</v>
      </c>
    </row>
    <row r="12" spans="1:12" x14ac:dyDescent="0.25">
      <c r="A12" s="298"/>
      <c r="B12" s="313" t="s">
        <v>150</v>
      </c>
      <c r="C12" s="314"/>
      <c r="D12" s="310">
        <v>5000</v>
      </c>
      <c r="E12" s="310">
        <v>8000</v>
      </c>
      <c r="F12" s="316">
        <v>8000</v>
      </c>
      <c r="G12" s="306">
        <f t="shared" si="0"/>
        <v>21000</v>
      </c>
      <c r="H12" s="351"/>
      <c r="I12" s="308">
        <f t="shared" si="1"/>
        <v>5.5263157894736841</v>
      </c>
      <c r="J12" s="312">
        <f t="shared" si="2"/>
        <v>43621.588947368422</v>
      </c>
    </row>
    <row r="13" spans="1:12" x14ac:dyDescent="0.25">
      <c r="B13" s="317" t="s">
        <v>20</v>
      </c>
      <c r="C13" s="318">
        <f t="shared" ref="C13:I13" si="3">SUM(C5:C12)</f>
        <v>126005</v>
      </c>
      <c r="D13" s="318">
        <f t="shared" si="3"/>
        <v>17715</v>
      </c>
      <c r="E13" s="318">
        <f t="shared" si="3"/>
        <v>19880</v>
      </c>
      <c r="F13" s="318">
        <f t="shared" si="3"/>
        <v>21038</v>
      </c>
      <c r="G13" s="318">
        <f t="shared" si="3"/>
        <v>184638</v>
      </c>
      <c r="H13" s="318">
        <f t="shared" si="3"/>
        <v>3800</v>
      </c>
      <c r="I13" s="318">
        <f t="shared" si="3"/>
        <v>48.588947368421053</v>
      </c>
      <c r="J13" s="318"/>
    </row>
    <row r="15" spans="1:12" x14ac:dyDescent="0.25">
      <c r="B15" s="299" t="s">
        <v>151</v>
      </c>
      <c r="C15">
        <v>44000</v>
      </c>
      <c r="F15" s="319"/>
      <c r="G15" s="306">
        <f>C15+D15+E15+F15</f>
        <v>44000</v>
      </c>
      <c r="I15">
        <f>G15/4000</f>
        <v>11</v>
      </c>
      <c r="J15" s="320">
        <f>J12+I15</f>
        <v>43632.588947368422</v>
      </c>
      <c r="K15" s="319">
        <v>48</v>
      </c>
      <c r="L15">
        <f>G15*(54.75-48)</f>
        <v>297000</v>
      </c>
    </row>
  </sheetData>
  <mergeCells count="1">
    <mergeCell ref="H5:H12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QA_Mix design</vt:lpstr>
      <vt:lpstr>Sales</vt:lpstr>
      <vt:lpstr>Dispatch</vt:lpstr>
      <vt:lpstr>Production</vt:lpstr>
      <vt:lpstr>Consumption</vt:lpstr>
      <vt:lpstr>Summary1</vt:lpstr>
      <vt:lpstr>Shipment Schedule</vt:lpstr>
      <vt:lpstr>Sheet1</vt:lpstr>
      <vt:lpstr>Sheet2</vt:lpstr>
      <vt:lpstr>Sheet3</vt:lpstr>
      <vt:lpstr>Sep-19 Clinker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Zappy͜͡ Plays</cp:lastModifiedBy>
  <cp:revision>3</cp:revision>
  <dcterms:created xsi:type="dcterms:W3CDTF">2006-09-16T00:00:00Z</dcterms:created>
  <dcterms:modified xsi:type="dcterms:W3CDTF">2023-07-15T15:39:53Z</dcterms:modified>
  <dc:language>en-US</dc:language>
</cp:coreProperties>
</file>